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20" windowWidth="14175" windowHeight="5535" tabRatio="637" firstSheet="4" activeTab="5"/>
  </bookViews>
  <sheets>
    <sheet name="Cover" sheetId="10" r:id="rId1"/>
    <sheet name="CLEAR_SHEET" sheetId="37" state="hidden" r:id="rId2"/>
    <sheet name="Flow chart" sheetId="39" r:id="rId3"/>
    <sheet name="F_Inputs" sheetId="23" r:id="rId4"/>
    <sheet name="New cost and adjustments inputs" sheetId="36" r:id="rId5"/>
    <sheet name="New costs and adjustments" sheetId="35" r:id="rId6"/>
    <sheet name="Input overrides" sheetId="24" r:id="rId7"/>
    <sheet name="Used inputs" sheetId="18" r:id="rId8"/>
    <sheet name="Input" sheetId="3" r:id="rId9"/>
    <sheet name="Price setting" sheetId="4" r:id="rId10"/>
    <sheet name="F_Outputs" sheetId="38" r:id="rId11"/>
    <sheet name="F_Outputs complete" sheetId="1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412a">#REF!</definedName>
    <definedName name="\\B414a">#REF!</definedName>
    <definedName name="\0">#REF!</definedName>
    <definedName name="\0a">#REF!</definedName>
    <definedName name="\A">#REF!</definedName>
    <definedName name="\Aa">'[1]Tab K1'!$D$69</definedName>
    <definedName name="\B412a">#REF!</definedName>
    <definedName name="\B414a">#REF!</definedName>
    <definedName name="\Oa">#REF!</definedName>
    <definedName name="\P">#REF!</definedName>
    <definedName name="\PRINTFIND1a">#REF!</definedName>
    <definedName name="\PRINTFIND2a">#REF!</definedName>
    <definedName name="\PRINTFIND3a">#REF!</definedName>
    <definedName name="\PRINTFIND4a">#REF!</definedName>
    <definedName name="\PRINTFIND5a">#REF!</definedName>
    <definedName name="\PRINTFIND6a">#REF!</definedName>
    <definedName name="\V">#REF!</definedName>
    <definedName name="_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p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p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p16" hidden="1">{#N/A,#N/A,TRUE,"DCF Summary";#N/A,#N/A,TRUE,"Casema";#N/A,#N/A,TRUE,"UK";#N/A,#N/A,TRUE,"RCF";#N/A,#N/A,TRUE,"Intercable CZ";#N/A,#N/A,TRUE,"Interkabel P";#N/A,#N/A,TRUE,"LBO-Total";#N/A,#N/A,TRUE,"LBO-Casema"}</definedName>
    <definedName name="_____p17" hidden="1">{#N/A,#N/A,FALSE,"DCF Summary";#N/A,#N/A,FALSE,"Casema";#N/A,#N/A,FALSE,"Casema NoTel";#N/A,#N/A,FALSE,"UK";#N/A,#N/A,FALSE,"RCF";#N/A,#N/A,FALSE,"Intercable CZ";#N/A,#N/A,FALSE,"Interkabel P"}</definedName>
    <definedName name="_____p18" hidden="1">{#N/A,#N/A,FALSE,"DCF Summary";#N/A,#N/A,FALSE,"Casema";#N/A,#N/A,FALSE,"Casema NoTel";#N/A,#N/A,FALSE,"UK";#N/A,#N/A,FALSE,"RCF";#N/A,#N/A,FALSE,"Intercable CZ";#N/A,#N/A,FALSE,"Interkabel P"}</definedName>
    <definedName name="_____q1">[0]!_____q1</definedName>
    <definedName name="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YR2011">'[2]Calendar Yrs'!#REF!</definedName>
    <definedName name="____YR2012">'[2]Calendar Yrs'!#REF!</definedName>
    <definedName name="____YR2013">'[2]Calendar Yrs'!#REF!</definedName>
    <definedName name="____YR2014">'[2]Calendar Yrs'!#REF!</definedName>
    <definedName name="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p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p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p16" hidden="1">{#N/A,#N/A,TRUE,"DCF Summary";#N/A,#N/A,TRUE,"Casema";#N/A,#N/A,TRUE,"UK";#N/A,#N/A,TRUE,"RCF";#N/A,#N/A,TRUE,"Intercable CZ";#N/A,#N/A,TRUE,"Interkabel P";#N/A,#N/A,TRUE,"LBO-Total";#N/A,#N/A,TRUE,"LBO-Casema"}</definedName>
    <definedName name="___p17" hidden="1">{#N/A,#N/A,FALSE,"DCF Summary";#N/A,#N/A,FALSE,"Casema";#N/A,#N/A,FALSE,"Casema NoTel";#N/A,#N/A,FALSE,"UK";#N/A,#N/A,FALSE,"RCF";#N/A,#N/A,FALSE,"Intercable CZ";#N/A,#N/A,FALSE,"Interkabel P"}</definedName>
    <definedName name="___p18" hidden="1">{#N/A,#N/A,FALSE,"DCF Summary";#N/A,#N/A,FALSE,"Casema";#N/A,#N/A,FALSE,"Casema NoTel";#N/A,#N/A,FALSE,"UK";#N/A,#N/A,FALSE,"RCF";#N/A,#N/A,FALSE,"Intercable CZ";#N/A,#N/A,FALSE,"Interkabel P"}</definedName>
    <definedName name="___q1">[0]!___q1</definedName>
    <definedName name="___YR2010">'[3]2010'!$A$6:$K$56</definedName>
    <definedName name="__1__123Graph_AChart_1A" hidden="1">[4]DATA!#REF!</definedName>
    <definedName name="__123Graph_A" hidden="1">[5]Kent!#REF!</definedName>
    <definedName name="__123Graph_AHSIZE" hidden="1">[5]Kent!#REF!</definedName>
    <definedName name="__123Graph_B" hidden="1">#N/A</definedName>
    <definedName name="__123Graph_BHSIZE" hidden="1">[5]Kent!#REF!</definedName>
    <definedName name="__123Graph_C" hidden="1">#N/A</definedName>
    <definedName name="__123Graph_CHSIZE" hidden="1">[5]Kent!#REF!</definedName>
    <definedName name="__123Graph_D" hidden="1">[6]SUMMARY!#REF!</definedName>
    <definedName name="__123Graph_X" hidden="1">[5]Kent!#REF!</definedName>
    <definedName name="__123Graph_XHSIZE" hidden="1">[5]Kent!#REF!</definedName>
    <definedName name="__2__123Graph_AChart_2A" hidden="1">[4]DATA!#REF!</definedName>
    <definedName name="__3__123Graph_AChart_3A" hidden="1">[4]DATA!#REF!</definedName>
    <definedName name="__4__123Graph_BChart_1A" hidden="1">[4]DATA!#REF!</definedName>
    <definedName name="__5__123Graph_BChart_2A" hidden="1">[4]DATA!#REF!</definedName>
    <definedName name="__6__123Graph_BChart_3A" hidden="1">[4]DATA!#REF!</definedName>
    <definedName name="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YR2010">'[3]2010'!$A$6:$K$56</definedName>
    <definedName name="__YR2011">'[2]Calendar Yrs'!#REF!</definedName>
    <definedName name="__YR2012">'[2]Calendar Yrs'!#REF!</definedName>
    <definedName name="__YR2013">'[2]Calendar Yrs'!#REF!</definedName>
    <definedName name="__YR2014">'[2]Calendar Yrs'!#REF!</definedName>
    <definedName name="_1__123Graph_AChart_1A" hidden="1">[7]DATA!#REF!</definedName>
    <definedName name="_2__123Graph_AChart_2A" hidden="1">[7]DATA!#REF!</definedName>
    <definedName name="_3__123Graph_AChart_3A" hidden="1">[7]DATA!#REF!</definedName>
    <definedName name="_3__123Graph_ANON_DOM" hidden="1">'[8]Input From Access'!#REF!</definedName>
    <definedName name="_4__123Graph_BChart_1A" hidden="1">[7]DATA!#REF!</definedName>
    <definedName name="_5__123Graph_BChart_2A" hidden="1">[7]DATA!#REF!</definedName>
    <definedName name="_6__123Graph_BChart_3A" hidden="1">[7]DATA!#REF!</definedName>
    <definedName name="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[9]Sheet2!$AA$7:$AA$13</definedName>
    <definedName name="_xlnm._FilterDatabase" localSheetId="3" hidden="1">F_Inputs!$A$2:$O$2</definedName>
    <definedName name="_xlnm._FilterDatabase" localSheetId="6" hidden="1">'Input overrides'!$A$2:$O$2</definedName>
    <definedName name="_xlnm._FilterDatabase" localSheetId="7" hidden="1">'Used inputs'!$A$2:$O$2</definedName>
    <definedName name="_xlnm._FilterDatabase" hidden="1">#REF!</definedName>
    <definedName name="_Key1" hidden="1">[9]Sheet2!$T$13:$W$187</definedName>
    <definedName name="_Order1" hidden="1">255</definedName>
    <definedName name="_Order2" hidden="1">255</definedName>
    <definedName name="_OS1">#REF!</definedName>
    <definedName name="_OS2">#REF!</definedName>
    <definedName name="_OS3">#REF!</definedName>
    <definedName name="_p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p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p16" hidden="1">{#N/A,#N/A,TRUE,"DCF Summary";#N/A,#N/A,TRUE,"Casema";#N/A,#N/A,TRUE,"UK";#N/A,#N/A,TRUE,"RCF";#N/A,#N/A,TRUE,"Intercable CZ";#N/A,#N/A,TRUE,"Interkabel P";#N/A,#N/A,TRUE,"LBO-Total";#N/A,#N/A,TRUE,"LBO-Casema"}</definedName>
    <definedName name="_p17" hidden="1">{#N/A,#N/A,FALSE,"DCF Summary";#N/A,#N/A,FALSE,"Casema";#N/A,#N/A,FALSE,"Casema NoTel";#N/A,#N/A,FALSE,"UK";#N/A,#N/A,FALSE,"RCF";#N/A,#N/A,FALSE,"Intercable CZ";#N/A,#N/A,FALSE,"Interkabel P"}</definedName>
    <definedName name="_p18" hidden="1">{#N/A,#N/A,FALSE,"DCF Summary";#N/A,#N/A,FALSE,"Casema";#N/A,#N/A,FALSE,"Casema NoTel";#N/A,#N/A,FALSE,"UK";#N/A,#N/A,FALSE,"RCF";#N/A,#N/A,FALSE,"Intercable CZ";#N/A,#N/A,FALSE,"Interkabel P"}</definedName>
    <definedName name="_q1">[0]!_q1</definedName>
    <definedName name="_Sort" hidden="1">[9]Sheet2!$U$13:$W$196</definedName>
    <definedName name="_YR2010">'[3]2010'!$A$6:$K$56</definedName>
    <definedName name="_YR2011">'[2]Calendar Yrs'!#REF!</definedName>
    <definedName name="_YR2012">'[2]Calendar Yrs'!#REF!</definedName>
    <definedName name="_YR2013">'[2]Calendar Yrs'!#REF!</definedName>
    <definedName name="_YR2014">'[2]Calendar Yrs'!#REF!</definedName>
    <definedName name="a">'[10]94 Cost Base'!$B$5:$AM$31</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il">[0]!Abil</definedName>
    <definedName name="Abil2">[0]!Abil2</definedName>
    <definedName name="AbilityToPayCalc">[0]!AbilityToPayCalc</definedName>
    <definedName name="AbilityToPayCalcTor">[0]!AbilityToPayCalcTor</definedName>
    <definedName name="AbilitytoPayTor">[0]!AbilitytoPayTor</definedName>
    <definedName name="abtraction">'[11]DCWW Direct Costs'!$AE$10</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Database" hidden="1">"C:\Budgets\2003\NM and VS BP forecast 2003 NM37 VS197 311002 v1.mdb"</definedName>
    <definedName name="ac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tivity">'[12]VEOLIA ACTIVITY(Sub-Account)'!$A$2:$B$958</definedName>
    <definedName name="Actual">#REF!</definedName>
    <definedName name="adc" hidden="1">{TRUE,TRUE,-1.25,-15.5,604.5,369,FALSE,FALSE,TRUE,TRUE,0,1,83,1,38,4,5,4,TRUE,TRUE,3,TRUE,1,TRUE,75,"Swvu.inputs._.raw._.data.","ACwvu.inputs._.raw._.data.",#N/A,FALSE,FALSE,0.5,0.5,0.5,0.5,2,"&amp;F","&amp;A&amp;RPage &amp;P",FALSE,FALSE,FALSE,FALSE,1,60,#N/A,#N/A,"=R1C61:R53C89","=C1:C5",#N/A,#N/A,FALSE,FALSE,FALSE,1,600,600,FALSE,FALSE,TRUE,TRUE,TRUE}</definedName>
    <definedName name="ADDTIONS_FOR_DFE">#REF!</definedName>
    <definedName name="Adj_name_1" localSheetId="10">#REF!</definedName>
    <definedName name="Adj_name_1" localSheetId="2">#REF!</definedName>
    <definedName name="Adj_name_1">#REF!</definedName>
    <definedName name="Adj_name_10" localSheetId="10">#REF!</definedName>
    <definedName name="Adj_name_10" localSheetId="2">#REF!</definedName>
    <definedName name="Adj_name_10">#REF!</definedName>
    <definedName name="Adj_name_2" localSheetId="10">#REF!</definedName>
    <definedName name="Adj_name_2" localSheetId="2">#REF!</definedName>
    <definedName name="Adj_name_2">#REF!</definedName>
    <definedName name="Adj_name_3" localSheetId="10">#REF!</definedName>
    <definedName name="Adj_name_3" localSheetId="2">#REF!</definedName>
    <definedName name="Adj_name_3">#REF!</definedName>
    <definedName name="Adj_name_4" localSheetId="10">#REF!</definedName>
    <definedName name="Adj_name_4" localSheetId="2">#REF!</definedName>
    <definedName name="Adj_name_4">#REF!</definedName>
    <definedName name="Adj_name_5" localSheetId="10">#REF!</definedName>
    <definedName name="Adj_name_5" localSheetId="2">#REF!</definedName>
    <definedName name="Adj_name_5">#REF!</definedName>
    <definedName name="Adj_name_6" localSheetId="10">#REF!</definedName>
    <definedName name="Adj_name_6" localSheetId="2">#REF!</definedName>
    <definedName name="Adj_name_6">#REF!</definedName>
    <definedName name="Adj_name_7" localSheetId="10">#REF!</definedName>
    <definedName name="Adj_name_7" localSheetId="2">#REF!</definedName>
    <definedName name="Adj_name_7">#REF!</definedName>
    <definedName name="Adj_name_8" localSheetId="10">#REF!</definedName>
    <definedName name="Adj_name_8" localSheetId="2">#REF!</definedName>
    <definedName name="Adj_name_8">#REF!</definedName>
    <definedName name="Adj_name_9" localSheetId="10">#REF!</definedName>
    <definedName name="Adj_name_9" localSheetId="2">#REF!</definedName>
    <definedName name="Adj_name_9">#REF!</definedName>
    <definedName name="Affinity">'New costs and adjustments'!$B$186:$O$199</definedName>
    <definedName name="AFW">Input!$C$246:$O$269</definedName>
    <definedName name="agacc">[13]RS!$D$56:$E$62</definedName>
    <definedName name="AICHARGVOL" hidden="1">#REF!</definedName>
    <definedName name="AIPSMLCHARGVOL" hidden="1">#REF!</definedName>
    <definedName name="AIT3CHARGVOL" hidden="1">#REF!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MP4_Capex">#REF!</definedName>
    <definedName name="AN"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glian">'New costs and adjustments'!$B$46:$O$59</definedName>
    <definedName name="ANH">Input!$C$6:$O$29</definedName>
    <definedName name="Annex">#REF!</definedName>
    <definedName name="appendix4" hidden="1">{#N/A,#N/A,TRUE,"Cover sheet";#N/A,#N/A,TRUE,"Summary";#N/A,#N/A,TRUE,"Key Assumptions";#N/A,#N/A,TRUE,"Profit &amp; Loss";#N/A,#N/A,TRUE,"Balance Sheet";#N/A,#N/A,TRUE,"Cashflow";#N/A,#N/A,TRUE,"IRR";#N/A,#N/A,TRUE,"Ratios";#N/A,#N/A,TRUE,"Debt analysis"}</definedName>
    <definedName name="Approved_budgets">#REF!</definedName>
    <definedName name="aq" hidden="1">#REF!</definedName>
    <definedName name="AR">'[11]DCWW Direct Costs'!$AJ$17</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 hidden="1">#REF!</definedName>
    <definedName name="AS2DocOpenMode" hidden="1">"AS2DocumentEdit"</definedName>
    <definedName name="asas" hidden="1">#REF!</definedName>
    <definedName name="assas" hidden="1">#REF!</definedName>
    <definedName name="Average_Time_to_Start">OFFSET(OFFSET([14]Data!$C$6,0,[14]Data!$B$34,1,1),0,0,1,12)</definedName>
    <definedName name="Barclays1">#REF!</definedName>
    <definedName name="Barclays2">#REF!</definedName>
    <definedName name="BASE_YEAR">#REF!</definedName>
    <definedName name="Batch1">#REF!</definedName>
    <definedName name="batch2">#REF!,#REF!</definedName>
    <definedName name="big"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ournemouth">'New costs and adjustments'!$B$242:$O$255</definedName>
    <definedName name="Bristol">'New costs and adjustments'!$B$200:$O$213</definedName>
    <definedName name="BRL">Input!$C$270:$O$293</definedName>
    <definedName name="CASH">#REF!</definedName>
    <definedName name="CC_ACTUAL">'[15]Controllable Summary v budget'!#REF!</definedName>
    <definedName name="CC_TARGET">'[15]Controllable Summary v budget'!#REF!</definedName>
    <definedName name="CCF">#REF!</definedName>
    <definedName name="Check.Master" localSheetId="10">#REF!</definedName>
    <definedName name="Check.Master" localSheetId="2">#REF!</definedName>
    <definedName name="Check.Master">#REF!</definedName>
    <definedName name="CHOICES">#REF!</definedName>
    <definedName name="CHOOSE">#REF!</definedName>
    <definedName name="CodeColumnRef">#REF!</definedName>
    <definedName name="Comms">'[11]DCWW Direct Costs'!$AG$17</definedName>
    <definedName name="comms_exc_customer">'[11]DCWW Direct Costs'!$AE$26</definedName>
    <definedName name="COMPANY_ACRONYM">#REF!</definedName>
    <definedName name="CompanyName">#REF!</definedName>
    <definedName name="CostBase94">'[16]94 Cost Base'!$B$5:$AM$31</definedName>
    <definedName name="CostBase98">'[16]98 Cost Base'!$B$5:$AM$31</definedName>
    <definedName name="council">'[11]DCWW Direct Costs'!$AF$17</definedName>
    <definedName name="crypt">'[11]DCWW Direct Costs'!$AH$17</definedName>
    <definedName name="Currency">#REF!</definedName>
    <definedName name="CURRENT_YEAR">#REF!</definedName>
    <definedName name="Customer_relations">'[11]DCWW Direct Costs'!$AM$17</definedName>
    <definedName name="CVOS">#REF!</definedName>
    <definedName name="data">#REF!</definedName>
    <definedName name="data_adj">#REF!</definedName>
    <definedName name="DATA1">#REF!</definedName>
    <definedName name="DATA2">#REF!</definedName>
    <definedName name="DATA3">#REF!</definedName>
    <definedName name="DATA4">#REF!</definedName>
    <definedName name="DATA5">#REF!</definedName>
    <definedName name="dataJuly">#REF!</definedName>
    <definedName name="datajun">#REF!</definedName>
    <definedName name="datajunf">#REF!+#REF!</definedName>
    <definedName name="DatasetName">#REF!</definedName>
    <definedName name="datjul">#REF!</definedName>
    <definedName name="Days_1stSummary">#REF!</definedName>
    <definedName name="Days_1stSummary_Total">#REF!</definedName>
    <definedName name="Days_2ndSummary__CR">#REF!</definedName>
    <definedName name="Days_2ndSummary__CR_Total">#REF!</definedName>
    <definedName name="Days_2ndSummary__DR">#REF!</definedName>
    <definedName name="Days_2ndSummary__DR_Total">#REF!</definedName>
    <definedName name="Days_2ndSummary_AG_CR">#REF!</definedName>
    <definedName name="Days_2ndSummary_AG_CR_Total">#REF!</definedName>
    <definedName name="Days_2ndSummary_AG_DR">#REF!</definedName>
    <definedName name="Days_2ndSummary_AG_DR_Total">#REF!</definedName>
    <definedName name="Days_2ndSummary_BH_CR">#REF!</definedName>
    <definedName name="Days_2ndSummary_BH_CR_Total">#REF!</definedName>
    <definedName name="Days_2ndSummary_BH_DR">#REF!</definedName>
    <definedName name="Days_2ndSummary_BH_DR_Total">#REF!</definedName>
    <definedName name="Days_2ndSummary_CI_CR">#REF!</definedName>
    <definedName name="Days_2ndSummary_CI_CR_Total">#REF!</definedName>
    <definedName name="Days_2ndSummary_CI_DR">#REF!</definedName>
    <definedName name="Days_2ndSummary_CI_DR_Total">#REF!</definedName>
    <definedName name="Days_2ndSummary_D_CR">#REF!</definedName>
    <definedName name="Days_2ndSummary_D_CR_Total">#REF!</definedName>
    <definedName name="Days_2ndSummary_D_DR">#REF!</definedName>
    <definedName name="Days_2ndSummary_D_DR_Total">#REF!</definedName>
    <definedName name="Days_2ndSummary_E_CR">#REF!</definedName>
    <definedName name="Days_2ndSummary_E_CR_Total">#REF!</definedName>
    <definedName name="Days_2ndSummary_E_DR">#REF!</definedName>
    <definedName name="Days_2ndSummary_E_DR_Total">#REF!</definedName>
    <definedName name="Days_2ndSummary_F_CR">#REF!</definedName>
    <definedName name="Days_2ndSummary_F_CR_Total">#REF!</definedName>
    <definedName name="Days_2ndSummary_F_DR">#REF!</definedName>
    <definedName name="Days_2ndSummary_F_DR_Total">#REF!</definedName>
    <definedName name="Days_2ndSummary_Z1_CR">#REF!</definedName>
    <definedName name="Days_2ndSummary_Z1_CR_Total">#REF!</definedName>
    <definedName name="Days_2ndSummary_Z1_DR">#REF!</definedName>
    <definedName name="Days_2ndSummary_Z1_DR_Total">#REF!</definedName>
    <definedName name="Days_2ndSummary_Z2_CR">#REF!</definedName>
    <definedName name="Days_2ndSummary_Z2_CR_Total">#REF!</definedName>
    <definedName name="Days_2ndSummary_Z2_DR">#REF!</definedName>
    <definedName name="Days_2ndSummary_Z2_DR_Total">#REF!</definedName>
    <definedName name="Days_2ndSummary_Z3_CR">#REF!</definedName>
    <definedName name="Days_2ndSummary_Z3_CR_Total">#REF!</definedName>
    <definedName name="Days_2ndSummary_Z3_DR">#REF!</definedName>
    <definedName name="Days_2ndSummary_Z3_DR_Total">#REF!</definedName>
    <definedName name="Days_2ndSummary_Z5_CR">#REF!</definedName>
    <definedName name="Days_2ndSummary_Z5_CR_Total">#REF!</definedName>
    <definedName name="Days_2ndSummary_Z5_DR">#REF!</definedName>
    <definedName name="Days_2ndSummary_Z5_DR_Total">#REF!</definedName>
    <definedName name="Days_2ndSummary_Z6_CR">#REF!</definedName>
    <definedName name="Days_2ndSummary_Z6_CR_Total">#REF!</definedName>
    <definedName name="Days_2ndSummary_Z6_DR">#REF!</definedName>
    <definedName name="Days_2ndSummary_Z6_DR_Total">#REF!</definedName>
    <definedName name="Days_2ndSummary_Z7_DR">#REF!</definedName>
    <definedName name="Days_2ndSummary_Z7_DR_Total">#REF!</definedName>
    <definedName name="Days_3rdSummary__CR">#REF!</definedName>
    <definedName name="Days_3rdSummary__CR_Total">#REF!</definedName>
    <definedName name="Days_3rdSummary__DR">#REF!</definedName>
    <definedName name="Days_3rdSummary__DR_Total">#REF!</definedName>
    <definedName name="Days_3rdSummary_AG_CR">#REF!</definedName>
    <definedName name="Days_3rdSummary_AG_CR_Total">#REF!</definedName>
    <definedName name="Days_3rdSummary_AG_DR">#REF!</definedName>
    <definedName name="Days_3rdSummary_AG_DR_Total">#REF!</definedName>
    <definedName name="Days_3rdSummary_BH_CR">#REF!</definedName>
    <definedName name="Days_3rdSummary_BH_CR_Total">#REF!</definedName>
    <definedName name="Days_3rdSummary_BH_DR">#REF!</definedName>
    <definedName name="Days_3rdSummary_BH_DR_Total">#REF!</definedName>
    <definedName name="Days_3rdSummary_CI_CR">#REF!</definedName>
    <definedName name="Days_3rdSummary_CI_CR_Total">#REF!</definedName>
    <definedName name="Days_3rdSummary_CI_DR">#REF!</definedName>
    <definedName name="Days_3rdSummary_CI_DR_Total">#REF!</definedName>
    <definedName name="Days_3rdSummary_D_CR">#REF!</definedName>
    <definedName name="Days_3rdSummary_D_CR_Total">#REF!</definedName>
    <definedName name="Days_3rdSummary_D_DR">#REF!</definedName>
    <definedName name="Days_3rdSummary_D_DR_Total">#REF!</definedName>
    <definedName name="Days_3rdSummary_E_CR">#REF!</definedName>
    <definedName name="Days_3rdSummary_E_CR_Total">#REF!</definedName>
    <definedName name="Days_3rdSummary_E_DR">#REF!</definedName>
    <definedName name="Days_3rdSummary_E_DR_Total">#REF!</definedName>
    <definedName name="Days_3rdSummary_F_CR">#REF!</definedName>
    <definedName name="Days_3rdSummary_F_CR_Total">#REF!</definedName>
    <definedName name="Days_3rdSummary_F_DR">#REF!</definedName>
    <definedName name="Days_3rdSummary_F_DR_Total">#REF!</definedName>
    <definedName name="Days_3rdSummary_Z1_CR">#REF!</definedName>
    <definedName name="Days_3rdSummary_Z1_CR_Total">#REF!</definedName>
    <definedName name="Days_3rdSummary_Z1_DR">#REF!</definedName>
    <definedName name="Days_3rdSummary_Z1_DR_Total">#REF!</definedName>
    <definedName name="Days_3rdSummary_Z2_CR">#REF!</definedName>
    <definedName name="Days_3rdSummary_Z2_CR_Total">#REF!</definedName>
    <definedName name="Days_3rdSummary_Z2_DR">#REF!</definedName>
    <definedName name="Days_3rdSummary_Z2_DR_Total">#REF!</definedName>
    <definedName name="Days_3rdSummary_Z3_CR">#REF!</definedName>
    <definedName name="Days_3rdSummary_Z3_CR_Total">#REF!</definedName>
    <definedName name="Days_3rdSummary_Z3_DR">#REF!</definedName>
    <definedName name="Days_3rdSummary_Z3_DR_Total">#REF!</definedName>
    <definedName name="Days_3rdSummary_Z5_CR">#REF!</definedName>
    <definedName name="Days_3rdSummary_Z5_CR_Total">#REF!</definedName>
    <definedName name="Days_3rdSummary_Z5_DR">#REF!</definedName>
    <definedName name="Days_3rdSummary_Z5_DR_Total">#REF!</definedName>
    <definedName name="Days_3rdSummary_Z6_CR">#REF!</definedName>
    <definedName name="Days_3rdSummary_Z6_CR_Total">#REF!</definedName>
    <definedName name="Days_3rdSummary_Z6_DR">#REF!</definedName>
    <definedName name="Days_3rdSummary_Z6_DR_Total">#REF!</definedName>
    <definedName name="Days_3rdSummary_Z7_DR">#REF!</definedName>
    <definedName name="Days_3rdSummary_Z7_DR_Total">#REF!</definedName>
    <definedName name="Days_4thSummary__CR">#REF!</definedName>
    <definedName name="Days_4thSummary__CR_Total">#REF!</definedName>
    <definedName name="Days_4thSummary__DR">#REF!</definedName>
    <definedName name="Days_4thSummary__DR_Total">#REF!</definedName>
    <definedName name="Days_4thSummary_AG_CR">#REF!</definedName>
    <definedName name="Days_4thSummary_AG_CR_Total">#REF!</definedName>
    <definedName name="Days_4thSummary_AG_DR">#REF!</definedName>
    <definedName name="Days_4thSummary_AG_DR_Total">#REF!</definedName>
    <definedName name="Days_4thSummary_BH_CR">#REF!</definedName>
    <definedName name="Days_4thSummary_BH_CR_Total">#REF!</definedName>
    <definedName name="Days_4thSummary_BH_DR">#REF!</definedName>
    <definedName name="Days_4thSummary_BH_DR_Total">#REF!</definedName>
    <definedName name="Days_4thSummary_CI_CR">#REF!</definedName>
    <definedName name="Days_4thSummary_CI_CR_Total">#REF!</definedName>
    <definedName name="Days_4thSummary_CI_DR">#REF!</definedName>
    <definedName name="Days_4thSummary_CI_DR_Total">#REF!</definedName>
    <definedName name="Days_4thSummary_D_CR">#REF!</definedName>
    <definedName name="Days_4thSummary_D_CR_Total">#REF!</definedName>
    <definedName name="Days_4thSummary_D_DR">#REF!</definedName>
    <definedName name="Days_4thSummary_D_DR_Total">#REF!</definedName>
    <definedName name="Days_4thSummary_E_CR">#REF!</definedName>
    <definedName name="Days_4thSummary_E_CR_Total">#REF!</definedName>
    <definedName name="Days_4thSummary_E_DR">#REF!</definedName>
    <definedName name="Days_4thSummary_E_DR_Total">#REF!</definedName>
    <definedName name="Days_4thSummary_F_CR">#REF!</definedName>
    <definedName name="Days_4thSummary_F_CR_Total">#REF!</definedName>
    <definedName name="Days_4thSummary_F_DR">#REF!</definedName>
    <definedName name="Days_4thSummary_F_DR_Total">#REF!</definedName>
    <definedName name="Days_4thSummary_Z1_CR">#REF!</definedName>
    <definedName name="Days_4thSummary_Z1_CR_Total">#REF!</definedName>
    <definedName name="Days_4thSummary_Z1_DR">#REF!</definedName>
    <definedName name="Days_4thSummary_Z1_DR_Total">#REF!</definedName>
    <definedName name="Days_4thSummary_Z2_CR">#REF!</definedName>
    <definedName name="Days_4thSummary_Z2_CR_Total">#REF!</definedName>
    <definedName name="Days_4thSummary_Z2_DR">#REF!</definedName>
    <definedName name="Days_4thSummary_Z2_DR_Total">#REF!</definedName>
    <definedName name="Days_4thSummary_Z3_CR">#REF!</definedName>
    <definedName name="Days_4thSummary_Z3_CR_Total">#REF!</definedName>
    <definedName name="Days_4thSummary_Z3_DR">#REF!</definedName>
    <definedName name="Days_4thSummary_Z3_DR_Total">#REF!</definedName>
    <definedName name="Days_4thSummary_Z5_CR">#REF!</definedName>
    <definedName name="Days_4thSummary_Z5_CR_Total">#REF!</definedName>
    <definedName name="Days_4thSummary_Z5_DR">#REF!</definedName>
    <definedName name="Days_4thSummary_Z5_DR_Total">#REF!</definedName>
    <definedName name="Days_4thSummary_Z6_CR">#REF!</definedName>
    <definedName name="Days_4thSummary_Z6_CR_Total">#REF!</definedName>
    <definedName name="Days_4thSummary_Z6_DR">#REF!</definedName>
    <definedName name="Days_4thSummary_Z6_DR_Total">#REF!</definedName>
    <definedName name="Days_4thSummary_Z7_DR">#REF!</definedName>
    <definedName name="Days_4thSummary_Z7_DR_Total">#REF!</definedName>
    <definedName name="Days_5thSummary__CR">#REF!</definedName>
    <definedName name="Days_5thSummary__CR_Total">#REF!</definedName>
    <definedName name="Days_5thSummary__DR">#REF!</definedName>
    <definedName name="Days_5thSummary__DR_Total">#REF!</definedName>
    <definedName name="Days_5thSummary_AG_CR">#REF!</definedName>
    <definedName name="Days_5thSummary_AG_CR_Total">#REF!</definedName>
    <definedName name="Days_5thSummary_AG_DR">#REF!</definedName>
    <definedName name="Days_5thSummary_AG_DR_Total">#REF!</definedName>
    <definedName name="Days_5thSummary_BH_CR">#REF!</definedName>
    <definedName name="Days_5thSummary_BH_CR_Total">#REF!</definedName>
    <definedName name="Days_5thSummary_BH_DR">#REF!</definedName>
    <definedName name="Days_5thSummary_BH_DR_Total">#REF!</definedName>
    <definedName name="Days_5thSummary_CI_CR">#REF!</definedName>
    <definedName name="Days_5thSummary_CI_CR_Total">#REF!</definedName>
    <definedName name="Days_5thSummary_CI_DR">#REF!</definedName>
    <definedName name="Days_5thSummary_CI_DR_Total">#REF!</definedName>
    <definedName name="Days_5thSummary_D_CR">#REF!</definedName>
    <definedName name="Days_5thSummary_D_CR_Total">#REF!</definedName>
    <definedName name="Days_5thSummary_D_DR">#REF!</definedName>
    <definedName name="Days_5thSummary_D_DR_Total">#REF!</definedName>
    <definedName name="Days_5thSummary_E_CR">#REF!</definedName>
    <definedName name="Days_5thSummary_E_CR_Total">#REF!</definedName>
    <definedName name="Days_5thSummary_E_DR">#REF!</definedName>
    <definedName name="Days_5thSummary_E_DR_Total">#REF!</definedName>
    <definedName name="Days_5thSummary_F_CR">#REF!</definedName>
    <definedName name="Days_5thSummary_F_CR_Total">#REF!</definedName>
    <definedName name="Days_5thSummary_F_DR">#REF!</definedName>
    <definedName name="Days_5thSummary_F_DR_Total">#REF!</definedName>
    <definedName name="Days_5thSummary_Z1_CR">#REF!</definedName>
    <definedName name="Days_5thSummary_Z1_CR_Total">#REF!</definedName>
    <definedName name="Days_5thSummary_Z1_DR">#REF!</definedName>
    <definedName name="Days_5thSummary_Z1_DR_Total">#REF!</definedName>
    <definedName name="Days_5thSummary_Z2_CR">#REF!</definedName>
    <definedName name="Days_5thSummary_Z2_CR_Total">#REF!</definedName>
    <definedName name="Days_5thSummary_Z2_DR">#REF!</definedName>
    <definedName name="Days_5thSummary_Z2_DR_Total">#REF!</definedName>
    <definedName name="Days_5thSummary_Z3_CR">#REF!</definedName>
    <definedName name="Days_5thSummary_Z3_CR_Total">#REF!</definedName>
    <definedName name="Days_5thSummary_Z3_DR">#REF!</definedName>
    <definedName name="Days_5thSummary_Z3_DR_Total">#REF!</definedName>
    <definedName name="Days_5thSummary_Z5_CR">#REF!</definedName>
    <definedName name="Days_5thSummary_Z5_CR_Total">#REF!</definedName>
    <definedName name="Days_5thSummary_Z5_DR">#REF!</definedName>
    <definedName name="Days_5thSummary_Z5_DR_Total">#REF!</definedName>
    <definedName name="Days_5thSummary_Z6_CR">#REF!</definedName>
    <definedName name="Days_5thSummary_Z6_CR_Total">#REF!</definedName>
    <definedName name="Days_5thSummary_Z6_DR">#REF!</definedName>
    <definedName name="Days_5thSummary_Z6_DR_Total">#REF!</definedName>
    <definedName name="Days_5thSummary_Z7_DR">#REF!</definedName>
    <definedName name="Days_5thSummary_Z7_DR_Total">#REF!</definedName>
    <definedName name="Decdata">#REF!</definedName>
    <definedName name="DeeValley">'New costs and adjustments'!$B$214:$O$227</definedName>
    <definedName name="D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n_Danske">#REF!</definedName>
    <definedName name="DescriptionColumnRef">#REF!</definedName>
    <definedName name="det">'[12]VEOLIA DETAIL ACC'!$A$2:$A$1400</definedName>
    <definedName name="DFactor">'[17]Baseline 13-14'!$D$2</definedName>
    <definedName name="dfactor2">'[17]HH Cost'!$P$1</definedName>
    <definedName name="dgjdghj" hidden="1">{"Segment Report",#N/A,FALSE,"Reports"}</definedName>
    <definedName name="dhjdghj" hidden="1">{"C3-RegView   Board Report Data",#N/A,FALSE,"C3-RegView"}</definedName>
    <definedName name="discharge">'[11]DCWW Direct Costs'!$AF$10</definedName>
    <definedName name="dq" hidden="1">{#N/A,#N/A,FALSE,"End Cash";#N/A,#N/A,FALSE,"AVG";#N/A,#N/A,FALSE,"Adj to Avg";#N/A,#N/A,FALSE,"Adjusted Average";#N/A,#N/A,FALSE,"Rates";#N/A,#N/A,FALSE,"P&amp;L Interest";#N/A,#N/A,FALSE,"Cash Interest"}</definedName>
    <definedName name="Dresdner">#REF!</definedName>
    <definedName name="DVW">Input!$C$318:$O$341</definedName>
    <definedName name="EBIT_TURNOVER">'[15]P&amp;L 03  act v bud _STAT '!$H$49</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org">#REF!</definedName>
    <definedName name="eeorg01">[18]orgdatabaseNumber!$A$6:$I$42</definedName>
    <definedName name="Element">#REF!</definedName>
    <definedName name="EMPORGANISATIONS">#REF!</definedName>
    <definedName name="EndYearRef">#REF!</definedName>
    <definedName name="erhsnrnss"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uro">#REF!</definedName>
    <definedName name="FFAPPCOLNAME_2">#REF!</definedName>
    <definedName name="FFAPPWH">#REF!</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rstQuinquennium">#REF!</definedName>
    <definedName name="FOLLOWING_YEAR">#REF!</definedName>
    <definedName name="FR">[19]CRITERIA1!$B$3</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ukjfhk" hidden="1">{"A3-DivDirNWW_ClosedView",#N/A,FALSE,"A3-DivDirNWW";#N/A,#N/A,FALSE,"A4-DivDirNWW";#N/A,#N/A,FALSE,"B1-Co&amp;RegSum";#N/A,#N/A,FALSE,"C5-NWWRegView";#N/A,#N/A,FALSE,"H2-DivDirs2";#N/A,#N/A,FALSE,"C4-NorPro"}</definedName>
    <definedName name="Generale">#REF!</definedName>
    <definedName name="ghfjkh" hidden="1">{#N/A,#N/A,FALSE,"D9-NWWG";#N/A,#N/A,FALSE,"F2-WMG";#N/A,#N/A,FALSE,"F3-WWMG"}</definedName>
    <definedName name="ghi"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J_Number">OFFSET(OFFSET([14]Data!$C$24,0,[14]Data!$B$34,1,1),0,0,1,12)</definedName>
    <definedName name="GJ_Percent_All_Jobs">OFFSET(OFFSET([14]Data!$C$25,0,[14]Data!$B$34,1,1),0,0,1,[14]Data!$B$33)</definedName>
    <definedName name="GOHOME">#REF!</definedName>
    <definedName name="Gross">'[20]Gross Pay Less Exs'!$A$7:$N$26</definedName>
    <definedName name="guplrates_00_01">[21]Rates!$A$10:$G$19</definedName>
    <definedName name="guporgs">[13]orgs!$A$3:$B$38</definedName>
    <definedName name="H_6" hidden="1">'[22]Principal Statement'!#REF!</definedName>
    <definedName name="H_AI1" hidden="1">#REF!</definedName>
    <definedName name="H_AI2" hidden="1">#REF!</definedName>
    <definedName name="H_AI3" hidden="1">#REF!</definedName>
    <definedName name="HEADF">[23]expheads!$A$2:$B$20</definedName>
    <definedName name="hello" hidden="1">{#N/A,#N/A,FALSE,"DCF Summary";#N/A,#N/A,FALSE,"Casema";#N/A,#N/A,FALSE,"Casema NoTel";#N/A,#N/A,FALSE,"UK";#N/A,#N/A,FALSE,"RCF";#N/A,#N/A,FALSE,"Intercable CZ";#N/A,#N/A,FALSE,"Interkabel P"}</definedName>
    <definedName name="HELPID" hidden="1">[24]Data!$B$58:$B$58</definedName>
    <definedName name="helv">#REF!</definedName>
    <definedName name="hgd" hidden="1">{"K1-Overview1",#N/A,FALSE,"K1-Overview";"K1-Overview2",#N/A,FALSE,"K1-Overview";"K1-Overview3 BUD &amp; CUR",#N/A,FALSE,"K1-Overview"}</definedName>
    <definedName name="HH.Retail.Revenue">'[25]Calc HH'!$J$68:$S$68</definedName>
    <definedName name="HL_Sheet_Main_13" hidden="1">#REF!</definedName>
    <definedName name="HOMER">#REF!</definedName>
    <definedName name="HP">'[11]DCWW Direct Costs'!$AI$17</definedName>
    <definedName name="IDOK_appointee_rev" localSheetId="10">[26]Calcs!#REF!</definedName>
    <definedName name="IDOK_appointee_rev" localSheetId="2">[26]Calcs!#REF!</definedName>
    <definedName name="IDOK_appointee_rev">[26]Calcs!#REF!</definedName>
    <definedName name="IND">Input!$C$438:$O$443</definedName>
    <definedName name="IndustryAssumptionName">#REF!</definedName>
    <definedName name="InputArea">#REF!</definedName>
    <definedName name="InputYears">#REF!</definedName>
    <definedName name="INTRO1">#REF!</definedName>
    <definedName name="INTRODUCTION">#REF!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emDataSectionEnd">#REF!</definedName>
    <definedName name="ItemDataSectionStart">#REF!</definedName>
    <definedName name="jkl" hidden="1">{TRUE,TRUE,-1.25,-15.5,604.5,369,FALSE,FALSE,TRUE,TRUE,0,1,83,1,38,4,5,4,TRUE,TRUE,3,TRUE,1,TRUE,75,"Swvu.inputs._.raw._.data.","ACwvu.inputs._.raw._.data.",#N/A,FALSE,FALSE,0.5,0.5,0.5,0.5,2,"&amp;F","&amp;A&amp;RPage &amp;P",FALSE,FALSE,FALSE,FALSE,1,60,#N/A,#N/A,"=R1C61:R53C89","=C1:C5",#N/A,#N/A,FALSE,FALSE,FALSE,1,600,600,FALSE,FALSE,TRUE,TRUE,TRUE}</definedName>
    <definedName name="JR_LAST_YEAR">#REF!</definedName>
    <definedName name="JR_REPORT_YEAR">#REF!</definedName>
    <definedName name="JR_YEAR_B4_LAST">#REF!</definedName>
    <definedName name="JR_YEAR_B5_LAST">#REF!</definedName>
    <definedName name="K_Decimal">#REF!</definedName>
    <definedName name="K10W1_CO">#REF!</definedName>
    <definedName name="K10W1_REP">#REF!</definedName>
    <definedName name="K10W1BLANK">#REF!</definedName>
    <definedName name="K10W1INVAL">#REF!</definedName>
    <definedName name="K10W1VAL">#REF!</definedName>
    <definedName name="K10W2_CO">#REF!</definedName>
    <definedName name="K10W2_REP">#REF!</definedName>
    <definedName name="K10W2BLANK">#REF!</definedName>
    <definedName name="K10W2INVAL">#REF!</definedName>
    <definedName name="K18_CO">'[27]Table 6'!#REF!</definedName>
    <definedName name="K18_REP">'[27]Table 6'!#REF!</definedName>
    <definedName name="K18B_DDE">'[27]Table 6'!#REF!</definedName>
    <definedName name="K19W_CO">#REF!</definedName>
    <definedName name="K19W_REP">#REF!</definedName>
    <definedName name="K19WA_DDE">#REF!</definedName>
    <definedName name="K19WBLANK">#REF!</definedName>
    <definedName name="K19WINVAL">#REF!</definedName>
    <definedName name="K19WVAL">#REF!</definedName>
    <definedName name="kkk"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SIterationHeading">#REF!</definedName>
    <definedName name="KSolveIteration">#REF!</definedName>
    <definedName name="LAST_YEAR">#REF!</definedName>
    <definedName name="LastCodeRowRef">#REF!</definedName>
    <definedName name="Leakage_Average_Time_to_Start">OFFSET(OFFSET([14]Data!$C$13,0,[14]Data!$B$34,1,1),0,0,1,12)</definedName>
    <definedName name="Leakage_Number_Raised">OFFSET(OFFSET([14]Data!$C$10,0,[14]Data!$B$34,1,1),0,0,1,12)</definedName>
    <definedName name="Leakage_Open_Jobs">OFFSET(OFFSET([14]Data!$C$14,0,[14]Data!$B$34,1,1),0,0,1,12)</definedName>
    <definedName name="Leakage_Total_Closed">OFFSET(OFFSET([14]Data!$C$11,0,[14]Data!$B$34,1,1),0,0,1,12)</definedName>
    <definedName name="LEAKGO">#REF!</definedName>
    <definedName name="LEAKLIST">#REF!</definedName>
    <definedName name="LER">#REF!</definedName>
    <definedName name="LETTER">#REF!</definedName>
    <definedName name="Liq_First">#REF!</definedName>
    <definedName name="Liq_Plus">#REF!</definedName>
    <definedName name="LOW_HIGH">#REF!</definedName>
    <definedName name="LVREC">#REF!</definedName>
    <definedName name="matt" hidden="1">{"C3-RegView   Board Report Data",#N/A,FALSE,"C3-RegView"}</definedName>
    <definedName name="matt1" hidden="1">{"K1-Overview1",#N/A,FALSE,"K1-Overview";"K1-Overview2",#N/A,FALSE,"K1-Overview";"K1-Overview3 BUD &amp; CUR",#N/A,FALSE,"K1-Overview"}</definedName>
    <definedName name="matt10" hidden="1">{"C3-RegView   Board Report Data",#N/A,FALSE,"C3-RegView"}</definedName>
    <definedName name="matt100" hidden="1">{#N/A,#N/A,FALSE,"D9-NWWG";#N/A,#N/A,FALSE,"F2-WMG";#N/A,#N/A,FALSE,"F3-WWMG"}</definedName>
    <definedName name="matt101" hidden="1">{"A3-DivDirNWW_ClosedView",#N/A,FALSE,"A3-DivDirNWW";#N/A,#N/A,FALSE,"A4-DivDirNWW";#N/A,#N/A,FALSE,"B1-Co&amp;RegSum";#N/A,#N/A,FALSE,"C5-NWWRegView";#N/A,#N/A,FALSE,"H2-DivDirs2";#N/A,#N/A,FALSE,"C4-NorPro"}</definedName>
    <definedName name="matt102" hidden="1">{"K1-Overview1",#N/A,FALSE,"K1-Overview";"K1-Overview2",#N/A,FALSE,"K1-Overview";"K1-Overview3 BUD &amp; CUR",#N/A,FALSE,"K1-Overview"}</definedName>
    <definedName name="matt103" hidden="1">{"C3-RegView   Board Report Data",#N/A,FALSE,"C3-RegView"}</definedName>
    <definedName name="matt104" hidden="1">{"Segment Report",#N/A,FALSE,"Reports"}</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hidden="1">{#N/A,#N/A,FALSE,"D9-NWWG";#N/A,#N/A,FALSE,"F2-WMG";#N/A,#N/A,FALSE,"F3-WWMG"}</definedName>
    <definedName name="matt13" hidden="1">{"A3-DivDirNWW_ClosedView",#N/A,FALSE,"A3-DivDirNWW";#N/A,#N/A,FALSE,"A4-DivDirNWW";#N/A,#N/A,FALSE,"B1-Co&amp;RegSum";#N/A,#N/A,FALSE,"C5-NWWRegView";#N/A,#N/A,FALSE,"H2-DivDirs2";#N/A,#N/A,FALSE,"C4-NorPro"}</definedName>
    <definedName name="matt14" hidden="1">{"K1-Overview1",#N/A,FALSE,"K1-Overview";"K1-Overview2",#N/A,FALSE,"K1-Overview";"K1-Overview3 BUD &amp; CUR",#N/A,FALSE,"K1-Overview"}</definedName>
    <definedName name="matt15" hidden="1">{"C3-RegView   Board Report Data",#N/A,FALSE,"C3-RegView"}</definedName>
    <definedName name="matt16" hidden="1">{"Segment Report",#N/A,FALSE,"Reports"}</definedName>
    <definedName name="matt2" hidden="1">{"C3-RegView   Board Report Data",#N/A,FALSE,"C3-RegView"}</definedName>
    <definedName name="matt3" hidden="1">{"Segment Report",#N/A,FALSE,"Reports"}</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hidden="1">{"Segment Report",#N/A,FALSE,"Reports"}</definedName>
    <definedName name="MATT502" hidden="1">{"Segment Report",#N/A,FALSE,"Reports"}</definedName>
    <definedName name="MATT503" hidden="1">{"Segment Report",#N/A,FALSE,"Reports"}</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easure.Waste">'[25]Input Nominal'!$J$806:$S$806</definedName>
    <definedName name="Measure.Water">'[25]Input Nominal'!$J$804:$S$804</definedName>
    <definedName name="MEMO">#REF!</definedName>
    <definedName name="Metered.Customers">'[25]Input Nominal'!$J$808:$S$808</definedName>
    <definedName name="Month">#REF!</definedName>
    <definedName name="Months">OFFSET(OFFSET([14]Data!$C$2,0,[14]Data!$B$34,1,1),0,0,1,12)</definedName>
    <definedName name="Months_Limited">OFFSET(OFFSET(#REF!,0,#REF!,1,1),0,0,1,#REF!)</definedName>
    <definedName name="MonthsLim">OFFSET(OFFSET([14]Data!$C$2,0,[14]Data!$B$34,1,1),0,0,1,[14]Data!$B$33)</definedName>
    <definedName name="name_ccno">#REF!</definedName>
    <definedName name="name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NES">Input!$C$54:$O$77</definedName>
    <definedName name="N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cell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newcell3" hidden="1">{#N/A,#N/A,TRUE,"DCF Summary";#N/A,#N/A,TRUE,"Casema";#N/A,#N/A,TRUE,"UK";#N/A,#N/A,TRUE,"RCF";#N/A,#N/A,TRUE,"Intercable CZ";#N/A,#N/A,TRUE,"Interkabel P";#N/A,#N/A,TRUE,"LBO-Total";#N/A,#N/A,TRUE,"LBO-Casema"}</definedName>
    <definedName name="newcell4" hidden="1">{#N/A,#N/A,FALSE,"DCF Summary";#N/A,#N/A,FALSE,"Casema";#N/A,#N/A,FALSE,"Casema NoTel";#N/A,#N/A,FALSE,"UK";#N/A,#N/A,FALSE,"RCF";#N/A,#N/A,FALSE,"Intercable CZ";#N/A,#N/A,FALSE,"Interkabel P"}</definedName>
    <definedName name="newcell5" hidden="1">{#N/A,#N/A,FALSE,"DCF Summary";#N/A,#N/A,FALSE,"Casema";#N/A,#N/A,FALSE,"Casema NoTel";#N/A,#N/A,FALSE,"UK";#N/A,#N/A,FALSE,"RCF";#N/A,#N/A,FALSE,"Intercable CZ";#N/A,#N/A,FALSE,"Interkabel P"}</definedName>
    <definedName name="newcell6" hidden="1">{#N/A,"DR",FALSE,"increm pf";#N/A,"MAMSI",FALSE,"increm pf";#N/A,"MAXI",FALSE,"increm pf";#N/A,"PCAM",FALSE,"increm pf";#N/A,"PHSV",FALSE,"increm pf";#N/A,"SIE",FALSE,"increm pf"}</definedName>
    <definedName name="newcell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NI">'[28]NI-per prints'!$A$7:$N$130</definedName>
    <definedName name="Northumbrian">'New costs and adjustments'!$B$74:$O$87</definedName>
    <definedName name="Notional">#REF!</definedName>
    <definedName name="Number_Raised">OFFSET(OFFSET([14]Data!$C$3,0,[14]Data!$B$34,1,1),0,0,1,12)</definedName>
    <definedName name="NWT">Input!$C$174:$O$197</definedName>
    <definedName name="Open_Jobs">OFFSET(OFFSET([14]Data!$C$7,0,[14]Data!$B$34,1,1),0,0,1,12)</definedName>
    <definedName name="OpexInputs">"Input!$T$2:$AF$2"</definedName>
    <definedName name="Org_No">#REF!</definedName>
    <definedName name="Original_budgets">#REF!</definedName>
    <definedName name="OVER_STAT_LIT">#REF!</definedName>
    <definedName name="P3eReportData">[29]report!$A$4:$U$7145</definedName>
    <definedName name="Pension">'[28]Pens-per prints'!$A$7:$N$129</definedName>
    <definedName name="people_orgapr00">#REF!</definedName>
    <definedName name="Planned">#REF!</definedName>
    <definedName name="PolicyAssumptionName">#REF!</definedName>
    <definedName name="Portsmouth">'New costs and adjustments'!$B$228:$O$241</definedName>
    <definedName name="Pres" hidden="1">{#N/A,#N/A,TRUE,"Cover sheet";#N/A,#N/A,TRUE,"Summary";#N/A,#N/A,TRUE,"Key Assumptions";#N/A,#N/A,TRUE,"Profit &amp; Loss";#N/A,#N/A,TRUE,"Balance Sheet";#N/A,#N/A,TRUE,"Cashflow";#N/A,#N/A,TRUE,"IRR";#N/A,#N/A,TRUE,"Ratios";#N/A,#N/A,TRUE,"Debt analysis"}</definedName>
    <definedName name="PriceBaseCurrency">#REF!</definedName>
    <definedName name="PriceBaseFinancialYears">#REF!</definedName>
    <definedName name="PriceBaseType">#REF!</definedName>
    <definedName name="PriceBaseYearAndMonth">#REF!</definedName>
    <definedName name="PricingType">#REF!</definedName>
    <definedName name="_xlnm.Print_Area" localSheetId="9">'Price setting'!$A$1:$M$657</definedName>
    <definedName name="_xlnm.Print_Area">#REF!</definedName>
    <definedName name="PRNT_1.029" hidden="1">'[24]Principal Statement 05'!$B$66:$T$68</definedName>
    <definedName name="PRNT_1.047" hidden="1">'[24]Principal Statement 05'!$B$70:$T$78</definedName>
    <definedName name="PRNT_1.055" hidden="1">'[24]Principal Statement 05'!$B$80:$T$82</definedName>
    <definedName name="PRNT_1.057" hidden="1">'[24]Principal Statement 05'!$B$84:$T$86</definedName>
    <definedName name="PRNT_1.059" hidden="1">'[24]Principal Statement 05'!$B$88:$T$122</definedName>
    <definedName name="PRNT_1.093" hidden="1">'[24]Principal Statement 05'!$B$124:$T$182</definedName>
    <definedName name="PRNT_1.094" hidden="1">'[24]Principal Statement 05'!$B$126:$T$134</definedName>
    <definedName name="PRNT_1.102" hidden="1">'[24]Principal Statement 05'!$B$136:$T$157</definedName>
    <definedName name="PRNT_1.123" hidden="1">'[24]Principal Statement 05'!$B$159:$T$181</definedName>
    <definedName name="PRNT_1.145" hidden="1">'[24]Principal Statement 05'!$B$184:$T$200</definedName>
    <definedName name="PRNT_1.146" hidden="1">'[24]Principal Statement 05'!$B$186:$T$199</definedName>
    <definedName name="PRNT_1.159" hidden="1">'[24]Principal Statement 05'!$B$202:$T$208</definedName>
    <definedName name="PRNT_1.16" hidden="1">'[24]Principal Statement 05'!$B$204:$T$207</definedName>
    <definedName name="PRNT_1.163" hidden="1">'[24]Principal Statement 05'!$B$210:$T$214</definedName>
    <definedName name="PRNT_1.167" hidden="1">'[24]Principal Statement 05'!$B$216:$T$220</definedName>
    <definedName name="PRNT_1.191" hidden="1">'[24]Principal Statement 05'!$B$222:$T$224</definedName>
    <definedName name="PRNT_1.193" hidden="1">'[24]Principal Statement 05'!$B$232:$T$284</definedName>
    <definedName name="PRNT_2.033" hidden="1">'[24]Principal Statement 05'!$B$293:$T$300</definedName>
    <definedName name="PRNT_2.04" hidden="1">'[24]Principal Statement 05'!$B$303:$T$321</definedName>
    <definedName name="PRNT_2.041" hidden="1">'[24]Principal Statement 05'!$B$305:$T$306</definedName>
    <definedName name="PRNT_2.055" hidden="1">'[24]Principal Statement 05'!$B$308:$T$317</definedName>
    <definedName name="PRNT_2.064" hidden="1">'[24]Principal Statement 05'!$B$319:$T$320</definedName>
    <definedName name="PRNT_2.074" hidden="1">'[24]Principal Statement 05'!$B$323:$T$349</definedName>
    <definedName name="PRNT_2.1" hidden="1">'[24]Principal Statement 05'!$B$351:$T$353</definedName>
    <definedName name="PRNT_2.102" hidden="1">'[24]Principal Statement 05'!$B$355:$T$357</definedName>
    <definedName name="PRNT_2.104" hidden="1">'[24]Principal Statement 05'!$B$359:$T$392</definedName>
    <definedName name="PRNT_2.105" hidden="1">'[24]Principal Statement 05'!$B$361:$T$379</definedName>
    <definedName name="PRNT_2.123" hidden="1">'[24]Principal Statement 05'!$B$381:$T$391</definedName>
    <definedName name="PRNT_2.133" hidden="1">'[24]Principal Statement 05'!$B$394:$T$398</definedName>
    <definedName name="PRNT_2.134" hidden="1">'[24]Principal Statement 05'!$B$396:$T$397</definedName>
    <definedName name="PRNT_2.135" hidden="1">'[24]Principal Statement 05'!$B$400:$T$406</definedName>
    <definedName name="PRNT_2.141" hidden="1">'[24]Principal Statement 05'!$B$408:$T$422</definedName>
    <definedName name="PRNT_2.142" hidden="1">'[24]Principal Statement 05'!$B$410:$T$413</definedName>
    <definedName name="PRNT_2.175" hidden="1">'[24]Principal Statement 05'!$B$415:$T$421</definedName>
    <definedName name="PRNT_2.181" hidden="1">'[24]Principal Statement 05'!$B$424:$T$426</definedName>
    <definedName name="PRNT_2.183" hidden="1">'[24]Principal Statement 05'!$B$428:$T$480</definedName>
    <definedName name="PRNT_3.008" hidden="1">'[24]Principal Statement 05'!$B$493:$T$583</definedName>
    <definedName name="PRNT_3.098" hidden="1">'[24]Principal Statement 05'!$B$585:$T$602</definedName>
    <definedName name="PRNT_3.115" hidden="1">'[24]Principal Statement 05'!$B$604:$T$606</definedName>
    <definedName name="PRNT_3.117" hidden="1">'[24]Principal Statement 05'!$B$608:$T$620</definedName>
    <definedName name="PRNT_3.129" hidden="1">'[24]Principal Statement 05'!$B$623:$T$708</definedName>
    <definedName name="PRNT_3.13" hidden="1">'[24]Principal Statement 05'!$B$625:$T$703</definedName>
    <definedName name="PRNT_3.208" hidden="1">'[24]Principal Statement 05'!$B$710:$T$724</definedName>
    <definedName name="PRNT_3.222" hidden="1">'[24]Principal Statement 05'!$B$726:$T$727</definedName>
    <definedName name="PRNT_3.223" hidden="1">'[24]Principal Statement 05'!$B$729:$T$731</definedName>
    <definedName name="PRNT_3.225" hidden="1">'[24]Principal Statement 05'!$B$733:$T$736</definedName>
    <definedName name="PRNT_3.228" hidden="1">'[24]Principal Statement 05'!$B$738:$T$790</definedName>
    <definedName name="PRNT_4.007" hidden="1">'[24]Principal Statement 05'!$B$801:$T$859</definedName>
    <definedName name="PRNT_4.06" hidden="1">'[24]Principal Statement 05'!$B$861:$T$873</definedName>
    <definedName name="PRNT_4.072" hidden="1">'[24]Principal Statement 05'!$B$880:$T$901</definedName>
    <definedName name="PRNT_4.093" hidden="1">'[24]Principal Statement 05'!$B$904:$T$943</definedName>
    <definedName name="PRNT_4.094" hidden="1">'[24]Principal Statement 05'!$B$906:$T$935</definedName>
    <definedName name="PRNT_4.123" hidden="1">'[24]Principal Statement 05'!$B$937:$T$942</definedName>
    <definedName name="PRNT_4.128" hidden="1">'[24]Principal Statement 05'!$B$945:$T$948</definedName>
    <definedName name="PRNT_4.132" hidden="1">'[24]Principal Statement 05'!$B$950:$T$953</definedName>
    <definedName name="PRNT_4.136" hidden="1">'[24]Principal Statement 05'!$B$955:$T$957</definedName>
    <definedName name="PRNT_4.139" hidden="1">'[24]Principal Statement 05'!$B$959:$T$977</definedName>
    <definedName name="PRNT_4.14" hidden="1">'[24]Principal Statement 05'!$B$961:$T$963</definedName>
    <definedName name="PRNT_4.142" hidden="1">'[24]Principal Statement 05'!$B$965:$T$973</definedName>
    <definedName name="PRNT_4.15" hidden="1">'[24]Principal Statement 05'!$B$975:$T$976</definedName>
    <definedName name="PRNT_4.151" hidden="1">'[24]Principal Statement 05'!$B$979:$T$1024</definedName>
    <definedName name="PRNT_4.152" hidden="1">'[24]Principal Statement 05'!$B$981:$T$985</definedName>
    <definedName name="PRNT_4.156" hidden="1">'[24]Principal Statement 05'!$B$987:$T$988</definedName>
    <definedName name="PRNT_4.157" hidden="1">'[24]Principal Statement 05'!$B$990:$T$1012</definedName>
    <definedName name="PRNT_4.179" hidden="1">'[24]Principal Statement 05'!$B$1026:$T$1031</definedName>
    <definedName name="PRNT_4.185" hidden="1">'[24]Principal Statement 05'!$B$1033:$T$1034</definedName>
    <definedName name="PRNT_4.187" hidden="1">'[24]Principal Statement 05'!$B$1037:$T$1039</definedName>
    <definedName name="PRNT_4.189" hidden="1">'[24]Principal Statement 05'!$B$1041:$T$1093</definedName>
    <definedName name="PRNT_5.034" hidden="1">'[24]Principal Statement 05'!$B$1131:$T$1142</definedName>
    <definedName name="PRNT_5.045" hidden="1">'[24]Principal Statement 05'!$B$1144:$T$1158</definedName>
    <definedName name="PRNT_5.046" hidden="1">'[24]Principal Statement 05'!$B$1146:$T$1151</definedName>
    <definedName name="PRNT_5.051" hidden="1">'[24]Principal Statement 05'!$B$1153:$T$1157</definedName>
    <definedName name="PRNT_5.055" hidden="1">'[24]Principal Statement 05'!$B$1160:$T$1163</definedName>
    <definedName name="PRNT_5.058" hidden="1">'[24]Principal Statement 05'!$B$1165:$T$1169</definedName>
    <definedName name="PRNT_5.062" hidden="1">'[24]Principal Statement 05'!$B$1171:$T$1180</definedName>
    <definedName name="PRNT_5.063" hidden="1">'[24]Principal Statement 05'!$B$1182:$T$1193</definedName>
    <definedName name="PRNT_5.074" hidden="1">'[24]Principal Statement 05'!$B$1195:$T$1198</definedName>
    <definedName name="PRNT_5.077" hidden="1">'[24]Principal Statement 05'!$B$1200:$T$1246</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T">Input!$C$342:$O$365</definedName>
    <definedName name="PRTCOUNT">#REF!</definedName>
    <definedName name="PRTEND">#REF!</definedName>
    <definedName name="PRTSTART">#REF!</definedName>
    <definedName name="PSETUP">#REF!</definedName>
    <definedName name="PTABLE">#REF!</definedName>
    <definedName name="Q" hidden="1">#REF!</definedName>
    <definedName name="range">#REF!</definedName>
    <definedName name="RANGE1">#REF!</definedName>
    <definedName name="RangeSelection">#REF!</definedName>
    <definedName name="Rebasing">'New cost and adjustments inputs'!$E$157</definedName>
    <definedName name="REPORT_YEAR">#REF!</definedName>
    <definedName name="RESULT">#REF!</definedName>
    <definedName name="RevenueAssumptions">#REF!</definedName>
    <definedName name="rg" hidden="1">{#N/A,#N/A,FALSE,"DCF EBITDA Multiple";#N/A,#N/A,FALSE,"DCF Perpetual Growth"}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s" hidden="1">{#N/A,#N/A,FALSE,"Aging Summary";#N/A,#N/A,FALSE,"Ratio Analysis";#N/A,#N/A,FALSE,"Test 120 Day Accts";#N/A,#N/A,FALSE,"Tickmarks"}</definedName>
    <definedName name="sa" hidden="1">[7]DATA!#REF!</definedName>
    <definedName name="Sale" hidden="1">#N/A</definedName>
    <definedName name="Sales" hidden="1">#N/A</definedName>
    <definedName name="sampling_waste_split">'[11]DCWW Direct Costs'!$AQ$19</definedName>
    <definedName name="SBW">Input!$C$366:$O$389</definedName>
    <definedName name="ScenarioName">#REF!</definedName>
    <definedName name="Schedule">#REF!</definedName>
    <definedName name="Schroders">#REF!</definedName>
    <definedName name="scientific_water_split">'[11]DCWW Direct Costs'!$AP$19</definedName>
    <definedName name="SD_Number">OFFSET(OFFSET([14]Data!$C$20,0,[14]Data!$B$34,1,1),0,0,1,12)</definedName>
    <definedName name="SD_Percent_All_Jobs">OFFSET(OFFSET([14]Data!$C$21,0,[14]Data!$B$34,1,1),0,0,1,[14]Data!$B$33)</definedName>
    <definedName name="sdg" hidden="1">{#N/A,#N/A,TRUE,"Lines";#N/A,#N/A,TRUE,"Stations";#N/A,#N/A,TRUE,"Cap. Expenses";#N/A,#N/A,TRUE,"Land";#N/A,#N/A,TRUE,"Cen Proces Sys";#N/A,#N/A,TRUE,"telecom";#N/A,#N/A,TRUE,"Other"}</definedName>
    <definedName name="sencount" hidden="1">1</definedName>
    <definedName name="SES">Input!$C$414:$O$437</definedName>
    <definedName name="Severity">#REF!</definedName>
    <definedName name="SevernTrent">'New costs and adjustments'!$B$88:$O$101</definedName>
    <definedName name="SEW">Input!$C$390:$O$413</definedName>
    <definedName name="SHEET2_VAL">#REF!</definedName>
    <definedName name="SIPSflag">[30]SIN!$AP$5:$AP$6</definedName>
    <definedName name="solver_lin" hidden="1">0</definedName>
    <definedName name="solver_num" hidden="1">0</definedName>
    <definedName name="solver_typ" hidden="1">3</definedName>
    <definedName name="solver_val" hidden="1">399732</definedName>
    <definedName name="SouthEast">'New costs and adjustments'!$B$256:$O$269</definedName>
    <definedName name="Southern">'New costs and adjustments'!$B$116:$O$129</definedName>
    <definedName name="Southwest">'New costs and adjustments'!$B$102:$O$115</definedName>
    <definedName name="SRN">Input!$C$126:$O$149</definedName>
    <definedName name="SSC">Input!$C$294:$O$317</definedName>
    <definedName name="SSSSS" hidden="1">{#N/A,#N/A,TRUE,"Cover sheet";#N/A,#N/A,TRUE,"Summary";#N/A,#N/A,TRUE,"Key Assumptions";#N/A,#N/A,TRUE,"Profit &amp; Loss";#N/A,#N/A,TRUE,"Balance Sheet";#N/A,#N/A,TRUE,"Cashflow";#N/A,#N/A,TRUE,"IRR";#N/A,#N/A,TRUE,"Ratios";#N/A,#N/A,TRUE,"Debt analysis"}</definedName>
    <definedName name="Staffs">'New costs and adjustments'!$B$270:$O$283</definedName>
    <definedName name="Stages">'[31]Project Reporting'!$AP$5:$AP$11</definedName>
    <definedName name="StartYearRef">#REF!</definedName>
    <definedName name="STAT_REP_COL">#REF!</definedName>
    <definedName name="stef" hidden="1">{#N/A,#N/A,TRUE,"Cover sheet";#N/A,#N/A,TRUE,"Summary";#N/A,#N/A,TRUE,"Key Assumptions";#N/A,#N/A,TRUE,"Profit &amp; Loss";#N/A,#N/A,TRUE,"Balance Sheet";#N/A,#N/A,TRUE,"Cashflow";#N/A,#N/A,TRUE,"IRR";#N/A,#N/A,TRUE,"Ratios";#N/A,#N/A,TRUE,"Debt analysis"}</definedName>
    <definedName name="strhg" hidden="1">{"C3-RegView   Board Report Data",#N/A,FALSE,"C3-RegView"}</definedName>
    <definedName name="StTyp">'[31]Project Reporting'!$AM$5:$AM$10</definedName>
    <definedName name="stuff"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SUBHEADF">[23]expheads!$D$2:$E$52</definedName>
    <definedName name="SuttonEastSurrey">'New costs and adjustments'!$B$284:$O$297</definedName>
    <definedName name="SVT">Input!$C$78:$O$101</definedName>
    <definedName name="SWT">Input!$C$102:$O$125</definedName>
    <definedName name="TAB_K19WV">#REF!</definedName>
    <definedName name="TABK10W1">#REF!</definedName>
    <definedName name="TABK10W1_DB">#REF!</definedName>
    <definedName name="TABK10W1V">#REF!</definedName>
    <definedName name="TABK10W2">#REF!</definedName>
    <definedName name="TABK10W2_DB">#REF!</definedName>
    <definedName name="TABK10W2V">#REF!</definedName>
    <definedName name="TABK19W">#REF!</definedName>
    <definedName name="TABK19W_DB">#REF!</definedName>
    <definedName name="TabKD3A">#REF!</definedName>
    <definedName name="TabKD3B">#REF!</definedName>
    <definedName name="TabKD3E">#REF!</definedName>
    <definedName name="TABKD4W">#REF!</definedName>
    <definedName name="TabKD5A.1">#REF!</definedName>
    <definedName name="TabKD5A.2">#REF!</definedName>
    <definedName name="TABLE_SUM">#REF!</definedName>
    <definedName name="TABLE0">#REF!</definedName>
    <definedName name="TABLE11">#REF!</definedName>
    <definedName name="TABLE13">#REF!</definedName>
    <definedName name="TABLE14">#REF!</definedName>
    <definedName name="TABLE15">#REF!</definedName>
    <definedName name="TABLE16">#REF!</definedName>
    <definedName name="TABLE17">#REF!</definedName>
    <definedName name="Table2">#REF!</definedName>
    <definedName name="TABLE22">#REF!</definedName>
    <definedName name="TABLE3">#REF!</definedName>
    <definedName name="TABLE32">#REF!</definedName>
    <definedName name="TABLE32A">#REF!</definedName>
    <definedName name="TABLE35">#REF!</definedName>
    <definedName name="TABLE35B">#REF!</definedName>
    <definedName name="TABLE36">#REF!</definedName>
    <definedName name="TABLE36A">#REF!</definedName>
    <definedName name="TABLE36B">#REF!</definedName>
    <definedName name="TABLE37">#REF!</definedName>
    <definedName name="TABLE38">#REF!</definedName>
    <definedName name="TABLE41">#REF!</definedName>
    <definedName name="TABLE41TOTALS">#REF!</definedName>
    <definedName name="TABLE9">#REF!</definedName>
    <definedName name="TABLEKD4W">#REF!</definedName>
    <definedName name="TABLEREF">#REF!</definedName>
    <definedName name="TABLESUM">#REF!</definedName>
    <definedName name="Task_Number">#REF!</definedName>
    <definedName name="TASKNUMBERS">#REF!</definedName>
    <definedName name="TAXHP4">#REF!</definedName>
    <definedName name="test" localSheetId="10">#REF!</definedName>
    <definedName name="test" localSheetId="2">#REF!</definedName>
    <definedName name="test">#REF!</definedName>
    <definedName name="TEST1">#REF!</definedName>
    <definedName name="TESTHKEY">#REF!</definedName>
    <definedName name="TESTKEYS">#REF!</definedName>
    <definedName name="TESTVKEY">#REF!</definedName>
    <definedName name="Text_5">#REF!</definedName>
    <definedName name="Thames">'New costs and adjustments'!$B$130:$O$143</definedName>
    <definedName name="TITLES">#REF!</definedName>
    <definedName name="TMS">Input!$C$150:$O$173</definedName>
    <definedName name="TOC_Hdg_3" hidden="1">[32]Checks_BO!$B$7</definedName>
    <definedName name="TOC_Hdg_4" hidden="1">[32]Checks_BO!$B$25</definedName>
    <definedName name="TOC_Hdg_5" hidden="1">[32]Checks_BO!$B$41</definedName>
    <definedName name="Total_Closed">OFFSET(OFFSET([14]Data!$C$4,0,[14]Data!$B$34,1,1),0,0,1,12)</definedName>
    <definedName name="Tracey">'[11]DCWW Direct Costs'!$AL$17</definedName>
    <definedName name="treeList" hidden="1">"10000000000000000000000000000000000000000000000000000000000000000000000000000000000000000000000000000000000000000000000000000000000000000000000000000000000000000000000000000000000000000000000000000000"</definedName>
    <definedName name="trevor" hidden="1">{TRUE,TRUE,-1.25,-15.5,604.5,369,FALSE,FALSE,TRUE,TRUE,0,1,83,1,38,4,5,4,TRUE,TRUE,3,TRUE,1,TRUE,75,"Swvu.inputs._.raw._.data.","ACwvu.inputs._.raw._.data.",#N/A,FALSE,FALSE,0.5,0.5,0.5,0.5,2,"&amp;F","&amp;A&amp;RPage &amp;P",FALSE,FALSE,FALSE,FALSE,1,60,#N/A,#N/A,"=R1C61:R53C89","=C1:C5",#N/A,#N/A,FALSE,FALSE,FALSE,1,600,600,FALSE,FALSE,TRUE,TRUE,TRUE}</definedName>
    <definedName name="TSheet">#REF!+#REF!</definedName>
    <definedName name="TypeCo">#REF!</definedName>
    <definedName name="ugacc">[13]AJ!$D$47:$E$54</definedName>
    <definedName name="UnitedUtilities">'New costs and adjustments'!$B$144:$O$157</definedName>
    <definedName name="Unmeasure.Waste">'[25]Input Nominal'!$J$805:$S$805</definedName>
    <definedName name="Unmeasure.Water">'[25]Input Nominal'!$J$803:$S$803</definedName>
    <definedName name="Unmetered.Customers">'[25]Input Nominal'!$J$807:$S$807</definedName>
    <definedName name="USAGECOSTCENTRES">#REF!</definedName>
    <definedName name="UserName">#REF!</definedName>
    <definedName name="UserRole">#REF!</definedName>
    <definedName name="VAL_LIST" hidden="1">[24]Data!$F$3:$F$19</definedName>
    <definedName name="ValYear">[33]Assumptions!$B$6</definedName>
    <definedName name="Veolia">'[11]DCWW Direct Costs'!$AE$17</definedName>
    <definedName name="vvvv" hidden="1">{#N/A,#N/A,FALSE,"D9-NWWG";#N/A,#N/A,FALSE,"F2-WMG";#N/A,#N/A,FALSE,"F3-WWMG"}</definedName>
    <definedName name="vwcoa">'[12]VEOLIA DETAIL ACC'!$A$1:$D$1400</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elsh">'New costs and adjustments'!$B$60:$O$73</definedName>
    <definedName name="Wessex">'New costs and adjustments'!$B$158:$O$171</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hidden="1">{#N/A,#N/A,FALSE,"D9-NWWG";#N/A,#N/A,FALSE,"F2-WMG";#N/A,#N/A,FALSE,"F3-WWMG"}</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c.._.PK._.Finance." hidden="1">{"A3-DivDirNWW_ClosedView",#N/A,FALSE,"A3-DivDirNWW";#N/A,#N/A,FALSE,"A4-DivDirNWW";#N/A,#N/A,FALSE,"B1-Co&amp;RegSum";#N/A,#N/A,FALSE,"C5-NWWRegView";#N/A,#N/A,FALSE,"H2-DivDirs2";#N/A,#N/A,FALSE,"C4-NorPro"}</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Debt._.Movement._.Report."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GMC._.02_03." hidden="1">{"P&amp;L rec",#N/A,FALSE,"Sheet1";"Proposed recharges",#N/A,FALSE,"Sheet1"}</definedName>
    <definedName name="wrn.h.._.Overview._.Summary." hidden="1">{"K1-Overview1",#N/A,FALSE,"K1-Overview";"K1-Overview2",#N/A,FALSE,"K1-Overview";"K1-Overview3 BUD &amp; CUR",#N/A,FALSE,"K1-Overview"}</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_.NWW._.Board._.Report._.Data." hidden="1">{"C3-RegView   Board Report Data",#N/A,FALSE,"C3-RegView"}</definedName>
    <definedName name="wrn.INTEREST._.MODEL." hidden="1">{#N/A,#N/A,FALSE,"End Cash";#N/A,#N/A,FALSE,"AVG";#N/A,#N/A,FALSE,"Adj to Avg";#N/A,#N/A,FALSE,"Adjusted Average";#N/A,#N/A,FALSE,"Rates";#N/A,#N/A,FALSE,"P&amp;L Interest";#N/A,#N/A,FALSE,"Cash Interest"}</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lacement._.Cost." hidden="1">{#N/A,#N/A,TRUE,"Cover Repl";#N/A,#N/A,TRUE,"P&amp;L";#N/A,#N/A,TRUE,"P&amp;L (2)";#N/A,#N/A,TRUE,"BS";#N/A,#N/A,TRUE,"Depreciation";#N/A,#N/A,TRUE,"GRAPHS";#N/A,#N/A,TRUE,"DCF EBITDA Multiple";#N/A,#N/A,TRUE,"DCF Perpetual Growth"}</definedName>
    <definedName name="wrn.Segment._.Report." hidden="1">{"Segment Report",#N/A,FALSE,"Reports"}</definedName>
    <definedName name="wrn.Umeasured._.Segmentation." hidden="1">{"Unmeasured Segmentation",#N/A,FALSE,"A"}</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olume._.Trends." hidden="1">{"Volume Trends",#N/A,FALSE,"A"}</definedName>
    <definedName name="wrn.wpapers." hidden="1">{"bal",#N/A,FALSE,"working papers";"income",#N/A,FALSE,"working papers"}</definedName>
    <definedName name="WSH">Input!$C$30:$O$53</definedName>
    <definedName name="WSX">Input!$C$198:$O$221</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L_DEFAULTS" hidden="1">[24]Data!$A$21:$A$57</definedName>
    <definedName name="xxx"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xx">#REF!</definedName>
    <definedName name="xxxxxx">#REF!</definedName>
    <definedName name="yard">[30]WIN!$AQ$5:$AQ$33</definedName>
    <definedName name="YEAR_B4_LAST">#REF!</definedName>
    <definedName name="YEAR_B4B4_LAST">#REF!</definedName>
    <definedName name="YEAR_B5_LAST">#REF!</definedName>
    <definedName name="YEAR2010">'[3]2010'!$A$6:$L$55</definedName>
    <definedName name="YEAR2011">'[3]2010'!#REF!</definedName>
    <definedName name="YEAR2012">'[3]2010'!#REF!</definedName>
    <definedName name="YEAR2013">'[3]2010'!#REF!</definedName>
    <definedName name="YEAR2014">'[3]2010'!#REF!</definedName>
    <definedName name="Years_2ndSummary__CR">#REF!</definedName>
    <definedName name="Years_2ndSummary__CR_Total">#REF!</definedName>
    <definedName name="Years_2ndSummary__DR">#REF!</definedName>
    <definedName name="Years_2ndSummary__DR_Total">#REF!</definedName>
    <definedName name="Years_2ndSummary_AG_CR">#REF!</definedName>
    <definedName name="Years_2ndSummary_AG_CR_Total">#REF!</definedName>
    <definedName name="Years_2ndSummary_AG_DR">#REF!</definedName>
    <definedName name="Years_2ndSummary_AG_DR_Total">#REF!</definedName>
    <definedName name="Years_2ndSummary_BH_CR">#REF!</definedName>
    <definedName name="Years_2ndSummary_BH_CR_Total">#REF!</definedName>
    <definedName name="Years_2ndSummary_BH_DR">#REF!</definedName>
    <definedName name="Years_2ndSummary_BH_DR_Total">#REF!</definedName>
    <definedName name="Years_2ndSummary_CI_CR">#REF!</definedName>
    <definedName name="Years_2ndSummary_CI_CR_Total">#REF!</definedName>
    <definedName name="Years_2ndSummary_CI_DR">#REF!</definedName>
    <definedName name="Years_2ndSummary_CI_DR_Total">#REF!</definedName>
    <definedName name="Years_2ndSummary_D_CR">#REF!</definedName>
    <definedName name="Years_2ndSummary_D_CR_Total">#REF!</definedName>
    <definedName name="Years_2ndSummary_D_DR">#REF!</definedName>
    <definedName name="Years_2ndSummary_D_DR_Total">#REF!</definedName>
    <definedName name="Years_2ndSummary_E_CR">#REF!</definedName>
    <definedName name="Years_2ndSummary_E_CR_Total">#REF!</definedName>
    <definedName name="Years_2ndSummary_E_DR">#REF!</definedName>
    <definedName name="Years_2ndSummary_E_DR_Total">#REF!</definedName>
    <definedName name="Years_2ndSummary_F_CR">#REF!</definedName>
    <definedName name="Years_2ndSummary_F_CR_Total">#REF!</definedName>
    <definedName name="Years_2ndSummary_F_DR">#REF!</definedName>
    <definedName name="Years_2ndSummary_F_DR_Total">#REF!</definedName>
    <definedName name="Years_2ndSummary_Z1_CR">#REF!</definedName>
    <definedName name="Years_2ndSummary_Z1_CR_Total">#REF!</definedName>
    <definedName name="Years_2ndSummary_Z1_DR">#REF!</definedName>
    <definedName name="Years_2ndSummary_Z1_DR_Total">#REF!</definedName>
    <definedName name="Years_2ndSummary_Z2_CR">#REF!</definedName>
    <definedName name="Years_2ndSummary_Z2_CR_Total">#REF!</definedName>
    <definedName name="Years_2ndSummary_Z2_DR">#REF!</definedName>
    <definedName name="Years_2ndSummary_Z2_DR_Total">#REF!</definedName>
    <definedName name="Years_2ndSummary_Z3_CR">#REF!</definedName>
    <definedName name="Years_2ndSummary_Z3_CR_Total">#REF!</definedName>
    <definedName name="Years_2ndSummary_Z3_DR">#REF!</definedName>
    <definedName name="Years_2ndSummary_Z3_DR_Total">#REF!</definedName>
    <definedName name="Years_2ndSummary_Z5_CR">#REF!</definedName>
    <definedName name="Years_2ndSummary_Z5_CR_Total">#REF!</definedName>
    <definedName name="Years_2ndSummary_Z5_DR">#REF!</definedName>
    <definedName name="Years_2ndSummary_Z5_DR_Total">#REF!</definedName>
    <definedName name="Years_2ndSummary_Z6_CR">#REF!</definedName>
    <definedName name="Years_2ndSummary_Z6_CR_Total">#REF!</definedName>
    <definedName name="Years_2ndSummary_Z6_DR">#REF!</definedName>
    <definedName name="Years_2ndSummary_Z6_DR_Total">#REF!</definedName>
    <definedName name="Years_2ndSummary_Z7_DR">#REF!</definedName>
    <definedName name="Years_2ndSummary_Z7_DR_Total">#REF!</definedName>
    <definedName name="Years_3rdSummary__CR">#REF!</definedName>
    <definedName name="Years_3rdSummary__CR_Total">#REF!</definedName>
    <definedName name="Years_3rdSummary__DR">#REF!</definedName>
    <definedName name="Years_3rdSummary__DR_Total">#REF!</definedName>
    <definedName name="Years_3rdSummary_AG_CR">#REF!</definedName>
    <definedName name="Years_3rdSummary_AG_CR_Total">#REF!</definedName>
    <definedName name="Years_3rdSummary_AG_DR">#REF!</definedName>
    <definedName name="Years_3rdSummary_AG_DR_Total">#REF!</definedName>
    <definedName name="Years_3rdSummary_BH_CR">#REF!</definedName>
    <definedName name="Years_3rdSummary_BH_CR_Total">#REF!</definedName>
    <definedName name="Years_3rdSummary_BH_DR">#REF!</definedName>
    <definedName name="Years_3rdSummary_BH_DR_Total">#REF!</definedName>
    <definedName name="Years_3rdSummary_CI_CR">#REF!</definedName>
    <definedName name="Years_3rdSummary_CI_CR_Total">#REF!</definedName>
    <definedName name="Years_3rdSummary_CI_DR">#REF!</definedName>
    <definedName name="Years_3rdSummary_CI_DR_Total">#REF!</definedName>
    <definedName name="Years_3rdSummary_D_CR">#REF!</definedName>
    <definedName name="Years_3rdSummary_D_CR_Total">#REF!</definedName>
    <definedName name="Years_3rdSummary_D_DR">#REF!</definedName>
    <definedName name="Years_3rdSummary_D_DR_Total">#REF!</definedName>
    <definedName name="Years_3rdSummary_E_CR">#REF!</definedName>
    <definedName name="Years_3rdSummary_E_CR_Total">#REF!</definedName>
    <definedName name="Years_3rdSummary_E_DR">#REF!</definedName>
    <definedName name="Years_3rdSummary_E_DR_Total">#REF!</definedName>
    <definedName name="Years_3rdSummary_F_CR">#REF!</definedName>
    <definedName name="Years_3rdSummary_F_CR_Total">#REF!</definedName>
    <definedName name="Years_3rdSummary_F_DR">#REF!</definedName>
    <definedName name="Years_3rdSummary_F_DR_Total">#REF!</definedName>
    <definedName name="Years_3rdSummary_Z1_CR">#REF!</definedName>
    <definedName name="Years_3rdSummary_Z1_CR_Total">#REF!</definedName>
    <definedName name="Years_3rdSummary_Z1_DR">#REF!</definedName>
    <definedName name="Years_3rdSummary_Z1_DR_Total">#REF!</definedName>
    <definedName name="Years_3rdSummary_Z2_CR">#REF!</definedName>
    <definedName name="Years_3rdSummary_Z2_CR_Total">#REF!</definedName>
    <definedName name="Years_3rdSummary_Z2_DR">#REF!</definedName>
    <definedName name="Years_3rdSummary_Z2_DR_Total">#REF!</definedName>
    <definedName name="Years_3rdSummary_Z3_CR">#REF!</definedName>
    <definedName name="Years_3rdSummary_Z3_CR_Total">#REF!</definedName>
    <definedName name="Years_3rdSummary_Z3_DR">#REF!</definedName>
    <definedName name="Years_3rdSummary_Z3_DR_Total">#REF!</definedName>
    <definedName name="Years_3rdSummary_Z5_CR">#REF!</definedName>
    <definedName name="Years_3rdSummary_Z5_CR_Total">#REF!</definedName>
    <definedName name="Years_3rdSummary_Z5_DR">#REF!</definedName>
    <definedName name="Years_3rdSummary_Z5_DR_Total">#REF!</definedName>
    <definedName name="Years_3rdSummary_Z6_CR">#REF!</definedName>
    <definedName name="Years_3rdSummary_Z6_CR_Total">#REF!</definedName>
    <definedName name="Years_3rdSummary_Z6_DR">#REF!</definedName>
    <definedName name="Years_3rdSummary_Z6_DR_Total">#REF!</definedName>
    <definedName name="Years_3rdSummary_Z7_DR">#REF!</definedName>
    <definedName name="Years_3rdSummary_Z7_DR_Total">#REF!</definedName>
    <definedName name="Years_4thSummary__CR">#REF!</definedName>
    <definedName name="Years_4thSummary__CR_Total">#REF!</definedName>
    <definedName name="Years_4thSummary__DR">#REF!</definedName>
    <definedName name="Years_4thSummary__DR_Total">#REF!</definedName>
    <definedName name="Years_4thSummary_AG_CR">#REF!</definedName>
    <definedName name="Years_4thSummary_AG_CR_Total">#REF!</definedName>
    <definedName name="Years_4thSummary_AG_DR">#REF!</definedName>
    <definedName name="Years_4thSummary_AG_DR_Total">#REF!</definedName>
    <definedName name="Years_4thSummary_BH_CR">#REF!</definedName>
    <definedName name="Years_4thSummary_BH_CR_Total">#REF!</definedName>
    <definedName name="Years_4thSummary_BH_DR">#REF!</definedName>
    <definedName name="Years_4thSummary_BH_DR_Total">#REF!</definedName>
    <definedName name="Years_4thSummary_CI_CR">#REF!</definedName>
    <definedName name="Years_4thSummary_CI_CR_Total">#REF!</definedName>
    <definedName name="Years_4thSummary_CI_DR">#REF!</definedName>
    <definedName name="Years_4thSummary_CI_DR_Total">#REF!</definedName>
    <definedName name="Years_4thSummary_D_CR">#REF!</definedName>
    <definedName name="Years_4thSummary_D_CR_Total">#REF!</definedName>
    <definedName name="Years_4thSummary_D_DR">#REF!</definedName>
    <definedName name="Years_4thSummary_D_DR_Total">#REF!</definedName>
    <definedName name="Years_4thSummary_E_CR">#REF!</definedName>
    <definedName name="Years_4thSummary_E_CR_Total">#REF!</definedName>
    <definedName name="Years_4thSummary_E_DR">#REF!</definedName>
    <definedName name="Years_4thSummary_E_DR_Total">#REF!</definedName>
    <definedName name="Years_4thSummary_F_CR">#REF!</definedName>
    <definedName name="Years_4thSummary_F_CR_Total">#REF!</definedName>
    <definedName name="Years_4thSummary_F_DR">#REF!</definedName>
    <definedName name="Years_4thSummary_F_DR_Total">#REF!</definedName>
    <definedName name="Years_4thSummary_Z1_CR">#REF!</definedName>
    <definedName name="Years_4thSummary_Z1_CR_Total">#REF!</definedName>
    <definedName name="Years_4thSummary_Z1_DR">#REF!</definedName>
    <definedName name="Years_4thSummary_Z1_DR_Total">#REF!</definedName>
    <definedName name="Years_4thSummary_Z2_CR">#REF!</definedName>
    <definedName name="Years_4thSummary_Z2_CR_Total">#REF!</definedName>
    <definedName name="Years_4thSummary_Z2_DR">#REF!</definedName>
    <definedName name="Years_4thSummary_Z2_DR_Total">#REF!</definedName>
    <definedName name="Years_4thSummary_Z3_CR">#REF!</definedName>
    <definedName name="Years_4thSummary_Z3_CR_Total">#REF!</definedName>
    <definedName name="Years_4thSummary_Z3_DR">#REF!</definedName>
    <definedName name="Years_4thSummary_Z3_DR_Total">#REF!</definedName>
    <definedName name="Years_4thSummary_Z5_CR">#REF!</definedName>
    <definedName name="Years_4thSummary_Z5_CR_Total">#REF!</definedName>
    <definedName name="Years_4thSummary_Z5_DR">#REF!</definedName>
    <definedName name="Years_4thSummary_Z5_DR_Total">#REF!</definedName>
    <definedName name="Years_4thSummary_Z6_CR">#REF!</definedName>
    <definedName name="Years_4thSummary_Z6_CR_Total">#REF!</definedName>
    <definedName name="Years_4thSummary_Z6_DR">#REF!</definedName>
    <definedName name="Years_4thSummary_Z6_DR_Total">#REF!</definedName>
    <definedName name="Years_4thSummary_Z7_DR">#REF!</definedName>
    <definedName name="Years_4thSummary_Z7_DR_Total">#REF!</definedName>
    <definedName name="Years_5thSummary__CR">#REF!</definedName>
    <definedName name="Years_5thSummary__CR_Total">#REF!</definedName>
    <definedName name="Years_5thSummary__DR">#REF!</definedName>
    <definedName name="Years_5thSummary__DR_Total">#REF!</definedName>
    <definedName name="Years_5thSummary_AG_CR">#REF!</definedName>
    <definedName name="Years_5thSummary_AG_CR_Total">#REF!</definedName>
    <definedName name="Years_5thSummary_AG_DR">#REF!</definedName>
    <definedName name="Years_5thSummary_AG_DR_Total">#REF!</definedName>
    <definedName name="Years_5thSummary_BH_CR">#REF!</definedName>
    <definedName name="Years_5thSummary_BH_CR_Total">#REF!</definedName>
    <definedName name="Years_5thSummary_BH_DR">#REF!</definedName>
    <definedName name="Years_5thSummary_BH_DR_Total">#REF!</definedName>
    <definedName name="Years_5thSummary_CI_CR">#REF!</definedName>
    <definedName name="Years_5thSummary_CI_CR_Total">#REF!</definedName>
    <definedName name="Years_5thSummary_CI_DR">#REF!</definedName>
    <definedName name="Years_5thSummary_CI_DR_Total">#REF!</definedName>
    <definedName name="Years_5thSummary_D_CR">#REF!</definedName>
    <definedName name="Years_5thSummary_D_CR_Total">#REF!</definedName>
    <definedName name="Years_5thSummary_D_DR">#REF!</definedName>
    <definedName name="Years_5thSummary_D_DR_Total">#REF!</definedName>
    <definedName name="Years_5thSummary_E_CR">#REF!</definedName>
    <definedName name="Years_5thSummary_E_CR_Total">#REF!</definedName>
    <definedName name="Years_5thSummary_E_DR">#REF!</definedName>
    <definedName name="Years_5thSummary_E_DR_Total">#REF!</definedName>
    <definedName name="Years_5thSummary_F_CR">#REF!</definedName>
    <definedName name="Years_5thSummary_F_CR_Total">#REF!</definedName>
    <definedName name="Years_5thSummary_F_DR">#REF!</definedName>
    <definedName name="Years_5thSummary_F_DR_Total">#REF!</definedName>
    <definedName name="Years_5thSummary_Z1_CR">#REF!</definedName>
    <definedName name="Years_5thSummary_Z1_CR_Total">#REF!</definedName>
    <definedName name="Years_5thSummary_Z1_DR">#REF!</definedName>
    <definedName name="Years_5thSummary_Z1_DR_Total">#REF!</definedName>
    <definedName name="Years_5thSummary_Z2_CR">#REF!</definedName>
    <definedName name="Years_5thSummary_Z2_CR_Total">#REF!</definedName>
    <definedName name="Years_5thSummary_Z2_DR">#REF!</definedName>
    <definedName name="Years_5thSummary_Z2_DR_Total">#REF!</definedName>
    <definedName name="Years_5thSummary_Z3_CR">#REF!</definedName>
    <definedName name="Years_5thSummary_Z3_CR_Total">#REF!</definedName>
    <definedName name="Years_5thSummary_Z3_DR">#REF!</definedName>
    <definedName name="Years_5thSummary_Z3_DR_Total">#REF!</definedName>
    <definedName name="Years_5thSummary_Z5_CR">#REF!</definedName>
    <definedName name="Years_5thSummary_Z5_CR_Total">#REF!</definedName>
    <definedName name="Years_5thSummary_Z5_DR">#REF!</definedName>
    <definedName name="Years_5thSummary_Z5_DR_Total">#REF!</definedName>
    <definedName name="Years_5thSummary_Z6_CR">#REF!</definedName>
    <definedName name="Years_5thSummary_Z6_CR_Total">#REF!</definedName>
    <definedName name="Years_5thSummary_Z6_DR">#REF!</definedName>
    <definedName name="Years_5thSummary_Z6_DR_Total">#REF!</definedName>
    <definedName name="Years_5thSummary_Z7_DR">#REF!</definedName>
    <definedName name="Years_5thSummary_Z7_DR_Total">#REF!</definedName>
    <definedName name="Yes_No">#REF!</definedName>
    <definedName name="YKY">Input!$C$222:$O$245</definedName>
    <definedName name="Yorkshire">'New costs and adjustments'!$B$172:$O$185</definedName>
    <definedName name="YTD_5">#REF!</definedName>
    <definedName name="YTD_EBIT_Actual">OFFSET(OFFSET(#REF!,0,#REF!,1,1),0,0,1,(#REF!+6)/6)</definedName>
    <definedName name="YTD_EBIT_Budget">OFFSET(OFFSET(#REF!,0,#REF!,1,1),0,0,1,(#REF!+6)/6)</definedName>
    <definedName name="YTD_EBIT_LER">OFFSET(OFFSET(#REF!,0,#REF!,1,1),0,0,1,(#REF!+6)/6)</definedName>
    <definedName name="YTD_OpProfit_Actual">OFFSET(OFFSET(#REF!,0,#REF!,1,1),0,0,1,(#REF!+6)/6)</definedName>
    <definedName name="YTD_OpProfit_Budget">OFFSET(OFFSET(#REF!,0,#REF!,1,1),0,0,1,(#REF!+6)/6)</definedName>
    <definedName name="YTD_OpProfit_LER">OFFSET(OFFSET(#REF!,0,#REF!,1,1),0,0,1,(#REF!+6)/6)</definedName>
    <definedName name="YTD_Reg">#REF!</definedName>
    <definedName name="ytd_stat">#REF!</definedName>
    <definedName name="Z_3FDF7207_004C_4A93_86DD_71ED7363ED58_.wvu.Cols" localSheetId="3" hidden="1">F_Inputs!#REF!</definedName>
    <definedName name="Z_3FDF7207_004C_4A93_86DD_71ED7363ED58_.wvu.Cols" localSheetId="10" hidden="1">F_Outputs!#REF!</definedName>
    <definedName name="Z_3FDF7207_004C_4A93_86DD_71ED7363ED58_.wvu.Cols" localSheetId="11" hidden="1">'F_Outputs complete'!#REF!</definedName>
    <definedName name="Z_3FDF7207_004C_4A93_86DD_71ED7363ED58_.wvu.Cols" localSheetId="8" hidden="1">Input!#REF!</definedName>
    <definedName name="Z_3FDF7207_004C_4A93_86DD_71ED7363ED58_.wvu.Cols" localSheetId="6" hidden="1">'Input overrides'!#REF!</definedName>
    <definedName name="Z_3FDF7207_004C_4A93_86DD_71ED7363ED58_.wvu.Cols" localSheetId="9" hidden="1">'Price setting'!#REF!</definedName>
    <definedName name="Z_3FDF7207_004C_4A93_86DD_71ED7363ED58_.wvu.Cols" localSheetId="7" hidden="1">'Used inputs'!#REF!</definedName>
  </definedNames>
  <calcPr calcId="145621"/>
  <customWorkbookViews>
    <customWorkbookView name="salim.lorgat - Personal View" guid="{3FDF7207-004C-4A93-86DD-71ED7363ED58}" mergeInterval="0" personalView="1" maximized="1" windowWidth="1276" windowHeight="784" activeSheetId="3"/>
  </customWorkbookViews>
</workbook>
</file>

<file path=xl/calcChain.xml><?xml version="1.0" encoding="utf-8"?>
<calcChain xmlns="http://schemas.openxmlformats.org/spreadsheetml/2006/main">
  <c r="G818" i="35" l="1"/>
  <c r="H818" i="35"/>
  <c r="I818" i="35"/>
  <c r="J818" i="35"/>
  <c r="K818" i="35"/>
  <c r="L818" i="35"/>
  <c r="M818" i="35"/>
  <c r="N818" i="35"/>
  <c r="O818" i="35"/>
  <c r="F818" i="35"/>
  <c r="G812" i="35"/>
  <c r="H812" i="35"/>
  <c r="I812" i="35"/>
  <c r="J812" i="35"/>
  <c r="K812" i="35"/>
  <c r="L812" i="35"/>
  <c r="M812" i="35"/>
  <c r="N812" i="35"/>
  <c r="O812" i="35"/>
  <c r="F812" i="35"/>
  <c r="G806" i="35"/>
  <c r="H806" i="35"/>
  <c r="I806" i="35"/>
  <c r="J806" i="35"/>
  <c r="K806" i="35"/>
  <c r="L806" i="35"/>
  <c r="M806" i="35"/>
  <c r="N806" i="35"/>
  <c r="O806" i="35"/>
  <c r="F806" i="35"/>
  <c r="G800" i="35"/>
  <c r="H800" i="35"/>
  <c r="I800" i="35"/>
  <c r="J800" i="35"/>
  <c r="K800" i="35"/>
  <c r="L800" i="35"/>
  <c r="M800" i="35"/>
  <c r="N800" i="35"/>
  <c r="O800" i="35"/>
  <c r="F800" i="35"/>
  <c r="G794" i="35"/>
  <c r="H794" i="35"/>
  <c r="I794" i="35"/>
  <c r="J794" i="35"/>
  <c r="K794" i="35"/>
  <c r="L794" i="35"/>
  <c r="M794" i="35"/>
  <c r="N794" i="35"/>
  <c r="O794" i="35"/>
  <c r="F794" i="35"/>
  <c r="G788" i="35"/>
  <c r="H788" i="35"/>
  <c r="I788" i="35"/>
  <c r="J788" i="35"/>
  <c r="K788" i="35"/>
  <c r="L788" i="35"/>
  <c r="M788" i="35"/>
  <c r="N788" i="35"/>
  <c r="O788" i="35"/>
  <c r="F788" i="35"/>
  <c r="G782" i="35"/>
  <c r="H782" i="35"/>
  <c r="I782" i="35"/>
  <c r="J782" i="35"/>
  <c r="K782" i="35"/>
  <c r="L782" i="35"/>
  <c r="M782" i="35"/>
  <c r="N782" i="35"/>
  <c r="O782" i="35"/>
  <c r="F782" i="35"/>
  <c r="G776" i="35"/>
  <c r="H776" i="35"/>
  <c r="I776" i="35"/>
  <c r="J776" i="35"/>
  <c r="K776" i="35"/>
  <c r="L776" i="35"/>
  <c r="M776" i="35"/>
  <c r="N776" i="35"/>
  <c r="O776" i="35"/>
  <c r="F776" i="35"/>
  <c r="G770" i="35"/>
  <c r="H770" i="35"/>
  <c r="I770" i="35"/>
  <c r="J770" i="35"/>
  <c r="K770" i="35"/>
  <c r="L770" i="35"/>
  <c r="M770" i="35"/>
  <c r="N770" i="35"/>
  <c r="O770" i="35"/>
  <c r="F770" i="35"/>
  <c r="G764" i="35"/>
  <c r="H764" i="35"/>
  <c r="I764" i="35"/>
  <c r="J764" i="35"/>
  <c r="K764" i="35"/>
  <c r="L764" i="35"/>
  <c r="M764" i="35"/>
  <c r="N764" i="35"/>
  <c r="O764" i="35"/>
  <c r="F764" i="35"/>
  <c r="G758" i="35"/>
  <c r="H758" i="35"/>
  <c r="I758" i="35"/>
  <c r="J758" i="35"/>
  <c r="K758" i="35"/>
  <c r="L758" i="35"/>
  <c r="M758" i="35"/>
  <c r="N758" i="35"/>
  <c r="O758" i="35"/>
  <c r="F758" i="35"/>
  <c r="G752" i="35"/>
  <c r="H752" i="35"/>
  <c r="I752" i="35"/>
  <c r="J752" i="35"/>
  <c r="K752" i="35"/>
  <c r="L752" i="35"/>
  <c r="M752" i="35"/>
  <c r="N752" i="35"/>
  <c r="O752" i="35"/>
  <c r="F752" i="35"/>
  <c r="G746" i="35"/>
  <c r="H746" i="35"/>
  <c r="I746" i="35"/>
  <c r="J746" i="35"/>
  <c r="K746" i="35"/>
  <c r="L746" i="35"/>
  <c r="M746" i="35"/>
  <c r="N746" i="35"/>
  <c r="O746" i="35"/>
  <c r="F746" i="35"/>
  <c r="G740" i="35"/>
  <c r="H740" i="35"/>
  <c r="I740" i="35"/>
  <c r="J740" i="35"/>
  <c r="K740" i="35"/>
  <c r="L740" i="35"/>
  <c r="M740" i="35"/>
  <c r="N740" i="35"/>
  <c r="O740" i="35"/>
  <c r="F740" i="35"/>
  <c r="G734" i="35"/>
  <c r="H734" i="35"/>
  <c r="I734" i="35"/>
  <c r="J734" i="35"/>
  <c r="K734" i="35"/>
  <c r="L734" i="35"/>
  <c r="M734" i="35"/>
  <c r="N734" i="35"/>
  <c r="O734" i="35"/>
  <c r="F734" i="35"/>
  <c r="G728" i="35"/>
  <c r="H728" i="35"/>
  <c r="I728" i="35"/>
  <c r="J728" i="35"/>
  <c r="K728" i="35"/>
  <c r="L728" i="35"/>
  <c r="M728" i="35"/>
  <c r="N728" i="35"/>
  <c r="O728" i="35"/>
  <c r="F728" i="35"/>
  <c r="G722" i="35"/>
  <c r="H722" i="35"/>
  <c r="I722" i="35"/>
  <c r="J722" i="35"/>
  <c r="K722" i="35"/>
  <c r="L722" i="35"/>
  <c r="M722" i="35"/>
  <c r="N722" i="35"/>
  <c r="O722" i="35"/>
  <c r="F722" i="35"/>
  <c r="G716" i="35"/>
  <c r="H716" i="35"/>
  <c r="I716" i="35"/>
  <c r="J716" i="35"/>
  <c r="K716" i="35"/>
  <c r="L716" i="35"/>
  <c r="M716" i="35"/>
  <c r="N716" i="35"/>
  <c r="O716" i="35"/>
  <c r="F716" i="35"/>
  <c r="G419" i="38" l="1"/>
  <c r="H419" i="38"/>
  <c r="I419" i="38"/>
  <c r="J419" i="38"/>
  <c r="K419" i="38"/>
  <c r="L419" i="38"/>
  <c r="O273" i="18" l="1"/>
  <c r="N273" i="18"/>
  <c r="M273" i="18"/>
  <c r="L273" i="18"/>
  <c r="K273" i="18"/>
  <c r="J273" i="18"/>
  <c r="I273" i="18"/>
  <c r="H273" i="18"/>
  <c r="G273" i="18"/>
  <c r="F273" i="18"/>
  <c r="J272" i="18"/>
  <c r="H272" i="18"/>
  <c r="G272" i="18"/>
  <c r="F272" i="18"/>
  <c r="O271" i="18"/>
  <c r="N271" i="18"/>
  <c r="M271" i="18"/>
  <c r="L271" i="18"/>
  <c r="K271" i="18"/>
  <c r="J271" i="18"/>
  <c r="I271" i="18"/>
  <c r="H271" i="18"/>
  <c r="G271" i="18"/>
  <c r="F271" i="18"/>
  <c r="O264" i="18"/>
  <c r="N264" i="18"/>
  <c r="M264" i="18"/>
  <c r="L264" i="18"/>
  <c r="K264" i="18"/>
  <c r="J264" i="18"/>
  <c r="I264" i="18"/>
  <c r="H264" i="18"/>
  <c r="G264" i="18"/>
  <c r="F264" i="18"/>
  <c r="O263" i="18"/>
  <c r="N263" i="18"/>
  <c r="M263" i="18"/>
  <c r="L263" i="18"/>
  <c r="K263" i="18"/>
  <c r="J263" i="18"/>
  <c r="I263" i="18"/>
  <c r="H263" i="18"/>
  <c r="G263" i="18"/>
  <c r="F263" i="18"/>
  <c r="O262" i="18"/>
  <c r="N262" i="18"/>
  <c r="M262" i="18"/>
  <c r="L262" i="18"/>
  <c r="K262" i="18"/>
  <c r="J262" i="18"/>
  <c r="I262" i="18"/>
  <c r="H262" i="18"/>
  <c r="G262" i="18"/>
  <c r="F262" i="18"/>
  <c r="J261" i="18"/>
  <c r="H261" i="18"/>
  <c r="G261" i="18"/>
  <c r="F261" i="18"/>
  <c r="J260" i="18"/>
  <c r="H260" i="18"/>
  <c r="G260" i="18"/>
  <c r="F260" i="18"/>
  <c r="J259" i="18"/>
  <c r="H259" i="18"/>
  <c r="G259" i="18"/>
  <c r="F259" i="18"/>
  <c r="O258" i="18"/>
  <c r="N258" i="18"/>
  <c r="M258" i="18"/>
  <c r="L258" i="18"/>
  <c r="K258" i="18"/>
  <c r="J258" i="18"/>
  <c r="I258" i="18"/>
  <c r="H258" i="18"/>
  <c r="G258" i="18"/>
  <c r="F258" i="18"/>
  <c r="J257" i="18"/>
  <c r="H257" i="18"/>
  <c r="G257" i="18"/>
  <c r="F257" i="18"/>
  <c r="O256" i="18"/>
  <c r="N256" i="18"/>
  <c r="M256" i="18"/>
  <c r="L256" i="18"/>
  <c r="K256" i="18"/>
  <c r="J256" i="18"/>
  <c r="I256" i="18"/>
  <c r="H256" i="18"/>
  <c r="G256" i="18"/>
  <c r="F256" i="18"/>
  <c r="O249" i="18"/>
  <c r="N249" i="18"/>
  <c r="M249" i="18"/>
  <c r="L249" i="18"/>
  <c r="K249" i="18"/>
  <c r="J249" i="18"/>
  <c r="I249" i="18"/>
  <c r="H249" i="18"/>
  <c r="G249" i="18"/>
  <c r="F249" i="18"/>
  <c r="O248" i="18"/>
  <c r="N248" i="18"/>
  <c r="M248" i="18"/>
  <c r="L248" i="18"/>
  <c r="K248" i="18"/>
  <c r="J248" i="18"/>
  <c r="I248" i="18"/>
  <c r="H248" i="18"/>
  <c r="G248" i="18"/>
  <c r="F248" i="18"/>
  <c r="O247" i="18"/>
  <c r="N247" i="18"/>
  <c r="M247" i="18"/>
  <c r="L247" i="18"/>
  <c r="K247" i="18"/>
  <c r="J247" i="18"/>
  <c r="I247" i="18"/>
  <c r="H247" i="18"/>
  <c r="G247" i="18"/>
  <c r="F247" i="18"/>
  <c r="J246" i="18"/>
  <c r="H246" i="18"/>
  <c r="G246" i="18"/>
  <c r="F246" i="18"/>
  <c r="J245" i="18"/>
  <c r="H245" i="18"/>
  <c r="G245" i="18"/>
  <c r="F245" i="18"/>
  <c r="J244" i="18"/>
  <c r="H244" i="18"/>
  <c r="G244" i="18"/>
  <c r="F244" i="18"/>
  <c r="O243" i="18"/>
  <c r="N243" i="18"/>
  <c r="M243" i="18"/>
  <c r="L243" i="18"/>
  <c r="K243" i="18"/>
  <c r="J243" i="18"/>
  <c r="I243" i="18"/>
  <c r="H243" i="18"/>
  <c r="G243" i="18"/>
  <c r="F243" i="18"/>
  <c r="J242" i="18"/>
  <c r="H242" i="18"/>
  <c r="G242" i="18"/>
  <c r="F242" i="18"/>
  <c r="O241" i="18"/>
  <c r="N241" i="18"/>
  <c r="M241" i="18"/>
  <c r="L241" i="18"/>
  <c r="K241" i="18"/>
  <c r="J241" i="18"/>
  <c r="I241" i="18"/>
  <c r="H241" i="18"/>
  <c r="G241" i="18"/>
  <c r="F241" i="18"/>
  <c r="O234" i="18"/>
  <c r="N234" i="18"/>
  <c r="M234" i="18"/>
  <c r="L234" i="18"/>
  <c r="K234" i="18"/>
  <c r="J234" i="18"/>
  <c r="I234" i="18"/>
  <c r="H234" i="18"/>
  <c r="G234" i="18"/>
  <c r="F234" i="18"/>
  <c r="O233" i="18"/>
  <c r="N233" i="18"/>
  <c r="M233" i="18"/>
  <c r="L233" i="18"/>
  <c r="K233" i="18"/>
  <c r="J233" i="18"/>
  <c r="I233" i="18"/>
  <c r="H233" i="18"/>
  <c r="G233" i="18"/>
  <c r="F233" i="18"/>
  <c r="O232" i="18"/>
  <c r="N232" i="18"/>
  <c r="M232" i="18"/>
  <c r="L232" i="18"/>
  <c r="K232" i="18"/>
  <c r="J232" i="18"/>
  <c r="I232" i="18"/>
  <c r="H232" i="18"/>
  <c r="G232" i="18"/>
  <c r="F232" i="18"/>
  <c r="J231" i="18"/>
  <c r="H231" i="18"/>
  <c r="G231" i="18"/>
  <c r="F231" i="18"/>
  <c r="J230" i="18"/>
  <c r="H230" i="18"/>
  <c r="G230" i="18"/>
  <c r="F230" i="18"/>
  <c r="J229" i="18"/>
  <c r="H229" i="18"/>
  <c r="G229" i="18"/>
  <c r="F229" i="18"/>
  <c r="O228" i="18"/>
  <c r="N228" i="18"/>
  <c r="M228" i="18"/>
  <c r="L228" i="18"/>
  <c r="K228" i="18"/>
  <c r="J228" i="18"/>
  <c r="I228" i="18"/>
  <c r="H228" i="18"/>
  <c r="G228" i="18"/>
  <c r="F228" i="18"/>
  <c r="J227" i="18"/>
  <c r="H227" i="18"/>
  <c r="G227" i="18"/>
  <c r="F227" i="18"/>
  <c r="O226" i="18"/>
  <c r="N226" i="18"/>
  <c r="M226" i="18"/>
  <c r="L226" i="18"/>
  <c r="K226" i="18"/>
  <c r="J226" i="18"/>
  <c r="I226" i="18"/>
  <c r="H226" i="18"/>
  <c r="G226" i="18"/>
  <c r="F226" i="18"/>
  <c r="O219" i="18"/>
  <c r="N219" i="18"/>
  <c r="M219" i="18"/>
  <c r="L219" i="18"/>
  <c r="K219" i="18"/>
  <c r="J219" i="18"/>
  <c r="I219" i="18"/>
  <c r="H219" i="18"/>
  <c r="G219" i="18"/>
  <c r="F219" i="18"/>
  <c r="O218" i="18"/>
  <c r="N218" i="18"/>
  <c r="M218" i="18"/>
  <c r="L218" i="18"/>
  <c r="K218" i="18"/>
  <c r="J218" i="18"/>
  <c r="I218" i="18"/>
  <c r="H218" i="18"/>
  <c r="G218" i="18"/>
  <c r="F218" i="18"/>
  <c r="O217" i="18"/>
  <c r="N217" i="18"/>
  <c r="M217" i="18"/>
  <c r="L217" i="18"/>
  <c r="K217" i="18"/>
  <c r="J217" i="18"/>
  <c r="I217" i="18"/>
  <c r="H217" i="18"/>
  <c r="G217" i="18"/>
  <c r="F217" i="18"/>
  <c r="J216" i="18"/>
  <c r="H216" i="18"/>
  <c r="G216" i="18"/>
  <c r="F216" i="18"/>
  <c r="J215" i="18"/>
  <c r="H215" i="18"/>
  <c r="G215" i="18"/>
  <c r="F215" i="18"/>
  <c r="J214" i="18"/>
  <c r="H214" i="18"/>
  <c r="G214" i="18"/>
  <c r="F214" i="18"/>
  <c r="O213" i="18"/>
  <c r="N213" i="18"/>
  <c r="M213" i="18"/>
  <c r="L213" i="18"/>
  <c r="K213" i="18"/>
  <c r="J213" i="18"/>
  <c r="I213" i="18"/>
  <c r="H213" i="18"/>
  <c r="G213" i="18"/>
  <c r="F213" i="18"/>
  <c r="J212" i="18"/>
  <c r="H212" i="18"/>
  <c r="G212" i="18"/>
  <c r="F212" i="18"/>
  <c r="O211" i="18"/>
  <c r="N211" i="18"/>
  <c r="M211" i="18"/>
  <c r="L211" i="18"/>
  <c r="K211" i="18"/>
  <c r="J211" i="18"/>
  <c r="I211" i="18"/>
  <c r="H211" i="18"/>
  <c r="G211" i="18"/>
  <c r="F211" i="18"/>
  <c r="O204" i="18"/>
  <c r="N204" i="18"/>
  <c r="M204" i="18"/>
  <c r="L204" i="18"/>
  <c r="K204" i="18"/>
  <c r="J204" i="18"/>
  <c r="I204" i="18"/>
  <c r="H204" i="18"/>
  <c r="G204" i="18"/>
  <c r="F204" i="18"/>
  <c r="O203" i="18"/>
  <c r="N203" i="18"/>
  <c r="M203" i="18"/>
  <c r="L203" i="18"/>
  <c r="K203" i="18"/>
  <c r="J203" i="18"/>
  <c r="I203" i="18"/>
  <c r="H203" i="18"/>
  <c r="G203" i="18"/>
  <c r="F203" i="18"/>
  <c r="O202" i="18"/>
  <c r="N202" i="18"/>
  <c r="M202" i="18"/>
  <c r="L202" i="18"/>
  <c r="K202" i="18"/>
  <c r="J202" i="18"/>
  <c r="I202" i="18"/>
  <c r="H202" i="18"/>
  <c r="G202" i="18"/>
  <c r="F202" i="18"/>
  <c r="J201" i="18"/>
  <c r="H201" i="18"/>
  <c r="G201" i="18"/>
  <c r="F201" i="18"/>
  <c r="J200" i="18"/>
  <c r="H200" i="18"/>
  <c r="G200" i="18"/>
  <c r="F200" i="18"/>
  <c r="J199" i="18"/>
  <c r="H199" i="18"/>
  <c r="G199" i="18"/>
  <c r="F199" i="18"/>
  <c r="O198" i="18"/>
  <c r="N198" i="18"/>
  <c r="M198" i="18"/>
  <c r="L198" i="18"/>
  <c r="K198" i="18"/>
  <c r="J198" i="18"/>
  <c r="I198" i="18"/>
  <c r="H198" i="18"/>
  <c r="G198" i="18"/>
  <c r="F198" i="18"/>
  <c r="J197" i="18"/>
  <c r="H197" i="18"/>
  <c r="G197" i="18"/>
  <c r="F197" i="18"/>
  <c r="O196" i="18"/>
  <c r="N196" i="18"/>
  <c r="M196" i="18"/>
  <c r="L196" i="18"/>
  <c r="K196" i="18"/>
  <c r="J196" i="18"/>
  <c r="I196" i="18"/>
  <c r="H196" i="18"/>
  <c r="G196" i="18"/>
  <c r="F196" i="18"/>
  <c r="O189" i="18"/>
  <c r="N189" i="18"/>
  <c r="M189" i="18"/>
  <c r="L189" i="18"/>
  <c r="K189" i="18"/>
  <c r="J189" i="18"/>
  <c r="I189" i="18"/>
  <c r="H189" i="18"/>
  <c r="G189" i="18"/>
  <c r="F189" i="18"/>
  <c r="O188" i="18"/>
  <c r="N188" i="18"/>
  <c r="M188" i="18"/>
  <c r="L188" i="18"/>
  <c r="K188" i="18"/>
  <c r="J188" i="18"/>
  <c r="I188" i="18"/>
  <c r="H188" i="18"/>
  <c r="G188" i="18"/>
  <c r="F188" i="18"/>
  <c r="O187" i="18"/>
  <c r="N187" i="18"/>
  <c r="M187" i="18"/>
  <c r="L187" i="18"/>
  <c r="K187" i="18"/>
  <c r="J187" i="18"/>
  <c r="I187" i="18"/>
  <c r="H187" i="18"/>
  <c r="G187" i="18"/>
  <c r="F187" i="18"/>
  <c r="J186" i="18"/>
  <c r="H186" i="18"/>
  <c r="G186" i="18"/>
  <c r="F186" i="18"/>
  <c r="J185" i="18"/>
  <c r="H185" i="18"/>
  <c r="G185" i="18"/>
  <c r="F185" i="18"/>
  <c r="J184" i="18"/>
  <c r="H184" i="18"/>
  <c r="G184" i="18"/>
  <c r="F184" i="18"/>
  <c r="O183" i="18"/>
  <c r="N183" i="18"/>
  <c r="M183" i="18"/>
  <c r="L183" i="18"/>
  <c r="K183" i="18"/>
  <c r="J183" i="18"/>
  <c r="I183" i="18"/>
  <c r="H183" i="18"/>
  <c r="G183" i="18"/>
  <c r="F183" i="18"/>
  <c r="J182" i="18"/>
  <c r="H182" i="18"/>
  <c r="G182" i="18"/>
  <c r="F182" i="18"/>
  <c r="O181" i="18"/>
  <c r="N181" i="18"/>
  <c r="M181" i="18"/>
  <c r="L181" i="18"/>
  <c r="K181" i="18"/>
  <c r="J181" i="18"/>
  <c r="I181" i="18"/>
  <c r="H181" i="18"/>
  <c r="G181" i="18"/>
  <c r="F181" i="18"/>
  <c r="O174" i="18"/>
  <c r="N174" i="18"/>
  <c r="M174" i="18"/>
  <c r="L174" i="18"/>
  <c r="K174" i="18"/>
  <c r="J174" i="18"/>
  <c r="I174" i="18"/>
  <c r="H174" i="18"/>
  <c r="G174" i="18"/>
  <c r="F174" i="18"/>
  <c r="O173" i="18"/>
  <c r="N173" i="18"/>
  <c r="M173" i="18"/>
  <c r="L173" i="18"/>
  <c r="K173" i="18"/>
  <c r="J173" i="18"/>
  <c r="I173" i="18"/>
  <c r="H173" i="18"/>
  <c r="G173" i="18"/>
  <c r="F173" i="18"/>
  <c r="O172" i="18"/>
  <c r="N172" i="18"/>
  <c r="M172" i="18"/>
  <c r="L172" i="18"/>
  <c r="K172" i="18"/>
  <c r="J172" i="18"/>
  <c r="I172" i="18"/>
  <c r="H172" i="18"/>
  <c r="G172" i="18"/>
  <c r="F172" i="18"/>
  <c r="J171" i="18"/>
  <c r="H171" i="18"/>
  <c r="G171" i="18"/>
  <c r="F171" i="18"/>
  <c r="J170" i="18"/>
  <c r="H170" i="18"/>
  <c r="G170" i="18"/>
  <c r="F170" i="18"/>
  <c r="J169" i="18"/>
  <c r="H169" i="18"/>
  <c r="G169" i="18"/>
  <c r="F169" i="18"/>
  <c r="O168" i="18"/>
  <c r="N168" i="18"/>
  <c r="M168" i="18"/>
  <c r="L168" i="18"/>
  <c r="K168" i="18"/>
  <c r="J168" i="18"/>
  <c r="I168" i="18"/>
  <c r="H168" i="18"/>
  <c r="G168" i="18"/>
  <c r="F168" i="18"/>
  <c r="J167" i="18"/>
  <c r="H167" i="18"/>
  <c r="G167" i="18"/>
  <c r="F167" i="18"/>
  <c r="O166" i="18"/>
  <c r="N166" i="18"/>
  <c r="M166" i="18"/>
  <c r="L166" i="18"/>
  <c r="K166" i="18"/>
  <c r="J166" i="18"/>
  <c r="I166" i="18"/>
  <c r="H166" i="18"/>
  <c r="G166" i="18"/>
  <c r="F166" i="18"/>
  <c r="O159" i="18"/>
  <c r="N159" i="18"/>
  <c r="M159" i="18"/>
  <c r="L159" i="18"/>
  <c r="K159" i="18"/>
  <c r="J159" i="18"/>
  <c r="I159" i="18"/>
  <c r="H159" i="18"/>
  <c r="G159" i="18"/>
  <c r="F159" i="18"/>
  <c r="O158" i="18"/>
  <c r="N158" i="18"/>
  <c r="M158" i="18"/>
  <c r="L158" i="18"/>
  <c r="K158" i="18"/>
  <c r="J158" i="18"/>
  <c r="I158" i="18"/>
  <c r="H158" i="18"/>
  <c r="G158" i="18"/>
  <c r="F158" i="18"/>
  <c r="O157" i="18"/>
  <c r="N157" i="18"/>
  <c r="M157" i="18"/>
  <c r="L157" i="18"/>
  <c r="K157" i="18"/>
  <c r="J157" i="18"/>
  <c r="I157" i="18"/>
  <c r="H157" i="18"/>
  <c r="G157" i="18"/>
  <c r="F157" i="18"/>
  <c r="J156" i="18"/>
  <c r="H156" i="18"/>
  <c r="G156" i="18"/>
  <c r="F156" i="18"/>
  <c r="J155" i="18"/>
  <c r="H155" i="18"/>
  <c r="G155" i="18"/>
  <c r="F155" i="18"/>
  <c r="J154" i="18"/>
  <c r="H154" i="18"/>
  <c r="G154" i="18"/>
  <c r="F154" i="18"/>
  <c r="O153" i="18"/>
  <c r="N153" i="18"/>
  <c r="M153" i="18"/>
  <c r="L153" i="18"/>
  <c r="K153" i="18"/>
  <c r="J153" i="18"/>
  <c r="I153" i="18"/>
  <c r="H153" i="18"/>
  <c r="G153" i="18"/>
  <c r="F153" i="18"/>
  <c r="J152" i="18"/>
  <c r="H152" i="18"/>
  <c r="G152" i="18"/>
  <c r="F152" i="18"/>
  <c r="O151" i="18"/>
  <c r="N151" i="18"/>
  <c r="M151" i="18"/>
  <c r="L151" i="18"/>
  <c r="K151" i="18"/>
  <c r="J151" i="18"/>
  <c r="I151" i="18"/>
  <c r="H151" i="18"/>
  <c r="G151" i="18"/>
  <c r="F151" i="18"/>
  <c r="O144" i="18"/>
  <c r="N144" i="18"/>
  <c r="M144" i="18"/>
  <c r="L144" i="18"/>
  <c r="K144" i="18"/>
  <c r="J144" i="18"/>
  <c r="I144" i="18"/>
  <c r="H144" i="18"/>
  <c r="G144" i="18"/>
  <c r="F144" i="18"/>
  <c r="O143" i="18"/>
  <c r="N143" i="18"/>
  <c r="M143" i="18"/>
  <c r="L143" i="18"/>
  <c r="K143" i="18"/>
  <c r="J143" i="18"/>
  <c r="I143" i="18"/>
  <c r="H143" i="18"/>
  <c r="G143" i="18"/>
  <c r="F143" i="18"/>
  <c r="O142" i="18"/>
  <c r="N142" i="18"/>
  <c r="M142" i="18"/>
  <c r="L142" i="18"/>
  <c r="K142" i="18"/>
  <c r="J142" i="18"/>
  <c r="I142" i="18"/>
  <c r="H142" i="18"/>
  <c r="G142" i="18"/>
  <c r="F142" i="18"/>
  <c r="J141" i="18"/>
  <c r="H141" i="18"/>
  <c r="G141" i="18"/>
  <c r="F141" i="18"/>
  <c r="J140" i="18"/>
  <c r="H140" i="18"/>
  <c r="G140" i="18"/>
  <c r="F140" i="18"/>
  <c r="J139" i="18"/>
  <c r="H139" i="18"/>
  <c r="G139" i="18"/>
  <c r="F139" i="18"/>
  <c r="O138" i="18"/>
  <c r="N138" i="18"/>
  <c r="M138" i="18"/>
  <c r="L138" i="18"/>
  <c r="K138" i="18"/>
  <c r="J138" i="18"/>
  <c r="I138" i="18"/>
  <c r="H138" i="18"/>
  <c r="G138" i="18"/>
  <c r="F138" i="18"/>
  <c r="J137" i="18"/>
  <c r="H137" i="18"/>
  <c r="G137" i="18"/>
  <c r="F137" i="18"/>
  <c r="O136" i="18"/>
  <c r="N136" i="18"/>
  <c r="M136" i="18"/>
  <c r="L136" i="18"/>
  <c r="K136" i="18"/>
  <c r="J136" i="18"/>
  <c r="I136" i="18"/>
  <c r="H136" i="18"/>
  <c r="G136" i="18"/>
  <c r="F136" i="18"/>
  <c r="O129" i="18"/>
  <c r="N129" i="18"/>
  <c r="M129" i="18"/>
  <c r="L129" i="18"/>
  <c r="K129" i="18"/>
  <c r="J129" i="18"/>
  <c r="I129" i="18"/>
  <c r="H129" i="18"/>
  <c r="G129" i="18"/>
  <c r="F129" i="18"/>
  <c r="O128" i="18"/>
  <c r="N128" i="18"/>
  <c r="M128" i="18"/>
  <c r="L128" i="18"/>
  <c r="K128" i="18"/>
  <c r="J128" i="18"/>
  <c r="I128" i="18"/>
  <c r="H128" i="18"/>
  <c r="G128" i="18"/>
  <c r="F128" i="18"/>
  <c r="O127" i="18"/>
  <c r="N127" i="18"/>
  <c r="M127" i="18"/>
  <c r="L127" i="18"/>
  <c r="K127" i="18"/>
  <c r="J127" i="18"/>
  <c r="I127" i="18"/>
  <c r="H127" i="18"/>
  <c r="G127" i="18"/>
  <c r="F127" i="18"/>
  <c r="J126" i="18"/>
  <c r="H126" i="18"/>
  <c r="G126" i="18"/>
  <c r="F126" i="18"/>
  <c r="J125" i="18"/>
  <c r="H125" i="18"/>
  <c r="G125" i="18"/>
  <c r="F125" i="18"/>
  <c r="J124" i="18"/>
  <c r="H124" i="18"/>
  <c r="G124" i="18"/>
  <c r="F124" i="18"/>
  <c r="O123" i="18"/>
  <c r="N123" i="18"/>
  <c r="M123" i="18"/>
  <c r="L123" i="18"/>
  <c r="K123" i="18"/>
  <c r="J123" i="18"/>
  <c r="I123" i="18"/>
  <c r="H123" i="18"/>
  <c r="G123" i="18"/>
  <c r="F123" i="18"/>
  <c r="J122" i="18"/>
  <c r="H122" i="18"/>
  <c r="G122" i="18"/>
  <c r="F122" i="18"/>
  <c r="O121" i="18"/>
  <c r="N121" i="18"/>
  <c r="M121" i="18"/>
  <c r="L121" i="18"/>
  <c r="K121" i="18"/>
  <c r="J121" i="18"/>
  <c r="I121" i="18"/>
  <c r="H121" i="18"/>
  <c r="G121" i="18"/>
  <c r="F121" i="18"/>
  <c r="O114" i="18"/>
  <c r="N114" i="18"/>
  <c r="M114" i="18"/>
  <c r="L114" i="18"/>
  <c r="K114" i="18"/>
  <c r="J114" i="18"/>
  <c r="I114" i="18"/>
  <c r="H114" i="18"/>
  <c r="G114" i="18"/>
  <c r="F114" i="18"/>
  <c r="O113" i="18"/>
  <c r="N113" i="18"/>
  <c r="M113" i="18"/>
  <c r="L113" i="18"/>
  <c r="K113" i="18"/>
  <c r="J113" i="18"/>
  <c r="I113" i="18"/>
  <c r="H113" i="18"/>
  <c r="G113" i="18"/>
  <c r="F113" i="18"/>
  <c r="O112" i="18"/>
  <c r="N112" i="18"/>
  <c r="M112" i="18"/>
  <c r="L112" i="18"/>
  <c r="K112" i="18"/>
  <c r="J112" i="18"/>
  <c r="I112" i="18"/>
  <c r="H112" i="18"/>
  <c r="G112" i="18"/>
  <c r="F112" i="18"/>
  <c r="J111" i="18"/>
  <c r="H111" i="18"/>
  <c r="G111" i="18"/>
  <c r="F111" i="18"/>
  <c r="J110" i="18"/>
  <c r="H110" i="18"/>
  <c r="G110" i="18"/>
  <c r="F110" i="18"/>
  <c r="J109" i="18"/>
  <c r="H109" i="18"/>
  <c r="G109" i="18"/>
  <c r="F109" i="18"/>
  <c r="O108" i="18"/>
  <c r="N108" i="18"/>
  <c r="M108" i="18"/>
  <c r="L108" i="18"/>
  <c r="K108" i="18"/>
  <c r="J108" i="18"/>
  <c r="I108" i="18"/>
  <c r="H108" i="18"/>
  <c r="G108" i="18"/>
  <c r="F108" i="18"/>
  <c r="J107" i="18"/>
  <c r="H107" i="18"/>
  <c r="G107" i="18"/>
  <c r="F107" i="18"/>
  <c r="O106" i="18"/>
  <c r="N106" i="18"/>
  <c r="M106" i="18"/>
  <c r="L106" i="18"/>
  <c r="K106" i="18"/>
  <c r="J106" i="18"/>
  <c r="I106" i="18"/>
  <c r="H106" i="18"/>
  <c r="G106" i="18"/>
  <c r="F106" i="18"/>
  <c r="O99" i="18"/>
  <c r="N99" i="18"/>
  <c r="M99" i="18"/>
  <c r="L99" i="18"/>
  <c r="K99" i="18"/>
  <c r="J99" i="18"/>
  <c r="I99" i="18"/>
  <c r="H99" i="18"/>
  <c r="G99" i="18"/>
  <c r="F99" i="18"/>
  <c r="O98" i="18"/>
  <c r="N98" i="18"/>
  <c r="M98" i="18"/>
  <c r="L98" i="18"/>
  <c r="K98" i="18"/>
  <c r="J98" i="18"/>
  <c r="I98" i="18"/>
  <c r="H98" i="18"/>
  <c r="G98" i="18"/>
  <c r="F98" i="18"/>
  <c r="O97" i="18"/>
  <c r="N97" i="18"/>
  <c r="M97" i="18"/>
  <c r="L97" i="18"/>
  <c r="K97" i="18"/>
  <c r="J97" i="18"/>
  <c r="I97" i="18"/>
  <c r="H97" i="18"/>
  <c r="G97" i="18"/>
  <c r="F97" i="18"/>
  <c r="J96" i="18"/>
  <c r="H96" i="18"/>
  <c r="G96" i="18"/>
  <c r="F96" i="18"/>
  <c r="J95" i="18"/>
  <c r="H95" i="18"/>
  <c r="G95" i="18"/>
  <c r="F95" i="18"/>
  <c r="J94" i="18"/>
  <c r="H94" i="18"/>
  <c r="G94" i="18"/>
  <c r="F94" i="18"/>
  <c r="O93" i="18"/>
  <c r="N93" i="18"/>
  <c r="M93" i="18"/>
  <c r="L93" i="18"/>
  <c r="K93" i="18"/>
  <c r="J93" i="18"/>
  <c r="I93" i="18"/>
  <c r="H93" i="18"/>
  <c r="G93" i="18"/>
  <c r="F93" i="18"/>
  <c r="J92" i="18"/>
  <c r="H92" i="18"/>
  <c r="G92" i="18"/>
  <c r="F92" i="18"/>
  <c r="O91" i="18"/>
  <c r="N91" i="18"/>
  <c r="M91" i="18"/>
  <c r="L91" i="18"/>
  <c r="K91" i="18"/>
  <c r="J91" i="18"/>
  <c r="I91" i="18"/>
  <c r="H91" i="18"/>
  <c r="G91" i="18"/>
  <c r="F91" i="18"/>
  <c r="O84" i="18"/>
  <c r="N84" i="18"/>
  <c r="M84" i="18"/>
  <c r="L84" i="18"/>
  <c r="K84" i="18"/>
  <c r="J84" i="18"/>
  <c r="I84" i="18"/>
  <c r="H84" i="18"/>
  <c r="G84" i="18"/>
  <c r="F84" i="18"/>
  <c r="O83" i="18"/>
  <c r="N83" i="18"/>
  <c r="M83" i="18"/>
  <c r="L83" i="18"/>
  <c r="K83" i="18"/>
  <c r="J83" i="18"/>
  <c r="I83" i="18"/>
  <c r="H83" i="18"/>
  <c r="G83" i="18"/>
  <c r="F83" i="18"/>
  <c r="O82" i="18"/>
  <c r="N82" i="18"/>
  <c r="M82" i="18"/>
  <c r="L82" i="18"/>
  <c r="K82" i="18"/>
  <c r="J82" i="18"/>
  <c r="I82" i="18"/>
  <c r="H82" i="18"/>
  <c r="G82" i="18"/>
  <c r="F82" i="18"/>
  <c r="J81" i="18"/>
  <c r="H81" i="18"/>
  <c r="G81" i="18"/>
  <c r="F81" i="18"/>
  <c r="J80" i="18"/>
  <c r="H80" i="18"/>
  <c r="G80" i="18"/>
  <c r="F80" i="18"/>
  <c r="J79" i="18"/>
  <c r="H79" i="18"/>
  <c r="G79" i="18"/>
  <c r="F79" i="18"/>
  <c r="O78" i="18"/>
  <c r="N78" i="18"/>
  <c r="M78" i="18"/>
  <c r="L78" i="18"/>
  <c r="K78" i="18"/>
  <c r="J78" i="18"/>
  <c r="I78" i="18"/>
  <c r="H78" i="18"/>
  <c r="G78" i="18"/>
  <c r="F78" i="18"/>
  <c r="J77" i="18"/>
  <c r="H77" i="18"/>
  <c r="G77" i="18"/>
  <c r="F77" i="18"/>
  <c r="O76" i="18"/>
  <c r="N76" i="18"/>
  <c r="M76" i="18"/>
  <c r="L76" i="18"/>
  <c r="K76" i="18"/>
  <c r="J76" i="18"/>
  <c r="I76" i="18"/>
  <c r="H76" i="18"/>
  <c r="G76" i="18"/>
  <c r="F76" i="18"/>
  <c r="O69" i="18"/>
  <c r="N69" i="18"/>
  <c r="M69" i="18"/>
  <c r="L69" i="18"/>
  <c r="K69" i="18"/>
  <c r="J69" i="18"/>
  <c r="I69" i="18"/>
  <c r="H69" i="18"/>
  <c r="G69" i="18"/>
  <c r="F69" i="18"/>
  <c r="O68" i="18"/>
  <c r="N68" i="18"/>
  <c r="M68" i="18"/>
  <c r="L68" i="18"/>
  <c r="K68" i="18"/>
  <c r="J68" i="18"/>
  <c r="I68" i="18"/>
  <c r="H68" i="18"/>
  <c r="G68" i="18"/>
  <c r="F68" i="18"/>
  <c r="O67" i="18"/>
  <c r="N67" i="18"/>
  <c r="M67" i="18"/>
  <c r="L67" i="18"/>
  <c r="K67" i="18"/>
  <c r="J67" i="18"/>
  <c r="I67" i="18"/>
  <c r="H67" i="18"/>
  <c r="G67" i="18"/>
  <c r="F67" i="18"/>
  <c r="J66" i="18"/>
  <c r="H66" i="18"/>
  <c r="G66" i="18"/>
  <c r="F66" i="18"/>
  <c r="J65" i="18"/>
  <c r="H65" i="18"/>
  <c r="G65" i="18"/>
  <c r="F65" i="18"/>
  <c r="J64" i="18"/>
  <c r="H64" i="18"/>
  <c r="G64" i="18"/>
  <c r="F64" i="18"/>
  <c r="O63" i="18"/>
  <c r="N63" i="18"/>
  <c r="M63" i="18"/>
  <c r="L63" i="18"/>
  <c r="K63" i="18"/>
  <c r="J63" i="18"/>
  <c r="I63" i="18"/>
  <c r="H63" i="18"/>
  <c r="G63" i="18"/>
  <c r="F63" i="18"/>
  <c r="J62" i="18"/>
  <c r="H62" i="18"/>
  <c r="G62" i="18"/>
  <c r="F62" i="18"/>
  <c r="O61" i="18"/>
  <c r="N61" i="18"/>
  <c r="M61" i="18"/>
  <c r="L61" i="18"/>
  <c r="K61" i="18"/>
  <c r="J61" i="18"/>
  <c r="I61" i="18"/>
  <c r="H61" i="18"/>
  <c r="G61" i="18"/>
  <c r="F61" i="18"/>
  <c r="O54" i="18"/>
  <c r="N54" i="18"/>
  <c r="M54" i="18"/>
  <c r="L54" i="18"/>
  <c r="K54" i="18"/>
  <c r="J54" i="18"/>
  <c r="I54" i="18"/>
  <c r="H54" i="18"/>
  <c r="G54" i="18"/>
  <c r="F54" i="18"/>
  <c r="O53" i="18"/>
  <c r="N53" i="18"/>
  <c r="M53" i="18"/>
  <c r="L53" i="18"/>
  <c r="K53" i="18"/>
  <c r="J53" i="18"/>
  <c r="I53" i="18"/>
  <c r="H53" i="18"/>
  <c r="G53" i="18"/>
  <c r="F53" i="18"/>
  <c r="O52" i="18"/>
  <c r="N52" i="18"/>
  <c r="M52" i="18"/>
  <c r="L52" i="18"/>
  <c r="K52" i="18"/>
  <c r="J52" i="18"/>
  <c r="I52" i="18"/>
  <c r="H52" i="18"/>
  <c r="G52" i="18"/>
  <c r="F52" i="18"/>
  <c r="J51" i="18"/>
  <c r="H51" i="18"/>
  <c r="G51" i="18"/>
  <c r="F51" i="18"/>
  <c r="J50" i="18"/>
  <c r="H50" i="18"/>
  <c r="G50" i="18"/>
  <c r="F50" i="18"/>
  <c r="J49" i="18"/>
  <c r="H49" i="18"/>
  <c r="G49" i="18"/>
  <c r="F49" i="18"/>
  <c r="O48" i="18"/>
  <c r="N48" i="18"/>
  <c r="M48" i="18"/>
  <c r="L48" i="18"/>
  <c r="K48" i="18"/>
  <c r="J48" i="18"/>
  <c r="I48" i="18"/>
  <c r="H48" i="18"/>
  <c r="G48" i="18"/>
  <c r="F48" i="18"/>
  <c r="J47" i="18"/>
  <c r="H47" i="18"/>
  <c r="G47" i="18"/>
  <c r="F47" i="18"/>
  <c r="O46" i="18"/>
  <c r="N46" i="18"/>
  <c r="M46" i="18"/>
  <c r="L46" i="18"/>
  <c r="K46" i="18"/>
  <c r="J46" i="18"/>
  <c r="I46" i="18"/>
  <c r="H46" i="18"/>
  <c r="G46" i="18"/>
  <c r="F46" i="18"/>
  <c r="O39" i="18"/>
  <c r="N39" i="18"/>
  <c r="M39" i="18"/>
  <c r="L39" i="18"/>
  <c r="K39" i="18"/>
  <c r="J39" i="18"/>
  <c r="I39" i="18"/>
  <c r="H39" i="18"/>
  <c r="G39" i="18"/>
  <c r="F39" i="18"/>
  <c r="O38" i="18"/>
  <c r="N38" i="18"/>
  <c r="M38" i="18"/>
  <c r="L38" i="18"/>
  <c r="K38" i="18"/>
  <c r="J38" i="18"/>
  <c r="I38" i="18"/>
  <c r="H38" i="18"/>
  <c r="G38" i="18"/>
  <c r="F38" i="18"/>
  <c r="O37" i="18"/>
  <c r="N37" i="18"/>
  <c r="M37" i="18"/>
  <c r="L37" i="18"/>
  <c r="K37" i="18"/>
  <c r="J37" i="18"/>
  <c r="I37" i="18"/>
  <c r="H37" i="18"/>
  <c r="G37" i="18"/>
  <c r="F37" i="18"/>
  <c r="J36" i="18"/>
  <c r="H36" i="18"/>
  <c r="G36" i="18"/>
  <c r="F36" i="18"/>
  <c r="J35" i="18"/>
  <c r="H35" i="18"/>
  <c r="G35" i="18"/>
  <c r="F35" i="18"/>
  <c r="J34" i="18"/>
  <c r="H34" i="18"/>
  <c r="G34" i="18"/>
  <c r="F34" i="18"/>
  <c r="O33" i="18"/>
  <c r="N33" i="18"/>
  <c r="M33" i="18"/>
  <c r="L33" i="18"/>
  <c r="K33" i="18"/>
  <c r="J33" i="18"/>
  <c r="I33" i="18"/>
  <c r="H33" i="18"/>
  <c r="G33" i="18"/>
  <c r="F33" i="18"/>
  <c r="J32" i="18"/>
  <c r="H32" i="18"/>
  <c r="G32" i="18"/>
  <c r="F32" i="18"/>
  <c r="O31" i="18"/>
  <c r="N31" i="18"/>
  <c r="M31" i="18"/>
  <c r="L31" i="18"/>
  <c r="K31" i="18"/>
  <c r="J31" i="18"/>
  <c r="I31" i="18"/>
  <c r="H31" i="18"/>
  <c r="G31" i="18"/>
  <c r="F31" i="18"/>
  <c r="O24" i="18"/>
  <c r="N24" i="18"/>
  <c r="M24" i="18"/>
  <c r="L24" i="18"/>
  <c r="K24" i="18"/>
  <c r="J24" i="18"/>
  <c r="I24" i="18"/>
  <c r="H24" i="18"/>
  <c r="G24" i="18"/>
  <c r="F24" i="18"/>
  <c r="O23" i="18"/>
  <c r="N23" i="18"/>
  <c r="M23" i="18"/>
  <c r="L23" i="18"/>
  <c r="K23" i="18"/>
  <c r="J23" i="18"/>
  <c r="I23" i="18"/>
  <c r="H23" i="18"/>
  <c r="G23" i="18"/>
  <c r="F23" i="18"/>
  <c r="O22" i="18"/>
  <c r="N22" i="18"/>
  <c r="M22" i="18"/>
  <c r="L22" i="18"/>
  <c r="K22" i="18"/>
  <c r="J22" i="18"/>
  <c r="I22" i="18"/>
  <c r="H22" i="18"/>
  <c r="G22" i="18"/>
  <c r="F22" i="18"/>
  <c r="J21" i="18"/>
  <c r="H21" i="18"/>
  <c r="G21" i="18"/>
  <c r="F21" i="18"/>
  <c r="J20" i="18"/>
  <c r="H20" i="18"/>
  <c r="G20" i="18"/>
  <c r="F20" i="18"/>
  <c r="J19" i="18"/>
  <c r="H19" i="18"/>
  <c r="G19" i="18"/>
  <c r="F19" i="18"/>
  <c r="O18" i="18"/>
  <c r="N18" i="18"/>
  <c r="M18" i="18"/>
  <c r="L18" i="18"/>
  <c r="K18" i="18"/>
  <c r="J18" i="18"/>
  <c r="I18" i="18"/>
  <c r="H18" i="18"/>
  <c r="G18" i="18"/>
  <c r="F18" i="18"/>
  <c r="J17" i="18"/>
  <c r="H17" i="18"/>
  <c r="G17" i="18"/>
  <c r="F17" i="18"/>
  <c r="O16" i="18"/>
  <c r="N16" i="18"/>
  <c r="M16" i="18"/>
  <c r="L16" i="18"/>
  <c r="K16" i="18"/>
  <c r="J16" i="18"/>
  <c r="I16" i="18"/>
  <c r="H16" i="18"/>
  <c r="G16" i="18"/>
  <c r="F16" i="18"/>
  <c r="O9" i="18"/>
  <c r="N9" i="18"/>
  <c r="M9" i="18"/>
  <c r="L9" i="18"/>
  <c r="K9" i="18"/>
  <c r="J9" i="18"/>
  <c r="I9" i="18"/>
  <c r="H9" i="18"/>
  <c r="G9" i="18"/>
  <c r="F9" i="18"/>
  <c r="O8" i="18"/>
  <c r="N8" i="18"/>
  <c r="M8" i="18"/>
  <c r="L8" i="18"/>
  <c r="K8" i="18"/>
  <c r="J8" i="18"/>
  <c r="I8" i="18"/>
  <c r="H8" i="18"/>
  <c r="G8" i="18"/>
  <c r="F8" i="18"/>
  <c r="O7" i="18"/>
  <c r="N7" i="18"/>
  <c r="M7" i="18"/>
  <c r="L7" i="18"/>
  <c r="K7" i="18"/>
  <c r="J7" i="18"/>
  <c r="I7" i="18"/>
  <c r="H7" i="18"/>
  <c r="G7" i="18"/>
  <c r="F7" i="18"/>
  <c r="J6" i="18"/>
  <c r="H6" i="18"/>
  <c r="G6" i="18"/>
  <c r="F6" i="18"/>
  <c r="J5" i="18"/>
  <c r="H5" i="18"/>
  <c r="G5" i="18"/>
  <c r="F5" i="18"/>
  <c r="J4" i="18"/>
  <c r="H4" i="18"/>
  <c r="G4" i="18"/>
  <c r="F4" i="18"/>
  <c r="E157" i="36" l="1"/>
  <c r="G25" i="38" l="1"/>
  <c r="G25" i="17"/>
  <c r="I715" i="35" l="1"/>
  <c r="I59" i="35"/>
  <c r="J344" i="35"/>
  <c r="J337" i="35"/>
  <c r="J342" i="35"/>
  <c r="J334" i="35"/>
  <c r="J329" i="35"/>
  <c r="J327" i="35"/>
  <c r="J333" i="35"/>
  <c r="J332" i="35"/>
  <c r="J339" i="35"/>
  <c r="J336" i="35"/>
  <c r="J331" i="35"/>
  <c r="J343" i="35"/>
  <c r="J341" i="35"/>
  <c r="J340" i="35"/>
  <c r="J338" i="35"/>
  <c r="J328" i="35"/>
  <c r="J330" i="35"/>
  <c r="J335" i="35"/>
  <c r="G418" i="38" l="1"/>
  <c r="F418" i="38"/>
  <c r="G417" i="38"/>
  <c r="F417" i="38"/>
  <c r="G416" i="38"/>
  <c r="F416" i="38"/>
  <c r="G415" i="38"/>
  <c r="F415" i="38"/>
  <c r="G414" i="38"/>
  <c r="F414" i="38"/>
  <c r="L413" i="38"/>
  <c r="K413" i="38"/>
  <c r="J413" i="38"/>
  <c r="I413" i="38"/>
  <c r="H413" i="38"/>
  <c r="G413" i="38"/>
  <c r="L412" i="38"/>
  <c r="K412" i="38"/>
  <c r="J412" i="38"/>
  <c r="I412" i="38"/>
  <c r="H412" i="38"/>
  <c r="G412" i="38"/>
  <c r="L411" i="38"/>
  <c r="K411" i="38"/>
  <c r="J411" i="38"/>
  <c r="I411" i="38"/>
  <c r="H411" i="38"/>
  <c r="G411" i="38"/>
  <c r="L410" i="38"/>
  <c r="K410" i="38"/>
  <c r="J410" i="38"/>
  <c r="I410" i="38"/>
  <c r="H410" i="38"/>
  <c r="G410" i="38"/>
  <c r="L409" i="38"/>
  <c r="K409" i="38"/>
  <c r="J409" i="38"/>
  <c r="I409" i="38"/>
  <c r="H409" i="38"/>
  <c r="G409" i="38"/>
  <c r="A386" i="38"/>
  <c r="A387" i="38" s="1"/>
  <c r="G385" i="38"/>
  <c r="F385" i="38"/>
  <c r="G382" i="38"/>
  <c r="F382" i="38"/>
  <c r="G381" i="38"/>
  <c r="F381" i="38"/>
  <c r="G380" i="38"/>
  <c r="F380" i="38"/>
  <c r="G379" i="38"/>
  <c r="F379" i="38"/>
  <c r="G378" i="38"/>
  <c r="F378" i="38"/>
  <c r="A364" i="38"/>
  <c r="A365" i="38" s="1"/>
  <c r="G363" i="38"/>
  <c r="F363" i="38"/>
  <c r="G360" i="38"/>
  <c r="F360" i="38"/>
  <c r="G359" i="38"/>
  <c r="F359" i="38"/>
  <c r="G358" i="38"/>
  <c r="F358" i="38"/>
  <c r="G357" i="38"/>
  <c r="F357" i="38"/>
  <c r="G356" i="38"/>
  <c r="F356" i="38"/>
  <c r="A342" i="38"/>
  <c r="A343" i="38" s="1"/>
  <c r="G341" i="38"/>
  <c r="F341" i="38"/>
  <c r="G338" i="38"/>
  <c r="F338" i="38"/>
  <c r="G337" i="38"/>
  <c r="F337" i="38"/>
  <c r="G336" i="38"/>
  <c r="F336" i="38"/>
  <c r="G335" i="38"/>
  <c r="F335" i="38"/>
  <c r="G334" i="38"/>
  <c r="F334" i="38"/>
  <c r="A320" i="38"/>
  <c r="A321" i="38" s="1"/>
  <c r="A322" i="38" s="1"/>
  <c r="G319" i="38"/>
  <c r="F319" i="38"/>
  <c r="G316" i="38"/>
  <c r="F316" i="38"/>
  <c r="G315" i="38"/>
  <c r="F315" i="38"/>
  <c r="G314" i="38"/>
  <c r="F314" i="38"/>
  <c r="G313" i="38"/>
  <c r="F313" i="38"/>
  <c r="G312" i="38"/>
  <c r="F312" i="38"/>
  <c r="A298" i="38"/>
  <c r="A299" i="38" s="1"/>
  <c r="G297" i="38"/>
  <c r="F297" i="38"/>
  <c r="G294" i="38"/>
  <c r="F294" i="38"/>
  <c r="G293" i="38"/>
  <c r="F293" i="38"/>
  <c r="G292" i="38"/>
  <c r="F292" i="38"/>
  <c r="G291" i="38"/>
  <c r="F291" i="38"/>
  <c r="G290" i="38"/>
  <c r="F290" i="38"/>
  <c r="A276" i="38"/>
  <c r="A277" i="38" s="1"/>
  <c r="A278" i="38" s="1"/>
  <c r="G275" i="38"/>
  <c r="F275" i="38"/>
  <c r="G272" i="38"/>
  <c r="F272" i="38"/>
  <c r="G271" i="38"/>
  <c r="F271" i="38"/>
  <c r="G270" i="38"/>
  <c r="F270" i="38"/>
  <c r="G269" i="38"/>
  <c r="F269" i="38"/>
  <c r="G268" i="38"/>
  <c r="F268" i="38"/>
  <c r="A254" i="38"/>
  <c r="A255" i="38" s="1"/>
  <c r="G253" i="38"/>
  <c r="F253" i="38"/>
  <c r="G250" i="38"/>
  <c r="F250" i="38"/>
  <c r="G249" i="38"/>
  <c r="F249" i="38"/>
  <c r="G248" i="38"/>
  <c r="F248" i="38"/>
  <c r="G247" i="38"/>
  <c r="F247" i="38"/>
  <c r="G246" i="38"/>
  <c r="F246" i="38"/>
  <c r="A232" i="38"/>
  <c r="A233" i="38" s="1"/>
  <c r="A234" i="38" s="1"/>
  <c r="G231" i="38"/>
  <c r="F231" i="38"/>
  <c r="G228" i="38"/>
  <c r="F228" i="38"/>
  <c r="G227" i="38"/>
  <c r="F227" i="38"/>
  <c r="G226" i="38"/>
  <c r="F226" i="38"/>
  <c r="G225" i="38"/>
  <c r="F225" i="38"/>
  <c r="G224" i="38"/>
  <c r="F224" i="38"/>
  <c r="A210" i="38"/>
  <c r="A211" i="38" s="1"/>
  <c r="G209" i="38"/>
  <c r="F209" i="38"/>
  <c r="G206" i="38"/>
  <c r="F206" i="38"/>
  <c r="G205" i="38"/>
  <c r="F205" i="38"/>
  <c r="G204" i="38"/>
  <c r="F204" i="38"/>
  <c r="G203" i="38"/>
  <c r="F203" i="38"/>
  <c r="G202" i="38"/>
  <c r="F202" i="38"/>
  <c r="A188" i="38"/>
  <c r="A189" i="38" s="1"/>
  <c r="G187" i="38"/>
  <c r="F187" i="38"/>
  <c r="G184" i="38"/>
  <c r="F184" i="38"/>
  <c r="G183" i="38"/>
  <c r="F183" i="38"/>
  <c r="G182" i="38"/>
  <c r="F182" i="38"/>
  <c r="G181" i="38"/>
  <c r="F181" i="38"/>
  <c r="G180" i="38"/>
  <c r="F180" i="38"/>
  <c r="A166" i="38"/>
  <c r="A167" i="38" s="1"/>
  <c r="G165" i="38"/>
  <c r="F165" i="38"/>
  <c r="G162" i="38"/>
  <c r="F162" i="38"/>
  <c r="G161" i="38"/>
  <c r="F161" i="38"/>
  <c r="G160" i="38"/>
  <c r="F160" i="38"/>
  <c r="G159" i="38"/>
  <c r="F159" i="38"/>
  <c r="G158" i="38"/>
  <c r="F158" i="38"/>
  <c r="A144" i="38"/>
  <c r="A145" i="38" s="1"/>
  <c r="G143" i="38"/>
  <c r="G407" i="38" s="1"/>
  <c r="F143" i="38"/>
  <c r="F407" i="38" s="1"/>
  <c r="G140" i="38"/>
  <c r="G404" i="38" s="1"/>
  <c r="F140" i="38"/>
  <c r="F404" i="38" s="1"/>
  <c r="G139" i="38"/>
  <c r="G403" i="38" s="1"/>
  <c r="F139" i="38"/>
  <c r="F403" i="38" s="1"/>
  <c r="G138" i="38"/>
  <c r="G402" i="38" s="1"/>
  <c r="F138" i="38"/>
  <c r="F402" i="38" s="1"/>
  <c r="G137" i="38"/>
  <c r="G401" i="38" s="1"/>
  <c r="F137" i="38"/>
  <c r="F401" i="38" s="1"/>
  <c r="G136" i="38"/>
  <c r="G400" i="38" s="1"/>
  <c r="F136" i="38"/>
  <c r="F400" i="38" s="1"/>
  <c r="A122" i="38"/>
  <c r="A123" i="38" s="1"/>
  <c r="G121" i="38"/>
  <c r="F121" i="38"/>
  <c r="G118" i="38"/>
  <c r="F118" i="38"/>
  <c r="G117" i="38"/>
  <c r="F117" i="38"/>
  <c r="G116" i="38"/>
  <c r="F116" i="38"/>
  <c r="G115" i="38"/>
  <c r="F115" i="38"/>
  <c r="G114" i="38"/>
  <c r="F114" i="38"/>
  <c r="A100" i="38"/>
  <c r="A101" i="38" s="1"/>
  <c r="G99" i="38"/>
  <c r="F99" i="38"/>
  <c r="G96" i="38"/>
  <c r="F96" i="38"/>
  <c r="G95" i="38"/>
  <c r="F95" i="38"/>
  <c r="G94" i="38"/>
  <c r="F94" i="38"/>
  <c r="G93" i="38"/>
  <c r="F93" i="38"/>
  <c r="G92" i="38"/>
  <c r="F92" i="38"/>
  <c r="A78" i="38"/>
  <c r="A79" i="38" s="1"/>
  <c r="G77" i="38"/>
  <c r="F77" i="38"/>
  <c r="G74" i="38"/>
  <c r="F74" i="38"/>
  <c r="G73" i="38"/>
  <c r="F73" i="38"/>
  <c r="G72" i="38"/>
  <c r="F72" i="38"/>
  <c r="G71" i="38"/>
  <c r="F71" i="38"/>
  <c r="G70" i="38"/>
  <c r="F70" i="38"/>
  <c r="A56" i="38"/>
  <c r="A57" i="38" s="1"/>
  <c r="G55" i="38"/>
  <c r="F55" i="38"/>
  <c r="G52" i="38"/>
  <c r="F52" i="38"/>
  <c r="G51" i="38"/>
  <c r="F51" i="38"/>
  <c r="G50" i="38"/>
  <c r="F50" i="38"/>
  <c r="G49" i="38"/>
  <c r="F49" i="38"/>
  <c r="G48" i="38"/>
  <c r="F48" i="38"/>
  <c r="A34" i="38"/>
  <c r="A35" i="38" s="1"/>
  <c r="G33" i="38"/>
  <c r="F33" i="38"/>
  <c r="G30" i="38"/>
  <c r="F30" i="38"/>
  <c r="G29" i="38"/>
  <c r="F29" i="38"/>
  <c r="G28" i="38"/>
  <c r="F28" i="38"/>
  <c r="G27" i="38"/>
  <c r="F27" i="38"/>
  <c r="G26" i="38"/>
  <c r="F26" i="38"/>
  <c r="A12" i="38"/>
  <c r="G11" i="38"/>
  <c r="F11" i="38"/>
  <c r="G8" i="38"/>
  <c r="F8" i="38"/>
  <c r="G7" i="38"/>
  <c r="F7" i="38"/>
  <c r="G6" i="38"/>
  <c r="F6" i="38"/>
  <c r="G5" i="38"/>
  <c r="F5" i="38"/>
  <c r="G4" i="38"/>
  <c r="F4" i="38"/>
  <c r="A80" i="38" l="1"/>
  <c r="A168" i="38"/>
  <c r="A36" i="38"/>
  <c r="A124" i="38"/>
  <c r="A58" i="38"/>
  <c r="A102" i="38"/>
  <c r="A146" i="38"/>
  <c r="A190" i="38"/>
  <c r="A300" i="38"/>
  <c r="A212" i="38"/>
  <c r="A256" i="38"/>
  <c r="A235" i="38"/>
  <c r="A279" i="38"/>
  <c r="A323" i="38"/>
  <c r="A366" i="38"/>
  <c r="A344" i="38"/>
  <c r="A388" i="38"/>
  <c r="A345" i="38" l="1"/>
  <c r="A280" i="38"/>
  <c r="A236" i="38"/>
  <c r="A213" i="38"/>
  <c r="A125" i="38"/>
  <c r="A169" i="38"/>
  <c r="A324" i="38"/>
  <c r="A301" i="38"/>
  <c r="A147" i="38"/>
  <c r="A59" i="38"/>
  <c r="A37" i="38"/>
  <c r="A367" i="38"/>
  <c r="A191" i="38"/>
  <c r="A103" i="38"/>
  <c r="A389" i="38"/>
  <c r="A257" i="38"/>
  <c r="A81" i="38"/>
  <c r="A368" i="38" l="1"/>
  <c r="A170" i="38"/>
  <c r="A281" i="38"/>
  <c r="A82" i="38"/>
  <c r="A148" i="38"/>
  <c r="A258" i="38"/>
  <c r="A104" i="38"/>
  <c r="A60" i="38"/>
  <c r="A302" i="38"/>
  <c r="A214" i="38"/>
  <c r="A390" i="38"/>
  <c r="A192" i="38"/>
  <c r="A38" i="38"/>
  <c r="A325" i="38"/>
  <c r="A126" i="38"/>
  <c r="A237" i="38"/>
  <c r="A346" i="38"/>
  <c r="A391" i="38" l="1"/>
  <c r="A105" i="38"/>
  <c r="A326" i="38"/>
  <c r="A193" i="38"/>
  <c r="A61" i="38"/>
  <c r="A238" i="38"/>
  <c r="A215" i="38"/>
  <c r="A259" i="38"/>
  <c r="A83" i="38"/>
  <c r="A171" i="38"/>
  <c r="A347" i="38"/>
  <c r="A39" i="38"/>
  <c r="A303" i="38"/>
  <c r="A149" i="38"/>
  <c r="A282" i="38"/>
  <c r="A127" i="38"/>
  <c r="A369" i="38"/>
  <c r="A150" i="38" l="1"/>
  <c r="A172" i="38"/>
  <c r="A128" i="38"/>
  <c r="A41" i="38"/>
  <c r="A42" i="38" s="1"/>
  <c r="A260" i="38"/>
  <c r="A239" i="38"/>
  <c r="A240" i="38" s="1"/>
  <c r="A194" i="38"/>
  <c r="A106" i="38"/>
  <c r="A370" i="38"/>
  <c r="A84" i="38"/>
  <c r="A283" i="38"/>
  <c r="A284" i="38" s="1"/>
  <c r="A304" i="38"/>
  <c r="A348" i="38"/>
  <c r="A216" i="38"/>
  <c r="A62" i="38"/>
  <c r="A327" i="38"/>
  <c r="A328" i="38" s="1"/>
  <c r="A392" i="38"/>
  <c r="H120" i="35"/>
  <c r="H121" i="35"/>
  <c r="H122" i="35"/>
  <c r="H123" i="35"/>
  <c r="H124" i="35"/>
  <c r="H125" i="35"/>
  <c r="H126" i="35"/>
  <c r="H127" i="35"/>
  <c r="H129" i="35"/>
  <c r="H119" i="35"/>
  <c r="A349" i="38" l="1"/>
  <c r="A350" i="38" s="1"/>
  <c r="A241" i="38"/>
  <c r="A43" i="38"/>
  <c r="A329" i="38"/>
  <c r="A195" i="38"/>
  <c r="A196" i="38" s="1"/>
  <c r="A173" i="38"/>
  <c r="A174" i="38" s="1"/>
  <c r="A63" i="38"/>
  <c r="A64" i="38" s="1"/>
  <c r="A285" i="38"/>
  <c r="A85" i="38"/>
  <c r="A86" i="38" s="1"/>
  <c r="A305" i="38"/>
  <c r="A306" i="38" s="1"/>
  <c r="A371" i="38"/>
  <c r="A372" i="38" s="1"/>
  <c r="A151" i="38"/>
  <c r="A152" i="38" s="1"/>
  <c r="A393" i="38"/>
  <c r="A394" i="38" s="1"/>
  <c r="A217" i="38"/>
  <c r="A218" i="38" s="1"/>
  <c r="A107" i="38"/>
  <c r="A108" i="38" s="1"/>
  <c r="A261" i="38"/>
  <c r="A262" i="38" s="1"/>
  <c r="A129" i="38"/>
  <c r="A130" i="38" s="1"/>
  <c r="I49" i="35"/>
  <c r="I50" i="35"/>
  <c r="I51" i="35"/>
  <c r="I52" i="35"/>
  <c r="I53" i="35"/>
  <c r="I54" i="35"/>
  <c r="I55" i="35"/>
  <c r="I56" i="35"/>
  <c r="I57" i="35"/>
  <c r="I63" i="35"/>
  <c r="I64" i="35"/>
  <c r="I65" i="35"/>
  <c r="I66" i="35"/>
  <c r="I67" i="35"/>
  <c r="I68" i="35"/>
  <c r="I69" i="35"/>
  <c r="I70" i="35"/>
  <c r="I71" i="35"/>
  <c r="I73" i="35"/>
  <c r="I77" i="35"/>
  <c r="I78" i="35"/>
  <c r="I79" i="35"/>
  <c r="I80" i="35"/>
  <c r="I81" i="35"/>
  <c r="I82" i="35"/>
  <c r="I83" i="35"/>
  <c r="I84" i="35"/>
  <c r="I85" i="35"/>
  <c r="I87" i="35"/>
  <c r="I91" i="35"/>
  <c r="I92" i="35"/>
  <c r="I93" i="35"/>
  <c r="I94" i="35"/>
  <c r="I95" i="35"/>
  <c r="I96" i="35"/>
  <c r="I97" i="35"/>
  <c r="I98" i="35"/>
  <c r="I99" i="35"/>
  <c r="I101" i="35"/>
  <c r="I105" i="35"/>
  <c r="I106" i="35"/>
  <c r="I107" i="35"/>
  <c r="I108" i="35"/>
  <c r="I109" i="35"/>
  <c r="I110" i="35"/>
  <c r="I111" i="35"/>
  <c r="I112" i="35"/>
  <c r="I113" i="35"/>
  <c r="I115" i="35"/>
  <c r="I119" i="35"/>
  <c r="I120" i="35"/>
  <c r="I121" i="35"/>
  <c r="I122" i="35"/>
  <c r="I123" i="35"/>
  <c r="I124" i="35"/>
  <c r="I125" i="35"/>
  <c r="I126" i="35"/>
  <c r="I127" i="35"/>
  <c r="I129" i="35"/>
  <c r="I133" i="35"/>
  <c r="I134" i="35"/>
  <c r="I135" i="35"/>
  <c r="I136" i="35"/>
  <c r="I137" i="35"/>
  <c r="I138" i="35"/>
  <c r="I139" i="35"/>
  <c r="I140" i="35"/>
  <c r="I141" i="35"/>
  <c r="I143" i="35"/>
  <c r="I147" i="35"/>
  <c r="I148" i="35"/>
  <c r="I149" i="35"/>
  <c r="I150" i="35"/>
  <c r="I151" i="35"/>
  <c r="I152" i="35"/>
  <c r="I153" i="35"/>
  <c r="I154" i="35"/>
  <c r="I155" i="35"/>
  <c r="I157" i="35"/>
  <c r="I161" i="35"/>
  <c r="I162" i="35"/>
  <c r="I163" i="35"/>
  <c r="I164" i="35"/>
  <c r="I165" i="35"/>
  <c r="I166" i="35"/>
  <c r="I167" i="35"/>
  <c r="I168" i="35"/>
  <c r="I169" i="35"/>
  <c r="I171" i="35"/>
  <c r="I175" i="35"/>
  <c r="I176" i="35"/>
  <c r="I177" i="35"/>
  <c r="I178" i="35"/>
  <c r="I179" i="35"/>
  <c r="I180" i="35"/>
  <c r="I181" i="35"/>
  <c r="I182" i="35"/>
  <c r="I183" i="35"/>
  <c r="I185" i="35"/>
  <c r="I189" i="35"/>
  <c r="I190" i="35"/>
  <c r="I191" i="35"/>
  <c r="I192" i="35"/>
  <c r="I193" i="35"/>
  <c r="I194" i="35"/>
  <c r="I195" i="35"/>
  <c r="I196" i="35"/>
  <c r="I197" i="35"/>
  <c r="I199" i="35"/>
  <c r="I203" i="35"/>
  <c r="I204" i="35"/>
  <c r="I205" i="35"/>
  <c r="I206" i="35"/>
  <c r="I207" i="35"/>
  <c r="I208" i="35"/>
  <c r="I209" i="35"/>
  <c r="I210" i="35"/>
  <c r="I211" i="35"/>
  <c r="I213" i="35"/>
  <c r="I217" i="35"/>
  <c r="I218" i="35"/>
  <c r="I219" i="35"/>
  <c r="I220" i="35"/>
  <c r="I221" i="35"/>
  <c r="I222" i="35"/>
  <c r="I223" i="35"/>
  <c r="I224" i="35"/>
  <c r="I225" i="35"/>
  <c r="I227" i="35"/>
  <c r="I231" i="35"/>
  <c r="I232" i="35"/>
  <c r="I233" i="35"/>
  <c r="I234" i="35"/>
  <c r="I235" i="35"/>
  <c r="I236" i="35"/>
  <c r="I237" i="35"/>
  <c r="I238" i="35"/>
  <c r="I239" i="35"/>
  <c r="I241" i="35"/>
  <c r="I245" i="35"/>
  <c r="I246" i="35"/>
  <c r="I247" i="35"/>
  <c r="I248" i="35"/>
  <c r="I249" i="35"/>
  <c r="I250" i="35"/>
  <c r="I251" i="35"/>
  <c r="I252" i="35"/>
  <c r="I253" i="35"/>
  <c r="I255" i="35"/>
  <c r="I259" i="35"/>
  <c r="I260" i="35"/>
  <c r="I261" i="35"/>
  <c r="I262" i="35"/>
  <c r="I263" i="35"/>
  <c r="I264" i="35"/>
  <c r="I265" i="35"/>
  <c r="I266" i="35"/>
  <c r="I267" i="35"/>
  <c r="I269" i="35"/>
  <c r="I273" i="35"/>
  <c r="I274" i="35"/>
  <c r="I275" i="35"/>
  <c r="I276" i="35"/>
  <c r="I277" i="35"/>
  <c r="I278" i="35"/>
  <c r="I279" i="35"/>
  <c r="I280" i="35"/>
  <c r="I281" i="35"/>
  <c r="I283" i="35"/>
  <c r="I287" i="35"/>
  <c r="I288" i="35"/>
  <c r="I289" i="35"/>
  <c r="I290" i="35"/>
  <c r="I291" i="35"/>
  <c r="I292" i="35"/>
  <c r="I293" i="35"/>
  <c r="I294" i="35"/>
  <c r="I295" i="35"/>
  <c r="I297" i="35"/>
  <c r="L49" i="35"/>
  <c r="M49" i="35"/>
  <c r="N49" i="35"/>
  <c r="O49" i="35"/>
  <c r="L50" i="35"/>
  <c r="M50" i="35"/>
  <c r="N50" i="35"/>
  <c r="O50" i="35"/>
  <c r="L51" i="35"/>
  <c r="M51" i="35"/>
  <c r="N51" i="35"/>
  <c r="O51" i="35"/>
  <c r="L52" i="35"/>
  <c r="M52" i="35"/>
  <c r="N52" i="35"/>
  <c r="O52" i="35"/>
  <c r="L53" i="35"/>
  <c r="M53" i="35"/>
  <c r="N53" i="35"/>
  <c r="O53" i="35"/>
  <c r="L54" i="35"/>
  <c r="M54" i="35"/>
  <c r="N54" i="35"/>
  <c r="O54" i="35"/>
  <c r="L55" i="35"/>
  <c r="M55" i="35"/>
  <c r="N55" i="35"/>
  <c r="O55" i="35"/>
  <c r="L56" i="35"/>
  <c r="M56" i="35"/>
  <c r="N56" i="35"/>
  <c r="O56" i="35"/>
  <c r="L57" i="35"/>
  <c r="M57" i="35"/>
  <c r="N57" i="35"/>
  <c r="O57" i="35"/>
  <c r="L59" i="35"/>
  <c r="M59" i="35"/>
  <c r="N59" i="35"/>
  <c r="O59" i="35"/>
  <c r="L63" i="35"/>
  <c r="M63" i="35"/>
  <c r="N63" i="35"/>
  <c r="O63" i="35"/>
  <c r="L64" i="35"/>
  <c r="M64" i="35"/>
  <c r="N64" i="35"/>
  <c r="O64" i="35"/>
  <c r="L65" i="35"/>
  <c r="M65" i="35"/>
  <c r="N65" i="35"/>
  <c r="O65" i="35"/>
  <c r="L66" i="35"/>
  <c r="M66" i="35"/>
  <c r="N66" i="35"/>
  <c r="O66" i="35"/>
  <c r="L67" i="35"/>
  <c r="M67" i="35"/>
  <c r="N67" i="35"/>
  <c r="O67" i="35"/>
  <c r="L68" i="35"/>
  <c r="M68" i="35"/>
  <c r="N68" i="35"/>
  <c r="O68" i="35"/>
  <c r="L69" i="35"/>
  <c r="M69" i="35"/>
  <c r="N69" i="35"/>
  <c r="O69" i="35"/>
  <c r="L70" i="35"/>
  <c r="M70" i="35"/>
  <c r="N70" i="35"/>
  <c r="O70" i="35"/>
  <c r="L71" i="35"/>
  <c r="M71" i="35"/>
  <c r="N71" i="35"/>
  <c r="O71" i="35"/>
  <c r="L73" i="35"/>
  <c r="M73" i="35"/>
  <c r="N73" i="35"/>
  <c r="O73" i="35"/>
  <c r="L77" i="35"/>
  <c r="M77" i="35"/>
  <c r="N77" i="35"/>
  <c r="O77" i="35"/>
  <c r="L78" i="35"/>
  <c r="M78" i="35"/>
  <c r="N78" i="35"/>
  <c r="O78" i="35"/>
  <c r="L79" i="35"/>
  <c r="M79" i="35"/>
  <c r="N79" i="35"/>
  <c r="O79" i="35"/>
  <c r="L80" i="35"/>
  <c r="M80" i="35"/>
  <c r="N80" i="35"/>
  <c r="O80" i="35"/>
  <c r="L81" i="35"/>
  <c r="M81" i="35"/>
  <c r="N81" i="35"/>
  <c r="O81" i="35"/>
  <c r="L82" i="35"/>
  <c r="M82" i="35"/>
  <c r="N82" i="35"/>
  <c r="O82" i="35"/>
  <c r="L83" i="35"/>
  <c r="M83" i="35"/>
  <c r="N83" i="35"/>
  <c r="O83" i="35"/>
  <c r="L84" i="35"/>
  <c r="M84" i="35"/>
  <c r="N84" i="35"/>
  <c r="O84" i="35"/>
  <c r="L85" i="35"/>
  <c r="M85" i="35"/>
  <c r="N85" i="35"/>
  <c r="O85" i="35"/>
  <c r="L87" i="35"/>
  <c r="M87" i="35"/>
  <c r="N87" i="35"/>
  <c r="O87" i="35"/>
  <c r="L91" i="35"/>
  <c r="M91" i="35"/>
  <c r="N91" i="35"/>
  <c r="O91" i="35"/>
  <c r="L92" i="35"/>
  <c r="M92" i="35"/>
  <c r="N92" i="35"/>
  <c r="O92" i="35"/>
  <c r="L93" i="35"/>
  <c r="M93" i="35"/>
  <c r="N93" i="35"/>
  <c r="O93" i="35"/>
  <c r="L94" i="35"/>
  <c r="M94" i="35"/>
  <c r="N94" i="35"/>
  <c r="O94" i="35"/>
  <c r="L95" i="35"/>
  <c r="M95" i="35"/>
  <c r="N95" i="35"/>
  <c r="O95" i="35"/>
  <c r="L96" i="35"/>
  <c r="M96" i="35"/>
  <c r="N96" i="35"/>
  <c r="O96" i="35"/>
  <c r="L97" i="35"/>
  <c r="M97" i="35"/>
  <c r="N97" i="35"/>
  <c r="O97" i="35"/>
  <c r="L98" i="35"/>
  <c r="M98" i="35"/>
  <c r="N98" i="35"/>
  <c r="O98" i="35"/>
  <c r="L99" i="35"/>
  <c r="M99" i="35"/>
  <c r="N99" i="35"/>
  <c r="O99" i="35"/>
  <c r="L101" i="35"/>
  <c r="M101" i="35"/>
  <c r="N101" i="35"/>
  <c r="O101" i="35"/>
  <c r="L105" i="35"/>
  <c r="M105" i="35"/>
  <c r="N105" i="35"/>
  <c r="O105" i="35"/>
  <c r="L106" i="35"/>
  <c r="M106" i="35"/>
  <c r="N106" i="35"/>
  <c r="O106" i="35"/>
  <c r="L107" i="35"/>
  <c r="M107" i="35"/>
  <c r="N107" i="35"/>
  <c r="O107" i="35"/>
  <c r="L108" i="35"/>
  <c r="M108" i="35"/>
  <c r="N108" i="35"/>
  <c r="O108" i="35"/>
  <c r="L109" i="35"/>
  <c r="M109" i="35"/>
  <c r="N109" i="35"/>
  <c r="O109" i="35"/>
  <c r="L110" i="35"/>
  <c r="M110" i="35"/>
  <c r="N110" i="35"/>
  <c r="O110" i="35"/>
  <c r="L111" i="35"/>
  <c r="M111" i="35"/>
  <c r="N111" i="35"/>
  <c r="O111" i="35"/>
  <c r="L112" i="35"/>
  <c r="M112" i="35"/>
  <c r="N112" i="35"/>
  <c r="O112" i="35"/>
  <c r="L113" i="35"/>
  <c r="M113" i="35"/>
  <c r="N113" i="35"/>
  <c r="O113" i="35"/>
  <c r="L115" i="35"/>
  <c r="M115" i="35"/>
  <c r="N115" i="35"/>
  <c r="O115" i="35"/>
  <c r="L119" i="35"/>
  <c r="M119" i="35"/>
  <c r="N119" i="35"/>
  <c r="O119" i="35"/>
  <c r="L120" i="35"/>
  <c r="M120" i="35"/>
  <c r="N120" i="35"/>
  <c r="O120" i="35"/>
  <c r="L121" i="35"/>
  <c r="M121" i="35"/>
  <c r="N121" i="35"/>
  <c r="O121" i="35"/>
  <c r="L122" i="35"/>
  <c r="M122" i="35"/>
  <c r="N122" i="35"/>
  <c r="O122" i="35"/>
  <c r="L123" i="35"/>
  <c r="M123" i="35"/>
  <c r="N123" i="35"/>
  <c r="O123" i="35"/>
  <c r="L124" i="35"/>
  <c r="M124" i="35"/>
  <c r="N124" i="35"/>
  <c r="O124" i="35"/>
  <c r="L125" i="35"/>
  <c r="M125" i="35"/>
  <c r="N125" i="35"/>
  <c r="O125" i="35"/>
  <c r="L126" i="35"/>
  <c r="M126" i="35"/>
  <c r="N126" i="35"/>
  <c r="O126" i="35"/>
  <c r="L127" i="35"/>
  <c r="M127" i="35"/>
  <c r="N127" i="35"/>
  <c r="O127" i="35"/>
  <c r="L129" i="35"/>
  <c r="M129" i="35"/>
  <c r="N129" i="35"/>
  <c r="O129" i="35"/>
  <c r="L133" i="35"/>
  <c r="M133" i="35"/>
  <c r="N133" i="35"/>
  <c r="O133" i="35"/>
  <c r="L134" i="35"/>
  <c r="M134" i="35"/>
  <c r="N134" i="35"/>
  <c r="O134" i="35"/>
  <c r="L135" i="35"/>
  <c r="M135" i="35"/>
  <c r="N135" i="35"/>
  <c r="O135" i="35"/>
  <c r="L136" i="35"/>
  <c r="M136" i="35"/>
  <c r="N136" i="35"/>
  <c r="O136" i="35"/>
  <c r="L137" i="35"/>
  <c r="M137" i="35"/>
  <c r="N137" i="35"/>
  <c r="O137" i="35"/>
  <c r="L138" i="35"/>
  <c r="M138" i="35"/>
  <c r="N138" i="35"/>
  <c r="O138" i="35"/>
  <c r="L139" i="35"/>
  <c r="M139" i="35"/>
  <c r="N139" i="35"/>
  <c r="O139" i="35"/>
  <c r="L140" i="35"/>
  <c r="M140" i="35"/>
  <c r="N140" i="35"/>
  <c r="O140" i="35"/>
  <c r="L141" i="35"/>
  <c r="M141" i="35"/>
  <c r="N141" i="35"/>
  <c r="O141" i="35"/>
  <c r="L143" i="35"/>
  <c r="M143" i="35"/>
  <c r="N143" i="35"/>
  <c r="O143" i="35"/>
  <c r="L147" i="35"/>
  <c r="M147" i="35"/>
  <c r="N147" i="35"/>
  <c r="O147" i="35"/>
  <c r="L148" i="35"/>
  <c r="M148" i="35"/>
  <c r="N148" i="35"/>
  <c r="O148" i="35"/>
  <c r="L149" i="35"/>
  <c r="M149" i="35"/>
  <c r="N149" i="35"/>
  <c r="O149" i="35"/>
  <c r="L150" i="35"/>
  <c r="M150" i="35"/>
  <c r="N150" i="35"/>
  <c r="O150" i="35"/>
  <c r="L151" i="35"/>
  <c r="M151" i="35"/>
  <c r="N151" i="35"/>
  <c r="O151" i="35"/>
  <c r="L152" i="35"/>
  <c r="M152" i="35"/>
  <c r="N152" i="35"/>
  <c r="O152" i="35"/>
  <c r="L153" i="35"/>
  <c r="M153" i="35"/>
  <c r="N153" i="35"/>
  <c r="O153" i="35"/>
  <c r="L154" i="35"/>
  <c r="M154" i="35"/>
  <c r="N154" i="35"/>
  <c r="O154" i="35"/>
  <c r="L155" i="35"/>
  <c r="M155" i="35"/>
  <c r="N155" i="35"/>
  <c r="O155" i="35"/>
  <c r="L157" i="35"/>
  <c r="M157" i="35"/>
  <c r="N157" i="35"/>
  <c r="O157" i="35"/>
  <c r="L161" i="35"/>
  <c r="M161" i="35"/>
  <c r="N161" i="35"/>
  <c r="O161" i="35"/>
  <c r="L162" i="35"/>
  <c r="M162" i="35"/>
  <c r="N162" i="35"/>
  <c r="O162" i="35"/>
  <c r="L163" i="35"/>
  <c r="M163" i="35"/>
  <c r="N163" i="35"/>
  <c r="O163" i="35"/>
  <c r="L164" i="35"/>
  <c r="M164" i="35"/>
  <c r="N164" i="35"/>
  <c r="O164" i="35"/>
  <c r="L165" i="35"/>
  <c r="M165" i="35"/>
  <c r="N165" i="35"/>
  <c r="O165" i="35"/>
  <c r="L166" i="35"/>
  <c r="M166" i="35"/>
  <c r="N166" i="35"/>
  <c r="O166" i="35"/>
  <c r="L167" i="35"/>
  <c r="M167" i="35"/>
  <c r="N167" i="35"/>
  <c r="O167" i="35"/>
  <c r="L168" i="35"/>
  <c r="M168" i="35"/>
  <c r="N168" i="35"/>
  <c r="O168" i="35"/>
  <c r="L169" i="35"/>
  <c r="M169" i="35"/>
  <c r="N169" i="35"/>
  <c r="O169" i="35"/>
  <c r="L171" i="35"/>
  <c r="M171" i="35"/>
  <c r="N171" i="35"/>
  <c r="O171" i="35"/>
  <c r="L175" i="35"/>
  <c r="M175" i="35"/>
  <c r="N175" i="35"/>
  <c r="O175" i="35"/>
  <c r="L176" i="35"/>
  <c r="M176" i="35"/>
  <c r="N176" i="35"/>
  <c r="O176" i="35"/>
  <c r="L177" i="35"/>
  <c r="M177" i="35"/>
  <c r="N177" i="35"/>
  <c r="O177" i="35"/>
  <c r="L178" i="35"/>
  <c r="M178" i="35"/>
  <c r="N178" i="35"/>
  <c r="O178" i="35"/>
  <c r="L179" i="35"/>
  <c r="M179" i="35"/>
  <c r="N179" i="35"/>
  <c r="O179" i="35"/>
  <c r="L180" i="35"/>
  <c r="M180" i="35"/>
  <c r="N180" i="35"/>
  <c r="O180" i="35"/>
  <c r="L181" i="35"/>
  <c r="M181" i="35"/>
  <c r="N181" i="35"/>
  <c r="O181" i="35"/>
  <c r="L182" i="35"/>
  <c r="M182" i="35"/>
  <c r="N182" i="35"/>
  <c r="O182" i="35"/>
  <c r="L183" i="35"/>
  <c r="M183" i="35"/>
  <c r="N183" i="35"/>
  <c r="O183" i="35"/>
  <c r="L185" i="35"/>
  <c r="M185" i="35"/>
  <c r="N185" i="35"/>
  <c r="O185" i="35"/>
  <c r="L189" i="35"/>
  <c r="M189" i="35"/>
  <c r="N189" i="35"/>
  <c r="O189" i="35"/>
  <c r="L190" i="35"/>
  <c r="M190" i="35"/>
  <c r="N190" i="35"/>
  <c r="O190" i="35"/>
  <c r="L191" i="35"/>
  <c r="M191" i="35"/>
  <c r="N191" i="35"/>
  <c r="O191" i="35"/>
  <c r="L192" i="35"/>
  <c r="M192" i="35"/>
  <c r="N192" i="35"/>
  <c r="O192" i="35"/>
  <c r="L193" i="35"/>
  <c r="M193" i="35"/>
  <c r="N193" i="35"/>
  <c r="O193" i="35"/>
  <c r="L194" i="35"/>
  <c r="M194" i="35"/>
  <c r="N194" i="35"/>
  <c r="O194" i="35"/>
  <c r="L195" i="35"/>
  <c r="M195" i="35"/>
  <c r="N195" i="35"/>
  <c r="O195" i="35"/>
  <c r="L196" i="35"/>
  <c r="M196" i="35"/>
  <c r="N196" i="35"/>
  <c r="O196" i="35"/>
  <c r="L197" i="35"/>
  <c r="M197" i="35"/>
  <c r="N197" i="35"/>
  <c r="O197" i="35"/>
  <c r="L199" i="35"/>
  <c r="M199" i="35"/>
  <c r="N199" i="35"/>
  <c r="O199" i="35"/>
  <c r="L203" i="35"/>
  <c r="M203" i="35"/>
  <c r="N203" i="35"/>
  <c r="O203" i="35"/>
  <c r="L204" i="35"/>
  <c r="M204" i="35"/>
  <c r="N204" i="35"/>
  <c r="O204" i="35"/>
  <c r="L205" i="35"/>
  <c r="M205" i="35"/>
  <c r="N205" i="35"/>
  <c r="O205" i="35"/>
  <c r="L206" i="35"/>
  <c r="M206" i="35"/>
  <c r="N206" i="35"/>
  <c r="O206" i="35"/>
  <c r="L207" i="35"/>
  <c r="M207" i="35"/>
  <c r="N207" i="35"/>
  <c r="O207" i="35"/>
  <c r="L208" i="35"/>
  <c r="M208" i="35"/>
  <c r="N208" i="35"/>
  <c r="O208" i="35"/>
  <c r="L209" i="35"/>
  <c r="M209" i="35"/>
  <c r="N209" i="35"/>
  <c r="O209" i="35"/>
  <c r="L210" i="35"/>
  <c r="M210" i="35"/>
  <c r="N210" i="35"/>
  <c r="O210" i="35"/>
  <c r="L211" i="35"/>
  <c r="M211" i="35"/>
  <c r="N211" i="35"/>
  <c r="O211" i="35"/>
  <c r="L213" i="35"/>
  <c r="M213" i="35"/>
  <c r="N213" i="35"/>
  <c r="O213" i="35"/>
  <c r="L217" i="35"/>
  <c r="M217" i="35"/>
  <c r="N217" i="35"/>
  <c r="O217" i="35"/>
  <c r="L218" i="35"/>
  <c r="M218" i="35"/>
  <c r="N218" i="35"/>
  <c r="O218" i="35"/>
  <c r="L219" i="35"/>
  <c r="M219" i="35"/>
  <c r="N219" i="35"/>
  <c r="O219" i="35"/>
  <c r="L220" i="35"/>
  <c r="M220" i="35"/>
  <c r="N220" i="35"/>
  <c r="O220" i="35"/>
  <c r="L221" i="35"/>
  <c r="M221" i="35"/>
  <c r="N221" i="35"/>
  <c r="O221" i="35"/>
  <c r="L222" i="35"/>
  <c r="M222" i="35"/>
  <c r="N222" i="35"/>
  <c r="O222" i="35"/>
  <c r="L223" i="35"/>
  <c r="M223" i="35"/>
  <c r="N223" i="35"/>
  <c r="O223" i="35"/>
  <c r="L224" i="35"/>
  <c r="M224" i="35"/>
  <c r="N224" i="35"/>
  <c r="O224" i="35"/>
  <c r="L225" i="35"/>
  <c r="M225" i="35"/>
  <c r="N225" i="35"/>
  <c r="O225" i="35"/>
  <c r="L227" i="35"/>
  <c r="M227" i="35"/>
  <c r="N227" i="35"/>
  <c r="O227" i="35"/>
  <c r="L231" i="35"/>
  <c r="M231" i="35"/>
  <c r="N231" i="35"/>
  <c r="O231" i="35"/>
  <c r="L232" i="35"/>
  <c r="M232" i="35"/>
  <c r="N232" i="35"/>
  <c r="O232" i="35"/>
  <c r="L233" i="35"/>
  <c r="M233" i="35"/>
  <c r="N233" i="35"/>
  <c r="O233" i="35"/>
  <c r="L234" i="35"/>
  <c r="M234" i="35"/>
  <c r="N234" i="35"/>
  <c r="O234" i="35"/>
  <c r="L235" i="35"/>
  <c r="M235" i="35"/>
  <c r="N235" i="35"/>
  <c r="O235" i="35"/>
  <c r="L236" i="35"/>
  <c r="M236" i="35"/>
  <c r="N236" i="35"/>
  <c r="O236" i="35"/>
  <c r="L237" i="35"/>
  <c r="M237" i="35"/>
  <c r="N237" i="35"/>
  <c r="O237" i="35"/>
  <c r="L238" i="35"/>
  <c r="M238" i="35"/>
  <c r="N238" i="35"/>
  <c r="O238" i="35"/>
  <c r="L239" i="35"/>
  <c r="M239" i="35"/>
  <c r="N239" i="35"/>
  <c r="O239" i="35"/>
  <c r="L241" i="35"/>
  <c r="M241" i="35"/>
  <c r="N241" i="35"/>
  <c r="O241" i="35"/>
  <c r="L245" i="35"/>
  <c r="M245" i="35"/>
  <c r="N245" i="35"/>
  <c r="O245" i="35"/>
  <c r="L246" i="35"/>
  <c r="M246" i="35"/>
  <c r="N246" i="35"/>
  <c r="O246" i="35"/>
  <c r="L247" i="35"/>
  <c r="M247" i="35"/>
  <c r="N247" i="35"/>
  <c r="O247" i="35"/>
  <c r="L248" i="35"/>
  <c r="M248" i="35"/>
  <c r="N248" i="35"/>
  <c r="O248" i="35"/>
  <c r="L249" i="35"/>
  <c r="M249" i="35"/>
  <c r="N249" i="35"/>
  <c r="O249" i="35"/>
  <c r="L250" i="35"/>
  <c r="M250" i="35"/>
  <c r="N250" i="35"/>
  <c r="O250" i="35"/>
  <c r="L251" i="35"/>
  <c r="M251" i="35"/>
  <c r="N251" i="35"/>
  <c r="O251" i="35"/>
  <c r="L252" i="35"/>
  <c r="M252" i="35"/>
  <c r="N252" i="35"/>
  <c r="O252" i="35"/>
  <c r="L253" i="35"/>
  <c r="M253" i="35"/>
  <c r="N253" i="35"/>
  <c r="O253" i="35"/>
  <c r="L255" i="35"/>
  <c r="M255" i="35"/>
  <c r="N255" i="35"/>
  <c r="O255" i="35"/>
  <c r="L259" i="35"/>
  <c r="M259" i="35"/>
  <c r="N259" i="35"/>
  <c r="O259" i="35"/>
  <c r="L260" i="35"/>
  <c r="M260" i="35"/>
  <c r="N260" i="35"/>
  <c r="O260" i="35"/>
  <c r="L261" i="35"/>
  <c r="M261" i="35"/>
  <c r="N261" i="35"/>
  <c r="O261" i="35"/>
  <c r="L262" i="35"/>
  <c r="M262" i="35"/>
  <c r="N262" i="35"/>
  <c r="O262" i="35"/>
  <c r="L263" i="35"/>
  <c r="M263" i="35"/>
  <c r="N263" i="35"/>
  <c r="O263" i="35"/>
  <c r="L264" i="35"/>
  <c r="M264" i="35"/>
  <c r="N264" i="35"/>
  <c r="O264" i="35"/>
  <c r="L265" i="35"/>
  <c r="M265" i="35"/>
  <c r="N265" i="35"/>
  <c r="O265" i="35"/>
  <c r="L266" i="35"/>
  <c r="M266" i="35"/>
  <c r="N266" i="35"/>
  <c r="O266" i="35"/>
  <c r="L267" i="35"/>
  <c r="M267" i="35"/>
  <c r="N267" i="35"/>
  <c r="O267" i="35"/>
  <c r="L269" i="35"/>
  <c r="M269" i="35"/>
  <c r="N269" i="35"/>
  <c r="O269" i="35"/>
  <c r="L273" i="35"/>
  <c r="M273" i="35"/>
  <c r="N273" i="35"/>
  <c r="O273" i="35"/>
  <c r="L274" i="35"/>
  <c r="M274" i="35"/>
  <c r="N274" i="35"/>
  <c r="O274" i="35"/>
  <c r="L275" i="35"/>
  <c r="M275" i="35"/>
  <c r="N275" i="35"/>
  <c r="O275" i="35"/>
  <c r="L276" i="35"/>
  <c r="M276" i="35"/>
  <c r="N276" i="35"/>
  <c r="O276" i="35"/>
  <c r="L277" i="35"/>
  <c r="M277" i="35"/>
  <c r="N277" i="35"/>
  <c r="O277" i="35"/>
  <c r="L278" i="35"/>
  <c r="M278" i="35"/>
  <c r="N278" i="35"/>
  <c r="O278" i="35"/>
  <c r="L279" i="35"/>
  <c r="M279" i="35"/>
  <c r="N279" i="35"/>
  <c r="O279" i="35"/>
  <c r="L280" i="35"/>
  <c r="M280" i="35"/>
  <c r="N280" i="35"/>
  <c r="O280" i="35"/>
  <c r="L281" i="35"/>
  <c r="M281" i="35"/>
  <c r="N281" i="35"/>
  <c r="O281" i="35"/>
  <c r="L283" i="35"/>
  <c r="M283" i="35"/>
  <c r="N283" i="35"/>
  <c r="O283" i="35"/>
  <c r="L287" i="35"/>
  <c r="M287" i="35"/>
  <c r="N287" i="35"/>
  <c r="O287" i="35"/>
  <c r="L288" i="35"/>
  <c r="M288" i="35"/>
  <c r="N288" i="35"/>
  <c r="O288" i="35"/>
  <c r="L289" i="35"/>
  <c r="M289" i="35"/>
  <c r="N289" i="35"/>
  <c r="O289" i="35"/>
  <c r="L290" i="35"/>
  <c r="M290" i="35"/>
  <c r="N290" i="35"/>
  <c r="O290" i="35"/>
  <c r="L291" i="35"/>
  <c r="M291" i="35"/>
  <c r="N291" i="35"/>
  <c r="O291" i="35"/>
  <c r="L292" i="35"/>
  <c r="M292" i="35"/>
  <c r="N292" i="35"/>
  <c r="O292" i="35"/>
  <c r="L293" i="35"/>
  <c r="M293" i="35"/>
  <c r="N293" i="35"/>
  <c r="O293" i="35"/>
  <c r="L294" i="35"/>
  <c r="M294" i="35"/>
  <c r="N294" i="35"/>
  <c r="O294" i="35"/>
  <c r="L295" i="35"/>
  <c r="M295" i="35"/>
  <c r="N295" i="35"/>
  <c r="O295" i="35"/>
  <c r="L297" i="35"/>
  <c r="M297" i="35"/>
  <c r="N297" i="35"/>
  <c r="O297" i="35"/>
  <c r="M344" i="35"/>
  <c r="O337" i="35"/>
  <c r="M335" i="35"/>
  <c r="I340" i="35"/>
  <c r="N334" i="35"/>
  <c r="L341" i="35"/>
  <c r="I339" i="35"/>
  <c r="N330" i="35"/>
  <c r="N337" i="35"/>
  <c r="M332" i="35"/>
  <c r="O342" i="35"/>
  <c r="L336" i="35"/>
  <c r="I332" i="35"/>
  <c r="M343" i="35"/>
  <c r="O338" i="35"/>
  <c r="L340" i="35"/>
  <c r="N333" i="35"/>
  <c r="O328" i="35"/>
  <c r="I337" i="35"/>
  <c r="M333" i="35"/>
  <c r="L344" i="35"/>
  <c r="O327" i="35"/>
  <c r="M330" i="35"/>
  <c r="I335" i="35"/>
  <c r="M331" i="35"/>
  <c r="I327" i="35"/>
  <c r="I338" i="35"/>
  <c r="N339" i="35"/>
  <c r="O335" i="35"/>
  <c r="O330" i="35"/>
  <c r="N328" i="35"/>
  <c r="L327" i="35"/>
  <c r="M328" i="35"/>
  <c r="I343" i="35"/>
  <c r="I328" i="35"/>
  <c r="I336" i="35"/>
  <c r="L339" i="35"/>
  <c r="O341" i="35"/>
  <c r="L335" i="35"/>
  <c r="N342" i="35"/>
  <c r="I331" i="35"/>
  <c r="M342" i="35"/>
  <c r="L328" i="35"/>
  <c r="O340" i="35"/>
  <c r="M338" i="35"/>
  <c r="L337" i="35"/>
  <c r="L330" i="35"/>
  <c r="I334" i="35"/>
  <c r="M339" i="35"/>
  <c r="I342" i="35"/>
  <c r="N344" i="35"/>
  <c r="O333" i="35"/>
  <c r="M336" i="35"/>
  <c r="L332" i="35"/>
  <c r="N341" i="35"/>
  <c r="M341" i="35"/>
  <c r="N332" i="35"/>
  <c r="L342" i="35"/>
  <c r="I333" i="35"/>
  <c r="O344" i="35"/>
  <c r="O331" i="35"/>
  <c r="O332" i="35"/>
  <c r="I344" i="35"/>
  <c r="L338" i="35"/>
  <c r="N331" i="35"/>
  <c r="M337" i="35"/>
  <c r="I329" i="35"/>
  <c r="O343" i="35"/>
  <c r="N343" i="35"/>
  <c r="M334" i="35"/>
  <c r="O329" i="35"/>
  <c r="N327" i="35"/>
  <c r="N338" i="35"/>
  <c r="N336" i="35"/>
  <c r="M340" i="35"/>
  <c r="L334" i="35"/>
  <c r="N340" i="35"/>
  <c r="L333" i="35"/>
  <c r="N335" i="35"/>
  <c r="L329" i="35"/>
  <c r="O334" i="35"/>
  <c r="L343" i="35"/>
  <c r="M327" i="35"/>
  <c r="I330" i="35"/>
  <c r="O336" i="35"/>
  <c r="N329" i="35"/>
  <c r="L331" i="35"/>
  <c r="O339" i="35"/>
  <c r="M329" i="35"/>
  <c r="I341" i="35"/>
  <c r="A263" i="38" l="1"/>
  <c r="A109" i="38"/>
  <c r="A307" i="38"/>
  <c r="A131" i="38"/>
  <c r="A330" i="38"/>
  <c r="A44" i="38"/>
  <c r="A219" i="38"/>
  <c r="A395" i="38"/>
  <c r="A153" i="38"/>
  <c r="A87" i="38"/>
  <c r="A286" i="38"/>
  <c r="A197" i="38"/>
  <c r="A351" i="38"/>
  <c r="A373" i="38"/>
  <c r="A242" i="38"/>
  <c r="A65" i="38"/>
  <c r="A175" i="38"/>
  <c r="K56" i="35"/>
  <c r="O7" i="35"/>
  <c r="O48" i="35" s="1"/>
  <c r="A88" i="38" l="1"/>
  <c r="A132" i="38"/>
  <c r="A66" i="38"/>
  <c r="A243" i="38"/>
  <c r="A396" i="38"/>
  <c r="A220" i="38"/>
  <c r="A45" i="38"/>
  <c r="A110" i="38"/>
  <c r="A264" i="38"/>
  <c r="A198" i="38"/>
  <c r="A176" i="38"/>
  <c r="A287" i="38"/>
  <c r="A331" i="38"/>
  <c r="A308" i="38"/>
  <c r="A374" i="38"/>
  <c r="A154" i="38"/>
  <c r="A352" i="38"/>
  <c r="O820" i="35"/>
  <c r="N820" i="35"/>
  <c r="M820" i="35"/>
  <c r="L820" i="35"/>
  <c r="K820" i="35"/>
  <c r="J820" i="35"/>
  <c r="I820" i="35"/>
  <c r="H820" i="35"/>
  <c r="G820" i="35"/>
  <c r="F820" i="35"/>
  <c r="O819" i="35"/>
  <c r="N819" i="35"/>
  <c r="M819" i="35"/>
  <c r="L819" i="35"/>
  <c r="K819" i="35"/>
  <c r="J819" i="35"/>
  <c r="I819" i="35"/>
  <c r="H819" i="35"/>
  <c r="G819" i="35"/>
  <c r="F819" i="35"/>
  <c r="O817" i="35"/>
  <c r="N817" i="35"/>
  <c r="M817" i="35"/>
  <c r="L817" i="35"/>
  <c r="K817" i="35"/>
  <c r="J817" i="35"/>
  <c r="I817" i="35"/>
  <c r="H817" i="35"/>
  <c r="G817" i="35"/>
  <c r="F817" i="35"/>
  <c r="O814" i="35"/>
  <c r="N814" i="35"/>
  <c r="M814" i="35"/>
  <c r="L814" i="35"/>
  <c r="K814" i="35"/>
  <c r="J814" i="35"/>
  <c r="I814" i="35"/>
  <c r="H814" i="35"/>
  <c r="G814" i="35"/>
  <c r="F814" i="35"/>
  <c r="O813" i="35"/>
  <c r="N813" i="35"/>
  <c r="M813" i="35"/>
  <c r="L813" i="35"/>
  <c r="K813" i="35"/>
  <c r="J813" i="35"/>
  <c r="I813" i="35"/>
  <c r="H813" i="35"/>
  <c r="G813" i="35"/>
  <c r="F813" i="35"/>
  <c r="O811" i="35"/>
  <c r="N811" i="35"/>
  <c r="M811" i="35"/>
  <c r="L811" i="35"/>
  <c r="K811" i="35"/>
  <c r="J811" i="35"/>
  <c r="I811" i="35"/>
  <c r="H811" i="35"/>
  <c r="G811" i="35"/>
  <c r="F811" i="35"/>
  <c r="O808" i="35"/>
  <c r="N808" i="35"/>
  <c r="M808" i="35"/>
  <c r="L808" i="35"/>
  <c r="K808" i="35"/>
  <c r="J808" i="35"/>
  <c r="I808" i="35"/>
  <c r="H808" i="35"/>
  <c r="G808" i="35"/>
  <c r="F808" i="35"/>
  <c r="O807" i="35"/>
  <c r="N807" i="35"/>
  <c r="M807" i="35"/>
  <c r="L807" i="35"/>
  <c r="K807" i="35"/>
  <c r="J807" i="35"/>
  <c r="I807" i="35"/>
  <c r="H807" i="35"/>
  <c r="G807" i="35"/>
  <c r="F807" i="35"/>
  <c r="O805" i="35"/>
  <c r="N805" i="35"/>
  <c r="M805" i="35"/>
  <c r="L805" i="35"/>
  <c r="K805" i="35"/>
  <c r="J805" i="35"/>
  <c r="I805" i="35"/>
  <c r="H805" i="35"/>
  <c r="G805" i="35"/>
  <c r="F805" i="35"/>
  <c r="O802" i="35"/>
  <c r="N802" i="35"/>
  <c r="M802" i="35"/>
  <c r="L802" i="35"/>
  <c r="K802" i="35"/>
  <c r="J802" i="35"/>
  <c r="I802" i="35"/>
  <c r="H802" i="35"/>
  <c r="G802" i="35"/>
  <c r="F802" i="35"/>
  <c r="O801" i="35"/>
  <c r="N801" i="35"/>
  <c r="M801" i="35"/>
  <c r="L801" i="35"/>
  <c r="K801" i="35"/>
  <c r="J801" i="35"/>
  <c r="I801" i="35"/>
  <c r="H801" i="35"/>
  <c r="G801" i="35"/>
  <c r="F801" i="35"/>
  <c r="O799" i="35"/>
  <c r="N799" i="35"/>
  <c r="M799" i="35"/>
  <c r="L799" i="35"/>
  <c r="K799" i="35"/>
  <c r="J799" i="35"/>
  <c r="I799" i="35"/>
  <c r="H799" i="35"/>
  <c r="G799" i="35"/>
  <c r="F799" i="35"/>
  <c r="O796" i="35"/>
  <c r="N796" i="35"/>
  <c r="M796" i="35"/>
  <c r="L796" i="35"/>
  <c r="K796" i="35"/>
  <c r="J796" i="35"/>
  <c r="I796" i="35"/>
  <c r="H796" i="35"/>
  <c r="G796" i="35"/>
  <c r="F796" i="35"/>
  <c r="O795" i="35"/>
  <c r="N795" i="35"/>
  <c r="M795" i="35"/>
  <c r="L795" i="35"/>
  <c r="K795" i="35"/>
  <c r="J795" i="35"/>
  <c r="I795" i="35"/>
  <c r="H795" i="35"/>
  <c r="G795" i="35"/>
  <c r="F795" i="35"/>
  <c r="O793" i="35"/>
  <c r="N793" i="35"/>
  <c r="M793" i="35"/>
  <c r="L793" i="35"/>
  <c r="K793" i="35"/>
  <c r="J793" i="35"/>
  <c r="I793" i="35"/>
  <c r="H793" i="35"/>
  <c r="G793" i="35"/>
  <c r="F793" i="35"/>
  <c r="O790" i="35"/>
  <c r="N790" i="35"/>
  <c r="M790" i="35"/>
  <c r="L790" i="35"/>
  <c r="K790" i="35"/>
  <c r="J790" i="35"/>
  <c r="I790" i="35"/>
  <c r="H790" i="35"/>
  <c r="G790" i="35"/>
  <c r="F790" i="35"/>
  <c r="O789" i="35"/>
  <c r="N789" i="35"/>
  <c r="M789" i="35"/>
  <c r="L789" i="35"/>
  <c r="K789" i="35"/>
  <c r="J789" i="35"/>
  <c r="I789" i="35"/>
  <c r="H789" i="35"/>
  <c r="G789" i="35"/>
  <c r="F789" i="35"/>
  <c r="O787" i="35"/>
  <c r="N787" i="35"/>
  <c r="M787" i="35"/>
  <c r="L787" i="35"/>
  <c r="K787" i="35"/>
  <c r="J787" i="35"/>
  <c r="I787" i="35"/>
  <c r="H787" i="35"/>
  <c r="G787" i="35"/>
  <c r="F787" i="35"/>
  <c r="O784" i="35"/>
  <c r="N784" i="35"/>
  <c r="M784" i="35"/>
  <c r="L784" i="35"/>
  <c r="K784" i="35"/>
  <c r="J784" i="35"/>
  <c r="I784" i="35"/>
  <c r="H784" i="35"/>
  <c r="G784" i="35"/>
  <c r="F784" i="35"/>
  <c r="O783" i="35"/>
  <c r="N783" i="35"/>
  <c r="M783" i="35"/>
  <c r="L783" i="35"/>
  <c r="K783" i="35"/>
  <c r="J783" i="35"/>
  <c r="I783" i="35"/>
  <c r="H783" i="35"/>
  <c r="G783" i="35"/>
  <c r="F783" i="35"/>
  <c r="O781" i="35"/>
  <c r="N781" i="35"/>
  <c r="M781" i="35"/>
  <c r="L781" i="35"/>
  <c r="K781" i="35"/>
  <c r="J781" i="35"/>
  <c r="I781" i="35"/>
  <c r="H781" i="35"/>
  <c r="G781" i="35"/>
  <c r="F781" i="35"/>
  <c r="O778" i="35"/>
  <c r="N778" i="35"/>
  <c r="M778" i="35"/>
  <c r="L778" i="35"/>
  <c r="K778" i="35"/>
  <c r="J778" i="35"/>
  <c r="I778" i="35"/>
  <c r="H778" i="35"/>
  <c r="G778" i="35"/>
  <c r="F778" i="35"/>
  <c r="O777" i="35"/>
  <c r="N777" i="35"/>
  <c r="M777" i="35"/>
  <c r="L777" i="35"/>
  <c r="K777" i="35"/>
  <c r="J777" i="35"/>
  <c r="I777" i="35"/>
  <c r="H777" i="35"/>
  <c r="G777" i="35"/>
  <c r="F777" i="35"/>
  <c r="O775" i="35"/>
  <c r="N775" i="35"/>
  <c r="M775" i="35"/>
  <c r="L775" i="35"/>
  <c r="K775" i="35"/>
  <c r="J775" i="35"/>
  <c r="I775" i="35"/>
  <c r="H775" i="35"/>
  <c r="G775" i="35"/>
  <c r="F775" i="35"/>
  <c r="O772" i="35"/>
  <c r="N772" i="35"/>
  <c r="M772" i="35"/>
  <c r="L772" i="35"/>
  <c r="K772" i="35"/>
  <c r="J772" i="35"/>
  <c r="I772" i="35"/>
  <c r="H772" i="35"/>
  <c r="G772" i="35"/>
  <c r="F772" i="35"/>
  <c r="O771" i="35"/>
  <c r="N771" i="35"/>
  <c r="M771" i="35"/>
  <c r="L771" i="35"/>
  <c r="K771" i="35"/>
  <c r="J771" i="35"/>
  <c r="I771" i="35"/>
  <c r="H771" i="35"/>
  <c r="G771" i="35"/>
  <c r="F771" i="35"/>
  <c r="O769" i="35"/>
  <c r="N769" i="35"/>
  <c r="M769" i="35"/>
  <c r="L769" i="35"/>
  <c r="K769" i="35"/>
  <c r="J769" i="35"/>
  <c r="I769" i="35"/>
  <c r="H769" i="35"/>
  <c r="G769" i="35"/>
  <c r="F769" i="35"/>
  <c r="O766" i="35"/>
  <c r="N766" i="35"/>
  <c r="M766" i="35"/>
  <c r="L766" i="35"/>
  <c r="K766" i="35"/>
  <c r="J766" i="35"/>
  <c r="I766" i="35"/>
  <c r="H766" i="35"/>
  <c r="G766" i="35"/>
  <c r="F766" i="35"/>
  <c r="O765" i="35"/>
  <c r="N765" i="35"/>
  <c r="M765" i="35"/>
  <c r="L765" i="35"/>
  <c r="K765" i="35"/>
  <c r="J765" i="35"/>
  <c r="I765" i="35"/>
  <c r="H765" i="35"/>
  <c r="G765" i="35"/>
  <c r="F765" i="35"/>
  <c r="O763" i="35"/>
  <c r="N763" i="35"/>
  <c r="M763" i="35"/>
  <c r="L763" i="35"/>
  <c r="K763" i="35"/>
  <c r="J763" i="35"/>
  <c r="I763" i="35"/>
  <c r="H763" i="35"/>
  <c r="G763" i="35"/>
  <c r="F763" i="35"/>
  <c r="O760" i="35"/>
  <c r="N760" i="35"/>
  <c r="M760" i="35"/>
  <c r="L760" i="35"/>
  <c r="K760" i="35"/>
  <c r="J760" i="35"/>
  <c r="I760" i="35"/>
  <c r="H760" i="35"/>
  <c r="G760" i="35"/>
  <c r="F760" i="35"/>
  <c r="O759" i="35"/>
  <c r="N759" i="35"/>
  <c r="M759" i="35"/>
  <c r="L759" i="35"/>
  <c r="K759" i="35"/>
  <c r="J759" i="35"/>
  <c r="I759" i="35"/>
  <c r="H759" i="35"/>
  <c r="G759" i="35"/>
  <c r="F759" i="35"/>
  <c r="O757" i="35"/>
  <c r="N757" i="35"/>
  <c r="M757" i="35"/>
  <c r="L757" i="35"/>
  <c r="K757" i="35"/>
  <c r="J757" i="35"/>
  <c r="I757" i="35"/>
  <c r="H757" i="35"/>
  <c r="G757" i="35"/>
  <c r="F757" i="35"/>
  <c r="O748" i="35"/>
  <c r="N748" i="35"/>
  <c r="M748" i="35"/>
  <c r="L748" i="35"/>
  <c r="K748" i="35"/>
  <c r="J748" i="35"/>
  <c r="I748" i="35"/>
  <c r="H748" i="35"/>
  <c r="G748" i="35"/>
  <c r="F748" i="35"/>
  <c r="O747" i="35"/>
  <c r="N747" i="35"/>
  <c r="M747" i="35"/>
  <c r="L747" i="35"/>
  <c r="K747" i="35"/>
  <c r="J747" i="35"/>
  <c r="I747" i="35"/>
  <c r="H747" i="35"/>
  <c r="G747" i="35"/>
  <c r="F747" i="35"/>
  <c r="O745" i="35"/>
  <c r="N745" i="35"/>
  <c r="M745" i="35"/>
  <c r="L745" i="35"/>
  <c r="K745" i="35"/>
  <c r="J745" i="35"/>
  <c r="I745" i="35"/>
  <c r="H745" i="35"/>
  <c r="G745" i="35"/>
  <c r="F745" i="35"/>
  <c r="O754" i="35"/>
  <c r="N754" i="35"/>
  <c r="M754" i="35"/>
  <c r="L754" i="35"/>
  <c r="K754" i="35"/>
  <c r="J754" i="35"/>
  <c r="I754" i="35"/>
  <c r="H754" i="35"/>
  <c r="G754" i="35"/>
  <c r="F754" i="35"/>
  <c r="O753" i="35"/>
  <c r="N753" i="35"/>
  <c r="M753" i="35"/>
  <c r="L753" i="35"/>
  <c r="K753" i="35"/>
  <c r="J753" i="35"/>
  <c r="I753" i="35"/>
  <c r="H753" i="35"/>
  <c r="G753" i="35"/>
  <c r="F753" i="35"/>
  <c r="O751" i="35"/>
  <c r="N751" i="35"/>
  <c r="M751" i="35"/>
  <c r="L751" i="35"/>
  <c r="K751" i="35"/>
  <c r="J751" i="35"/>
  <c r="I751" i="35"/>
  <c r="H751" i="35"/>
  <c r="G751" i="35"/>
  <c r="F751" i="35"/>
  <c r="O742" i="35"/>
  <c r="N742" i="35"/>
  <c r="M742" i="35"/>
  <c r="L742" i="35"/>
  <c r="K742" i="35"/>
  <c r="J742" i="35"/>
  <c r="I742" i="35"/>
  <c r="H742" i="35"/>
  <c r="G742" i="35"/>
  <c r="F742" i="35"/>
  <c r="O741" i="35"/>
  <c r="N741" i="35"/>
  <c r="M741" i="35"/>
  <c r="L741" i="35"/>
  <c r="K741" i="35"/>
  <c r="J741" i="35"/>
  <c r="I741" i="35"/>
  <c r="H741" i="35"/>
  <c r="G741" i="35"/>
  <c r="F741" i="35"/>
  <c r="O739" i="35"/>
  <c r="N739" i="35"/>
  <c r="M739" i="35"/>
  <c r="L739" i="35"/>
  <c r="K739" i="35"/>
  <c r="J739" i="35"/>
  <c r="I739" i="35"/>
  <c r="H739" i="35"/>
  <c r="G739" i="35"/>
  <c r="F739" i="35"/>
  <c r="O736" i="35"/>
  <c r="N736" i="35"/>
  <c r="M736" i="35"/>
  <c r="L736" i="35"/>
  <c r="K736" i="35"/>
  <c r="J736" i="35"/>
  <c r="I736" i="35"/>
  <c r="H736" i="35"/>
  <c r="G736" i="35"/>
  <c r="F736" i="35"/>
  <c r="O735" i="35"/>
  <c r="N735" i="35"/>
  <c r="M735" i="35"/>
  <c r="L735" i="35"/>
  <c r="K735" i="35"/>
  <c r="J735" i="35"/>
  <c r="I735" i="35"/>
  <c r="H735" i="35"/>
  <c r="G735" i="35"/>
  <c r="F735" i="35"/>
  <c r="O733" i="35"/>
  <c r="N733" i="35"/>
  <c r="M733" i="35"/>
  <c r="L733" i="35"/>
  <c r="K733" i="35"/>
  <c r="J733" i="35"/>
  <c r="I733" i="35"/>
  <c r="H733" i="35"/>
  <c r="G733" i="35"/>
  <c r="F733" i="35"/>
  <c r="O730" i="35"/>
  <c r="N730" i="35"/>
  <c r="M730" i="35"/>
  <c r="L730" i="35"/>
  <c r="K730" i="35"/>
  <c r="J730" i="35"/>
  <c r="I730" i="35"/>
  <c r="H730" i="35"/>
  <c r="G730" i="35"/>
  <c r="F730" i="35"/>
  <c r="O729" i="35"/>
  <c r="N729" i="35"/>
  <c r="M729" i="35"/>
  <c r="L729" i="35"/>
  <c r="K729" i="35"/>
  <c r="J729" i="35"/>
  <c r="I729" i="35"/>
  <c r="H729" i="35"/>
  <c r="G729" i="35"/>
  <c r="F729" i="35"/>
  <c r="O727" i="35"/>
  <c r="N727" i="35"/>
  <c r="M727" i="35"/>
  <c r="L727" i="35"/>
  <c r="K727" i="35"/>
  <c r="J727" i="35"/>
  <c r="I727" i="35"/>
  <c r="H727" i="35"/>
  <c r="G727" i="35"/>
  <c r="F727" i="35"/>
  <c r="O724" i="35"/>
  <c r="N724" i="35"/>
  <c r="M724" i="35"/>
  <c r="L724" i="35"/>
  <c r="K724" i="35"/>
  <c r="J724" i="35"/>
  <c r="I724" i="35"/>
  <c r="H724" i="35"/>
  <c r="G724" i="35"/>
  <c r="F724" i="35"/>
  <c r="O723" i="35"/>
  <c r="N723" i="35"/>
  <c r="M723" i="35"/>
  <c r="L723" i="35"/>
  <c r="K723" i="35"/>
  <c r="J723" i="35"/>
  <c r="I723" i="35"/>
  <c r="H723" i="35"/>
  <c r="G723" i="35"/>
  <c r="F723" i="35"/>
  <c r="O721" i="35"/>
  <c r="N721" i="35"/>
  <c r="M721" i="35"/>
  <c r="L721" i="35"/>
  <c r="K721" i="35"/>
  <c r="J721" i="35"/>
  <c r="I721" i="35"/>
  <c r="H721" i="35"/>
  <c r="G721" i="35"/>
  <c r="F721" i="35"/>
  <c r="F717" i="35"/>
  <c r="G717" i="35"/>
  <c r="H717" i="35"/>
  <c r="I717" i="35"/>
  <c r="J717" i="35"/>
  <c r="K717" i="35"/>
  <c r="L717" i="35"/>
  <c r="M717" i="35"/>
  <c r="N717" i="35"/>
  <c r="O717" i="35"/>
  <c r="F718" i="35"/>
  <c r="G718" i="35"/>
  <c r="H718" i="35"/>
  <c r="I718" i="35"/>
  <c r="J718" i="35"/>
  <c r="K718" i="35"/>
  <c r="L718" i="35"/>
  <c r="M718" i="35"/>
  <c r="N718" i="35"/>
  <c r="O718" i="35"/>
  <c r="G715" i="35"/>
  <c r="H715" i="35"/>
  <c r="J715" i="35"/>
  <c r="K715" i="35"/>
  <c r="L715" i="35"/>
  <c r="M715" i="35"/>
  <c r="N715" i="35"/>
  <c r="O715" i="35"/>
  <c r="F715" i="35"/>
  <c r="A155" i="38" l="1"/>
  <c r="A111" i="38"/>
  <c r="A221" i="38"/>
  <c r="A244" i="38"/>
  <c r="A245" i="38" s="1"/>
  <c r="A133" i="38"/>
  <c r="A199" i="38"/>
  <c r="A353" i="38"/>
  <c r="A309" i="38"/>
  <c r="A288" i="38"/>
  <c r="A289" i="38" s="1"/>
  <c r="A177" i="38"/>
  <c r="A397" i="38"/>
  <c r="A398" i="38"/>
  <c r="A399" i="38" s="1"/>
  <c r="A332" i="38"/>
  <c r="A333" i="38" s="1"/>
  <c r="A375" i="38"/>
  <c r="A265" i="38"/>
  <c r="A46" i="38"/>
  <c r="A47" i="38" s="1"/>
  <c r="A67" i="38"/>
  <c r="A89" i="38"/>
  <c r="G409" i="17"/>
  <c r="H409" i="17"/>
  <c r="I409" i="17"/>
  <c r="J409" i="17"/>
  <c r="K409" i="17"/>
  <c r="L409" i="17"/>
  <c r="G410" i="17"/>
  <c r="H410" i="17"/>
  <c r="I410" i="17"/>
  <c r="J410" i="17"/>
  <c r="K410" i="17"/>
  <c r="L410" i="17"/>
  <c r="G411" i="17"/>
  <c r="H411" i="17"/>
  <c r="I411" i="17"/>
  <c r="J411" i="17"/>
  <c r="K411" i="17"/>
  <c r="L411" i="17"/>
  <c r="G412" i="17"/>
  <c r="H412" i="17"/>
  <c r="I412" i="17"/>
  <c r="J412" i="17"/>
  <c r="K412" i="17"/>
  <c r="L412" i="17"/>
  <c r="G413" i="17"/>
  <c r="H413" i="17"/>
  <c r="I413" i="17"/>
  <c r="J413" i="17"/>
  <c r="K413" i="17"/>
  <c r="L413" i="17"/>
  <c r="F414" i="17"/>
  <c r="G414" i="17"/>
  <c r="F415" i="17"/>
  <c r="G415" i="17"/>
  <c r="F416" i="17"/>
  <c r="G416" i="17"/>
  <c r="F417" i="17"/>
  <c r="G417" i="17"/>
  <c r="F418" i="17"/>
  <c r="G418" i="17"/>
  <c r="G419" i="17"/>
  <c r="H419" i="17"/>
  <c r="I419" i="17"/>
  <c r="J419" i="17"/>
  <c r="K419" i="17"/>
  <c r="L419" i="17"/>
  <c r="A310" i="38" l="1"/>
  <c r="A311" i="38" s="1"/>
  <c r="A376" i="38"/>
  <c r="A377" i="38" s="1"/>
  <c r="A178" i="38"/>
  <c r="A179" i="38" s="1"/>
  <c r="A200" i="38"/>
  <c r="A201" i="38" s="1"/>
  <c r="A222" i="38"/>
  <c r="A223" i="38" s="1"/>
  <c r="A112" i="38"/>
  <c r="A113" i="38" s="1"/>
  <c r="A266" i="38"/>
  <c r="A267" i="38" s="1"/>
  <c r="A68" i="38"/>
  <c r="A69" i="38" s="1"/>
  <c r="A90" i="38"/>
  <c r="A91" i="38" s="1"/>
  <c r="A354" i="38"/>
  <c r="A355" i="38" s="1"/>
  <c r="A134" i="38"/>
  <c r="A135" i="38" s="1"/>
  <c r="A156" i="38"/>
  <c r="A157" i="38" s="1"/>
  <c r="F265" i="18"/>
  <c r="G265" i="18"/>
  <c r="H265" i="18"/>
  <c r="I265" i="18"/>
  <c r="J265" i="18"/>
  <c r="K265" i="18"/>
  <c r="L265" i="18"/>
  <c r="M265" i="18"/>
  <c r="N265" i="18"/>
  <c r="O265" i="18"/>
  <c r="F266" i="18"/>
  <c r="G266" i="18"/>
  <c r="H266" i="18"/>
  <c r="I266" i="18"/>
  <c r="J266" i="18"/>
  <c r="K266" i="18"/>
  <c r="L266" i="18"/>
  <c r="M266" i="18"/>
  <c r="N266" i="18"/>
  <c r="O266" i="18"/>
  <c r="F267" i="18"/>
  <c r="G267" i="18"/>
  <c r="H267" i="18"/>
  <c r="I267" i="18"/>
  <c r="J267" i="18"/>
  <c r="K267" i="18"/>
  <c r="L267" i="18"/>
  <c r="M267" i="18"/>
  <c r="N267" i="18"/>
  <c r="O267" i="18"/>
  <c r="F268" i="18"/>
  <c r="G268" i="18"/>
  <c r="H268" i="18"/>
  <c r="I268" i="18"/>
  <c r="J268" i="18"/>
  <c r="K268" i="18"/>
  <c r="L268" i="18"/>
  <c r="M268" i="18"/>
  <c r="N268" i="18"/>
  <c r="O268" i="18"/>
  <c r="F269" i="18"/>
  <c r="G269" i="18"/>
  <c r="H269" i="18"/>
  <c r="I269" i="18"/>
  <c r="J269" i="18"/>
  <c r="K269" i="18"/>
  <c r="L269" i="18"/>
  <c r="M269" i="18"/>
  <c r="N269" i="18"/>
  <c r="O269" i="18"/>
  <c r="F270" i="18"/>
  <c r="G270" i="18"/>
  <c r="H270" i="18"/>
  <c r="I270" i="18"/>
  <c r="J270" i="18"/>
  <c r="K270" i="18"/>
  <c r="L270" i="18"/>
  <c r="M270" i="18"/>
  <c r="N270" i="18"/>
  <c r="O270" i="18"/>
  <c r="G399" i="38"/>
  <c r="G398" i="38"/>
  <c r="F250" i="18"/>
  <c r="G250" i="18"/>
  <c r="H250" i="18"/>
  <c r="I250" i="18"/>
  <c r="J250" i="18"/>
  <c r="K250" i="18"/>
  <c r="L250" i="18"/>
  <c r="M250" i="18"/>
  <c r="N250" i="18"/>
  <c r="O250" i="18"/>
  <c r="F251" i="18"/>
  <c r="G251" i="18"/>
  <c r="H251" i="18"/>
  <c r="I251" i="18"/>
  <c r="J251" i="18"/>
  <c r="K251" i="18"/>
  <c r="L251" i="18"/>
  <c r="M251" i="18"/>
  <c r="N251" i="18"/>
  <c r="O251" i="18"/>
  <c r="F252" i="18"/>
  <c r="G252" i="18"/>
  <c r="H252" i="18"/>
  <c r="I252" i="18"/>
  <c r="J252" i="18"/>
  <c r="K252" i="18"/>
  <c r="L252" i="18"/>
  <c r="M252" i="18"/>
  <c r="N252" i="18"/>
  <c r="O252" i="18"/>
  <c r="F253" i="18"/>
  <c r="G253" i="18"/>
  <c r="H253" i="18"/>
  <c r="I253" i="18"/>
  <c r="J253" i="18"/>
  <c r="K253" i="18"/>
  <c r="L253" i="18"/>
  <c r="M253" i="18"/>
  <c r="N253" i="18"/>
  <c r="O253" i="18"/>
  <c r="F254" i="18"/>
  <c r="G254" i="18"/>
  <c r="H254" i="18"/>
  <c r="I254" i="18"/>
  <c r="J254" i="18"/>
  <c r="K254" i="18"/>
  <c r="L254" i="18"/>
  <c r="M254" i="18"/>
  <c r="N254" i="18"/>
  <c r="O254" i="18"/>
  <c r="F255" i="18"/>
  <c r="G255" i="18"/>
  <c r="H255" i="18"/>
  <c r="I255" i="18"/>
  <c r="J255" i="18"/>
  <c r="K255" i="18"/>
  <c r="L255" i="18"/>
  <c r="M255" i="18"/>
  <c r="N255" i="18"/>
  <c r="O255" i="18"/>
  <c r="G377" i="38"/>
  <c r="G376" i="38"/>
  <c r="F235" i="18"/>
  <c r="G235" i="18"/>
  <c r="H235" i="18"/>
  <c r="I235" i="18"/>
  <c r="J235" i="18"/>
  <c r="K235" i="18"/>
  <c r="L235" i="18"/>
  <c r="M235" i="18"/>
  <c r="N235" i="18"/>
  <c r="O235" i="18"/>
  <c r="F236" i="18"/>
  <c r="G236" i="18"/>
  <c r="H236" i="18"/>
  <c r="I236" i="18"/>
  <c r="J236" i="18"/>
  <c r="K236" i="18"/>
  <c r="L236" i="18"/>
  <c r="M236" i="18"/>
  <c r="N236" i="18"/>
  <c r="O236" i="18"/>
  <c r="F237" i="18"/>
  <c r="G237" i="18"/>
  <c r="H237" i="18"/>
  <c r="I237" i="18"/>
  <c r="J237" i="18"/>
  <c r="K237" i="18"/>
  <c r="L237" i="18"/>
  <c r="M237" i="18"/>
  <c r="N237" i="18"/>
  <c r="O237" i="18"/>
  <c r="F238" i="18"/>
  <c r="G238" i="18"/>
  <c r="H238" i="18"/>
  <c r="I238" i="18"/>
  <c r="J238" i="18"/>
  <c r="K238" i="18"/>
  <c r="L238" i="18"/>
  <c r="M238" i="18"/>
  <c r="N238" i="18"/>
  <c r="O238" i="18"/>
  <c r="F239" i="18"/>
  <c r="G239" i="18"/>
  <c r="H239" i="18"/>
  <c r="I239" i="18"/>
  <c r="J239" i="18"/>
  <c r="K239" i="18"/>
  <c r="L239" i="18"/>
  <c r="M239" i="18"/>
  <c r="N239" i="18"/>
  <c r="O239" i="18"/>
  <c r="F240" i="18"/>
  <c r="G240" i="18"/>
  <c r="H240" i="18"/>
  <c r="I240" i="18"/>
  <c r="J240" i="18"/>
  <c r="K240" i="18"/>
  <c r="L240" i="18"/>
  <c r="M240" i="18"/>
  <c r="N240" i="18"/>
  <c r="O240" i="18"/>
  <c r="G355" i="38"/>
  <c r="G354" i="38"/>
  <c r="F220" i="18"/>
  <c r="G220" i="18"/>
  <c r="H220" i="18"/>
  <c r="I220" i="18"/>
  <c r="J220" i="18"/>
  <c r="K220" i="18"/>
  <c r="L220" i="18"/>
  <c r="M220" i="18"/>
  <c r="N220" i="18"/>
  <c r="O220" i="18"/>
  <c r="F221" i="18"/>
  <c r="G221" i="18"/>
  <c r="H221" i="18"/>
  <c r="I221" i="18"/>
  <c r="J221" i="18"/>
  <c r="K221" i="18"/>
  <c r="L221" i="18"/>
  <c r="M221" i="18"/>
  <c r="N221" i="18"/>
  <c r="O221" i="18"/>
  <c r="F222" i="18"/>
  <c r="G222" i="18"/>
  <c r="H222" i="18"/>
  <c r="I222" i="18"/>
  <c r="J222" i="18"/>
  <c r="K222" i="18"/>
  <c r="L222" i="18"/>
  <c r="M222" i="18"/>
  <c r="N222" i="18"/>
  <c r="O222" i="18"/>
  <c r="F223" i="18"/>
  <c r="G223" i="18"/>
  <c r="H223" i="18"/>
  <c r="I223" i="18"/>
  <c r="J223" i="18"/>
  <c r="K223" i="18"/>
  <c r="L223" i="18"/>
  <c r="M223" i="18"/>
  <c r="N223" i="18"/>
  <c r="O223" i="18"/>
  <c r="F224" i="18"/>
  <c r="G224" i="18"/>
  <c r="H224" i="18"/>
  <c r="I224" i="18"/>
  <c r="J224" i="18"/>
  <c r="K224" i="18"/>
  <c r="L224" i="18"/>
  <c r="M224" i="18"/>
  <c r="N224" i="18"/>
  <c r="O224" i="18"/>
  <c r="F225" i="18"/>
  <c r="G225" i="18"/>
  <c r="H225" i="18"/>
  <c r="I225" i="18"/>
  <c r="J225" i="18"/>
  <c r="K225" i="18"/>
  <c r="L225" i="18"/>
  <c r="M225" i="18"/>
  <c r="N225" i="18"/>
  <c r="O225" i="18"/>
  <c r="G333" i="38"/>
  <c r="G332" i="38"/>
  <c r="F205" i="18"/>
  <c r="G205" i="18"/>
  <c r="H205" i="18"/>
  <c r="I205" i="18"/>
  <c r="J205" i="18"/>
  <c r="K205" i="18"/>
  <c r="L205" i="18"/>
  <c r="M205" i="18"/>
  <c r="N205" i="18"/>
  <c r="O205" i="18"/>
  <c r="F206" i="18"/>
  <c r="G206" i="18"/>
  <c r="H206" i="18"/>
  <c r="I206" i="18"/>
  <c r="J206" i="18"/>
  <c r="K206" i="18"/>
  <c r="L206" i="18"/>
  <c r="M206" i="18"/>
  <c r="N206" i="18"/>
  <c r="O206" i="18"/>
  <c r="F207" i="18"/>
  <c r="G207" i="18"/>
  <c r="H207" i="18"/>
  <c r="I207" i="18"/>
  <c r="J207" i="18"/>
  <c r="K207" i="18"/>
  <c r="L207" i="18"/>
  <c r="M207" i="18"/>
  <c r="N207" i="18"/>
  <c r="O207" i="18"/>
  <c r="F208" i="18"/>
  <c r="G208" i="18"/>
  <c r="H208" i="18"/>
  <c r="I208" i="18"/>
  <c r="J208" i="18"/>
  <c r="K208" i="18"/>
  <c r="L208" i="18"/>
  <c r="M208" i="18"/>
  <c r="N208" i="18"/>
  <c r="O208" i="18"/>
  <c r="F209" i="18"/>
  <c r="G209" i="18"/>
  <c r="H209" i="18"/>
  <c r="I209" i="18"/>
  <c r="J209" i="18"/>
  <c r="K209" i="18"/>
  <c r="L209" i="18"/>
  <c r="M209" i="18"/>
  <c r="N209" i="18"/>
  <c r="O209" i="18"/>
  <c r="F210" i="18"/>
  <c r="G210" i="18"/>
  <c r="H210" i="18"/>
  <c r="I210" i="18"/>
  <c r="J210" i="18"/>
  <c r="K210" i="18"/>
  <c r="L210" i="18"/>
  <c r="M210" i="18"/>
  <c r="N210" i="18"/>
  <c r="O210" i="18"/>
  <c r="G311" i="38"/>
  <c r="G310" i="38"/>
  <c r="G289" i="38"/>
  <c r="F190" i="18"/>
  <c r="G190" i="18"/>
  <c r="H190" i="18"/>
  <c r="I190" i="18"/>
  <c r="J190" i="18"/>
  <c r="K190" i="18"/>
  <c r="L190" i="18"/>
  <c r="M190" i="18"/>
  <c r="N190" i="18"/>
  <c r="O190" i="18"/>
  <c r="F191" i="18"/>
  <c r="G191" i="18"/>
  <c r="H191" i="18"/>
  <c r="I191" i="18"/>
  <c r="J191" i="18"/>
  <c r="K191" i="18"/>
  <c r="L191" i="18"/>
  <c r="M191" i="18"/>
  <c r="N191" i="18"/>
  <c r="O191" i="18"/>
  <c r="F192" i="18"/>
  <c r="G192" i="18"/>
  <c r="H192" i="18"/>
  <c r="I192" i="18"/>
  <c r="J192" i="18"/>
  <c r="K192" i="18"/>
  <c r="L192" i="18"/>
  <c r="M192" i="18"/>
  <c r="N192" i="18"/>
  <c r="O192" i="18"/>
  <c r="F193" i="18"/>
  <c r="G193" i="18"/>
  <c r="H193" i="18"/>
  <c r="I193" i="18"/>
  <c r="J193" i="18"/>
  <c r="K193" i="18"/>
  <c r="L193" i="18"/>
  <c r="M193" i="18"/>
  <c r="N193" i="18"/>
  <c r="O193" i="18"/>
  <c r="F194" i="18"/>
  <c r="G194" i="18"/>
  <c r="H194" i="18"/>
  <c r="I194" i="18"/>
  <c r="J194" i="18"/>
  <c r="K194" i="18"/>
  <c r="L194" i="18"/>
  <c r="M194" i="18"/>
  <c r="N194" i="18"/>
  <c r="O194" i="18"/>
  <c r="F195" i="18"/>
  <c r="G195" i="18"/>
  <c r="H195" i="18"/>
  <c r="I195" i="18"/>
  <c r="J195" i="18"/>
  <c r="K195" i="18"/>
  <c r="L195" i="18"/>
  <c r="M195" i="18"/>
  <c r="N195" i="18"/>
  <c r="O195" i="18"/>
  <c r="G288" i="38"/>
  <c r="G267" i="38"/>
  <c r="F175" i="18"/>
  <c r="G175" i="18"/>
  <c r="H175" i="18"/>
  <c r="I175" i="18"/>
  <c r="J175" i="18"/>
  <c r="K175" i="18"/>
  <c r="L175" i="18"/>
  <c r="M175" i="18"/>
  <c r="N175" i="18"/>
  <c r="O175" i="18"/>
  <c r="F176" i="18"/>
  <c r="G176" i="18"/>
  <c r="H176" i="18"/>
  <c r="I176" i="18"/>
  <c r="J176" i="18"/>
  <c r="K176" i="18"/>
  <c r="L176" i="18"/>
  <c r="M176" i="18"/>
  <c r="N176" i="18"/>
  <c r="O176" i="18"/>
  <c r="F177" i="18"/>
  <c r="G177" i="18"/>
  <c r="H177" i="18"/>
  <c r="I177" i="18"/>
  <c r="J177" i="18"/>
  <c r="K177" i="18"/>
  <c r="L177" i="18"/>
  <c r="M177" i="18"/>
  <c r="N177" i="18"/>
  <c r="O177" i="18"/>
  <c r="F178" i="18"/>
  <c r="G178" i="18"/>
  <c r="H178" i="18"/>
  <c r="I178" i="18"/>
  <c r="J178" i="18"/>
  <c r="K178" i="18"/>
  <c r="L178" i="18"/>
  <c r="M178" i="18"/>
  <c r="N178" i="18"/>
  <c r="O178" i="18"/>
  <c r="F179" i="18"/>
  <c r="G179" i="18"/>
  <c r="H179" i="18"/>
  <c r="I179" i="18"/>
  <c r="J179" i="18"/>
  <c r="K179" i="18"/>
  <c r="L179" i="18"/>
  <c r="M179" i="18"/>
  <c r="N179" i="18"/>
  <c r="O179" i="18"/>
  <c r="F180" i="18"/>
  <c r="G180" i="18"/>
  <c r="H180" i="18"/>
  <c r="I180" i="18"/>
  <c r="J180" i="18"/>
  <c r="K180" i="18"/>
  <c r="L180" i="18"/>
  <c r="M180" i="18"/>
  <c r="N180" i="18"/>
  <c r="O180" i="18"/>
  <c r="G266" i="38"/>
  <c r="F160" i="18"/>
  <c r="G160" i="18"/>
  <c r="H160" i="18"/>
  <c r="I160" i="18"/>
  <c r="J160" i="18"/>
  <c r="K160" i="18"/>
  <c r="L160" i="18"/>
  <c r="M160" i="18"/>
  <c r="N160" i="18"/>
  <c r="O160" i="18"/>
  <c r="F161" i="18"/>
  <c r="G161" i="18"/>
  <c r="H161" i="18"/>
  <c r="I161" i="18"/>
  <c r="J161" i="18"/>
  <c r="K161" i="18"/>
  <c r="L161" i="18"/>
  <c r="M161" i="18"/>
  <c r="N161" i="18"/>
  <c r="O161" i="18"/>
  <c r="F162" i="18"/>
  <c r="G162" i="18"/>
  <c r="H162" i="18"/>
  <c r="I162" i="18"/>
  <c r="J162" i="18"/>
  <c r="K162" i="18"/>
  <c r="L162" i="18"/>
  <c r="M162" i="18"/>
  <c r="N162" i="18"/>
  <c r="O162" i="18"/>
  <c r="F163" i="18"/>
  <c r="G163" i="18"/>
  <c r="H163" i="18"/>
  <c r="I163" i="18"/>
  <c r="J163" i="18"/>
  <c r="K163" i="18"/>
  <c r="L163" i="18"/>
  <c r="M163" i="18"/>
  <c r="N163" i="18"/>
  <c r="O163" i="18"/>
  <c r="F164" i="18"/>
  <c r="G164" i="18"/>
  <c r="H164" i="18"/>
  <c r="I164" i="18"/>
  <c r="J164" i="18"/>
  <c r="K164" i="18"/>
  <c r="L164" i="18"/>
  <c r="M164" i="18"/>
  <c r="N164" i="18"/>
  <c r="O164" i="18"/>
  <c r="F165" i="18"/>
  <c r="G165" i="18"/>
  <c r="H165" i="18"/>
  <c r="I165" i="18"/>
  <c r="J165" i="18"/>
  <c r="K165" i="18"/>
  <c r="L165" i="18"/>
  <c r="M165" i="18"/>
  <c r="N165" i="18"/>
  <c r="O165" i="18"/>
  <c r="G245" i="38"/>
  <c r="G244" i="38"/>
  <c r="G148" i="18"/>
  <c r="H148" i="18"/>
  <c r="I148" i="18"/>
  <c r="J148" i="18"/>
  <c r="K148" i="18"/>
  <c r="L148" i="18"/>
  <c r="M148" i="18"/>
  <c r="N148" i="18"/>
  <c r="O148" i="18"/>
  <c r="G149" i="18"/>
  <c r="H149" i="18"/>
  <c r="I149" i="18"/>
  <c r="J149" i="18"/>
  <c r="K149" i="18"/>
  <c r="L149" i="18"/>
  <c r="M149" i="18"/>
  <c r="N149" i="18"/>
  <c r="O149" i="18"/>
  <c r="G150" i="18"/>
  <c r="H150" i="18"/>
  <c r="I150" i="18"/>
  <c r="J150" i="18"/>
  <c r="K150" i="18"/>
  <c r="L150" i="18"/>
  <c r="M150" i="18"/>
  <c r="N150" i="18"/>
  <c r="O150" i="18"/>
  <c r="G223" i="38"/>
  <c r="F149" i="18"/>
  <c r="F150" i="18"/>
  <c r="F145" i="18"/>
  <c r="G145" i="18"/>
  <c r="H145" i="18"/>
  <c r="I145" i="18"/>
  <c r="J145" i="18"/>
  <c r="K145" i="18"/>
  <c r="L145" i="18"/>
  <c r="M145" i="18"/>
  <c r="N145" i="18"/>
  <c r="O145" i="18"/>
  <c r="F146" i="18"/>
  <c r="G146" i="18"/>
  <c r="H146" i="18"/>
  <c r="I146" i="18"/>
  <c r="J146" i="18"/>
  <c r="K146" i="18"/>
  <c r="L146" i="18"/>
  <c r="M146" i="18"/>
  <c r="N146" i="18"/>
  <c r="O146" i="18"/>
  <c r="F147" i="18"/>
  <c r="G147" i="18"/>
  <c r="H147" i="18"/>
  <c r="I147" i="18"/>
  <c r="J147" i="18"/>
  <c r="K147" i="18"/>
  <c r="L147" i="18"/>
  <c r="M147" i="18"/>
  <c r="N147" i="18"/>
  <c r="O147" i="18"/>
  <c r="F148" i="18"/>
  <c r="G222" i="38"/>
  <c r="F130" i="18"/>
  <c r="G130" i="18"/>
  <c r="H130" i="18"/>
  <c r="I130" i="18"/>
  <c r="J130" i="18"/>
  <c r="K130" i="18"/>
  <c r="L130" i="18"/>
  <c r="M130" i="18"/>
  <c r="N130" i="18"/>
  <c r="O130" i="18"/>
  <c r="F131" i="18"/>
  <c r="G131" i="18"/>
  <c r="H131" i="18"/>
  <c r="I131" i="18"/>
  <c r="J131" i="18"/>
  <c r="K131" i="18"/>
  <c r="L131" i="18"/>
  <c r="M131" i="18"/>
  <c r="N131" i="18"/>
  <c r="O131" i="18"/>
  <c r="F132" i="18"/>
  <c r="G132" i="18"/>
  <c r="H132" i="18"/>
  <c r="I132" i="18"/>
  <c r="J132" i="18"/>
  <c r="K132" i="18"/>
  <c r="L132" i="18"/>
  <c r="M132" i="18"/>
  <c r="N132" i="18"/>
  <c r="O132" i="18"/>
  <c r="F133" i="18"/>
  <c r="G133" i="18"/>
  <c r="H133" i="18"/>
  <c r="I133" i="18"/>
  <c r="J133" i="18"/>
  <c r="K133" i="18"/>
  <c r="L133" i="18"/>
  <c r="M133" i="18"/>
  <c r="N133" i="18"/>
  <c r="O133" i="18"/>
  <c r="F134" i="18"/>
  <c r="G134" i="18"/>
  <c r="H134" i="18"/>
  <c r="I134" i="18"/>
  <c r="J134" i="18"/>
  <c r="K134" i="18"/>
  <c r="L134" i="18"/>
  <c r="M134" i="18"/>
  <c r="N134" i="18"/>
  <c r="O134" i="18"/>
  <c r="F135" i="18"/>
  <c r="G135" i="18"/>
  <c r="H135" i="18"/>
  <c r="I135" i="18"/>
  <c r="J135" i="18"/>
  <c r="K135" i="18"/>
  <c r="L135" i="18"/>
  <c r="M135" i="18"/>
  <c r="N135" i="18"/>
  <c r="O135" i="18"/>
  <c r="G201" i="38"/>
  <c r="G200" i="38"/>
  <c r="F115" i="18"/>
  <c r="G115" i="18"/>
  <c r="H115" i="18"/>
  <c r="I115" i="18"/>
  <c r="J115" i="18"/>
  <c r="K115" i="18"/>
  <c r="L115" i="18"/>
  <c r="M115" i="18"/>
  <c r="N115" i="18"/>
  <c r="O115" i="18"/>
  <c r="F116" i="18"/>
  <c r="G116" i="18"/>
  <c r="H116" i="18"/>
  <c r="I116" i="18"/>
  <c r="J116" i="18"/>
  <c r="K116" i="18"/>
  <c r="L116" i="18"/>
  <c r="M116" i="18"/>
  <c r="N116" i="18"/>
  <c r="O116" i="18"/>
  <c r="F117" i="18"/>
  <c r="G117" i="18"/>
  <c r="H117" i="18"/>
  <c r="I117" i="18"/>
  <c r="J117" i="18"/>
  <c r="K117" i="18"/>
  <c r="L117" i="18"/>
  <c r="M117" i="18"/>
  <c r="N117" i="18"/>
  <c r="O117" i="18"/>
  <c r="F118" i="18"/>
  <c r="G118" i="18"/>
  <c r="H118" i="18"/>
  <c r="I118" i="18"/>
  <c r="J118" i="18"/>
  <c r="K118" i="18"/>
  <c r="L118" i="18"/>
  <c r="M118" i="18"/>
  <c r="N118" i="18"/>
  <c r="O118" i="18"/>
  <c r="F119" i="18"/>
  <c r="G119" i="18"/>
  <c r="H119" i="18"/>
  <c r="I119" i="18"/>
  <c r="J119" i="18"/>
  <c r="K119" i="18"/>
  <c r="L119" i="18"/>
  <c r="M119" i="18"/>
  <c r="N119" i="18"/>
  <c r="O119" i="18"/>
  <c r="F120" i="18"/>
  <c r="G120" i="18"/>
  <c r="H120" i="18"/>
  <c r="I120" i="18"/>
  <c r="J120" i="18"/>
  <c r="K120" i="18"/>
  <c r="L120" i="18"/>
  <c r="M120" i="18"/>
  <c r="N120" i="18"/>
  <c r="O120" i="18"/>
  <c r="G179" i="38"/>
  <c r="G178" i="38"/>
  <c r="F100" i="18"/>
  <c r="G100" i="18"/>
  <c r="H100" i="18"/>
  <c r="I100" i="18"/>
  <c r="J100" i="18"/>
  <c r="K100" i="18"/>
  <c r="L100" i="18"/>
  <c r="M100" i="18"/>
  <c r="N100" i="18"/>
  <c r="O100" i="18"/>
  <c r="F101" i="18"/>
  <c r="G101" i="18"/>
  <c r="H101" i="18"/>
  <c r="I101" i="18"/>
  <c r="J101" i="18"/>
  <c r="K101" i="18"/>
  <c r="L101" i="18"/>
  <c r="M101" i="18"/>
  <c r="N101" i="18"/>
  <c r="O101" i="18"/>
  <c r="F102" i="18"/>
  <c r="G102" i="18"/>
  <c r="H102" i="18"/>
  <c r="I102" i="18"/>
  <c r="J102" i="18"/>
  <c r="K102" i="18"/>
  <c r="L102" i="18"/>
  <c r="M102" i="18"/>
  <c r="N102" i="18"/>
  <c r="O102" i="18"/>
  <c r="F103" i="18"/>
  <c r="G103" i="18"/>
  <c r="H103" i="18"/>
  <c r="I103" i="18"/>
  <c r="J103" i="18"/>
  <c r="K103" i="18"/>
  <c r="L103" i="18"/>
  <c r="M103" i="18"/>
  <c r="N103" i="18"/>
  <c r="O103" i="18"/>
  <c r="F104" i="18"/>
  <c r="G104" i="18"/>
  <c r="H104" i="18"/>
  <c r="I104" i="18"/>
  <c r="J104" i="18"/>
  <c r="K104" i="18"/>
  <c r="L104" i="18"/>
  <c r="M104" i="18"/>
  <c r="N104" i="18"/>
  <c r="O104" i="18"/>
  <c r="F105" i="18"/>
  <c r="G105" i="18"/>
  <c r="H105" i="18"/>
  <c r="I105" i="18"/>
  <c r="J105" i="18"/>
  <c r="K105" i="18"/>
  <c r="L105" i="18"/>
  <c r="M105" i="18"/>
  <c r="N105" i="18"/>
  <c r="O105" i="18"/>
  <c r="G157" i="38"/>
  <c r="G421" i="38" s="1"/>
  <c r="G156" i="38"/>
  <c r="G420" i="38" s="1"/>
  <c r="F85" i="18"/>
  <c r="G85" i="18"/>
  <c r="H85" i="18"/>
  <c r="I85" i="18"/>
  <c r="J85" i="18"/>
  <c r="K85" i="18"/>
  <c r="L85" i="18"/>
  <c r="M85" i="18"/>
  <c r="N85" i="18"/>
  <c r="O85" i="18"/>
  <c r="F86" i="18"/>
  <c r="G86" i="18"/>
  <c r="H86" i="18"/>
  <c r="I86" i="18"/>
  <c r="J86" i="18"/>
  <c r="K86" i="18"/>
  <c r="L86" i="18"/>
  <c r="M86" i="18"/>
  <c r="N86" i="18"/>
  <c r="O86" i="18"/>
  <c r="F87" i="18"/>
  <c r="G87" i="18"/>
  <c r="H87" i="18"/>
  <c r="I87" i="18"/>
  <c r="J87" i="18"/>
  <c r="K87" i="18"/>
  <c r="L87" i="18"/>
  <c r="M87" i="18"/>
  <c r="N87" i="18"/>
  <c r="O87" i="18"/>
  <c r="F88" i="18"/>
  <c r="G88" i="18"/>
  <c r="H88" i="18"/>
  <c r="I88" i="18"/>
  <c r="J88" i="18"/>
  <c r="K88" i="18"/>
  <c r="L88" i="18"/>
  <c r="M88" i="18"/>
  <c r="N88" i="18"/>
  <c r="O88" i="18"/>
  <c r="F89" i="18"/>
  <c r="G89" i="18"/>
  <c r="H89" i="18"/>
  <c r="I89" i="18"/>
  <c r="J89" i="18"/>
  <c r="K89" i="18"/>
  <c r="L89" i="18"/>
  <c r="M89" i="18"/>
  <c r="N89" i="18"/>
  <c r="O89" i="18"/>
  <c r="F90" i="18"/>
  <c r="G90" i="18"/>
  <c r="H90" i="18"/>
  <c r="I90" i="18"/>
  <c r="J90" i="18"/>
  <c r="K90" i="18"/>
  <c r="L90" i="18"/>
  <c r="M90" i="18"/>
  <c r="N90" i="18"/>
  <c r="O90" i="18"/>
  <c r="G135" i="38"/>
  <c r="G134" i="38"/>
  <c r="G113" i="38"/>
  <c r="F70" i="18"/>
  <c r="G70" i="18"/>
  <c r="H70" i="18"/>
  <c r="I70" i="18"/>
  <c r="J70" i="18"/>
  <c r="K70" i="18"/>
  <c r="L70" i="18"/>
  <c r="M70" i="18"/>
  <c r="N70" i="18"/>
  <c r="O70" i="18"/>
  <c r="F71" i="18"/>
  <c r="G71" i="18"/>
  <c r="H71" i="18"/>
  <c r="I71" i="18"/>
  <c r="J71" i="18"/>
  <c r="K71" i="18"/>
  <c r="L71" i="18"/>
  <c r="M71" i="18"/>
  <c r="N71" i="18"/>
  <c r="O71" i="18"/>
  <c r="F72" i="18"/>
  <c r="G72" i="18"/>
  <c r="H72" i="18"/>
  <c r="I72" i="18"/>
  <c r="J72" i="18"/>
  <c r="K72" i="18"/>
  <c r="L72" i="18"/>
  <c r="M72" i="18"/>
  <c r="N72" i="18"/>
  <c r="O72" i="18"/>
  <c r="F73" i="18"/>
  <c r="G73" i="18"/>
  <c r="H73" i="18"/>
  <c r="I73" i="18"/>
  <c r="J73" i="18"/>
  <c r="K73" i="18"/>
  <c r="L73" i="18"/>
  <c r="M73" i="18"/>
  <c r="N73" i="18"/>
  <c r="O73" i="18"/>
  <c r="F74" i="18"/>
  <c r="G74" i="18"/>
  <c r="H74" i="18"/>
  <c r="I74" i="18"/>
  <c r="J74" i="18"/>
  <c r="K74" i="18"/>
  <c r="L74" i="18"/>
  <c r="M74" i="18"/>
  <c r="N74" i="18"/>
  <c r="O74" i="18"/>
  <c r="F75" i="18"/>
  <c r="G75" i="18"/>
  <c r="H75" i="18"/>
  <c r="I75" i="18"/>
  <c r="J75" i="18"/>
  <c r="K75" i="18"/>
  <c r="L75" i="18"/>
  <c r="M75" i="18"/>
  <c r="N75" i="18"/>
  <c r="O75" i="18"/>
  <c r="G112" i="38"/>
  <c r="F55" i="18"/>
  <c r="G55" i="18"/>
  <c r="H55" i="18"/>
  <c r="I55" i="18"/>
  <c r="J55" i="18"/>
  <c r="K55" i="18"/>
  <c r="L55" i="18"/>
  <c r="M55" i="18"/>
  <c r="N55" i="18"/>
  <c r="O55" i="18"/>
  <c r="F56" i="18"/>
  <c r="G56" i="18"/>
  <c r="H56" i="18"/>
  <c r="I56" i="18"/>
  <c r="J56" i="18"/>
  <c r="K56" i="18"/>
  <c r="L56" i="18"/>
  <c r="M56" i="18"/>
  <c r="N56" i="18"/>
  <c r="O56" i="18"/>
  <c r="F57" i="18"/>
  <c r="G57" i="18"/>
  <c r="H57" i="18"/>
  <c r="I57" i="18"/>
  <c r="J57" i="18"/>
  <c r="K57" i="18"/>
  <c r="L57" i="18"/>
  <c r="M57" i="18"/>
  <c r="N57" i="18"/>
  <c r="O57" i="18"/>
  <c r="F58" i="18"/>
  <c r="G58" i="18"/>
  <c r="H58" i="18"/>
  <c r="I58" i="18"/>
  <c r="J58" i="18"/>
  <c r="K58" i="18"/>
  <c r="L58" i="18"/>
  <c r="M58" i="18"/>
  <c r="N58" i="18"/>
  <c r="O58" i="18"/>
  <c r="F59" i="18"/>
  <c r="G59" i="18"/>
  <c r="H59" i="18"/>
  <c r="I59" i="18"/>
  <c r="J59" i="18"/>
  <c r="K59" i="18"/>
  <c r="L59" i="18"/>
  <c r="M59" i="18"/>
  <c r="N59" i="18"/>
  <c r="O59" i="18"/>
  <c r="F60" i="18"/>
  <c r="G60" i="18"/>
  <c r="H60" i="18"/>
  <c r="I60" i="18"/>
  <c r="J60" i="18"/>
  <c r="K60" i="18"/>
  <c r="L60" i="18"/>
  <c r="M60" i="18"/>
  <c r="N60" i="18"/>
  <c r="O60" i="18"/>
  <c r="G91" i="38"/>
  <c r="G90" i="38"/>
  <c r="F40" i="18"/>
  <c r="G40" i="18"/>
  <c r="H40" i="18"/>
  <c r="I40" i="18"/>
  <c r="J40" i="18"/>
  <c r="K40" i="18"/>
  <c r="L40" i="18"/>
  <c r="M40" i="18"/>
  <c r="N40" i="18"/>
  <c r="O40" i="18"/>
  <c r="F41" i="18"/>
  <c r="G41" i="18"/>
  <c r="H41" i="18"/>
  <c r="I41" i="18"/>
  <c r="J41" i="18"/>
  <c r="K41" i="18"/>
  <c r="L41" i="18"/>
  <c r="M41" i="18"/>
  <c r="N41" i="18"/>
  <c r="O41" i="18"/>
  <c r="F42" i="18"/>
  <c r="G42" i="18"/>
  <c r="H42" i="18"/>
  <c r="I42" i="18"/>
  <c r="J42" i="18"/>
  <c r="K42" i="18"/>
  <c r="L42" i="18"/>
  <c r="M42" i="18"/>
  <c r="N42" i="18"/>
  <c r="O42" i="18"/>
  <c r="F43" i="18"/>
  <c r="G43" i="18"/>
  <c r="H43" i="18"/>
  <c r="I43" i="18"/>
  <c r="J43" i="18"/>
  <c r="K43" i="18"/>
  <c r="L43" i="18"/>
  <c r="M43" i="18"/>
  <c r="N43" i="18"/>
  <c r="O43" i="18"/>
  <c r="F44" i="18"/>
  <c r="G44" i="18"/>
  <c r="H44" i="18"/>
  <c r="I44" i="18"/>
  <c r="J44" i="18"/>
  <c r="K44" i="18"/>
  <c r="L44" i="18"/>
  <c r="M44" i="18"/>
  <c r="N44" i="18"/>
  <c r="O44" i="18"/>
  <c r="F45" i="18"/>
  <c r="G45" i="18"/>
  <c r="H45" i="18"/>
  <c r="I45" i="18"/>
  <c r="J45" i="18"/>
  <c r="K45" i="18"/>
  <c r="L45" i="18"/>
  <c r="M45" i="18"/>
  <c r="N45" i="18"/>
  <c r="O45" i="18"/>
  <c r="G69" i="38"/>
  <c r="G68" i="38"/>
  <c r="F25" i="18"/>
  <c r="G25" i="18"/>
  <c r="H25" i="18"/>
  <c r="I25" i="18"/>
  <c r="J25" i="18"/>
  <c r="K25" i="18"/>
  <c r="L25" i="18"/>
  <c r="M25" i="18"/>
  <c r="N25" i="18"/>
  <c r="O25" i="18"/>
  <c r="F26" i="18"/>
  <c r="G26" i="18"/>
  <c r="H26" i="18"/>
  <c r="I26" i="18"/>
  <c r="J26" i="18"/>
  <c r="K26" i="18"/>
  <c r="L26" i="18"/>
  <c r="M26" i="18"/>
  <c r="N26" i="18"/>
  <c r="O26" i="18"/>
  <c r="F27" i="18"/>
  <c r="G27" i="18"/>
  <c r="H27" i="18"/>
  <c r="I27" i="18"/>
  <c r="J27" i="18"/>
  <c r="K27" i="18"/>
  <c r="L27" i="18"/>
  <c r="M27" i="18"/>
  <c r="N27" i="18"/>
  <c r="O27" i="18"/>
  <c r="F28" i="18"/>
  <c r="G28" i="18"/>
  <c r="H28" i="18"/>
  <c r="I28" i="18"/>
  <c r="J28" i="18"/>
  <c r="K28" i="18"/>
  <c r="L28" i="18"/>
  <c r="M28" i="18"/>
  <c r="N28" i="18"/>
  <c r="O28" i="18"/>
  <c r="F29" i="18"/>
  <c r="G29" i="18"/>
  <c r="H29" i="18"/>
  <c r="I29" i="18"/>
  <c r="J29" i="18"/>
  <c r="K29" i="18"/>
  <c r="L29" i="18"/>
  <c r="M29" i="18"/>
  <c r="N29" i="18"/>
  <c r="O29" i="18"/>
  <c r="F30" i="18"/>
  <c r="G30" i="18"/>
  <c r="H30" i="18"/>
  <c r="I30" i="18"/>
  <c r="J30" i="18"/>
  <c r="K30" i="18"/>
  <c r="L30" i="18"/>
  <c r="M30" i="18"/>
  <c r="N30" i="18"/>
  <c r="O30" i="18"/>
  <c r="G47" i="38"/>
  <c r="G46" i="38"/>
  <c r="K204" i="35"/>
  <c r="K205" i="35"/>
  <c r="K206" i="35"/>
  <c r="K207" i="35"/>
  <c r="K208" i="35"/>
  <c r="K209" i="35"/>
  <c r="K210" i="35"/>
  <c r="K211" i="35"/>
  <c r="K213" i="35"/>
  <c r="K203" i="35"/>
  <c r="K190" i="35"/>
  <c r="K191" i="35"/>
  <c r="K192" i="35"/>
  <c r="K193" i="35"/>
  <c r="K194" i="35"/>
  <c r="K195" i="35"/>
  <c r="K196" i="35"/>
  <c r="K197" i="35"/>
  <c r="K199" i="35"/>
  <c r="K189" i="35"/>
  <c r="G10" i="35"/>
  <c r="H10" i="35"/>
  <c r="I10" i="35"/>
  <c r="I75" i="35" s="1"/>
  <c r="J10" i="35"/>
  <c r="K10" i="35"/>
  <c r="L10" i="35"/>
  <c r="L75" i="35" s="1"/>
  <c r="M10" i="35"/>
  <c r="M75" i="35" s="1"/>
  <c r="N10" i="35"/>
  <c r="N75" i="35" s="1"/>
  <c r="O10" i="35"/>
  <c r="O75" i="35" s="1"/>
  <c r="G11" i="35"/>
  <c r="H11" i="35"/>
  <c r="I11" i="35"/>
  <c r="I76" i="35" s="1"/>
  <c r="J11" i="35"/>
  <c r="K11" i="35"/>
  <c r="L11" i="35"/>
  <c r="L76" i="35" s="1"/>
  <c r="M11" i="35"/>
  <c r="M76" i="35" s="1"/>
  <c r="N11" i="35"/>
  <c r="N76" i="35" s="1"/>
  <c r="O11" i="35"/>
  <c r="O76" i="35" s="1"/>
  <c r="F11" i="35"/>
  <c r="F10" i="35"/>
  <c r="F29" i="35"/>
  <c r="G29" i="35"/>
  <c r="H29" i="35"/>
  <c r="I29" i="35"/>
  <c r="I202" i="35" s="1"/>
  <c r="J29" i="35"/>
  <c r="K29" i="35"/>
  <c r="L29" i="35"/>
  <c r="L202" i="35" s="1"/>
  <c r="M29" i="35"/>
  <c r="M202" i="35" s="1"/>
  <c r="N29" i="35"/>
  <c r="N202" i="35" s="1"/>
  <c r="O29" i="35"/>
  <c r="O202" i="35" s="1"/>
  <c r="G28" i="35"/>
  <c r="H28" i="35"/>
  <c r="I28" i="35"/>
  <c r="I201" i="35" s="1"/>
  <c r="J28" i="35"/>
  <c r="K28" i="35"/>
  <c r="L28" i="35"/>
  <c r="L201" i="35" s="1"/>
  <c r="M28" i="35"/>
  <c r="M201" i="35" s="1"/>
  <c r="N28" i="35"/>
  <c r="N201" i="35" s="1"/>
  <c r="O28" i="35"/>
  <c r="O201" i="35" s="1"/>
  <c r="F28" i="35"/>
  <c r="G32" i="35"/>
  <c r="H32" i="35"/>
  <c r="I32" i="35"/>
  <c r="I229" i="35" s="1"/>
  <c r="J32" i="35"/>
  <c r="K32" i="35"/>
  <c r="L32" i="35"/>
  <c r="L229" i="35" s="1"/>
  <c r="M32" i="35"/>
  <c r="M229" i="35" s="1"/>
  <c r="N32" i="35"/>
  <c r="N229" i="35" s="1"/>
  <c r="O32" i="35"/>
  <c r="O229" i="35" s="1"/>
  <c r="G33" i="35"/>
  <c r="H33" i="35"/>
  <c r="I33" i="35"/>
  <c r="I230" i="35" s="1"/>
  <c r="J33" i="35"/>
  <c r="K33" i="35"/>
  <c r="L33" i="35"/>
  <c r="L230" i="35" s="1"/>
  <c r="M33" i="35"/>
  <c r="M230" i="35" s="1"/>
  <c r="N33" i="35"/>
  <c r="N230" i="35" s="1"/>
  <c r="O33" i="35"/>
  <c r="O230" i="35" s="1"/>
  <c r="F33" i="35"/>
  <c r="F32" i="35"/>
  <c r="F37" i="35"/>
  <c r="G37" i="35"/>
  <c r="H37" i="35"/>
  <c r="I37" i="35"/>
  <c r="I258" i="35" s="1"/>
  <c r="J37" i="35"/>
  <c r="K37" i="35"/>
  <c r="L37" i="35"/>
  <c r="L258" i="35" s="1"/>
  <c r="M37" i="35"/>
  <c r="M258" i="35" s="1"/>
  <c r="N37" i="35"/>
  <c r="N258" i="35" s="1"/>
  <c r="O37" i="35"/>
  <c r="O258" i="35" s="1"/>
  <c r="G36" i="35"/>
  <c r="H36" i="35"/>
  <c r="I36" i="35"/>
  <c r="I257" i="35" s="1"/>
  <c r="J36" i="35"/>
  <c r="K36" i="35"/>
  <c r="L36" i="35"/>
  <c r="L257" i="35" s="1"/>
  <c r="M36" i="35"/>
  <c r="M257" i="35" s="1"/>
  <c r="N36" i="35"/>
  <c r="N257" i="35" s="1"/>
  <c r="O36" i="35"/>
  <c r="O257" i="35" s="1"/>
  <c r="F36" i="35"/>
  <c r="O35" i="35"/>
  <c r="O244" i="35" s="1"/>
  <c r="N35" i="35"/>
  <c r="N244" i="35" s="1"/>
  <c r="M35" i="35"/>
  <c r="M244" i="35" s="1"/>
  <c r="L35" i="35"/>
  <c r="L244" i="35" s="1"/>
  <c r="K35" i="35"/>
  <c r="J35" i="35"/>
  <c r="I35" i="35"/>
  <c r="I244" i="35" s="1"/>
  <c r="H35" i="35"/>
  <c r="G35" i="35"/>
  <c r="F35" i="35"/>
  <c r="O34" i="35"/>
  <c r="O243" i="35" s="1"/>
  <c r="N34" i="35"/>
  <c r="N243" i="35" s="1"/>
  <c r="M34" i="35"/>
  <c r="M243" i="35" s="1"/>
  <c r="L34" i="35"/>
  <c r="L243" i="35" s="1"/>
  <c r="K34" i="35"/>
  <c r="J34" i="35"/>
  <c r="I34" i="35"/>
  <c r="I243" i="35" s="1"/>
  <c r="H34" i="35"/>
  <c r="G34" i="35"/>
  <c r="F34" i="35"/>
  <c r="O31" i="35"/>
  <c r="O216" i="35" s="1"/>
  <c r="N31" i="35"/>
  <c r="N216" i="35" s="1"/>
  <c r="M31" i="35"/>
  <c r="M216" i="35" s="1"/>
  <c r="L31" i="35"/>
  <c r="L216" i="35" s="1"/>
  <c r="K31" i="35"/>
  <c r="J31" i="35"/>
  <c r="I31" i="35"/>
  <c r="I216" i="35" s="1"/>
  <c r="H31" i="35"/>
  <c r="G31" i="35"/>
  <c r="F31" i="35"/>
  <c r="O30" i="35"/>
  <c r="O215" i="35" s="1"/>
  <c r="N30" i="35"/>
  <c r="N215" i="35" s="1"/>
  <c r="M30" i="35"/>
  <c r="M215" i="35" s="1"/>
  <c r="L30" i="35"/>
  <c r="L215" i="35" s="1"/>
  <c r="K30" i="35"/>
  <c r="J30" i="35"/>
  <c r="I30" i="35"/>
  <c r="I215" i="35" s="1"/>
  <c r="H30" i="35"/>
  <c r="G30" i="35"/>
  <c r="F30" i="35"/>
  <c r="O39" i="35"/>
  <c r="O272" i="35" s="1"/>
  <c r="N39" i="35"/>
  <c r="N272" i="35" s="1"/>
  <c r="M39" i="35"/>
  <c r="M272" i="35" s="1"/>
  <c r="L39" i="35"/>
  <c r="L272" i="35" s="1"/>
  <c r="K39" i="35"/>
  <c r="J39" i="35"/>
  <c r="I39" i="35"/>
  <c r="I272" i="35" s="1"/>
  <c r="H39" i="35"/>
  <c r="G39" i="35"/>
  <c r="F39" i="35"/>
  <c r="O38" i="35"/>
  <c r="O271" i="35" s="1"/>
  <c r="N38" i="35"/>
  <c r="N271" i="35" s="1"/>
  <c r="M38" i="35"/>
  <c r="M271" i="35" s="1"/>
  <c r="L38" i="35"/>
  <c r="L271" i="35" s="1"/>
  <c r="K38" i="35"/>
  <c r="J38" i="35"/>
  <c r="I38" i="35"/>
  <c r="I271" i="35" s="1"/>
  <c r="H38" i="35"/>
  <c r="G38" i="35"/>
  <c r="F38" i="35"/>
  <c r="K283" i="35"/>
  <c r="K281" i="35"/>
  <c r="K280" i="35"/>
  <c r="K279" i="35"/>
  <c r="K278" i="35"/>
  <c r="K277" i="35"/>
  <c r="K276" i="35"/>
  <c r="K275" i="35"/>
  <c r="K274" i="35"/>
  <c r="K273" i="35"/>
  <c r="K297" i="35"/>
  <c r="K295" i="35"/>
  <c r="K294" i="35"/>
  <c r="K293" i="35"/>
  <c r="K292" i="35"/>
  <c r="K291" i="35"/>
  <c r="K290" i="35"/>
  <c r="K289" i="35"/>
  <c r="K288" i="35"/>
  <c r="K287" i="35"/>
  <c r="K269" i="35"/>
  <c r="K267" i="35"/>
  <c r="K266" i="35"/>
  <c r="K265" i="35"/>
  <c r="K264" i="35"/>
  <c r="K263" i="35"/>
  <c r="K262" i="35"/>
  <c r="K261" i="35"/>
  <c r="K260" i="35"/>
  <c r="K259" i="35"/>
  <c r="K255" i="35"/>
  <c r="K253" i="35"/>
  <c r="K252" i="35"/>
  <c r="K251" i="35"/>
  <c r="K250" i="35"/>
  <c r="K249" i="35"/>
  <c r="K248" i="35"/>
  <c r="K247" i="35"/>
  <c r="K246" i="35"/>
  <c r="K245" i="35"/>
  <c r="K241" i="35"/>
  <c r="K239" i="35"/>
  <c r="K238" i="35"/>
  <c r="K237" i="35"/>
  <c r="K236" i="35"/>
  <c r="K235" i="35"/>
  <c r="K234" i="35"/>
  <c r="K233" i="35"/>
  <c r="K232" i="35"/>
  <c r="K231" i="35"/>
  <c r="K227" i="35"/>
  <c r="K225" i="35"/>
  <c r="K224" i="35"/>
  <c r="K223" i="35"/>
  <c r="K222" i="35"/>
  <c r="K221" i="35"/>
  <c r="K220" i="35"/>
  <c r="K219" i="35"/>
  <c r="K218" i="35"/>
  <c r="K217" i="35"/>
  <c r="K185" i="35"/>
  <c r="K183" i="35"/>
  <c r="K182" i="35"/>
  <c r="K181" i="35"/>
  <c r="K180" i="35"/>
  <c r="K179" i="35"/>
  <c r="K178" i="35"/>
  <c r="K177" i="35"/>
  <c r="K176" i="35"/>
  <c r="K175" i="35"/>
  <c r="K171" i="35"/>
  <c r="K169" i="35"/>
  <c r="K168" i="35"/>
  <c r="K167" i="35"/>
  <c r="K166" i="35"/>
  <c r="K165" i="35"/>
  <c r="K164" i="35"/>
  <c r="K163" i="35"/>
  <c r="K162" i="35"/>
  <c r="K161" i="35"/>
  <c r="K157" i="35"/>
  <c r="K155" i="35"/>
  <c r="K154" i="35"/>
  <c r="K153" i="35"/>
  <c r="K152" i="35"/>
  <c r="K151" i="35"/>
  <c r="K150" i="35"/>
  <c r="K149" i="35"/>
  <c r="K148" i="35"/>
  <c r="K147" i="35"/>
  <c r="K143" i="35"/>
  <c r="K141" i="35"/>
  <c r="K140" i="35"/>
  <c r="K139" i="35"/>
  <c r="K138" i="35"/>
  <c r="K137" i="35"/>
  <c r="K136" i="35"/>
  <c r="K135" i="35"/>
  <c r="K134" i="35"/>
  <c r="K133" i="35"/>
  <c r="K129" i="35"/>
  <c r="K127" i="35"/>
  <c r="K126" i="35"/>
  <c r="K125" i="35"/>
  <c r="K124" i="35"/>
  <c r="K123" i="35"/>
  <c r="K122" i="35"/>
  <c r="K121" i="35"/>
  <c r="K120" i="35"/>
  <c r="K119" i="35"/>
  <c r="K115" i="35"/>
  <c r="K113" i="35"/>
  <c r="K112" i="35"/>
  <c r="K111" i="35"/>
  <c r="K110" i="35"/>
  <c r="K109" i="35"/>
  <c r="K108" i="35"/>
  <c r="K107" i="35"/>
  <c r="K106" i="35"/>
  <c r="K105" i="35"/>
  <c r="K101" i="35"/>
  <c r="K99" i="35"/>
  <c r="K98" i="35"/>
  <c r="K97" i="35"/>
  <c r="K96" i="35"/>
  <c r="K95" i="35"/>
  <c r="K94" i="35"/>
  <c r="K93" i="35"/>
  <c r="K92" i="35"/>
  <c r="K91" i="35"/>
  <c r="K87" i="35"/>
  <c r="K85" i="35"/>
  <c r="K84" i="35"/>
  <c r="K83" i="35"/>
  <c r="K82" i="35"/>
  <c r="K81" i="35"/>
  <c r="K80" i="35"/>
  <c r="K79" i="35"/>
  <c r="K78" i="35"/>
  <c r="K77" i="35"/>
  <c r="K73" i="35"/>
  <c r="K71" i="35"/>
  <c r="K70" i="35"/>
  <c r="K69" i="35"/>
  <c r="K68" i="35"/>
  <c r="K67" i="35"/>
  <c r="K66" i="35"/>
  <c r="K65" i="35"/>
  <c r="K64" i="35"/>
  <c r="K63" i="35"/>
  <c r="K59" i="35"/>
  <c r="K57" i="35"/>
  <c r="K55" i="35"/>
  <c r="K54" i="35"/>
  <c r="K53" i="35"/>
  <c r="K52" i="35"/>
  <c r="K51" i="35"/>
  <c r="K50" i="35"/>
  <c r="K49" i="35"/>
  <c r="G40" i="35"/>
  <c r="H40" i="35"/>
  <c r="I40" i="35"/>
  <c r="I285" i="35" s="1"/>
  <c r="J40" i="35"/>
  <c r="K40" i="35"/>
  <c r="L40" i="35"/>
  <c r="L285" i="35" s="1"/>
  <c r="M40" i="35"/>
  <c r="M285" i="35" s="1"/>
  <c r="N40" i="35"/>
  <c r="N285" i="35" s="1"/>
  <c r="O40" i="35"/>
  <c r="O285" i="35" s="1"/>
  <c r="G41" i="35"/>
  <c r="H41" i="35"/>
  <c r="I41" i="35"/>
  <c r="I286" i="35" s="1"/>
  <c r="J41" i="35"/>
  <c r="K41" i="35"/>
  <c r="L41" i="35"/>
  <c r="L286" i="35" s="1"/>
  <c r="M41" i="35"/>
  <c r="M286" i="35" s="1"/>
  <c r="N41" i="35"/>
  <c r="N286" i="35" s="1"/>
  <c r="O41" i="35"/>
  <c r="O286" i="35" s="1"/>
  <c r="F41" i="35"/>
  <c r="F40" i="35"/>
  <c r="F7" i="35"/>
  <c r="G7" i="35"/>
  <c r="H7" i="35"/>
  <c r="I7" i="35"/>
  <c r="I48" i="35" s="1"/>
  <c r="J7" i="35"/>
  <c r="K7" i="35"/>
  <c r="L7" i="35"/>
  <c r="L48" i="35" s="1"/>
  <c r="M7" i="35"/>
  <c r="M48" i="35" s="1"/>
  <c r="N7" i="35"/>
  <c r="N48" i="35" s="1"/>
  <c r="G6" i="35"/>
  <c r="H6" i="35"/>
  <c r="I6" i="35"/>
  <c r="I47" i="35" s="1"/>
  <c r="J6" i="35"/>
  <c r="K6" i="35"/>
  <c r="K826" i="35" s="1"/>
  <c r="L6" i="35"/>
  <c r="L47" i="35" s="1"/>
  <c r="M6" i="35"/>
  <c r="M47" i="35" s="1"/>
  <c r="N6" i="35"/>
  <c r="N47" i="35" s="1"/>
  <c r="O6" i="35"/>
  <c r="O47" i="35" s="1"/>
  <c r="F6" i="35"/>
  <c r="G26" i="35"/>
  <c r="H26" i="35"/>
  <c r="I26" i="35"/>
  <c r="I187" i="35" s="1"/>
  <c r="J26" i="35"/>
  <c r="K26" i="35"/>
  <c r="L26" i="35"/>
  <c r="L187" i="35" s="1"/>
  <c r="M26" i="35"/>
  <c r="M187" i="35" s="1"/>
  <c r="N26" i="35"/>
  <c r="N187" i="35" s="1"/>
  <c r="O26" i="35"/>
  <c r="O187" i="35" s="1"/>
  <c r="G27" i="35"/>
  <c r="H27" i="35"/>
  <c r="I27" i="35"/>
  <c r="I188" i="35" s="1"/>
  <c r="J27" i="35"/>
  <c r="K27" i="35"/>
  <c r="L27" i="35"/>
  <c r="L188" i="35" s="1"/>
  <c r="M27" i="35"/>
  <c r="M188" i="35" s="1"/>
  <c r="N27" i="35"/>
  <c r="N188" i="35" s="1"/>
  <c r="O27" i="35"/>
  <c r="O188" i="35" s="1"/>
  <c r="F27" i="35"/>
  <c r="F26" i="35"/>
  <c r="G24" i="35"/>
  <c r="H24" i="35"/>
  <c r="I24" i="35"/>
  <c r="I173" i="35" s="1"/>
  <c r="J24" i="35"/>
  <c r="K24" i="35"/>
  <c r="L24" i="35"/>
  <c r="L173" i="35" s="1"/>
  <c r="M24" i="35"/>
  <c r="M173" i="35" s="1"/>
  <c r="N24" i="35"/>
  <c r="N173" i="35" s="1"/>
  <c r="O24" i="35"/>
  <c r="O173" i="35" s="1"/>
  <c r="G25" i="35"/>
  <c r="H25" i="35"/>
  <c r="I25" i="35"/>
  <c r="I174" i="35" s="1"/>
  <c r="J25" i="35"/>
  <c r="K25" i="35"/>
  <c r="L25" i="35"/>
  <c r="L174" i="35" s="1"/>
  <c r="M25" i="35"/>
  <c r="M174" i="35" s="1"/>
  <c r="N25" i="35"/>
  <c r="N174" i="35" s="1"/>
  <c r="O25" i="35"/>
  <c r="O174" i="35" s="1"/>
  <c r="F25" i="35"/>
  <c r="F24" i="35"/>
  <c r="F23" i="35"/>
  <c r="G23" i="35"/>
  <c r="H23" i="35"/>
  <c r="I23" i="35"/>
  <c r="I160" i="35" s="1"/>
  <c r="J23" i="35"/>
  <c r="K23" i="35"/>
  <c r="L23" i="35"/>
  <c r="L160" i="35" s="1"/>
  <c r="M23" i="35"/>
  <c r="M160" i="35" s="1"/>
  <c r="N23" i="35"/>
  <c r="N160" i="35" s="1"/>
  <c r="O23" i="35"/>
  <c r="O160" i="35" s="1"/>
  <c r="G22" i="35"/>
  <c r="H22" i="35"/>
  <c r="I22" i="35"/>
  <c r="I159" i="35" s="1"/>
  <c r="J22" i="35"/>
  <c r="K22" i="35"/>
  <c r="L22" i="35"/>
  <c r="L159" i="35" s="1"/>
  <c r="M22" i="35"/>
  <c r="M159" i="35" s="1"/>
  <c r="N22" i="35"/>
  <c r="N159" i="35" s="1"/>
  <c r="O22" i="35"/>
  <c r="O159" i="35" s="1"/>
  <c r="F22" i="35"/>
  <c r="G20" i="35"/>
  <c r="H20" i="35"/>
  <c r="I20" i="35"/>
  <c r="I145" i="35" s="1"/>
  <c r="J20" i="35"/>
  <c r="K20" i="35"/>
  <c r="L20" i="35"/>
  <c r="L145" i="35" s="1"/>
  <c r="M20" i="35"/>
  <c r="M145" i="35" s="1"/>
  <c r="N20" i="35"/>
  <c r="N145" i="35" s="1"/>
  <c r="O20" i="35"/>
  <c r="O145" i="35" s="1"/>
  <c r="G21" i="35"/>
  <c r="H21" i="35"/>
  <c r="I21" i="35"/>
  <c r="I146" i="35" s="1"/>
  <c r="J21" i="35"/>
  <c r="K21" i="35"/>
  <c r="L21" i="35"/>
  <c r="L146" i="35" s="1"/>
  <c r="M21" i="35"/>
  <c r="M146" i="35" s="1"/>
  <c r="N21" i="35"/>
  <c r="N146" i="35" s="1"/>
  <c r="O21" i="35"/>
  <c r="O146" i="35" s="1"/>
  <c r="F21" i="35"/>
  <c r="F20" i="35"/>
  <c r="F19" i="35"/>
  <c r="G19" i="35"/>
  <c r="H19" i="35"/>
  <c r="I19" i="35"/>
  <c r="I132" i="35" s="1"/>
  <c r="J19" i="35"/>
  <c r="K19" i="35"/>
  <c r="L19" i="35"/>
  <c r="L132" i="35" s="1"/>
  <c r="M19" i="35"/>
  <c r="M132" i="35" s="1"/>
  <c r="N19" i="35"/>
  <c r="N132" i="35" s="1"/>
  <c r="O19" i="35"/>
  <c r="O132" i="35" s="1"/>
  <c r="G18" i="35"/>
  <c r="H18" i="35"/>
  <c r="I18" i="35"/>
  <c r="I131" i="35" s="1"/>
  <c r="J18" i="35"/>
  <c r="K18" i="35"/>
  <c r="L18" i="35"/>
  <c r="L131" i="35" s="1"/>
  <c r="M18" i="35"/>
  <c r="M131" i="35" s="1"/>
  <c r="N18" i="35"/>
  <c r="N131" i="35" s="1"/>
  <c r="O18" i="35"/>
  <c r="O131" i="35" s="1"/>
  <c r="F18" i="35"/>
  <c r="G16" i="35"/>
  <c r="H16" i="35"/>
  <c r="I16" i="35"/>
  <c r="I117" i="35" s="1"/>
  <c r="J16" i="35"/>
  <c r="K16" i="35"/>
  <c r="L16" i="35"/>
  <c r="L117" i="35" s="1"/>
  <c r="M16" i="35"/>
  <c r="M117" i="35" s="1"/>
  <c r="N16" i="35"/>
  <c r="N117" i="35" s="1"/>
  <c r="O16" i="35"/>
  <c r="O117" i="35" s="1"/>
  <c r="G17" i="35"/>
  <c r="H17" i="35"/>
  <c r="I17" i="35"/>
  <c r="I118" i="35" s="1"/>
  <c r="J17" i="35"/>
  <c r="K17" i="35"/>
  <c r="L17" i="35"/>
  <c r="L118" i="35" s="1"/>
  <c r="M17" i="35"/>
  <c r="M118" i="35" s="1"/>
  <c r="N17" i="35"/>
  <c r="N118" i="35" s="1"/>
  <c r="O17" i="35"/>
  <c r="O118" i="35" s="1"/>
  <c r="F17" i="35"/>
  <c r="F16" i="35"/>
  <c r="G14" i="35"/>
  <c r="H14" i="35"/>
  <c r="I14" i="35"/>
  <c r="I103" i="35" s="1"/>
  <c r="J14" i="35"/>
  <c r="K14" i="35"/>
  <c r="L14" i="35"/>
  <c r="L103" i="35" s="1"/>
  <c r="M14" i="35"/>
  <c r="M103" i="35" s="1"/>
  <c r="N14" i="35"/>
  <c r="N103" i="35" s="1"/>
  <c r="O14" i="35"/>
  <c r="O103" i="35" s="1"/>
  <c r="G15" i="35"/>
  <c r="H15" i="35"/>
  <c r="I15" i="35"/>
  <c r="I104" i="35" s="1"/>
  <c r="J15" i="35"/>
  <c r="K15" i="35"/>
  <c r="L15" i="35"/>
  <c r="L104" i="35" s="1"/>
  <c r="M15" i="35"/>
  <c r="M104" i="35" s="1"/>
  <c r="N15" i="35"/>
  <c r="N104" i="35" s="1"/>
  <c r="O15" i="35"/>
  <c r="O104" i="35" s="1"/>
  <c r="F15" i="35"/>
  <c r="F14" i="35"/>
  <c r="F13" i="35"/>
  <c r="G13" i="35"/>
  <c r="H13" i="35"/>
  <c r="I13" i="35"/>
  <c r="I90" i="35" s="1"/>
  <c r="J13" i="35"/>
  <c r="K13" i="35"/>
  <c r="L13" i="35"/>
  <c r="L90" i="35" s="1"/>
  <c r="M13" i="35"/>
  <c r="M90" i="35" s="1"/>
  <c r="N13" i="35"/>
  <c r="N90" i="35" s="1"/>
  <c r="O13" i="35"/>
  <c r="O90" i="35" s="1"/>
  <c r="G12" i="35"/>
  <c r="H12" i="35"/>
  <c r="I12" i="35"/>
  <c r="I89" i="35" s="1"/>
  <c r="J12" i="35"/>
  <c r="K12" i="35"/>
  <c r="L12" i="35"/>
  <c r="L89" i="35" s="1"/>
  <c r="M12" i="35"/>
  <c r="M89" i="35" s="1"/>
  <c r="N12" i="35"/>
  <c r="N89" i="35" s="1"/>
  <c r="O12" i="35"/>
  <c r="O89" i="35" s="1"/>
  <c r="F12" i="35"/>
  <c r="G8" i="35"/>
  <c r="H8" i="35"/>
  <c r="I8" i="35"/>
  <c r="I61" i="35" s="1"/>
  <c r="J8" i="35"/>
  <c r="K8" i="35"/>
  <c r="L8" i="35"/>
  <c r="L61" i="35" s="1"/>
  <c r="M8" i="35"/>
  <c r="M61" i="35" s="1"/>
  <c r="N8" i="35"/>
  <c r="N61" i="35" s="1"/>
  <c r="O8" i="35"/>
  <c r="G9" i="35"/>
  <c r="H9" i="35"/>
  <c r="I9" i="35"/>
  <c r="I62" i="35" s="1"/>
  <c r="J9" i="35"/>
  <c r="K9" i="35"/>
  <c r="L9" i="35"/>
  <c r="L62" i="35" s="1"/>
  <c r="M9" i="35"/>
  <c r="M62" i="35" s="1"/>
  <c r="N9" i="35"/>
  <c r="N62" i="35" s="1"/>
  <c r="O9" i="35"/>
  <c r="O62" i="35" s="1"/>
  <c r="F8" i="35"/>
  <c r="F9" i="35"/>
  <c r="K389" i="35"/>
  <c r="K337" i="35"/>
  <c r="K331" i="35"/>
  <c r="K344" i="35"/>
  <c r="K341" i="35"/>
  <c r="K334" i="35"/>
  <c r="K333" i="35"/>
  <c r="K330" i="35"/>
  <c r="K339" i="35"/>
  <c r="K340" i="35"/>
  <c r="K327" i="35"/>
  <c r="K342" i="35"/>
  <c r="K335" i="35"/>
  <c r="K343" i="35"/>
  <c r="K328" i="35"/>
  <c r="K332" i="35"/>
  <c r="K338" i="35"/>
  <c r="K329" i="35"/>
  <c r="K336" i="35"/>
  <c r="O830" i="35" l="1"/>
  <c r="O20" i="24" s="1"/>
  <c r="O20" i="18" s="1"/>
  <c r="O61" i="35"/>
  <c r="J575" i="35"/>
  <c r="H441" i="3"/>
  <c r="J386" i="38" l="1"/>
  <c r="F386" i="38"/>
  <c r="J364" i="38"/>
  <c r="F364" i="38"/>
  <c r="J342" i="38"/>
  <c r="F342" i="38"/>
  <c r="J320" i="38"/>
  <c r="F320" i="38"/>
  <c r="J298" i="38"/>
  <c r="F298" i="38"/>
  <c r="J276" i="38"/>
  <c r="F276" i="38"/>
  <c r="J254" i="38"/>
  <c r="F254" i="38"/>
  <c r="J232" i="38"/>
  <c r="F232" i="38"/>
  <c r="J210" i="38"/>
  <c r="F210" i="38"/>
  <c r="J188" i="38"/>
  <c r="F188" i="38"/>
  <c r="J166" i="38"/>
  <c r="F166" i="38"/>
  <c r="J144" i="38"/>
  <c r="J408" i="38" s="1"/>
  <c r="F144" i="38"/>
  <c r="F408" i="38" s="1"/>
  <c r="J122" i="38"/>
  <c r="F122" i="38"/>
  <c r="J100" i="38"/>
  <c r="F100" i="38"/>
  <c r="J78" i="38"/>
  <c r="F78" i="38"/>
  <c r="J56" i="38"/>
  <c r="F56" i="38"/>
  <c r="J34" i="38"/>
  <c r="F34" i="38"/>
  <c r="I12" i="38"/>
  <c r="L364" i="38"/>
  <c r="H364" i="38"/>
  <c r="H342" i="38"/>
  <c r="L298" i="38"/>
  <c r="L254" i="38"/>
  <c r="H254" i="38"/>
  <c r="L210" i="38"/>
  <c r="H210" i="38"/>
  <c r="L166" i="38"/>
  <c r="H166" i="38"/>
  <c r="L122" i="38"/>
  <c r="H122" i="38"/>
  <c r="L78" i="38"/>
  <c r="H78" i="38"/>
  <c r="L34" i="38"/>
  <c r="H34" i="38"/>
  <c r="K386" i="38"/>
  <c r="G386" i="38"/>
  <c r="K342" i="38"/>
  <c r="G342" i="38"/>
  <c r="K298" i="38"/>
  <c r="G298" i="38"/>
  <c r="K254" i="38"/>
  <c r="G254" i="38"/>
  <c r="K210" i="38"/>
  <c r="G210" i="38"/>
  <c r="K166" i="38"/>
  <c r="G166" i="38"/>
  <c r="K122" i="38"/>
  <c r="G122" i="38"/>
  <c r="K78" i="38"/>
  <c r="G78" i="38"/>
  <c r="K34" i="38"/>
  <c r="G34" i="38"/>
  <c r="J12" i="38"/>
  <c r="F12" i="38"/>
  <c r="I386" i="38"/>
  <c r="I364" i="38"/>
  <c r="I342" i="38"/>
  <c r="I320" i="38"/>
  <c r="I298" i="38"/>
  <c r="I276" i="38"/>
  <c r="I254" i="38"/>
  <c r="I232" i="38"/>
  <c r="I210" i="38"/>
  <c r="I188" i="38"/>
  <c r="I166" i="38"/>
  <c r="I144" i="38"/>
  <c r="I408" i="38" s="1"/>
  <c r="I122" i="38"/>
  <c r="I100" i="38"/>
  <c r="I78" i="38"/>
  <c r="I56" i="38"/>
  <c r="I34" i="38"/>
  <c r="L12" i="38"/>
  <c r="H12" i="38"/>
  <c r="L386" i="38"/>
  <c r="H386" i="38"/>
  <c r="L342" i="38"/>
  <c r="L320" i="38"/>
  <c r="H320" i="38"/>
  <c r="H298" i="38"/>
  <c r="L276" i="38"/>
  <c r="H276" i="38"/>
  <c r="L232" i="38"/>
  <c r="H232" i="38"/>
  <c r="L188" i="38"/>
  <c r="H188" i="38"/>
  <c r="L144" i="38"/>
  <c r="L408" i="38" s="1"/>
  <c r="H144" i="38"/>
  <c r="H408" i="38" s="1"/>
  <c r="L100" i="38"/>
  <c r="H100" i="38"/>
  <c r="L56" i="38"/>
  <c r="H56" i="38"/>
  <c r="K12" i="38"/>
  <c r="G12" i="38"/>
  <c r="K364" i="38"/>
  <c r="G364" i="38"/>
  <c r="K320" i="38"/>
  <c r="G320" i="38"/>
  <c r="K276" i="38"/>
  <c r="G276" i="38"/>
  <c r="K232" i="38"/>
  <c r="G232" i="38"/>
  <c r="K188" i="38"/>
  <c r="G188" i="38"/>
  <c r="K144" i="38"/>
  <c r="K408" i="38" s="1"/>
  <c r="G144" i="38"/>
  <c r="G408" i="38" s="1"/>
  <c r="K100" i="38"/>
  <c r="G100" i="38"/>
  <c r="K56" i="38"/>
  <c r="G56" i="38"/>
  <c r="K891" i="35"/>
  <c r="K186" i="24" s="1"/>
  <c r="K186" i="18" s="1"/>
  <c r="L891" i="35"/>
  <c r="L186" i="24" s="1"/>
  <c r="L186" i="18" s="1"/>
  <c r="M891" i="35"/>
  <c r="M186" i="24" s="1"/>
  <c r="M186" i="18" s="1"/>
  <c r="N891" i="35"/>
  <c r="N186" i="24" s="1"/>
  <c r="N186" i="18" s="1"/>
  <c r="O891" i="35"/>
  <c r="O186" i="24" s="1"/>
  <c r="O186" i="18" s="1"/>
  <c r="K890" i="35"/>
  <c r="K185" i="24" s="1"/>
  <c r="K185" i="18" s="1"/>
  <c r="L890" i="35"/>
  <c r="L185" i="24" s="1"/>
  <c r="L185" i="18" s="1"/>
  <c r="M890" i="35"/>
  <c r="M185" i="24" s="1"/>
  <c r="M185" i="18" s="1"/>
  <c r="N890" i="35"/>
  <c r="N185" i="24" s="1"/>
  <c r="N185" i="18" s="1"/>
  <c r="O890" i="35"/>
  <c r="O185" i="24" s="1"/>
  <c r="O185" i="18" s="1"/>
  <c r="K887" i="35"/>
  <c r="K246" i="24" s="1"/>
  <c r="K246" i="18" s="1"/>
  <c r="L887" i="35"/>
  <c r="L246" i="24" s="1"/>
  <c r="L246" i="18" s="1"/>
  <c r="M887" i="35"/>
  <c r="M246" i="24" s="1"/>
  <c r="M246" i="18" s="1"/>
  <c r="N887" i="35"/>
  <c r="N246" i="24" s="1"/>
  <c r="N246" i="18" s="1"/>
  <c r="O887" i="35"/>
  <c r="O246" i="24" s="1"/>
  <c r="O246" i="18" s="1"/>
  <c r="K886" i="35"/>
  <c r="K245" i="24" s="1"/>
  <c r="K245" i="18" s="1"/>
  <c r="L886" i="35"/>
  <c r="L245" i="24" s="1"/>
  <c r="L245" i="18" s="1"/>
  <c r="M886" i="35"/>
  <c r="M245" i="24" s="1"/>
  <c r="M245" i="18" s="1"/>
  <c r="N886" i="35"/>
  <c r="N245" i="24" s="1"/>
  <c r="N245" i="18" s="1"/>
  <c r="O886" i="35"/>
  <c r="O245" i="24" s="1"/>
  <c r="O245" i="18" s="1"/>
  <c r="K883" i="35"/>
  <c r="K231" i="24" s="1"/>
  <c r="K231" i="18" s="1"/>
  <c r="L883" i="35"/>
  <c r="L231" i="24" s="1"/>
  <c r="L231" i="18" s="1"/>
  <c r="M883" i="35"/>
  <c r="M231" i="24" s="1"/>
  <c r="M231" i="18" s="1"/>
  <c r="N883" i="35"/>
  <c r="N231" i="24" s="1"/>
  <c r="N231" i="18" s="1"/>
  <c r="O883" i="35"/>
  <c r="O231" i="24" s="1"/>
  <c r="O231" i="18" s="1"/>
  <c r="K882" i="35"/>
  <c r="K230" i="24" s="1"/>
  <c r="K230" i="18" s="1"/>
  <c r="L882" i="35"/>
  <c r="L230" i="24" s="1"/>
  <c r="L230" i="18" s="1"/>
  <c r="M882" i="35"/>
  <c r="M230" i="24" s="1"/>
  <c r="M230" i="18" s="1"/>
  <c r="N882" i="35"/>
  <c r="N230" i="24" s="1"/>
  <c r="N230" i="18" s="1"/>
  <c r="O882" i="35"/>
  <c r="O230" i="24" s="1"/>
  <c r="O230" i="18" s="1"/>
  <c r="K879" i="35"/>
  <c r="K216" i="24" s="1"/>
  <c r="K216" i="18" s="1"/>
  <c r="L879" i="35"/>
  <c r="L216" i="24" s="1"/>
  <c r="L216" i="18" s="1"/>
  <c r="M879" i="35"/>
  <c r="M216" i="24" s="1"/>
  <c r="M216" i="18" s="1"/>
  <c r="N879" i="35"/>
  <c r="N216" i="24" s="1"/>
  <c r="N216" i="18" s="1"/>
  <c r="O879" i="35"/>
  <c r="O216" i="24" s="1"/>
  <c r="O216" i="18" s="1"/>
  <c r="K878" i="35"/>
  <c r="K215" i="24" s="1"/>
  <c r="K215" i="18" s="1"/>
  <c r="L878" i="35"/>
  <c r="L215" i="24" s="1"/>
  <c r="L215" i="18" s="1"/>
  <c r="M878" i="35"/>
  <c r="M215" i="24" s="1"/>
  <c r="M215" i="18" s="1"/>
  <c r="N878" i="35"/>
  <c r="N215" i="24" s="1"/>
  <c r="N215" i="18" s="1"/>
  <c r="O878" i="35"/>
  <c r="O215" i="24" s="1"/>
  <c r="O215" i="18" s="1"/>
  <c r="O875" i="35"/>
  <c r="O201" i="24" s="1"/>
  <c r="O201" i="18" s="1"/>
  <c r="K875" i="35"/>
  <c r="K201" i="24" s="1"/>
  <c r="K201" i="18" s="1"/>
  <c r="L875" i="35"/>
  <c r="L201" i="24" s="1"/>
  <c r="L201" i="18" s="1"/>
  <c r="M875" i="35"/>
  <c r="M201" i="24" s="1"/>
  <c r="M201" i="18" s="1"/>
  <c r="N875" i="35"/>
  <c r="N201" i="24" s="1"/>
  <c r="N201" i="18" s="1"/>
  <c r="K874" i="35"/>
  <c r="K200" i="24" s="1"/>
  <c r="K200" i="18" s="1"/>
  <c r="L874" i="35"/>
  <c r="L200" i="24" s="1"/>
  <c r="L200" i="18" s="1"/>
  <c r="M874" i="35"/>
  <c r="M200" i="24" s="1"/>
  <c r="M200" i="18" s="1"/>
  <c r="N874" i="35"/>
  <c r="N200" i="24" s="1"/>
  <c r="N200" i="18" s="1"/>
  <c r="O874" i="35"/>
  <c r="O200" i="24" s="1"/>
  <c r="O200" i="18" s="1"/>
  <c r="E819" i="35" l="1"/>
  <c r="E820" i="35"/>
  <c r="E818" i="35"/>
  <c r="E813" i="35"/>
  <c r="E814" i="35"/>
  <c r="E812" i="35"/>
  <c r="E807" i="35"/>
  <c r="E808" i="35"/>
  <c r="E806" i="35"/>
  <c r="E801" i="35"/>
  <c r="E802" i="35"/>
  <c r="E800" i="35"/>
  <c r="E795" i="35"/>
  <c r="E796" i="35"/>
  <c r="E794" i="35"/>
  <c r="E789" i="35"/>
  <c r="E790" i="35"/>
  <c r="E788" i="35"/>
  <c r="E783" i="35"/>
  <c r="E784" i="35"/>
  <c r="E782" i="35"/>
  <c r="E777" i="35"/>
  <c r="E778" i="35"/>
  <c r="E776" i="35"/>
  <c r="E771" i="35"/>
  <c r="E772" i="35"/>
  <c r="E770" i="35"/>
  <c r="E765" i="35"/>
  <c r="E766" i="35"/>
  <c r="E764" i="35"/>
  <c r="E759" i="35"/>
  <c r="E760" i="35"/>
  <c r="E758" i="35"/>
  <c r="E753" i="35"/>
  <c r="E754" i="35"/>
  <c r="E752" i="35"/>
  <c r="E747" i="35"/>
  <c r="E748" i="35"/>
  <c r="E746" i="35"/>
  <c r="E741" i="35"/>
  <c r="E742" i="35"/>
  <c r="E740" i="35"/>
  <c r="E735" i="35"/>
  <c r="E736" i="35"/>
  <c r="E734" i="35"/>
  <c r="E729" i="35"/>
  <c r="E730" i="35"/>
  <c r="E728" i="35"/>
  <c r="E723" i="35"/>
  <c r="E724" i="35"/>
  <c r="E722" i="35"/>
  <c r="E717" i="35"/>
  <c r="E718" i="35"/>
  <c r="E716" i="35"/>
  <c r="T716" i="35"/>
  <c r="T718" i="35"/>
  <c r="K387" i="35"/>
  <c r="K404" i="35"/>
  <c r="J720" i="35" l="1"/>
  <c r="I719" i="35"/>
  <c r="I58" i="35" s="1"/>
  <c r="H744" i="35"/>
  <c r="L744" i="35"/>
  <c r="F744" i="35"/>
  <c r="J744" i="35"/>
  <c r="N744" i="35"/>
  <c r="G744" i="35"/>
  <c r="K744" i="35"/>
  <c r="O744" i="35"/>
  <c r="I744" i="35"/>
  <c r="I102" i="35" s="1"/>
  <c r="M744" i="35"/>
  <c r="N792" i="35"/>
  <c r="J792" i="35"/>
  <c r="F792" i="35"/>
  <c r="M792" i="35"/>
  <c r="I792" i="35"/>
  <c r="L792" i="35"/>
  <c r="H792" i="35"/>
  <c r="O792" i="35"/>
  <c r="K792" i="35"/>
  <c r="G792" i="35"/>
  <c r="H732" i="35"/>
  <c r="L732" i="35"/>
  <c r="F732" i="35"/>
  <c r="J732" i="35"/>
  <c r="N732" i="35"/>
  <c r="G732" i="35"/>
  <c r="K732" i="35"/>
  <c r="O732" i="35"/>
  <c r="M732" i="35"/>
  <c r="I732" i="35"/>
  <c r="N756" i="35"/>
  <c r="J756" i="35"/>
  <c r="F756" i="35"/>
  <c r="L756" i="35"/>
  <c r="H756" i="35"/>
  <c r="O756" i="35"/>
  <c r="K756" i="35"/>
  <c r="G756" i="35"/>
  <c r="M756" i="35"/>
  <c r="I756" i="35"/>
  <c r="N780" i="35"/>
  <c r="J780" i="35"/>
  <c r="F780" i="35"/>
  <c r="L780" i="35"/>
  <c r="H780" i="35"/>
  <c r="O780" i="35"/>
  <c r="K780" i="35"/>
  <c r="G780" i="35"/>
  <c r="M780" i="35"/>
  <c r="I780" i="35"/>
  <c r="N804" i="35"/>
  <c r="J804" i="35"/>
  <c r="F804" i="35"/>
  <c r="M804" i="35"/>
  <c r="I804" i="35"/>
  <c r="L804" i="35"/>
  <c r="H804" i="35"/>
  <c r="O804" i="35"/>
  <c r="K804" i="35"/>
  <c r="G804" i="35"/>
  <c r="J726" i="35"/>
  <c r="N726" i="35"/>
  <c r="H726" i="35"/>
  <c r="L726" i="35"/>
  <c r="F726" i="35"/>
  <c r="M726" i="35"/>
  <c r="G726" i="35"/>
  <c r="O726" i="35"/>
  <c r="I726" i="35"/>
  <c r="K726" i="35"/>
  <c r="L750" i="35"/>
  <c r="H750" i="35"/>
  <c r="N750" i="35"/>
  <c r="J750" i="35"/>
  <c r="F750" i="35"/>
  <c r="M750" i="35"/>
  <c r="I750" i="35"/>
  <c r="K750" i="35"/>
  <c r="G750" i="35"/>
  <c r="O750" i="35"/>
  <c r="L774" i="35"/>
  <c r="H774" i="35"/>
  <c r="N774" i="35"/>
  <c r="J774" i="35"/>
  <c r="F774" i="35"/>
  <c r="M774" i="35"/>
  <c r="I774" i="35"/>
  <c r="O774" i="35"/>
  <c r="K774" i="35"/>
  <c r="G774" i="35"/>
  <c r="L798" i="35"/>
  <c r="H798" i="35"/>
  <c r="O798" i="35"/>
  <c r="K798" i="35"/>
  <c r="G798" i="35"/>
  <c r="N798" i="35"/>
  <c r="J798" i="35"/>
  <c r="F798" i="35"/>
  <c r="M798" i="35"/>
  <c r="I798" i="35"/>
  <c r="L822" i="35"/>
  <c r="H822" i="35"/>
  <c r="O822" i="35"/>
  <c r="K822" i="35"/>
  <c r="G822" i="35"/>
  <c r="N822" i="35"/>
  <c r="J822" i="35"/>
  <c r="F822" i="35"/>
  <c r="M822" i="35"/>
  <c r="I822" i="35"/>
  <c r="H720" i="35"/>
  <c r="L720" i="35"/>
  <c r="F720" i="35"/>
  <c r="N720" i="35"/>
  <c r="K720" i="35"/>
  <c r="M720" i="35"/>
  <c r="G720" i="35"/>
  <c r="O720" i="35"/>
  <c r="I720" i="35"/>
  <c r="N768" i="35"/>
  <c r="J768" i="35"/>
  <c r="F768" i="35"/>
  <c r="L768" i="35"/>
  <c r="H768" i="35"/>
  <c r="O768" i="35"/>
  <c r="K768" i="35"/>
  <c r="G768" i="35"/>
  <c r="M768" i="35"/>
  <c r="I768" i="35"/>
  <c r="N816" i="35"/>
  <c r="J816" i="35"/>
  <c r="F816" i="35"/>
  <c r="M816" i="35"/>
  <c r="I816" i="35"/>
  <c r="L816" i="35"/>
  <c r="H816" i="35"/>
  <c r="O816" i="35"/>
  <c r="K816" i="35"/>
  <c r="G816" i="35"/>
  <c r="J738" i="35"/>
  <c r="N738" i="35"/>
  <c r="H738" i="35"/>
  <c r="L738" i="35"/>
  <c r="F738" i="35"/>
  <c r="I738" i="35"/>
  <c r="I88" i="35" s="1"/>
  <c r="M738" i="35"/>
  <c r="G738" i="35"/>
  <c r="K738" i="35"/>
  <c r="O738" i="35"/>
  <c r="L762" i="35"/>
  <c r="H762" i="35"/>
  <c r="N762" i="35"/>
  <c r="J762" i="35"/>
  <c r="F762" i="35"/>
  <c r="M762" i="35"/>
  <c r="I762" i="35"/>
  <c r="G762" i="35"/>
  <c r="O762" i="35"/>
  <c r="K762" i="35"/>
  <c r="L786" i="35"/>
  <c r="H786" i="35"/>
  <c r="N786" i="35"/>
  <c r="J786" i="35"/>
  <c r="F786" i="35"/>
  <c r="M786" i="35"/>
  <c r="I786" i="35"/>
  <c r="O786" i="35"/>
  <c r="K786" i="35"/>
  <c r="G786" i="35"/>
  <c r="L810" i="35"/>
  <c r="H810" i="35"/>
  <c r="O810" i="35"/>
  <c r="K810" i="35"/>
  <c r="G810" i="35"/>
  <c r="N810" i="35"/>
  <c r="J810" i="35"/>
  <c r="F810" i="35"/>
  <c r="M810" i="35"/>
  <c r="I810" i="35"/>
  <c r="N767" i="35"/>
  <c r="J767" i="35"/>
  <c r="F767" i="35"/>
  <c r="M767" i="35"/>
  <c r="I767" i="35"/>
  <c r="L767" i="35"/>
  <c r="H767" i="35"/>
  <c r="O767" i="35"/>
  <c r="K767" i="35"/>
  <c r="G767" i="35"/>
  <c r="N737" i="35"/>
  <c r="J737" i="35"/>
  <c r="F737" i="35"/>
  <c r="L737" i="35"/>
  <c r="H737" i="35"/>
  <c r="O737" i="35"/>
  <c r="K737" i="35"/>
  <c r="G737" i="35"/>
  <c r="M737" i="35"/>
  <c r="I737" i="35"/>
  <c r="L761" i="35"/>
  <c r="H761" i="35"/>
  <c r="O761" i="35"/>
  <c r="K761" i="35"/>
  <c r="N761" i="35"/>
  <c r="J761" i="35"/>
  <c r="F761" i="35"/>
  <c r="M761" i="35"/>
  <c r="I761" i="35"/>
  <c r="G761" i="35"/>
  <c r="K731" i="35"/>
  <c r="K86" i="35" s="1"/>
  <c r="F731" i="35"/>
  <c r="M731" i="35"/>
  <c r="M86" i="35" s="1"/>
  <c r="H731" i="35"/>
  <c r="L731" i="35"/>
  <c r="L86" i="35" s="1"/>
  <c r="G731" i="35"/>
  <c r="O731" i="35"/>
  <c r="O86" i="35" s="1"/>
  <c r="I731" i="35"/>
  <c r="I86" i="35" s="1"/>
  <c r="N731" i="35"/>
  <c r="N86" i="35" s="1"/>
  <c r="J731" i="35"/>
  <c r="M755" i="35"/>
  <c r="H755" i="35"/>
  <c r="L755" i="35"/>
  <c r="K755" i="35"/>
  <c r="F755" i="35"/>
  <c r="O755" i="35"/>
  <c r="I755" i="35"/>
  <c r="G755" i="35"/>
  <c r="N755" i="35"/>
  <c r="J755" i="35"/>
  <c r="N779" i="35"/>
  <c r="J779" i="35"/>
  <c r="F779" i="35"/>
  <c r="M779" i="35"/>
  <c r="I779" i="35"/>
  <c r="L779" i="35"/>
  <c r="H779" i="35"/>
  <c r="O779" i="35"/>
  <c r="K779" i="35"/>
  <c r="G779" i="35"/>
  <c r="J803" i="35"/>
  <c r="G803" i="35"/>
  <c r="N803" i="35"/>
  <c r="K803" i="35"/>
  <c r="I803" i="35"/>
  <c r="O803" i="35"/>
  <c r="H803" i="35"/>
  <c r="M803" i="35"/>
  <c r="F803" i="35"/>
  <c r="L803" i="35"/>
  <c r="K725" i="35"/>
  <c r="F725" i="35"/>
  <c r="M725" i="35"/>
  <c r="H725" i="35"/>
  <c r="L725" i="35"/>
  <c r="G725" i="35"/>
  <c r="O725" i="35"/>
  <c r="I725" i="35"/>
  <c r="N725" i="35"/>
  <c r="J725" i="35"/>
  <c r="N749" i="35"/>
  <c r="J749" i="35"/>
  <c r="F749" i="35"/>
  <c r="M749" i="35"/>
  <c r="L749" i="35"/>
  <c r="H749" i="35"/>
  <c r="O749" i="35"/>
  <c r="K749" i="35"/>
  <c r="G749" i="35"/>
  <c r="I749" i="35"/>
  <c r="L773" i="35"/>
  <c r="H773" i="35"/>
  <c r="O773" i="35"/>
  <c r="K773" i="35"/>
  <c r="G773" i="35"/>
  <c r="N773" i="35"/>
  <c r="J773" i="35"/>
  <c r="F773" i="35"/>
  <c r="M773" i="35"/>
  <c r="I773" i="35"/>
  <c r="I797" i="35"/>
  <c r="F797" i="35"/>
  <c r="H797" i="35"/>
  <c r="M797" i="35"/>
  <c r="J797" i="35"/>
  <c r="G797" i="35"/>
  <c r="N797" i="35"/>
  <c r="K797" i="35"/>
  <c r="O797" i="35"/>
  <c r="L797" i="35"/>
  <c r="I821" i="35"/>
  <c r="F821" i="35"/>
  <c r="H821" i="35"/>
  <c r="M821" i="35"/>
  <c r="J821" i="35"/>
  <c r="G821" i="35"/>
  <c r="L821" i="35"/>
  <c r="N821" i="35"/>
  <c r="K821" i="35"/>
  <c r="O821" i="35"/>
  <c r="L743" i="35"/>
  <c r="L114" i="35" s="1"/>
  <c r="H743" i="35"/>
  <c r="O743" i="35"/>
  <c r="O114" i="35" s="1"/>
  <c r="N743" i="35"/>
  <c r="N114" i="35" s="1"/>
  <c r="J743" i="35"/>
  <c r="F743" i="35"/>
  <c r="M743" i="35"/>
  <c r="M114" i="35" s="1"/>
  <c r="I743" i="35"/>
  <c r="I114" i="35" s="1"/>
  <c r="K743" i="35"/>
  <c r="K114" i="35" s="1"/>
  <c r="G743" i="35"/>
  <c r="O791" i="35"/>
  <c r="F791" i="35"/>
  <c r="I791" i="35"/>
  <c r="J791" i="35"/>
  <c r="G791" i="35"/>
  <c r="H791" i="35"/>
  <c r="M791" i="35"/>
  <c r="N791" i="35"/>
  <c r="K791" i="35"/>
  <c r="L791" i="35"/>
  <c r="O815" i="35"/>
  <c r="F815" i="35"/>
  <c r="I815" i="35"/>
  <c r="J815" i="35"/>
  <c r="G815" i="35"/>
  <c r="H815" i="35"/>
  <c r="M815" i="35"/>
  <c r="N815" i="35"/>
  <c r="K815" i="35"/>
  <c r="L815" i="35"/>
  <c r="I785" i="35"/>
  <c r="N785" i="35"/>
  <c r="K785" i="35"/>
  <c r="H785" i="35"/>
  <c r="M785" i="35"/>
  <c r="O785" i="35"/>
  <c r="L785" i="35"/>
  <c r="F785" i="35"/>
  <c r="J785" i="35"/>
  <c r="G785" i="35"/>
  <c r="I809" i="35"/>
  <c r="N809" i="35"/>
  <c r="K809" i="35"/>
  <c r="H809" i="35"/>
  <c r="M809" i="35"/>
  <c r="O809" i="35"/>
  <c r="L809" i="35"/>
  <c r="F809" i="35"/>
  <c r="J809" i="35"/>
  <c r="G809" i="35"/>
  <c r="T724" i="35"/>
  <c r="T728" i="35"/>
  <c r="T746" i="35"/>
  <c r="T748" i="35"/>
  <c r="T752" i="35"/>
  <c r="T758" i="35"/>
  <c r="T760" i="35"/>
  <c r="T764" i="35"/>
  <c r="T766" i="35"/>
  <c r="T770" i="35"/>
  <c r="T772" i="35"/>
  <c r="T776" i="35"/>
  <c r="T778" i="35"/>
  <c r="T782" i="35"/>
  <c r="T784" i="35"/>
  <c r="T788" i="35"/>
  <c r="T790" i="35"/>
  <c r="T794" i="35"/>
  <c r="T796" i="35"/>
  <c r="T800" i="35"/>
  <c r="T802" i="35"/>
  <c r="T806" i="35"/>
  <c r="T808" i="35"/>
  <c r="T812" i="35"/>
  <c r="T814" i="35"/>
  <c r="T818" i="35"/>
  <c r="T820" i="35"/>
  <c r="T717" i="35"/>
  <c r="T722" i="35"/>
  <c r="T730" i="35"/>
  <c r="T734" i="35"/>
  <c r="T736" i="35"/>
  <c r="T740" i="35"/>
  <c r="T742" i="35"/>
  <c r="T754" i="35"/>
  <c r="T723" i="35"/>
  <c r="T729" i="35"/>
  <c r="T735" i="35"/>
  <c r="T741" i="35"/>
  <c r="T747" i="35"/>
  <c r="T753" i="35"/>
  <c r="T759" i="35"/>
  <c r="T765" i="35"/>
  <c r="T771" i="35"/>
  <c r="T777" i="35"/>
  <c r="T783" i="35"/>
  <c r="T789" i="35"/>
  <c r="T795" i="35"/>
  <c r="T801" i="35"/>
  <c r="T807" i="35"/>
  <c r="T813" i="35"/>
  <c r="T819" i="35"/>
  <c r="M872" i="35"/>
  <c r="M182" i="24" s="1"/>
  <c r="M182" i="18" s="1"/>
  <c r="H719" i="35"/>
  <c r="N719" i="35"/>
  <c r="N58" i="35" s="1"/>
  <c r="M719" i="35"/>
  <c r="M58" i="35" s="1"/>
  <c r="J719" i="35"/>
  <c r="K719" i="35"/>
  <c r="O719" i="35"/>
  <c r="O58" i="35" s="1"/>
  <c r="G719" i="35"/>
  <c r="F719" i="35"/>
  <c r="L719" i="35"/>
  <c r="L58" i="35" s="1"/>
  <c r="F286" i="35"/>
  <c r="O895" i="35"/>
  <c r="O261" i="24" s="1"/>
  <c r="O261" i="18" s="1"/>
  <c r="N895" i="35"/>
  <c r="N261" i="24" s="1"/>
  <c r="N261" i="18" s="1"/>
  <c r="M895" i="35"/>
  <c r="M261" i="24" s="1"/>
  <c r="M261" i="18" s="1"/>
  <c r="L895" i="35"/>
  <c r="L261" i="24" s="1"/>
  <c r="L261" i="18" s="1"/>
  <c r="K895" i="35"/>
  <c r="K261" i="24" s="1"/>
  <c r="K261" i="18" s="1"/>
  <c r="H286" i="35"/>
  <c r="G286" i="35"/>
  <c r="O894" i="35"/>
  <c r="O260" i="24" s="1"/>
  <c r="O260" i="18" s="1"/>
  <c r="N894" i="35"/>
  <c r="N260" i="24" s="1"/>
  <c r="N260" i="18" s="1"/>
  <c r="M894" i="35"/>
  <c r="M260" i="24" s="1"/>
  <c r="M260" i="18" s="1"/>
  <c r="L894" i="35"/>
  <c r="L260" i="24" s="1"/>
  <c r="L260" i="18" s="1"/>
  <c r="K894" i="35"/>
  <c r="K260" i="24" s="1"/>
  <c r="K260" i="18" s="1"/>
  <c r="H285" i="35"/>
  <c r="G285" i="35"/>
  <c r="F285" i="35"/>
  <c r="H272" i="35"/>
  <c r="G272" i="35"/>
  <c r="F272" i="35"/>
  <c r="H271" i="35"/>
  <c r="G271" i="35"/>
  <c r="F271" i="35"/>
  <c r="H258" i="35"/>
  <c r="G258" i="35"/>
  <c r="F258" i="35"/>
  <c r="H257" i="35"/>
  <c r="G257" i="35"/>
  <c r="F257" i="35"/>
  <c r="H244" i="35"/>
  <c r="G244" i="35"/>
  <c r="F244" i="35"/>
  <c r="H243" i="35"/>
  <c r="G243" i="35"/>
  <c r="F243" i="35"/>
  <c r="H230" i="35"/>
  <c r="G230" i="35"/>
  <c r="F230" i="35"/>
  <c r="H229" i="35"/>
  <c r="G229" i="35"/>
  <c r="F229" i="35"/>
  <c r="H216" i="35"/>
  <c r="G216" i="35"/>
  <c r="F216" i="35"/>
  <c r="H215" i="35"/>
  <c r="G215" i="35"/>
  <c r="F215" i="35"/>
  <c r="O871" i="35"/>
  <c r="O171" i="24" s="1"/>
  <c r="O171" i="18" s="1"/>
  <c r="N871" i="35"/>
  <c r="N171" i="24" s="1"/>
  <c r="N171" i="18" s="1"/>
  <c r="M871" i="35"/>
  <c r="M171" i="24" s="1"/>
  <c r="M171" i="18" s="1"/>
  <c r="L871" i="35"/>
  <c r="L171" i="24" s="1"/>
  <c r="L171" i="18" s="1"/>
  <c r="K871" i="35"/>
  <c r="K171" i="24" s="1"/>
  <c r="K171" i="18" s="1"/>
  <c r="H202" i="35"/>
  <c r="G202" i="35"/>
  <c r="F202" i="35"/>
  <c r="O870" i="35"/>
  <c r="O170" i="24" s="1"/>
  <c r="O170" i="18" s="1"/>
  <c r="N870" i="35"/>
  <c r="N170" i="24" s="1"/>
  <c r="N170" i="18" s="1"/>
  <c r="M870" i="35"/>
  <c r="M170" i="24" s="1"/>
  <c r="M170" i="18" s="1"/>
  <c r="L870" i="35"/>
  <c r="L170" i="24" s="1"/>
  <c r="L170" i="18" s="1"/>
  <c r="K870" i="35"/>
  <c r="K170" i="24" s="1"/>
  <c r="K170" i="18" s="1"/>
  <c r="H201" i="35"/>
  <c r="G201" i="35"/>
  <c r="F201" i="35"/>
  <c r="O867" i="35"/>
  <c r="O156" i="24" s="1"/>
  <c r="O156" i="18" s="1"/>
  <c r="N867" i="35"/>
  <c r="N156" i="24" s="1"/>
  <c r="N156" i="18" s="1"/>
  <c r="M867" i="35"/>
  <c r="M156" i="24" s="1"/>
  <c r="M156" i="18" s="1"/>
  <c r="L867" i="35"/>
  <c r="L156" i="24" s="1"/>
  <c r="L156" i="18" s="1"/>
  <c r="K867" i="35"/>
  <c r="K156" i="24" s="1"/>
  <c r="K156" i="18" s="1"/>
  <c r="H188" i="35"/>
  <c r="G188" i="35"/>
  <c r="F188" i="35"/>
  <c r="O866" i="35"/>
  <c r="O155" i="24" s="1"/>
  <c r="O155" i="18" s="1"/>
  <c r="N866" i="35"/>
  <c r="N155" i="24" s="1"/>
  <c r="N155" i="18" s="1"/>
  <c r="M866" i="35"/>
  <c r="M155" i="24" s="1"/>
  <c r="M155" i="18" s="1"/>
  <c r="L866" i="35"/>
  <c r="L155" i="24" s="1"/>
  <c r="L155" i="18" s="1"/>
  <c r="K866" i="35"/>
  <c r="K155" i="24" s="1"/>
  <c r="K155" i="18" s="1"/>
  <c r="H187" i="35"/>
  <c r="G187" i="35"/>
  <c r="F187" i="35"/>
  <c r="O863" i="35"/>
  <c r="O141" i="24" s="1"/>
  <c r="O141" i="18" s="1"/>
  <c r="N863" i="35"/>
  <c r="N141" i="24" s="1"/>
  <c r="N141" i="18" s="1"/>
  <c r="M863" i="35"/>
  <c r="M141" i="24" s="1"/>
  <c r="M141" i="18" s="1"/>
  <c r="L863" i="35"/>
  <c r="L141" i="24" s="1"/>
  <c r="L141" i="18" s="1"/>
  <c r="K863" i="35"/>
  <c r="K141" i="24" s="1"/>
  <c r="K141" i="18" s="1"/>
  <c r="H174" i="35"/>
  <c r="G174" i="35"/>
  <c r="F174" i="35"/>
  <c r="O862" i="35"/>
  <c r="O140" i="24" s="1"/>
  <c r="O140" i="18" s="1"/>
  <c r="N862" i="35"/>
  <c r="N140" i="24" s="1"/>
  <c r="N140" i="18" s="1"/>
  <c r="M862" i="35"/>
  <c r="M140" i="24" s="1"/>
  <c r="M140" i="18" s="1"/>
  <c r="L862" i="35"/>
  <c r="L140" i="24" s="1"/>
  <c r="L140" i="18" s="1"/>
  <c r="K862" i="35"/>
  <c r="K140" i="24" s="1"/>
  <c r="K140" i="18" s="1"/>
  <c r="H173" i="35"/>
  <c r="G173" i="35"/>
  <c r="F173" i="35"/>
  <c r="O859" i="35"/>
  <c r="O126" i="24" s="1"/>
  <c r="O126" i="18" s="1"/>
  <c r="N859" i="35"/>
  <c r="N126" i="24" s="1"/>
  <c r="N126" i="18" s="1"/>
  <c r="M859" i="35"/>
  <c r="M126" i="24" s="1"/>
  <c r="M126" i="18" s="1"/>
  <c r="L859" i="35"/>
  <c r="L126" i="24" s="1"/>
  <c r="L126" i="18" s="1"/>
  <c r="K859" i="35"/>
  <c r="K126" i="24" s="1"/>
  <c r="K126" i="18" s="1"/>
  <c r="H160" i="35"/>
  <c r="G160" i="35"/>
  <c r="F160" i="35"/>
  <c r="O858" i="35"/>
  <c r="O125" i="24" s="1"/>
  <c r="O125" i="18" s="1"/>
  <c r="N858" i="35"/>
  <c r="N125" i="24" s="1"/>
  <c r="N125" i="18" s="1"/>
  <c r="M858" i="35"/>
  <c r="M125" i="24" s="1"/>
  <c r="M125" i="18" s="1"/>
  <c r="L858" i="35"/>
  <c r="L125" i="24" s="1"/>
  <c r="L125" i="18" s="1"/>
  <c r="K858" i="35"/>
  <c r="K125" i="24" s="1"/>
  <c r="K125" i="18" s="1"/>
  <c r="H159" i="35"/>
  <c r="G159" i="35"/>
  <c r="F159" i="35"/>
  <c r="O855" i="35"/>
  <c r="O111" i="24" s="1"/>
  <c r="O111" i="18" s="1"/>
  <c r="N855" i="35"/>
  <c r="N111" i="24" s="1"/>
  <c r="N111" i="18" s="1"/>
  <c r="M855" i="35"/>
  <c r="M111" i="24" s="1"/>
  <c r="M111" i="18" s="1"/>
  <c r="L855" i="35"/>
  <c r="L111" i="24" s="1"/>
  <c r="L111" i="18" s="1"/>
  <c r="K855" i="35"/>
  <c r="K111" i="24" s="1"/>
  <c r="K111" i="18" s="1"/>
  <c r="H146" i="35"/>
  <c r="G146" i="35"/>
  <c r="F146" i="35"/>
  <c r="O854" i="35"/>
  <c r="O110" i="24" s="1"/>
  <c r="O110" i="18" s="1"/>
  <c r="N854" i="35"/>
  <c r="N110" i="24" s="1"/>
  <c r="N110" i="18" s="1"/>
  <c r="M854" i="35"/>
  <c r="M110" i="24" s="1"/>
  <c r="M110" i="18" s="1"/>
  <c r="L854" i="35"/>
  <c r="L110" i="24" s="1"/>
  <c r="L110" i="18" s="1"/>
  <c r="K854" i="35"/>
  <c r="K110" i="24" s="1"/>
  <c r="K110" i="18" s="1"/>
  <c r="H145" i="35"/>
  <c r="G145" i="35"/>
  <c r="F145" i="35"/>
  <c r="O851" i="35"/>
  <c r="O96" i="24" s="1"/>
  <c r="O96" i="18" s="1"/>
  <c r="N851" i="35"/>
  <c r="N96" i="24" s="1"/>
  <c r="N96" i="18" s="1"/>
  <c r="M851" i="35"/>
  <c r="M96" i="24" s="1"/>
  <c r="M96" i="18" s="1"/>
  <c r="L851" i="35"/>
  <c r="L96" i="24" s="1"/>
  <c r="L96" i="18" s="1"/>
  <c r="K851" i="35"/>
  <c r="K96" i="24" s="1"/>
  <c r="K96" i="18" s="1"/>
  <c r="H132" i="35"/>
  <c r="G132" i="35"/>
  <c r="F132" i="35"/>
  <c r="O850" i="35"/>
  <c r="O95" i="24" s="1"/>
  <c r="O95" i="18" s="1"/>
  <c r="N850" i="35"/>
  <c r="N95" i="24" s="1"/>
  <c r="N95" i="18" s="1"/>
  <c r="M850" i="35"/>
  <c r="M95" i="24" s="1"/>
  <c r="M95" i="18" s="1"/>
  <c r="L850" i="35"/>
  <c r="L95" i="24" s="1"/>
  <c r="L95" i="18" s="1"/>
  <c r="K850" i="35"/>
  <c r="K95" i="24" s="1"/>
  <c r="K95" i="18" s="1"/>
  <c r="H131" i="35"/>
  <c r="G131" i="35"/>
  <c r="F131" i="35"/>
  <c r="O847" i="35"/>
  <c r="O81" i="24" s="1"/>
  <c r="O81" i="18" s="1"/>
  <c r="N847" i="35"/>
  <c r="N81" i="24" s="1"/>
  <c r="N81" i="18" s="1"/>
  <c r="M847" i="35"/>
  <c r="M81" i="24" s="1"/>
  <c r="M81" i="18" s="1"/>
  <c r="L847" i="35"/>
  <c r="L81" i="24" s="1"/>
  <c r="L81" i="18" s="1"/>
  <c r="K847" i="35"/>
  <c r="K81" i="24" s="1"/>
  <c r="K81" i="18" s="1"/>
  <c r="I847" i="35"/>
  <c r="I81" i="24" s="1"/>
  <c r="I81" i="18" s="1"/>
  <c r="H118" i="35"/>
  <c r="G118" i="35"/>
  <c r="F118" i="35"/>
  <c r="O846" i="35"/>
  <c r="O80" i="24" s="1"/>
  <c r="O80" i="18" s="1"/>
  <c r="N846" i="35"/>
  <c r="N80" i="24" s="1"/>
  <c r="N80" i="18" s="1"/>
  <c r="M846" i="35"/>
  <c r="M80" i="24" s="1"/>
  <c r="M80" i="18" s="1"/>
  <c r="L846" i="35"/>
  <c r="L80" i="24" s="1"/>
  <c r="L80" i="18" s="1"/>
  <c r="K846" i="35"/>
  <c r="K80" i="24" s="1"/>
  <c r="K80" i="18" s="1"/>
  <c r="I846" i="35"/>
  <c r="I80" i="24" s="1"/>
  <c r="I80" i="18" s="1"/>
  <c r="H117" i="35"/>
  <c r="G117" i="35"/>
  <c r="F117" i="35"/>
  <c r="O843" i="35"/>
  <c r="O66" i="24" s="1"/>
  <c r="O66" i="18" s="1"/>
  <c r="N843" i="35"/>
  <c r="N66" i="24" s="1"/>
  <c r="N66" i="18" s="1"/>
  <c r="M843" i="35"/>
  <c r="M66" i="24" s="1"/>
  <c r="M66" i="18" s="1"/>
  <c r="L843" i="35"/>
  <c r="L66" i="24" s="1"/>
  <c r="L66" i="18" s="1"/>
  <c r="K843" i="35"/>
  <c r="K66" i="24" s="1"/>
  <c r="K66" i="18" s="1"/>
  <c r="I843" i="35"/>
  <c r="I66" i="24" s="1"/>
  <c r="I66" i="18" s="1"/>
  <c r="H104" i="35"/>
  <c r="G104" i="35"/>
  <c r="F104" i="35"/>
  <c r="O842" i="35"/>
  <c r="O65" i="24" s="1"/>
  <c r="O65" i="18" s="1"/>
  <c r="N842" i="35"/>
  <c r="N65" i="24" s="1"/>
  <c r="N65" i="18" s="1"/>
  <c r="M842" i="35"/>
  <c r="M65" i="24" s="1"/>
  <c r="M65" i="18" s="1"/>
  <c r="L842" i="35"/>
  <c r="L65" i="24" s="1"/>
  <c r="L65" i="18" s="1"/>
  <c r="K842" i="35"/>
  <c r="K65" i="24" s="1"/>
  <c r="K65" i="18" s="1"/>
  <c r="I842" i="35"/>
  <c r="I65" i="24" s="1"/>
  <c r="I65" i="18" s="1"/>
  <c r="H103" i="35"/>
  <c r="G103" i="35"/>
  <c r="F103" i="35"/>
  <c r="O839" i="35"/>
  <c r="O51" i="24" s="1"/>
  <c r="O51" i="18" s="1"/>
  <c r="N839" i="35"/>
  <c r="N51" i="24" s="1"/>
  <c r="N51" i="18" s="1"/>
  <c r="M839" i="35"/>
  <c r="M51" i="24" s="1"/>
  <c r="M51" i="18" s="1"/>
  <c r="L839" i="35"/>
  <c r="L51" i="24" s="1"/>
  <c r="L51" i="18" s="1"/>
  <c r="K839" i="35"/>
  <c r="K51" i="24" s="1"/>
  <c r="K51" i="18" s="1"/>
  <c r="I839" i="35"/>
  <c r="I51" i="24" s="1"/>
  <c r="I51" i="18" s="1"/>
  <c r="H90" i="35"/>
  <c r="G90" i="35"/>
  <c r="F90" i="35"/>
  <c r="O838" i="35"/>
  <c r="O50" i="24" s="1"/>
  <c r="O50" i="18" s="1"/>
  <c r="N838" i="35"/>
  <c r="N50" i="24" s="1"/>
  <c r="N50" i="18" s="1"/>
  <c r="M838" i="35"/>
  <c r="M50" i="24" s="1"/>
  <c r="M50" i="18" s="1"/>
  <c r="L838" i="35"/>
  <c r="L50" i="24" s="1"/>
  <c r="L50" i="18" s="1"/>
  <c r="K838" i="35"/>
  <c r="K50" i="24" s="1"/>
  <c r="K50" i="18" s="1"/>
  <c r="I838" i="35"/>
  <c r="I50" i="24" s="1"/>
  <c r="I50" i="18" s="1"/>
  <c r="H89" i="35"/>
  <c r="G89" i="35"/>
  <c r="F89" i="35"/>
  <c r="H76" i="35"/>
  <c r="G76" i="35"/>
  <c r="F76" i="35"/>
  <c r="H75" i="35"/>
  <c r="G75" i="35"/>
  <c r="F75" i="35"/>
  <c r="H62" i="35"/>
  <c r="G62" i="35"/>
  <c r="F62" i="35"/>
  <c r="H61" i="35"/>
  <c r="G61" i="35"/>
  <c r="F61" i="35"/>
  <c r="G48" i="35"/>
  <c r="H48" i="35"/>
  <c r="K827" i="35"/>
  <c r="K6" i="24" s="1"/>
  <c r="K6" i="18" s="1"/>
  <c r="L827" i="35"/>
  <c r="L6" i="24" s="1"/>
  <c r="L6" i="18" s="1"/>
  <c r="M827" i="35"/>
  <c r="M6" i="24" s="1"/>
  <c r="M6" i="18" s="1"/>
  <c r="N827" i="35"/>
  <c r="N6" i="24" s="1"/>
  <c r="N6" i="18" s="1"/>
  <c r="O827" i="35"/>
  <c r="O6" i="24" s="1"/>
  <c r="O6" i="18" s="1"/>
  <c r="F48" i="35"/>
  <c r="G47" i="35"/>
  <c r="H47" i="35"/>
  <c r="K5" i="24"/>
  <c r="K5" i="18" s="1"/>
  <c r="L826" i="35"/>
  <c r="L5" i="24" s="1"/>
  <c r="L5" i="18" s="1"/>
  <c r="M826" i="35"/>
  <c r="M5" i="24" s="1"/>
  <c r="M5" i="18" s="1"/>
  <c r="N826" i="35"/>
  <c r="N5" i="24" s="1"/>
  <c r="N5" i="18" s="1"/>
  <c r="O826" i="35"/>
  <c r="O5" i="24" s="1"/>
  <c r="O5" i="18" s="1"/>
  <c r="F47" i="35"/>
  <c r="J307" i="35"/>
  <c r="I828" i="35" l="1"/>
  <c r="J267" i="38"/>
  <c r="O200" i="35"/>
  <c r="O212" i="35"/>
  <c r="N270" i="35"/>
  <c r="N282" i="35"/>
  <c r="L214" i="35"/>
  <c r="L226" i="35"/>
  <c r="O284" i="35"/>
  <c r="O296" i="35"/>
  <c r="M228" i="35"/>
  <c r="M240" i="35"/>
  <c r="N172" i="35"/>
  <c r="N184" i="35"/>
  <c r="K116" i="35"/>
  <c r="K128" i="35"/>
  <c r="M116" i="35"/>
  <c r="M128" i="35"/>
  <c r="M242" i="35"/>
  <c r="M254" i="35"/>
  <c r="K144" i="35"/>
  <c r="K156" i="35"/>
  <c r="O88" i="35"/>
  <c r="O100" i="35"/>
  <c r="M158" i="35"/>
  <c r="M170" i="35"/>
  <c r="L256" i="35"/>
  <c r="L268" i="35"/>
  <c r="K256" i="35"/>
  <c r="K268" i="35"/>
  <c r="M200" i="35"/>
  <c r="M212" i="35"/>
  <c r="M270" i="35"/>
  <c r="M282" i="35"/>
  <c r="K214" i="35"/>
  <c r="K226" i="35"/>
  <c r="O214" i="35"/>
  <c r="O226" i="35"/>
  <c r="K284" i="35"/>
  <c r="K296" i="35"/>
  <c r="I284" i="35"/>
  <c r="I296" i="35"/>
  <c r="N228" i="35"/>
  <c r="N240" i="35"/>
  <c r="M172" i="35"/>
  <c r="M184" i="35"/>
  <c r="L172" i="35"/>
  <c r="L184" i="35"/>
  <c r="L60" i="35"/>
  <c r="L72" i="35"/>
  <c r="K186" i="35"/>
  <c r="K198" i="35"/>
  <c r="N186" i="35"/>
  <c r="N198" i="35"/>
  <c r="L130" i="35"/>
  <c r="L142" i="35"/>
  <c r="O144" i="35"/>
  <c r="O156" i="35"/>
  <c r="M88" i="35"/>
  <c r="M100" i="35"/>
  <c r="N88" i="35"/>
  <c r="N100" i="35"/>
  <c r="O256" i="35"/>
  <c r="O268" i="35"/>
  <c r="N256" i="35"/>
  <c r="N268" i="35"/>
  <c r="L270" i="35"/>
  <c r="L282" i="35"/>
  <c r="N214" i="35"/>
  <c r="N226" i="35"/>
  <c r="N284" i="35"/>
  <c r="N296" i="35"/>
  <c r="M284" i="35"/>
  <c r="M296" i="35"/>
  <c r="L228" i="35"/>
  <c r="L240" i="35"/>
  <c r="K172" i="35"/>
  <c r="K184" i="35"/>
  <c r="I116" i="35"/>
  <c r="I128" i="35"/>
  <c r="I60" i="35"/>
  <c r="I72" i="35"/>
  <c r="L242" i="35"/>
  <c r="L254" i="35"/>
  <c r="O242" i="35"/>
  <c r="O254" i="35"/>
  <c r="O186" i="35"/>
  <c r="O198" i="35"/>
  <c r="M186" i="35"/>
  <c r="M198" i="35"/>
  <c r="O130" i="35"/>
  <c r="O142" i="35"/>
  <c r="L88" i="35"/>
  <c r="L100" i="35"/>
  <c r="L158" i="35"/>
  <c r="L170" i="35"/>
  <c r="N200" i="35"/>
  <c r="N212" i="35"/>
  <c r="K228" i="35"/>
  <c r="K240" i="35"/>
  <c r="I172" i="35"/>
  <c r="I184" i="35"/>
  <c r="K242" i="35"/>
  <c r="K254" i="35"/>
  <c r="L186" i="35"/>
  <c r="L198" i="35"/>
  <c r="K130" i="35"/>
  <c r="K142" i="35"/>
  <c r="M144" i="35"/>
  <c r="M156" i="35"/>
  <c r="I100" i="35"/>
  <c r="O158" i="35"/>
  <c r="O170" i="35"/>
  <c r="I200" i="35"/>
  <c r="I212" i="35"/>
  <c r="I270" i="35"/>
  <c r="I282" i="35"/>
  <c r="O116" i="35"/>
  <c r="O128" i="35"/>
  <c r="N60" i="35"/>
  <c r="N72" i="35"/>
  <c r="K60" i="35"/>
  <c r="K72" i="35"/>
  <c r="N242" i="35"/>
  <c r="N254" i="35"/>
  <c r="I186" i="35"/>
  <c r="I198" i="35"/>
  <c r="I130" i="35"/>
  <c r="I142" i="35"/>
  <c r="K58" i="35"/>
  <c r="K828" i="35"/>
  <c r="K17" i="24" s="1"/>
  <c r="K17" i="18" s="1"/>
  <c r="M256" i="35"/>
  <c r="M268" i="35"/>
  <c r="I256" i="35"/>
  <c r="I268" i="35"/>
  <c r="L200" i="35"/>
  <c r="L212" i="35"/>
  <c r="K200" i="35"/>
  <c r="K212" i="35"/>
  <c r="K270" i="35"/>
  <c r="K282" i="35"/>
  <c r="O270" i="35"/>
  <c r="O282" i="35"/>
  <c r="M214" i="35"/>
  <c r="M226" i="35"/>
  <c r="I214" i="35"/>
  <c r="I226" i="35"/>
  <c r="L284" i="35"/>
  <c r="L296" i="35"/>
  <c r="O228" i="35"/>
  <c r="O240" i="35"/>
  <c r="I228" i="35"/>
  <c r="I240" i="35"/>
  <c r="O172" i="35"/>
  <c r="O184" i="35"/>
  <c r="L116" i="35"/>
  <c r="L128" i="35"/>
  <c r="N116" i="35"/>
  <c r="N128" i="35"/>
  <c r="O60" i="35"/>
  <c r="O72" i="35"/>
  <c r="M60" i="35"/>
  <c r="M72" i="35"/>
  <c r="I242" i="35"/>
  <c r="I254" i="35"/>
  <c r="N130" i="35"/>
  <c r="N142" i="35"/>
  <c r="M130" i="35"/>
  <c r="M142" i="35"/>
  <c r="I144" i="35"/>
  <c r="I156" i="35"/>
  <c r="N144" i="35"/>
  <c r="N156" i="35"/>
  <c r="L144" i="35"/>
  <c r="L156" i="35"/>
  <c r="K88" i="35"/>
  <c r="K100" i="35"/>
  <c r="K158" i="35"/>
  <c r="K170" i="35"/>
  <c r="I158" i="35"/>
  <c r="I170" i="35"/>
  <c r="N158" i="35"/>
  <c r="N170" i="35"/>
  <c r="H116" i="35"/>
  <c r="H128" i="35"/>
  <c r="N884" i="35"/>
  <c r="N242" i="24" s="1"/>
  <c r="I884" i="35"/>
  <c r="I242" i="24" s="1"/>
  <c r="I242" i="18" s="1"/>
  <c r="K102" i="35"/>
  <c r="L102" i="35"/>
  <c r="N102" i="35"/>
  <c r="M102" i="35"/>
  <c r="O102" i="35"/>
  <c r="O74" i="35"/>
  <c r="M74" i="35"/>
  <c r="N74" i="35"/>
  <c r="L74" i="35"/>
  <c r="K74" i="35"/>
  <c r="I74" i="35"/>
  <c r="I46" i="35"/>
  <c r="O46" i="35"/>
  <c r="M46" i="35"/>
  <c r="L46" i="35"/>
  <c r="K46" i="35"/>
  <c r="N46" i="35"/>
  <c r="K832" i="35"/>
  <c r="K32" i="24" s="1"/>
  <c r="K32" i="18" s="1"/>
  <c r="K884" i="35"/>
  <c r="K242" i="24" s="1"/>
  <c r="K242" i="18" s="1"/>
  <c r="L836" i="35"/>
  <c r="L47" i="24" s="1"/>
  <c r="L47" i="18" s="1"/>
  <c r="M840" i="35"/>
  <c r="M62" i="24" s="1"/>
  <c r="M62" i="18" s="1"/>
  <c r="M892" i="35"/>
  <c r="M197" i="24" s="1"/>
  <c r="M197" i="18" s="1"/>
  <c r="O884" i="35"/>
  <c r="O242" i="24" s="1"/>
  <c r="M860" i="35"/>
  <c r="M137" i="24" s="1"/>
  <c r="M137" i="18" s="1"/>
  <c r="L884" i="35"/>
  <c r="L242" i="24" s="1"/>
  <c r="L242" i="18" s="1"/>
  <c r="L840" i="35"/>
  <c r="L62" i="24" s="1"/>
  <c r="L62" i="18" s="1"/>
  <c r="M880" i="35"/>
  <c r="M227" i="24" s="1"/>
  <c r="M227" i="18" s="1"/>
  <c r="L860" i="35"/>
  <c r="L137" i="24" s="1"/>
  <c r="L137" i="18" s="1"/>
  <c r="K856" i="35"/>
  <c r="K122" i="24" s="1"/>
  <c r="K122" i="18" s="1"/>
  <c r="N868" i="35"/>
  <c r="N167" i="24" s="1"/>
  <c r="N167" i="18" s="1"/>
  <c r="L828" i="35"/>
  <c r="L17" i="24" s="1"/>
  <c r="L17" i="18" s="1"/>
  <c r="N852" i="35"/>
  <c r="N107" i="24" s="1"/>
  <c r="N107" i="18" s="1"/>
  <c r="K888" i="35"/>
  <c r="K257" i="24" s="1"/>
  <c r="K257" i="18" s="1"/>
  <c r="K840" i="35"/>
  <c r="K62" i="24" s="1"/>
  <c r="K62" i="18" s="1"/>
  <c r="O896" i="35"/>
  <c r="O272" i="24" s="1"/>
  <c r="O272" i="18" s="1"/>
  <c r="O872" i="35"/>
  <c r="O182" i="24" s="1"/>
  <c r="O182" i="18" s="1"/>
  <c r="K860" i="35"/>
  <c r="K137" i="24" s="1"/>
  <c r="K137" i="18" s="1"/>
  <c r="N828" i="35"/>
  <c r="N17" i="24" s="1"/>
  <c r="N17" i="18" s="1"/>
  <c r="M848" i="35"/>
  <c r="M92" i="24" s="1"/>
  <c r="M92" i="18" s="1"/>
  <c r="O844" i="35"/>
  <c r="O77" i="24" s="1"/>
  <c r="O77" i="18" s="1"/>
  <c r="M836" i="35"/>
  <c r="M47" i="24" s="1"/>
  <c r="M47" i="18" s="1"/>
  <c r="L864" i="35"/>
  <c r="L152" i="24" s="1"/>
  <c r="L152" i="18" s="1"/>
  <c r="N836" i="35"/>
  <c r="N47" i="24" s="1"/>
  <c r="N47" i="18" s="1"/>
  <c r="M896" i="35"/>
  <c r="M272" i="24" s="1"/>
  <c r="M272" i="18" s="1"/>
  <c r="M884" i="35"/>
  <c r="M242" i="24" s="1"/>
  <c r="M242" i="18" s="1"/>
  <c r="M888" i="35"/>
  <c r="M257" i="24" s="1"/>
  <c r="M257" i="18" s="1"/>
  <c r="N892" i="35"/>
  <c r="N197" i="24" s="1"/>
  <c r="N197" i="18" s="1"/>
  <c r="N860" i="35"/>
  <c r="N137" i="24" s="1"/>
  <c r="N137" i="18" s="1"/>
  <c r="K896" i="35"/>
  <c r="K272" i="24" s="1"/>
  <c r="K272" i="18" s="1"/>
  <c r="K868" i="35"/>
  <c r="K167" i="24" s="1"/>
  <c r="K167" i="18" s="1"/>
  <c r="O840" i="35"/>
  <c r="O62" i="24" s="1"/>
  <c r="O62" i="18" s="1"/>
  <c r="N840" i="35"/>
  <c r="N62" i="24" s="1"/>
  <c r="N62" i="18" s="1"/>
  <c r="O876" i="35"/>
  <c r="O212" i="24" s="1"/>
  <c r="O212" i="18" s="1"/>
  <c r="O868" i="35"/>
  <c r="O167" i="24" s="1"/>
  <c r="O167" i="18" s="1"/>
  <c r="L896" i="35"/>
  <c r="L272" i="24" s="1"/>
  <c r="L272" i="18" s="1"/>
  <c r="L888" i="35"/>
  <c r="L257" i="24" s="1"/>
  <c r="L257" i="18" s="1"/>
  <c r="L880" i="35"/>
  <c r="L227" i="24" s="1"/>
  <c r="L227" i="18" s="1"/>
  <c r="L868" i="35"/>
  <c r="L167" i="24" s="1"/>
  <c r="L167" i="18" s="1"/>
  <c r="L852" i="35"/>
  <c r="L107" i="24" s="1"/>
  <c r="L107" i="18" s="1"/>
  <c r="O864" i="35"/>
  <c r="O152" i="24" s="1"/>
  <c r="O152" i="18" s="1"/>
  <c r="K844" i="35"/>
  <c r="K77" i="24" s="1"/>
  <c r="K77" i="18" s="1"/>
  <c r="M832" i="35"/>
  <c r="M32" i="24" s="1"/>
  <c r="M32" i="18" s="1"/>
  <c r="M852" i="35"/>
  <c r="M107" i="24" s="1"/>
  <c r="M107" i="18" s="1"/>
  <c r="M876" i="35"/>
  <c r="M212" i="24" s="1"/>
  <c r="M212" i="18" s="1"/>
  <c r="L848" i="35"/>
  <c r="L92" i="24" s="1"/>
  <c r="L92" i="18" s="1"/>
  <c r="N832" i="35"/>
  <c r="N32" i="24" s="1"/>
  <c r="N32" i="18" s="1"/>
  <c r="L876" i="35"/>
  <c r="L212" i="24" s="1"/>
  <c r="L212" i="18" s="1"/>
  <c r="O892" i="35"/>
  <c r="O197" i="24" s="1"/>
  <c r="O197" i="18" s="1"/>
  <c r="N876" i="35"/>
  <c r="N212" i="24" s="1"/>
  <c r="N212" i="18" s="1"/>
  <c r="N872" i="35"/>
  <c r="N182" i="24" s="1"/>
  <c r="N182" i="18" s="1"/>
  <c r="L844" i="35"/>
  <c r="L77" i="24" s="1"/>
  <c r="L77" i="18" s="1"/>
  <c r="K880" i="35"/>
  <c r="K227" i="24" s="1"/>
  <c r="K227" i="18" s="1"/>
  <c r="O860" i="35"/>
  <c r="O137" i="24" s="1"/>
  <c r="O137" i="18" s="1"/>
  <c r="K852" i="35"/>
  <c r="K107" i="24" s="1"/>
  <c r="K107" i="18" s="1"/>
  <c r="O852" i="35"/>
  <c r="O107" i="24" s="1"/>
  <c r="O107" i="18" s="1"/>
  <c r="M828" i="35"/>
  <c r="M17" i="24" s="1"/>
  <c r="M17" i="18" s="1"/>
  <c r="K864" i="35"/>
  <c r="K152" i="24" s="1"/>
  <c r="K152" i="18" s="1"/>
  <c r="M844" i="35"/>
  <c r="M77" i="24" s="1"/>
  <c r="M77" i="18" s="1"/>
  <c r="O836" i="35"/>
  <c r="O47" i="24" s="1"/>
  <c r="O47" i="18" s="1"/>
  <c r="M856" i="35"/>
  <c r="M122" i="24" s="1"/>
  <c r="M122" i="18" s="1"/>
  <c r="N864" i="35"/>
  <c r="N152" i="24" s="1"/>
  <c r="N152" i="18" s="1"/>
  <c r="O856" i="35"/>
  <c r="O122" i="24" s="1"/>
  <c r="O122" i="18" s="1"/>
  <c r="N880" i="35"/>
  <c r="N227" i="24" s="1"/>
  <c r="N227" i="18" s="1"/>
  <c r="K892" i="35"/>
  <c r="K197" i="24" s="1"/>
  <c r="K197" i="18" s="1"/>
  <c r="N896" i="35"/>
  <c r="N272" i="24" s="1"/>
  <c r="N272" i="18" s="1"/>
  <c r="N856" i="35"/>
  <c r="N122" i="24" s="1"/>
  <c r="N122" i="18" s="1"/>
  <c r="K872" i="35"/>
  <c r="K182" i="24" s="1"/>
  <c r="K182" i="18" s="1"/>
  <c r="K848" i="35"/>
  <c r="K92" i="24" s="1"/>
  <c r="K92" i="18" s="1"/>
  <c r="O888" i="35"/>
  <c r="O257" i="24" s="1"/>
  <c r="O257" i="18" s="1"/>
  <c r="K876" i="35"/>
  <c r="K212" i="24" s="1"/>
  <c r="K212" i="18" s="1"/>
  <c r="O848" i="35"/>
  <c r="O92" i="24" s="1"/>
  <c r="O92" i="18" s="1"/>
  <c r="N888" i="35"/>
  <c r="N257" i="24" s="1"/>
  <c r="N257" i="18" s="1"/>
  <c r="O828" i="35"/>
  <c r="O17" i="24" s="1"/>
  <c r="O17" i="18" s="1"/>
  <c r="N848" i="35"/>
  <c r="N92" i="24" s="1"/>
  <c r="N92" i="18" s="1"/>
  <c r="O880" i="35"/>
  <c r="O227" i="24" s="1"/>
  <c r="O227" i="18" s="1"/>
  <c r="L892" i="35"/>
  <c r="L197" i="24" s="1"/>
  <c r="L197" i="18" s="1"/>
  <c r="L872" i="35"/>
  <c r="L182" i="24" s="1"/>
  <c r="L182" i="18" s="1"/>
  <c r="L856" i="35"/>
  <c r="L122" i="24" s="1"/>
  <c r="L122" i="18" s="1"/>
  <c r="M864" i="35"/>
  <c r="M152" i="24" s="1"/>
  <c r="M152" i="18" s="1"/>
  <c r="K836" i="35"/>
  <c r="K47" i="24" s="1"/>
  <c r="K47" i="18" s="1"/>
  <c r="O832" i="35"/>
  <c r="O32" i="24" s="1"/>
  <c r="O32" i="18" s="1"/>
  <c r="N844" i="35"/>
  <c r="N77" i="24" s="1"/>
  <c r="N77" i="18" s="1"/>
  <c r="L832" i="35"/>
  <c r="L32" i="24" s="1"/>
  <c r="L32" i="18" s="1"/>
  <c r="M868" i="35"/>
  <c r="M167" i="24" s="1"/>
  <c r="M167" i="18" s="1"/>
  <c r="N831" i="35"/>
  <c r="N21" i="24" s="1"/>
  <c r="N21" i="18" s="1"/>
  <c r="L834" i="35"/>
  <c r="L35" i="24" s="1"/>
  <c r="L35" i="18" s="1"/>
  <c r="M830" i="35"/>
  <c r="M20" i="24" s="1"/>
  <c r="M20" i="18" s="1"/>
  <c r="K62" i="35"/>
  <c r="K831" i="35"/>
  <c r="K21" i="24" s="1"/>
  <c r="K21" i="18" s="1"/>
  <c r="I834" i="35"/>
  <c r="I35" i="24" s="1"/>
  <c r="I35" i="18" s="1"/>
  <c r="O835" i="35"/>
  <c r="O36" i="24" s="1"/>
  <c r="O36" i="18" s="1"/>
  <c r="N830" i="35"/>
  <c r="N20" i="24" s="1"/>
  <c r="N20" i="18" s="1"/>
  <c r="L831" i="35"/>
  <c r="L21" i="24" s="1"/>
  <c r="L21" i="18" s="1"/>
  <c r="N834" i="35"/>
  <c r="N35" i="24" s="1"/>
  <c r="N35" i="18" s="1"/>
  <c r="L835" i="35"/>
  <c r="L36" i="24" s="1"/>
  <c r="L36" i="18" s="1"/>
  <c r="L830" i="35"/>
  <c r="L20" i="24" s="1"/>
  <c r="L20" i="18" s="1"/>
  <c r="N835" i="35"/>
  <c r="N36" i="24" s="1"/>
  <c r="N36" i="18" s="1"/>
  <c r="I830" i="35"/>
  <c r="I20" i="24" s="1"/>
  <c r="I20" i="18" s="1"/>
  <c r="O831" i="35"/>
  <c r="O21" i="24" s="1"/>
  <c r="O21" i="18" s="1"/>
  <c r="M834" i="35"/>
  <c r="M35" i="24" s="1"/>
  <c r="M35" i="18" s="1"/>
  <c r="K76" i="35"/>
  <c r="K835" i="35"/>
  <c r="K36" i="24" s="1"/>
  <c r="K36" i="18" s="1"/>
  <c r="K61" i="35"/>
  <c r="K830" i="35"/>
  <c r="K20" i="24" s="1"/>
  <c r="K20" i="18" s="1"/>
  <c r="I831" i="35"/>
  <c r="I21" i="24" s="1"/>
  <c r="I21" i="18" s="1"/>
  <c r="M831" i="35"/>
  <c r="M21" i="24" s="1"/>
  <c r="M21" i="18" s="1"/>
  <c r="K75" i="35"/>
  <c r="K834" i="35"/>
  <c r="K35" i="24" s="1"/>
  <c r="K35" i="18" s="1"/>
  <c r="O834" i="35"/>
  <c r="O35" i="24" s="1"/>
  <c r="O35" i="18" s="1"/>
  <c r="I835" i="35"/>
  <c r="I36" i="24" s="1"/>
  <c r="I36" i="18" s="1"/>
  <c r="M835" i="35"/>
  <c r="M36" i="24" s="1"/>
  <c r="M36" i="18" s="1"/>
  <c r="I895" i="35"/>
  <c r="I261" i="24" s="1"/>
  <c r="I261" i="18" s="1"/>
  <c r="K103" i="35"/>
  <c r="K131" i="35"/>
  <c r="I851" i="35"/>
  <c r="I96" i="24" s="1"/>
  <c r="I96" i="18" s="1"/>
  <c r="K159" i="35"/>
  <c r="I859" i="35"/>
  <c r="I126" i="24" s="1"/>
  <c r="I126" i="18" s="1"/>
  <c r="K187" i="35"/>
  <c r="I867" i="35"/>
  <c r="I156" i="24" s="1"/>
  <c r="I156" i="18" s="1"/>
  <c r="I871" i="35"/>
  <c r="I171" i="24" s="1"/>
  <c r="I171" i="18" s="1"/>
  <c r="K229" i="35"/>
  <c r="I879" i="35"/>
  <c r="I216" i="24" s="1"/>
  <c r="I216" i="18" s="1"/>
  <c r="K257" i="35"/>
  <c r="I887" i="35"/>
  <c r="I246" i="24" s="1"/>
  <c r="I246" i="18" s="1"/>
  <c r="I891" i="35"/>
  <c r="I186" i="24" s="1"/>
  <c r="I186" i="18" s="1"/>
  <c r="K285" i="35"/>
  <c r="K286" i="35"/>
  <c r="K89" i="35"/>
  <c r="K117" i="35"/>
  <c r="K145" i="35"/>
  <c r="K173" i="35"/>
  <c r="I863" i="35"/>
  <c r="I141" i="24" s="1"/>
  <c r="I141" i="18" s="1"/>
  <c r="K201" i="35"/>
  <c r="K215" i="35"/>
  <c r="I875" i="35"/>
  <c r="I201" i="24" s="1"/>
  <c r="I201" i="18" s="1"/>
  <c r="K243" i="35"/>
  <c r="I883" i="35"/>
  <c r="I231" i="24" s="1"/>
  <c r="I231" i="18" s="1"/>
  <c r="K271" i="35"/>
  <c r="K90" i="35"/>
  <c r="K104" i="35"/>
  <c r="K118" i="35"/>
  <c r="K132" i="35"/>
  <c r="K146" i="35"/>
  <c r="I858" i="35"/>
  <c r="I125" i="24" s="1"/>
  <c r="I125" i="18" s="1"/>
  <c r="K160" i="35"/>
  <c r="I862" i="35"/>
  <c r="I140" i="24" s="1"/>
  <c r="I140" i="18" s="1"/>
  <c r="K174" i="35"/>
  <c r="I866" i="35"/>
  <c r="I155" i="24" s="1"/>
  <c r="I155" i="18" s="1"/>
  <c r="K188" i="35"/>
  <c r="I870" i="35"/>
  <c r="I170" i="24" s="1"/>
  <c r="I170" i="18" s="1"/>
  <c r="K202" i="35"/>
  <c r="I874" i="35"/>
  <c r="I200" i="24" s="1"/>
  <c r="I200" i="18" s="1"/>
  <c r="K216" i="35"/>
  <c r="I878" i="35"/>
  <c r="I215" i="24" s="1"/>
  <c r="I215" i="18" s="1"/>
  <c r="K230" i="35"/>
  <c r="I882" i="35"/>
  <c r="I230" i="24" s="1"/>
  <c r="I230" i="18" s="1"/>
  <c r="K244" i="35"/>
  <c r="K258" i="35"/>
  <c r="I890" i="35"/>
  <c r="I185" i="24" s="1"/>
  <c r="I185" i="18" s="1"/>
  <c r="K272" i="35"/>
  <c r="I894" i="35"/>
  <c r="I260" i="24" s="1"/>
  <c r="I260" i="18" s="1"/>
  <c r="K47" i="35"/>
  <c r="I827" i="35"/>
  <c r="I6" i="24" s="1"/>
  <c r="I6" i="18" s="1"/>
  <c r="I826" i="35"/>
  <c r="I5" i="24" s="1"/>
  <c r="I5" i="18" s="1"/>
  <c r="K48" i="35"/>
  <c r="I17" i="24"/>
  <c r="I17" i="18" s="1"/>
  <c r="I880" i="35"/>
  <c r="I227" i="24" s="1"/>
  <c r="I227" i="18" s="1"/>
  <c r="I855" i="35"/>
  <c r="I111" i="24" s="1"/>
  <c r="I111" i="18" s="1"/>
  <c r="I888" i="35"/>
  <c r="I854" i="35"/>
  <c r="I110" i="24" s="1"/>
  <c r="I110" i="18" s="1"/>
  <c r="I886" i="35"/>
  <c r="I245" i="24" s="1"/>
  <c r="I245" i="18" s="1"/>
  <c r="I836" i="35"/>
  <c r="I47" i="24" s="1"/>
  <c r="I47" i="18" s="1"/>
  <c r="I856" i="35"/>
  <c r="I122" i="24" s="1"/>
  <c r="I122" i="18" s="1"/>
  <c r="I844" i="35"/>
  <c r="I77" i="24" s="1"/>
  <c r="I77" i="18" s="1"/>
  <c r="I864" i="35"/>
  <c r="I152" i="24" s="1"/>
  <c r="I152" i="18" s="1"/>
  <c r="I850" i="35"/>
  <c r="I95" i="24" s="1"/>
  <c r="I95" i="18" s="1"/>
  <c r="I896" i="35"/>
  <c r="I272" i="24" s="1"/>
  <c r="I272" i="18" s="1"/>
  <c r="I435" i="3" s="1"/>
  <c r="I872" i="35"/>
  <c r="I182" i="24" s="1"/>
  <c r="I182" i="18" s="1"/>
  <c r="I832" i="35"/>
  <c r="I32" i="24" s="1"/>
  <c r="I32" i="18" s="1"/>
  <c r="I848" i="35"/>
  <c r="I92" i="24" s="1"/>
  <c r="I892" i="35"/>
  <c r="I197" i="24" s="1"/>
  <c r="I197" i="18" s="1"/>
  <c r="I860" i="35"/>
  <c r="I137" i="24" s="1"/>
  <c r="I137" i="18" s="1"/>
  <c r="I876" i="35"/>
  <c r="I212" i="24" s="1"/>
  <c r="I212" i="18" s="1"/>
  <c r="I840" i="35"/>
  <c r="I62" i="24" s="1"/>
  <c r="I62" i="18" s="1"/>
  <c r="I852" i="35"/>
  <c r="I107" i="24" s="1"/>
  <c r="I107" i="18" s="1"/>
  <c r="I868" i="35"/>
  <c r="I167" i="24" s="1"/>
  <c r="I167" i="18" s="1"/>
  <c r="I893" i="35"/>
  <c r="I853" i="35"/>
  <c r="I877" i="35"/>
  <c r="I889" i="35"/>
  <c r="M324" i="35"/>
  <c r="I857" i="35"/>
  <c r="K554" i="35"/>
  <c r="I845" i="35"/>
  <c r="I837" i="35"/>
  <c r="I841" i="35"/>
  <c r="I881" i="35"/>
  <c r="I829" i="35"/>
  <c r="I861" i="35"/>
  <c r="I833" i="35"/>
  <c r="I865" i="35"/>
  <c r="K307" i="35"/>
  <c r="I825" i="35"/>
  <c r="I885" i="35"/>
  <c r="O554" i="35"/>
  <c r="I849" i="35"/>
  <c r="I873" i="35"/>
  <c r="I869" i="35"/>
  <c r="I257" i="24" l="1"/>
  <c r="I257" i="18" s="1"/>
  <c r="F377" i="38" s="1"/>
  <c r="I92" i="18"/>
  <c r="F135" i="38" s="1"/>
  <c r="I79" i="24"/>
  <c r="I79" i="18" s="1"/>
  <c r="O242" i="18"/>
  <c r="L355" i="38" s="1"/>
  <c r="N242" i="18"/>
  <c r="K355" i="38" s="1"/>
  <c r="I91" i="38"/>
  <c r="H47" i="38"/>
  <c r="I49" i="24"/>
  <c r="I49" i="18" s="1"/>
  <c r="I184" i="24"/>
  <c r="I184" i="18" s="1"/>
  <c r="I244" i="24"/>
  <c r="I244" i="18" s="1"/>
  <c r="I4" i="24"/>
  <c r="I4" i="18" s="1"/>
  <c r="I64" i="24"/>
  <c r="I64" i="18" s="1"/>
  <c r="I259" i="24"/>
  <c r="I259" i="18" s="1"/>
  <c r="I34" i="24"/>
  <c r="I34" i="18" s="1"/>
  <c r="I169" i="24"/>
  <c r="I169" i="18" s="1"/>
  <c r="I199" i="24"/>
  <c r="I199" i="18" s="1"/>
  <c r="I214" i="24"/>
  <c r="I214" i="18" s="1"/>
  <c r="I154" i="24"/>
  <c r="I154" i="18" s="1"/>
  <c r="I229" i="24"/>
  <c r="I229" i="18" s="1"/>
  <c r="I94" i="24"/>
  <c r="I94" i="18" s="1"/>
  <c r="I109" i="24"/>
  <c r="I109" i="18" s="1"/>
  <c r="I19" i="24"/>
  <c r="I19" i="18" s="1"/>
  <c r="I124" i="24"/>
  <c r="I124" i="18" s="1"/>
  <c r="I139" i="24"/>
  <c r="I139" i="18" s="1"/>
  <c r="F245" i="38"/>
  <c r="F223" i="38"/>
  <c r="F179" i="38"/>
  <c r="L47" i="38"/>
  <c r="I267" i="38"/>
  <c r="L377" i="38"/>
  <c r="K399" i="38"/>
  <c r="H223" i="38"/>
  <c r="K311" i="38"/>
  <c r="H113" i="38"/>
  <c r="I333" i="38"/>
  <c r="H399" i="38"/>
  <c r="J69" i="38"/>
  <c r="H201" i="38"/>
  <c r="H179" i="38"/>
  <c r="J91" i="38"/>
  <c r="F289" i="38"/>
  <c r="F113" i="38"/>
  <c r="F69" i="38"/>
  <c r="J245" i="38"/>
  <c r="H69" i="38"/>
  <c r="I289" i="38"/>
  <c r="K377" i="38"/>
  <c r="H135" i="38"/>
  <c r="H289" i="38"/>
  <c r="J179" i="38"/>
  <c r="L289" i="38"/>
  <c r="L223" i="38"/>
  <c r="K91" i="38"/>
  <c r="J399" i="38"/>
  <c r="L113" i="38"/>
  <c r="J201" i="38"/>
  <c r="I69" i="38"/>
  <c r="F91" i="38"/>
  <c r="I47" i="38"/>
  <c r="J223" i="38"/>
  <c r="L333" i="38"/>
  <c r="L135" i="38"/>
  <c r="H267" i="38"/>
  <c r="K333" i="38"/>
  <c r="L69" i="38"/>
  <c r="I113" i="38"/>
  <c r="I311" i="38"/>
  <c r="I399" i="38"/>
  <c r="L91" i="38"/>
  <c r="K289" i="38"/>
  <c r="K69" i="38"/>
  <c r="J135" i="38"/>
  <c r="J333" i="38"/>
  <c r="H355" i="38"/>
  <c r="F201" i="38"/>
  <c r="K223" i="38"/>
  <c r="L201" i="38"/>
  <c r="I135" i="38"/>
  <c r="L311" i="38"/>
  <c r="J355" i="38"/>
  <c r="H377" i="38"/>
  <c r="I355" i="38"/>
  <c r="J311" i="38"/>
  <c r="I377" i="38"/>
  <c r="K201" i="38"/>
  <c r="L267" i="38"/>
  <c r="I201" i="38"/>
  <c r="F355" i="38"/>
  <c r="F311" i="38"/>
  <c r="F47" i="38"/>
  <c r="F267" i="38"/>
  <c r="K113" i="38"/>
  <c r="I179" i="38"/>
  <c r="K135" i="38"/>
  <c r="H311" i="38"/>
  <c r="K179" i="38"/>
  <c r="L179" i="38"/>
  <c r="J113" i="38"/>
  <c r="K267" i="38"/>
  <c r="K47" i="38"/>
  <c r="J47" i="38"/>
  <c r="I245" i="38"/>
  <c r="L245" i="38"/>
  <c r="H245" i="38"/>
  <c r="J377" i="38"/>
  <c r="I223" i="38"/>
  <c r="K245" i="38"/>
  <c r="J289" i="38"/>
  <c r="K157" i="38"/>
  <c r="K421" i="38" s="1"/>
  <c r="L157" i="38"/>
  <c r="L421" i="38" s="1"/>
  <c r="J157" i="38"/>
  <c r="J421" i="38" s="1"/>
  <c r="I157" i="38"/>
  <c r="I421" i="38" s="1"/>
  <c r="H157" i="38"/>
  <c r="H421" i="38" s="1"/>
  <c r="J508" i="35"/>
  <c r="J509" i="35"/>
  <c r="J510" i="35"/>
  <c r="J511" i="35"/>
  <c r="J512" i="35"/>
  <c r="J513" i="35"/>
  <c r="J514" i="35"/>
  <c r="J515" i="35"/>
  <c r="J516" i="35"/>
  <c r="J517" i="35"/>
  <c r="J518" i="35"/>
  <c r="J519" i="35"/>
  <c r="J520" i="35"/>
  <c r="J521" i="35"/>
  <c r="J522" i="35"/>
  <c r="J523" i="35"/>
  <c r="J524" i="35"/>
  <c r="J507" i="35"/>
  <c r="K447" i="35"/>
  <c r="H333" i="38" l="1"/>
  <c r="F399" i="38"/>
  <c r="L399" i="38"/>
  <c r="F157" i="38"/>
  <c r="F421" i="38" s="1"/>
  <c r="F333" i="38"/>
  <c r="H91" i="38"/>
  <c r="I547" i="35"/>
  <c r="J547" i="35"/>
  <c r="K547" i="35"/>
  <c r="L547" i="35"/>
  <c r="M547" i="35"/>
  <c r="N547" i="35"/>
  <c r="O547" i="35"/>
  <c r="F10" i="18" l="1"/>
  <c r="G10" i="18"/>
  <c r="H10" i="18"/>
  <c r="I10" i="18"/>
  <c r="J10" i="18"/>
  <c r="K10" i="18"/>
  <c r="L10" i="18"/>
  <c r="M10" i="18"/>
  <c r="N10" i="18"/>
  <c r="O10" i="18"/>
  <c r="F11" i="18"/>
  <c r="G11" i="18"/>
  <c r="H11" i="18"/>
  <c r="I11" i="18"/>
  <c r="J11" i="18"/>
  <c r="K11" i="18"/>
  <c r="L11" i="18"/>
  <c r="M11" i="18"/>
  <c r="N11" i="18"/>
  <c r="O11" i="18"/>
  <c r="F12" i="18"/>
  <c r="G12" i="18"/>
  <c r="H12" i="18"/>
  <c r="I12" i="18"/>
  <c r="J12" i="18"/>
  <c r="K12" i="18"/>
  <c r="L12" i="18"/>
  <c r="M12" i="18"/>
  <c r="N12" i="18"/>
  <c r="O12" i="18"/>
  <c r="F13" i="18"/>
  <c r="G13" i="18"/>
  <c r="H13" i="18"/>
  <c r="I13" i="18"/>
  <c r="J13" i="18"/>
  <c r="K13" i="18"/>
  <c r="L13" i="18"/>
  <c r="M13" i="18"/>
  <c r="N13" i="18"/>
  <c r="O13" i="18"/>
  <c r="F14" i="18"/>
  <c r="G14" i="18"/>
  <c r="H14" i="18"/>
  <c r="I14" i="18"/>
  <c r="J14" i="18"/>
  <c r="K14" i="18"/>
  <c r="L14" i="18"/>
  <c r="M14" i="18"/>
  <c r="N14" i="18"/>
  <c r="O14" i="18"/>
  <c r="F15" i="18"/>
  <c r="G15" i="18"/>
  <c r="H15" i="18"/>
  <c r="I15" i="18"/>
  <c r="J15" i="18"/>
  <c r="K15" i="18"/>
  <c r="L15" i="18"/>
  <c r="M15" i="18"/>
  <c r="N15" i="18"/>
  <c r="O15" i="18"/>
  <c r="G46" i="17"/>
  <c r="F47" i="17"/>
  <c r="G47" i="17"/>
  <c r="H47" i="17"/>
  <c r="I47" i="17"/>
  <c r="J47" i="17"/>
  <c r="K47" i="17"/>
  <c r="L47" i="17"/>
  <c r="G68" i="17"/>
  <c r="F69" i="17"/>
  <c r="G69" i="17"/>
  <c r="H69" i="17"/>
  <c r="I69" i="17"/>
  <c r="J69" i="17"/>
  <c r="K69" i="17"/>
  <c r="L69" i="17"/>
  <c r="G90" i="17"/>
  <c r="G112" i="17"/>
  <c r="F113" i="17"/>
  <c r="G113" i="17"/>
  <c r="H113" i="17"/>
  <c r="I113" i="17"/>
  <c r="J113" i="17"/>
  <c r="K113" i="17"/>
  <c r="L113" i="17"/>
  <c r="G134" i="17"/>
  <c r="G156" i="17"/>
  <c r="G420" i="17" s="1"/>
  <c r="G178" i="17"/>
  <c r="G200" i="17"/>
  <c r="G222" i="17"/>
  <c r="G244" i="17"/>
  <c r="F245" i="17"/>
  <c r="G245" i="17"/>
  <c r="H245" i="17"/>
  <c r="I245" i="17"/>
  <c r="J245" i="17"/>
  <c r="K245" i="17"/>
  <c r="L245" i="17"/>
  <c r="G266" i="17"/>
  <c r="G288" i="17"/>
  <c r="G310" i="17"/>
  <c r="G332" i="17"/>
  <c r="G354" i="17"/>
  <c r="G376" i="17"/>
  <c r="G398" i="17"/>
  <c r="J25" i="17" l="1"/>
  <c r="J25" i="38"/>
  <c r="F25" i="38"/>
  <c r="F25" i="17"/>
  <c r="I25" i="38"/>
  <c r="I25" i="17"/>
  <c r="L25" i="17"/>
  <c r="L25" i="38"/>
  <c r="H25" i="17"/>
  <c r="H25" i="38"/>
  <c r="K25" i="17"/>
  <c r="K25" i="38"/>
  <c r="G24" i="17"/>
  <c r="G24" i="38"/>
  <c r="L399" i="17"/>
  <c r="H399" i="17"/>
  <c r="K399" i="17"/>
  <c r="G399" i="17"/>
  <c r="J399" i="17"/>
  <c r="F399" i="17"/>
  <c r="I399" i="17"/>
  <c r="G377" i="17"/>
  <c r="G355" i="17"/>
  <c r="G333" i="17"/>
  <c r="G311" i="17"/>
  <c r="G289" i="17"/>
  <c r="G267" i="17"/>
  <c r="F267" i="17"/>
  <c r="I267" i="17"/>
  <c r="K267" i="17"/>
  <c r="J267" i="17"/>
  <c r="L267" i="17"/>
  <c r="H267" i="17"/>
  <c r="K223" i="17"/>
  <c r="F223" i="17"/>
  <c r="I223" i="17"/>
  <c r="G223" i="17"/>
  <c r="J223" i="17"/>
  <c r="L223" i="17"/>
  <c r="H223" i="17"/>
  <c r="K201" i="17"/>
  <c r="F201" i="17"/>
  <c r="I201" i="17"/>
  <c r="G201" i="17"/>
  <c r="J201" i="17"/>
  <c r="L201" i="17"/>
  <c r="H201" i="17"/>
  <c r="K179" i="17"/>
  <c r="G179" i="17"/>
  <c r="J179" i="17"/>
  <c r="F179" i="17"/>
  <c r="I179" i="17"/>
  <c r="L179" i="17"/>
  <c r="H179" i="17"/>
  <c r="K157" i="17"/>
  <c r="K421" i="17" s="1"/>
  <c r="J157" i="17"/>
  <c r="J421" i="17" s="1"/>
  <c r="I157" i="17"/>
  <c r="I421" i="17" s="1"/>
  <c r="G157" i="17"/>
  <c r="G421" i="17" s="1"/>
  <c r="F157" i="17"/>
  <c r="F421" i="17" s="1"/>
  <c r="L157" i="17"/>
  <c r="L421" i="17" s="1"/>
  <c r="H157" i="17"/>
  <c r="H421" i="17" s="1"/>
  <c r="K135" i="17"/>
  <c r="G135" i="17"/>
  <c r="J135" i="17"/>
  <c r="F135" i="17"/>
  <c r="I135" i="17"/>
  <c r="L135" i="17"/>
  <c r="H135" i="17"/>
  <c r="J91" i="17"/>
  <c r="F91" i="17"/>
  <c r="I91" i="17"/>
  <c r="K91" i="17"/>
  <c r="G91" i="17"/>
  <c r="L91" i="17"/>
  <c r="H91" i="17"/>
  <c r="K289" i="17"/>
  <c r="J289" i="17"/>
  <c r="F289" i="17"/>
  <c r="I289" i="17"/>
  <c r="L289" i="17"/>
  <c r="H289" i="17"/>
  <c r="K377" i="17"/>
  <c r="F377" i="17"/>
  <c r="I377" i="17"/>
  <c r="J377" i="17"/>
  <c r="L377" i="17"/>
  <c r="H377" i="17"/>
  <c r="F355" i="17"/>
  <c r="I355" i="17"/>
  <c r="K355" i="17"/>
  <c r="J355" i="17"/>
  <c r="L355" i="17"/>
  <c r="H355" i="17"/>
  <c r="K333" i="17"/>
  <c r="J333" i="17"/>
  <c r="F333" i="17"/>
  <c r="I333" i="17"/>
  <c r="L333" i="17"/>
  <c r="H333" i="17"/>
  <c r="K311" i="17"/>
  <c r="F311" i="17"/>
  <c r="I311" i="17"/>
  <c r="J311" i="17"/>
  <c r="L311" i="17"/>
  <c r="H311" i="17"/>
  <c r="A342" i="17" l="1"/>
  <c r="A343" i="17" s="1"/>
  <c r="A344" i="17" s="1"/>
  <c r="A345" i="17" s="1"/>
  <c r="A346" i="17" s="1"/>
  <c r="A347" i="17" s="1"/>
  <c r="A364" i="17"/>
  <c r="A365" i="17" s="1"/>
  <c r="A366" i="17" s="1"/>
  <c r="A367" i="17" s="1"/>
  <c r="A368" i="17" s="1"/>
  <c r="A369" i="17" s="1"/>
  <c r="A386" i="17"/>
  <c r="A387" i="17" s="1"/>
  <c r="A388" i="17" s="1"/>
  <c r="A389" i="17" s="1"/>
  <c r="A390" i="17" s="1"/>
  <c r="A391" i="17" s="1"/>
  <c r="A392" i="17" l="1"/>
  <c r="A348" i="17"/>
  <c r="A370" i="17"/>
  <c r="A393" i="17" l="1"/>
  <c r="A394" i="17" s="1"/>
  <c r="A371" i="17"/>
  <c r="A372" i="17" s="1"/>
  <c r="A349" i="17"/>
  <c r="A350" i="17" s="1"/>
  <c r="F12" i="17"/>
  <c r="H12" i="17"/>
  <c r="A395" i="17" l="1"/>
  <c r="A351" i="17"/>
  <c r="A373" i="17"/>
  <c r="F4" i="17"/>
  <c r="G4" i="17"/>
  <c r="F5" i="17"/>
  <c r="G5" i="17"/>
  <c r="F6" i="17"/>
  <c r="G6" i="17"/>
  <c r="F7" i="17"/>
  <c r="G7" i="17"/>
  <c r="F8" i="17"/>
  <c r="G8" i="17"/>
  <c r="F11" i="17"/>
  <c r="G11" i="17"/>
  <c r="G12" i="17"/>
  <c r="F26" i="17"/>
  <c r="G26" i="17"/>
  <c r="F27" i="17"/>
  <c r="G27" i="17"/>
  <c r="F28" i="17"/>
  <c r="G28" i="17"/>
  <c r="F29" i="17"/>
  <c r="G29" i="17"/>
  <c r="F30" i="17"/>
  <c r="G30" i="17"/>
  <c r="F33" i="17"/>
  <c r="G33" i="17"/>
  <c r="F34" i="17"/>
  <c r="G34" i="17"/>
  <c r="F48" i="17"/>
  <c r="G48" i="17"/>
  <c r="F49" i="17"/>
  <c r="G49" i="17"/>
  <c r="F50" i="17"/>
  <c r="G50" i="17"/>
  <c r="F51" i="17"/>
  <c r="G51" i="17"/>
  <c r="F52" i="17"/>
  <c r="G52" i="17"/>
  <c r="F55" i="17"/>
  <c r="G55" i="17"/>
  <c r="F56" i="17"/>
  <c r="G56" i="17"/>
  <c r="F70" i="17"/>
  <c r="G70" i="17"/>
  <c r="F71" i="17"/>
  <c r="G71" i="17"/>
  <c r="F72" i="17"/>
  <c r="G72" i="17"/>
  <c r="F73" i="17"/>
  <c r="G73" i="17"/>
  <c r="F74" i="17"/>
  <c r="G74" i="17"/>
  <c r="F77" i="17"/>
  <c r="G77" i="17"/>
  <c r="F78" i="17"/>
  <c r="G78" i="17"/>
  <c r="F92" i="17"/>
  <c r="G92" i="17"/>
  <c r="F93" i="17"/>
  <c r="G93" i="17"/>
  <c r="F94" i="17"/>
  <c r="G94" i="17"/>
  <c r="F95" i="17"/>
  <c r="G95" i="17"/>
  <c r="F96" i="17"/>
  <c r="G96" i="17"/>
  <c r="F99" i="17"/>
  <c r="G99" i="17"/>
  <c r="F100" i="17"/>
  <c r="G100" i="17"/>
  <c r="F114" i="17"/>
  <c r="G114" i="17"/>
  <c r="F115" i="17"/>
  <c r="G115" i="17"/>
  <c r="F116" i="17"/>
  <c r="G116" i="17"/>
  <c r="F117" i="17"/>
  <c r="G117" i="17"/>
  <c r="F118" i="17"/>
  <c r="G118" i="17"/>
  <c r="F121" i="17"/>
  <c r="G121" i="17"/>
  <c r="F122" i="17"/>
  <c r="G122" i="17"/>
  <c r="F136" i="17"/>
  <c r="F400" i="17" s="1"/>
  <c r="G136" i="17"/>
  <c r="G400" i="17" s="1"/>
  <c r="F137" i="17"/>
  <c r="F401" i="17" s="1"/>
  <c r="G137" i="17"/>
  <c r="G401" i="17" s="1"/>
  <c r="F138" i="17"/>
  <c r="F402" i="17" s="1"/>
  <c r="G138" i="17"/>
  <c r="G402" i="17" s="1"/>
  <c r="F139" i="17"/>
  <c r="F403" i="17" s="1"/>
  <c r="G139" i="17"/>
  <c r="G403" i="17" s="1"/>
  <c r="F140" i="17"/>
  <c r="F404" i="17" s="1"/>
  <c r="G140" i="17"/>
  <c r="G404" i="17" s="1"/>
  <c r="F143" i="17"/>
  <c r="F407" i="17" s="1"/>
  <c r="G143" i="17"/>
  <c r="G407" i="17" s="1"/>
  <c r="F144" i="17"/>
  <c r="F408" i="17" s="1"/>
  <c r="G144" i="17"/>
  <c r="G408" i="17" s="1"/>
  <c r="F158" i="17"/>
  <c r="G158" i="17"/>
  <c r="F159" i="17"/>
  <c r="G159" i="17"/>
  <c r="F160" i="17"/>
  <c r="G160" i="17"/>
  <c r="F161" i="17"/>
  <c r="G161" i="17"/>
  <c r="F162" i="17"/>
  <c r="G162" i="17"/>
  <c r="F165" i="17"/>
  <c r="G165" i="17"/>
  <c r="F166" i="17"/>
  <c r="G166" i="17"/>
  <c r="F180" i="17"/>
  <c r="G180" i="17"/>
  <c r="F181" i="17"/>
  <c r="G181" i="17"/>
  <c r="F182" i="17"/>
  <c r="G182" i="17"/>
  <c r="F183" i="17"/>
  <c r="G183" i="17"/>
  <c r="F184" i="17"/>
  <c r="G184" i="17"/>
  <c r="F187" i="17"/>
  <c r="G187" i="17"/>
  <c r="F188" i="17"/>
  <c r="G188" i="17"/>
  <c r="F202" i="17"/>
  <c r="G202" i="17"/>
  <c r="F203" i="17"/>
  <c r="G203" i="17"/>
  <c r="F204" i="17"/>
  <c r="G204" i="17"/>
  <c r="F205" i="17"/>
  <c r="G205" i="17"/>
  <c r="F206" i="17"/>
  <c r="G206" i="17"/>
  <c r="F209" i="17"/>
  <c r="G209" i="17"/>
  <c r="F210" i="17"/>
  <c r="G210" i="17"/>
  <c r="F224" i="17"/>
  <c r="G224" i="17"/>
  <c r="F225" i="17"/>
  <c r="G225" i="17"/>
  <c r="F226" i="17"/>
  <c r="G226" i="17"/>
  <c r="F227" i="17"/>
  <c r="G227" i="17"/>
  <c r="F228" i="17"/>
  <c r="G228" i="17"/>
  <c r="F231" i="17"/>
  <c r="G231" i="17"/>
  <c r="F232" i="17"/>
  <c r="G232" i="17"/>
  <c r="F246" i="17"/>
  <c r="G246" i="17"/>
  <c r="F247" i="17"/>
  <c r="G247" i="17"/>
  <c r="F248" i="17"/>
  <c r="G248" i="17"/>
  <c r="F249" i="17"/>
  <c r="G249" i="17"/>
  <c r="F250" i="17"/>
  <c r="G250" i="17"/>
  <c r="F253" i="17"/>
  <c r="G253" i="17"/>
  <c r="F254" i="17"/>
  <c r="G254" i="17"/>
  <c r="F268" i="17"/>
  <c r="G268" i="17"/>
  <c r="F269" i="17"/>
  <c r="G269" i="17"/>
  <c r="F270" i="17"/>
  <c r="G270" i="17"/>
  <c r="F271" i="17"/>
  <c r="G271" i="17"/>
  <c r="F272" i="17"/>
  <c r="G272" i="17"/>
  <c r="F275" i="17"/>
  <c r="G275" i="17"/>
  <c r="F276" i="17"/>
  <c r="G276" i="17"/>
  <c r="F290" i="17"/>
  <c r="G290" i="17"/>
  <c r="F291" i="17"/>
  <c r="G291" i="17"/>
  <c r="F292" i="17"/>
  <c r="G292" i="17"/>
  <c r="F293" i="17"/>
  <c r="G293" i="17"/>
  <c r="F294" i="17"/>
  <c r="G294" i="17"/>
  <c r="F297" i="17"/>
  <c r="G297" i="17"/>
  <c r="F298" i="17"/>
  <c r="G298" i="17"/>
  <c r="F312" i="17"/>
  <c r="G312" i="17"/>
  <c r="F313" i="17"/>
  <c r="G313" i="17"/>
  <c r="F314" i="17"/>
  <c r="G314" i="17"/>
  <c r="F315" i="17"/>
  <c r="G315" i="17"/>
  <c r="F316" i="17"/>
  <c r="G316" i="17"/>
  <c r="F319" i="17"/>
  <c r="G319" i="17"/>
  <c r="F320" i="17"/>
  <c r="G320" i="17"/>
  <c r="F334" i="17"/>
  <c r="G334" i="17"/>
  <c r="F335" i="17"/>
  <c r="G335" i="17"/>
  <c r="F336" i="17"/>
  <c r="G336" i="17"/>
  <c r="F337" i="17"/>
  <c r="G337" i="17"/>
  <c r="F338" i="17"/>
  <c r="G338" i="17"/>
  <c r="F341" i="17"/>
  <c r="G341" i="17"/>
  <c r="F342" i="17"/>
  <c r="G342" i="17"/>
  <c r="F364" i="17"/>
  <c r="G364" i="17"/>
  <c r="F386" i="17"/>
  <c r="G386" i="17"/>
  <c r="A396" i="17" l="1"/>
  <c r="A374" i="17"/>
  <c r="A375" i="17" s="1"/>
  <c r="A352" i="17"/>
  <c r="A353" i="17" s="1"/>
  <c r="A354" i="17" l="1"/>
  <c r="A355" i="17" s="1"/>
  <c r="A376" i="17"/>
  <c r="A377" i="17" s="1"/>
  <c r="A398" i="17"/>
  <c r="A399" i="17" s="1"/>
  <c r="A397" i="17"/>
  <c r="L386" i="17" l="1"/>
  <c r="K386" i="17"/>
  <c r="J386" i="17"/>
  <c r="I386" i="17"/>
  <c r="H386" i="17"/>
  <c r="L364" i="17"/>
  <c r="K364" i="17"/>
  <c r="J364" i="17"/>
  <c r="I364" i="17"/>
  <c r="H364" i="17"/>
  <c r="L342" i="17"/>
  <c r="K342" i="17"/>
  <c r="J342" i="17"/>
  <c r="I342" i="17"/>
  <c r="H342" i="17"/>
  <c r="L320" i="17"/>
  <c r="K320" i="17"/>
  <c r="J320" i="17"/>
  <c r="I320" i="17"/>
  <c r="H320" i="17"/>
  <c r="L298" i="17"/>
  <c r="K298" i="17"/>
  <c r="J298" i="17"/>
  <c r="I298" i="17"/>
  <c r="H298" i="17"/>
  <c r="L276" i="17"/>
  <c r="K276" i="17"/>
  <c r="J276" i="17"/>
  <c r="I276" i="17"/>
  <c r="H276" i="17"/>
  <c r="L254" i="17"/>
  <c r="K254" i="17"/>
  <c r="J254" i="17"/>
  <c r="I254" i="17"/>
  <c r="H254" i="17"/>
  <c r="L232" i="17"/>
  <c r="K232" i="17"/>
  <c r="J232" i="17"/>
  <c r="I232" i="17"/>
  <c r="H232" i="17"/>
  <c r="L210" i="17"/>
  <c r="K210" i="17"/>
  <c r="J210" i="17"/>
  <c r="I210" i="17"/>
  <c r="H210" i="17"/>
  <c r="L188" i="17"/>
  <c r="K188" i="17"/>
  <c r="J188" i="17"/>
  <c r="I188" i="17"/>
  <c r="H188" i="17"/>
  <c r="L166" i="17"/>
  <c r="K166" i="17"/>
  <c r="J166" i="17"/>
  <c r="I166" i="17"/>
  <c r="H166" i="17"/>
  <c r="L144" i="17"/>
  <c r="L408" i="17" s="1"/>
  <c r="K144" i="17"/>
  <c r="K408" i="17" s="1"/>
  <c r="J144" i="17"/>
  <c r="J408" i="17" s="1"/>
  <c r="I144" i="17"/>
  <c r="I408" i="17" s="1"/>
  <c r="H144" i="17"/>
  <c r="H408" i="17" s="1"/>
  <c r="L122" i="17"/>
  <c r="K122" i="17"/>
  <c r="J122" i="17"/>
  <c r="I122" i="17"/>
  <c r="H122" i="17"/>
  <c r="L100" i="17"/>
  <c r="K100" i="17"/>
  <c r="J100" i="17"/>
  <c r="I100" i="17"/>
  <c r="H100" i="17"/>
  <c r="L78" i="17"/>
  <c r="K78" i="17"/>
  <c r="J78" i="17"/>
  <c r="I78" i="17"/>
  <c r="H78" i="17"/>
  <c r="L56" i="17"/>
  <c r="K56" i="17"/>
  <c r="J56" i="17"/>
  <c r="I56" i="17"/>
  <c r="H56" i="17"/>
  <c r="L34" i="17"/>
  <c r="K34" i="17"/>
  <c r="J34" i="17"/>
  <c r="I34" i="17"/>
  <c r="H34" i="17"/>
  <c r="L12" i="17"/>
  <c r="K12" i="17"/>
  <c r="J12" i="17"/>
  <c r="I12" i="17"/>
  <c r="A320" i="17" l="1"/>
  <c r="A321" i="17" s="1"/>
  <c r="A298" i="17"/>
  <c r="A299" i="17" s="1"/>
  <c r="A276" i="17"/>
  <c r="A277" i="17" s="1"/>
  <c r="A254" i="17"/>
  <c r="A255" i="17" s="1"/>
  <c r="A232" i="17"/>
  <c r="A233" i="17" s="1"/>
  <c r="A210" i="17"/>
  <c r="A211" i="17" s="1"/>
  <c r="A188" i="17"/>
  <c r="A189" i="17" s="1"/>
  <c r="A166" i="17"/>
  <c r="A167" i="17" s="1"/>
  <c r="A144" i="17"/>
  <c r="A145" i="17" s="1"/>
  <c r="A122" i="17"/>
  <c r="A123" i="17" s="1"/>
  <c r="A100" i="17"/>
  <c r="A101" i="17" s="1"/>
  <c r="A78" i="17"/>
  <c r="A79" i="17" s="1"/>
  <c r="A56" i="17"/>
  <c r="A57" i="17" s="1"/>
  <c r="A34" i="17"/>
  <c r="A35" i="17" s="1"/>
  <c r="A12" i="17"/>
  <c r="A58" i="17" l="1"/>
  <c r="A146" i="17"/>
  <c r="A234" i="17"/>
  <c r="A322" i="17"/>
  <c r="A80" i="17"/>
  <c r="A168" i="17"/>
  <c r="A256" i="17"/>
  <c r="A102" i="17"/>
  <c r="A190" i="17"/>
  <c r="A278" i="17"/>
  <c r="A36" i="17"/>
  <c r="A124" i="17"/>
  <c r="A212" i="17"/>
  <c r="A300" i="17"/>
  <c r="A11" i="3"/>
  <c r="A125" i="17" l="1"/>
  <c r="A191" i="17"/>
  <c r="A323" i="17"/>
  <c r="A213" i="17"/>
  <c r="A279" i="17"/>
  <c r="A103" i="17"/>
  <c r="A257" i="17"/>
  <c r="A81" i="17"/>
  <c r="A59" i="17"/>
  <c r="A301" i="17"/>
  <c r="A169" i="17"/>
  <c r="A147" i="17"/>
  <c r="A37" i="17"/>
  <c r="A235" i="17"/>
  <c r="J11" i="3"/>
  <c r="F11" i="3"/>
  <c r="O11" i="3"/>
  <c r="K11" i="3"/>
  <c r="I11" i="3"/>
  <c r="N11" i="3"/>
  <c r="H11" i="3"/>
  <c r="M11" i="3"/>
  <c r="G11" i="3"/>
  <c r="L11" i="3"/>
  <c r="A395" i="3"/>
  <c r="A347" i="3"/>
  <c r="A299" i="3"/>
  <c r="A251" i="3"/>
  <c r="A203" i="3"/>
  <c r="A155" i="3"/>
  <c r="A107" i="3"/>
  <c r="A59" i="3"/>
  <c r="A419" i="3"/>
  <c r="A323" i="3"/>
  <c r="A275" i="3"/>
  <c r="A131" i="3"/>
  <c r="A35" i="3"/>
  <c r="A371" i="3"/>
  <c r="A227" i="3"/>
  <c r="A179" i="3"/>
  <c r="A83" i="3"/>
  <c r="A104" i="17" l="1"/>
  <c r="A105" i="17" s="1"/>
  <c r="A192" i="17"/>
  <c r="A193" i="17" s="1"/>
  <c r="A38" i="17"/>
  <c r="A39" i="17" s="1"/>
  <c r="A148" i="17"/>
  <c r="A149" i="17" s="1"/>
  <c r="A302" i="17"/>
  <c r="A303" i="17" s="1"/>
  <c r="A82" i="17"/>
  <c r="A83" i="17" s="1"/>
  <c r="A84" i="17" s="1"/>
  <c r="A214" i="17"/>
  <c r="A215" i="17" s="1"/>
  <c r="A236" i="17"/>
  <c r="A170" i="17"/>
  <c r="A171" i="17" s="1"/>
  <c r="A60" i="17"/>
  <c r="A61" i="17" s="1"/>
  <c r="A62" i="17" s="1"/>
  <c r="A258" i="17"/>
  <c r="A259" i="17" s="1"/>
  <c r="A280" i="17"/>
  <c r="A281" i="17" s="1"/>
  <c r="A324" i="17"/>
  <c r="A325" i="17" s="1"/>
  <c r="A126" i="17"/>
  <c r="A127" i="17" s="1"/>
  <c r="O371" i="3"/>
  <c r="K371" i="3"/>
  <c r="G371" i="3"/>
  <c r="N371" i="3"/>
  <c r="J371" i="3"/>
  <c r="F371" i="3"/>
  <c r="M371" i="3"/>
  <c r="L371" i="3"/>
  <c r="I371" i="3"/>
  <c r="H371" i="3"/>
  <c r="O155" i="3"/>
  <c r="K155" i="3"/>
  <c r="G155" i="3"/>
  <c r="L155" i="3"/>
  <c r="F155" i="3"/>
  <c r="J155" i="3"/>
  <c r="N155" i="3"/>
  <c r="I155" i="3"/>
  <c r="M155" i="3"/>
  <c r="H155" i="3"/>
  <c r="M83" i="3"/>
  <c r="I83" i="3"/>
  <c r="L83" i="3"/>
  <c r="H83" i="3"/>
  <c r="K83" i="3"/>
  <c r="O83" i="3"/>
  <c r="G83" i="3"/>
  <c r="N83" i="3"/>
  <c r="J83" i="3"/>
  <c r="F83" i="3"/>
  <c r="G35" i="3"/>
  <c r="M35" i="3"/>
  <c r="J35" i="3"/>
  <c r="F35" i="3"/>
  <c r="L35" i="3"/>
  <c r="I35" i="3"/>
  <c r="O35" i="3"/>
  <c r="K35" i="3"/>
  <c r="H35" i="3"/>
  <c r="N35" i="3"/>
  <c r="M419" i="3"/>
  <c r="I419" i="3"/>
  <c r="L419" i="3"/>
  <c r="H419" i="3"/>
  <c r="K419" i="3"/>
  <c r="J419" i="3"/>
  <c r="G419" i="3"/>
  <c r="F419" i="3"/>
  <c r="N419" i="3"/>
  <c r="O419" i="3"/>
  <c r="F203" i="3"/>
  <c r="L203" i="3"/>
  <c r="H203" i="3"/>
  <c r="O203" i="3"/>
  <c r="K203" i="3"/>
  <c r="G203" i="3"/>
  <c r="N203" i="3"/>
  <c r="M203" i="3"/>
  <c r="I203" i="3"/>
  <c r="J203" i="3"/>
  <c r="O395" i="3"/>
  <c r="K395" i="3"/>
  <c r="G395" i="3"/>
  <c r="N395" i="3"/>
  <c r="J395" i="3"/>
  <c r="F395" i="3"/>
  <c r="M395" i="3"/>
  <c r="L395" i="3"/>
  <c r="I395" i="3"/>
  <c r="H395" i="3"/>
  <c r="F179" i="3"/>
  <c r="L179" i="3"/>
  <c r="H179" i="3"/>
  <c r="M179" i="3"/>
  <c r="G179" i="3"/>
  <c r="K179" i="3"/>
  <c r="O179" i="3"/>
  <c r="J179" i="3"/>
  <c r="N179" i="3"/>
  <c r="I179" i="3"/>
  <c r="F131" i="3"/>
  <c r="L131" i="3"/>
  <c r="H131" i="3"/>
  <c r="O131" i="3"/>
  <c r="K131" i="3"/>
  <c r="G131" i="3"/>
  <c r="J131" i="3"/>
  <c r="M131" i="3"/>
  <c r="N131" i="3"/>
  <c r="I131" i="3"/>
  <c r="O59" i="3"/>
  <c r="K59" i="3"/>
  <c r="G59" i="3"/>
  <c r="N59" i="3"/>
  <c r="J59" i="3"/>
  <c r="F59" i="3"/>
  <c r="M59" i="3"/>
  <c r="I59" i="3"/>
  <c r="L59" i="3"/>
  <c r="H59" i="3"/>
  <c r="L251" i="3"/>
  <c r="H251" i="3"/>
  <c r="O251" i="3"/>
  <c r="K251" i="3"/>
  <c r="G251" i="3"/>
  <c r="J251" i="3"/>
  <c r="I251" i="3"/>
  <c r="F251" i="3"/>
  <c r="N251" i="3"/>
  <c r="M251" i="3"/>
  <c r="M323" i="3"/>
  <c r="I323" i="3"/>
  <c r="L323" i="3"/>
  <c r="H323" i="3"/>
  <c r="O323" i="3"/>
  <c r="G323" i="3"/>
  <c r="N323" i="3"/>
  <c r="F323" i="3"/>
  <c r="K323" i="3"/>
  <c r="J323" i="3"/>
  <c r="L347" i="3"/>
  <c r="H347" i="3"/>
  <c r="M347" i="3"/>
  <c r="G347" i="3"/>
  <c r="K347" i="3"/>
  <c r="F347" i="3"/>
  <c r="J347" i="3"/>
  <c r="I347" i="3"/>
  <c r="O347" i="3"/>
  <c r="N347" i="3"/>
  <c r="O227" i="3"/>
  <c r="K227" i="3"/>
  <c r="G227" i="3"/>
  <c r="N227" i="3"/>
  <c r="J227" i="3"/>
  <c r="F227" i="3"/>
  <c r="I227" i="3"/>
  <c r="H227" i="3"/>
  <c r="M227" i="3"/>
  <c r="L227" i="3"/>
  <c r="M275" i="3"/>
  <c r="I275" i="3"/>
  <c r="L275" i="3"/>
  <c r="H275" i="3"/>
  <c r="K275" i="3"/>
  <c r="J275" i="3"/>
  <c r="O275" i="3"/>
  <c r="N275" i="3"/>
  <c r="G275" i="3"/>
  <c r="F275" i="3"/>
  <c r="O107" i="3"/>
  <c r="K107" i="3"/>
  <c r="G107" i="3"/>
  <c r="N107" i="3"/>
  <c r="J107" i="3"/>
  <c r="F107" i="3"/>
  <c r="I107" i="3"/>
  <c r="L107" i="3"/>
  <c r="M107" i="3"/>
  <c r="H107" i="3"/>
  <c r="O299" i="3"/>
  <c r="K299" i="3"/>
  <c r="G299" i="3"/>
  <c r="N299" i="3"/>
  <c r="J299" i="3"/>
  <c r="F299" i="3"/>
  <c r="I299" i="3"/>
  <c r="H299" i="3"/>
  <c r="M299" i="3"/>
  <c r="L299" i="3"/>
  <c r="C198" i="3"/>
  <c r="A128" i="17" l="1"/>
  <c r="A63" i="17"/>
  <c r="A64" i="17" s="1"/>
  <c r="A172" i="17"/>
  <c r="A304" i="17"/>
  <c r="A150" i="17"/>
  <c r="A216" i="17"/>
  <c r="A85" i="17"/>
  <c r="A86" i="17" s="1"/>
  <c r="A87" i="17" s="1"/>
  <c r="A194" i="17"/>
  <c r="A282" i="17"/>
  <c r="A237" i="17"/>
  <c r="A238" i="17" s="1"/>
  <c r="A260" i="17"/>
  <c r="A326" i="17"/>
  <c r="A106" i="17"/>
  <c r="A41" i="17"/>
  <c r="A42" i="17" s="1"/>
  <c r="A10" i="3"/>
  <c r="K10" i="3" s="1"/>
  <c r="F134" i="17" l="1"/>
  <c r="F134" i="38"/>
  <c r="A65" i="17"/>
  <c r="A43" i="17"/>
  <c r="A173" i="17"/>
  <c r="A174" i="17" s="1"/>
  <c r="A129" i="17"/>
  <c r="A130" i="17" s="1"/>
  <c r="A305" i="17"/>
  <c r="A306" i="17" s="1"/>
  <c r="A88" i="17"/>
  <c r="A89" i="17" s="1"/>
  <c r="A217" i="17"/>
  <c r="A218" i="17" s="1"/>
  <c r="A107" i="17"/>
  <c r="A108" i="17" s="1"/>
  <c r="A151" i="17"/>
  <c r="A152" i="17" s="1"/>
  <c r="A261" i="17"/>
  <c r="A262" i="17" s="1"/>
  <c r="A283" i="17"/>
  <c r="A284" i="17" s="1"/>
  <c r="A327" i="17"/>
  <c r="A328" i="17" s="1"/>
  <c r="A239" i="17"/>
  <c r="A240" i="17" s="1"/>
  <c r="A195" i="17"/>
  <c r="A196" i="17" s="1"/>
  <c r="G356" i="17"/>
  <c r="F356" i="17"/>
  <c r="G10" i="3"/>
  <c r="L10" i="3"/>
  <c r="J10" i="3"/>
  <c r="F10" i="3"/>
  <c r="O10" i="3"/>
  <c r="I10" i="3"/>
  <c r="N10" i="3"/>
  <c r="M10" i="3"/>
  <c r="H10" i="3"/>
  <c r="A394" i="3"/>
  <c r="A346" i="3"/>
  <c r="A298" i="3"/>
  <c r="A250" i="3"/>
  <c r="A202" i="3"/>
  <c r="A154" i="3"/>
  <c r="A106" i="3"/>
  <c r="A58" i="3"/>
  <c r="A322" i="3"/>
  <c r="A130" i="3"/>
  <c r="A418" i="3"/>
  <c r="A226" i="3"/>
  <c r="A370" i="3"/>
  <c r="A178" i="3"/>
  <c r="A274" i="3"/>
  <c r="A82" i="3"/>
  <c r="A34" i="3"/>
  <c r="F2" i="4"/>
  <c r="A90" i="17" l="1"/>
  <c r="A91" i="17" s="1"/>
  <c r="A44" i="17"/>
  <c r="A45" i="17" s="1"/>
  <c r="A307" i="17"/>
  <c r="A131" i="17"/>
  <c r="A175" i="17"/>
  <c r="A66" i="17"/>
  <c r="A67" i="17" s="1"/>
  <c r="A263" i="17"/>
  <c r="A197" i="17"/>
  <c r="A285" i="17"/>
  <c r="A219" i="17"/>
  <c r="A109" i="17"/>
  <c r="A241" i="17"/>
  <c r="A329" i="17"/>
  <c r="A153" i="17"/>
  <c r="G357" i="17"/>
  <c r="F357" i="17"/>
  <c r="O274" i="3"/>
  <c r="K274" i="3"/>
  <c r="G274" i="3"/>
  <c r="N274" i="3"/>
  <c r="J274" i="3"/>
  <c r="F274" i="3"/>
  <c r="M274" i="3"/>
  <c r="L274" i="3"/>
  <c r="I274" i="3"/>
  <c r="H274" i="3"/>
  <c r="M106" i="3"/>
  <c r="I106" i="3"/>
  <c r="L106" i="3"/>
  <c r="H106" i="3"/>
  <c r="K106" i="3"/>
  <c r="O106" i="3"/>
  <c r="G106" i="3"/>
  <c r="F106" i="3"/>
  <c r="N106" i="3"/>
  <c r="J106" i="3"/>
  <c r="F178" i="3"/>
  <c r="M178" i="3"/>
  <c r="I178" i="3"/>
  <c r="K178" i="3"/>
  <c r="O178" i="3"/>
  <c r="J178" i="3"/>
  <c r="N178" i="3"/>
  <c r="G178" i="3"/>
  <c r="L178" i="3"/>
  <c r="H178" i="3"/>
  <c r="F130" i="3"/>
  <c r="M130" i="3"/>
  <c r="I130" i="3"/>
  <c r="L130" i="3"/>
  <c r="H130" i="3"/>
  <c r="K130" i="3"/>
  <c r="J130" i="3"/>
  <c r="O130" i="3"/>
  <c r="N130" i="3"/>
  <c r="G130" i="3"/>
  <c r="M154" i="3"/>
  <c r="I154" i="3"/>
  <c r="K154" i="3"/>
  <c r="F154" i="3"/>
  <c r="O154" i="3"/>
  <c r="J154" i="3"/>
  <c r="N154" i="3"/>
  <c r="G154" i="3"/>
  <c r="L154" i="3"/>
  <c r="H154" i="3"/>
  <c r="N346" i="3"/>
  <c r="J346" i="3"/>
  <c r="F346" i="3"/>
  <c r="L346" i="3"/>
  <c r="G346" i="3"/>
  <c r="K346" i="3"/>
  <c r="I346" i="3"/>
  <c r="H346" i="3"/>
  <c r="O346" i="3"/>
  <c r="M346" i="3"/>
  <c r="H34" i="3"/>
  <c r="N34" i="3"/>
  <c r="G34" i="3"/>
  <c r="M34" i="3"/>
  <c r="F34" i="3"/>
  <c r="L34" i="3"/>
  <c r="J34" i="3"/>
  <c r="I34" i="3"/>
  <c r="O34" i="3"/>
  <c r="K34" i="3"/>
  <c r="M370" i="3"/>
  <c r="I370" i="3"/>
  <c r="L370" i="3"/>
  <c r="H370" i="3"/>
  <c r="O370" i="3"/>
  <c r="G370" i="3"/>
  <c r="N370" i="3"/>
  <c r="F370" i="3"/>
  <c r="K370" i="3"/>
  <c r="J370" i="3"/>
  <c r="O322" i="3"/>
  <c r="K322" i="3"/>
  <c r="G322" i="3"/>
  <c r="N322" i="3"/>
  <c r="J322" i="3"/>
  <c r="F322" i="3"/>
  <c r="I322" i="3"/>
  <c r="H322" i="3"/>
  <c r="M322" i="3"/>
  <c r="L322" i="3"/>
  <c r="M202" i="3"/>
  <c r="I202" i="3"/>
  <c r="F202" i="3"/>
  <c r="L202" i="3"/>
  <c r="H202" i="3"/>
  <c r="O202" i="3"/>
  <c r="G202" i="3"/>
  <c r="N202" i="3"/>
  <c r="K202" i="3"/>
  <c r="J202" i="3"/>
  <c r="M394" i="3"/>
  <c r="I394" i="3"/>
  <c r="L394" i="3"/>
  <c r="H394" i="3"/>
  <c r="O394" i="3"/>
  <c r="G394" i="3"/>
  <c r="N394" i="3"/>
  <c r="F394" i="3"/>
  <c r="K394" i="3"/>
  <c r="J394" i="3"/>
  <c r="O82" i="3"/>
  <c r="K82" i="3"/>
  <c r="G82" i="3"/>
  <c r="N82" i="3"/>
  <c r="J82" i="3"/>
  <c r="F82" i="3"/>
  <c r="M82" i="3"/>
  <c r="I82" i="3"/>
  <c r="H82" i="3"/>
  <c r="L82" i="3"/>
  <c r="M226" i="3"/>
  <c r="I226" i="3"/>
  <c r="L226" i="3"/>
  <c r="H226" i="3"/>
  <c r="K226" i="3"/>
  <c r="J226" i="3"/>
  <c r="O226" i="3"/>
  <c r="G226" i="3"/>
  <c r="N226" i="3"/>
  <c r="F226" i="3"/>
  <c r="M58" i="3"/>
  <c r="I58" i="3"/>
  <c r="L58" i="3"/>
  <c r="H58" i="3"/>
  <c r="O58" i="3"/>
  <c r="G58" i="3"/>
  <c r="K58" i="3"/>
  <c r="J58" i="3"/>
  <c r="F58" i="3"/>
  <c r="N58" i="3"/>
  <c r="M250" i="3"/>
  <c r="I250" i="3"/>
  <c r="L250" i="3"/>
  <c r="H250" i="3"/>
  <c r="K250" i="3"/>
  <c r="J250" i="3"/>
  <c r="O250" i="3"/>
  <c r="G250" i="3"/>
  <c r="F250" i="3"/>
  <c r="N250" i="3"/>
  <c r="O418" i="3"/>
  <c r="K418" i="3"/>
  <c r="G418" i="3"/>
  <c r="N418" i="3"/>
  <c r="J418" i="3"/>
  <c r="F418" i="3"/>
  <c r="M418" i="3"/>
  <c r="L418" i="3"/>
  <c r="I418" i="3"/>
  <c r="H418" i="3"/>
  <c r="M298" i="3"/>
  <c r="I298" i="3"/>
  <c r="L298" i="3"/>
  <c r="H298" i="3"/>
  <c r="K298" i="3"/>
  <c r="J298" i="3"/>
  <c r="G298" i="3"/>
  <c r="F298" i="3"/>
  <c r="O298" i="3"/>
  <c r="N298" i="3"/>
  <c r="A24" i="3"/>
  <c r="A23" i="3"/>
  <c r="A22" i="3"/>
  <c r="A21" i="3"/>
  <c r="A20" i="3"/>
  <c r="A19" i="3"/>
  <c r="A16" i="3"/>
  <c r="A15" i="3"/>
  <c r="A14" i="3"/>
  <c r="A9" i="3"/>
  <c r="A46" i="17" l="1"/>
  <c r="A47" i="17" s="1"/>
  <c r="A68" i="17"/>
  <c r="A69" i="17" s="1"/>
  <c r="A176" i="17"/>
  <c r="A177" i="17" s="1"/>
  <c r="A308" i="17"/>
  <c r="A309" i="17" s="1"/>
  <c r="A132" i="17"/>
  <c r="A133" i="17" s="1"/>
  <c r="A110" i="17"/>
  <c r="A111" i="17" s="1"/>
  <c r="A286" i="17"/>
  <c r="A287" i="17" s="1"/>
  <c r="A264" i="17"/>
  <c r="A265" i="17" s="1"/>
  <c r="A154" i="17"/>
  <c r="A155" i="17" s="1"/>
  <c r="A220" i="17"/>
  <c r="A221" i="17" s="1"/>
  <c r="A198" i="17"/>
  <c r="A199" i="17" s="1"/>
  <c r="A242" i="17"/>
  <c r="A243" i="17" s="1"/>
  <c r="A330" i="17"/>
  <c r="A331" i="17" s="1"/>
  <c r="G358" i="17"/>
  <c r="F358" i="17"/>
  <c r="G15" i="3"/>
  <c r="L15" i="3"/>
  <c r="J15" i="3"/>
  <c r="F15" i="3"/>
  <c r="O15" i="3"/>
  <c r="K15" i="3"/>
  <c r="I15" i="3"/>
  <c r="N15" i="3"/>
  <c r="M15" i="3"/>
  <c r="H15" i="3"/>
  <c r="G21" i="3"/>
  <c r="L21" i="3"/>
  <c r="J21" i="3"/>
  <c r="F21" i="3"/>
  <c r="O21" i="3"/>
  <c r="K21" i="3"/>
  <c r="I21" i="3"/>
  <c r="N21" i="3"/>
  <c r="H21" i="3"/>
  <c r="M21" i="3"/>
  <c r="H9" i="3"/>
  <c r="G9" i="3"/>
  <c r="J9" i="3"/>
  <c r="F9" i="3"/>
  <c r="I19" i="3"/>
  <c r="N19" i="3"/>
  <c r="H19" i="3"/>
  <c r="M19" i="3"/>
  <c r="G19" i="3"/>
  <c r="L19" i="3"/>
  <c r="O19" i="3"/>
  <c r="J19" i="3"/>
  <c r="F19" i="3"/>
  <c r="K19" i="3"/>
  <c r="I23" i="3"/>
  <c r="N23" i="3"/>
  <c r="H23" i="3"/>
  <c r="M23" i="3"/>
  <c r="G23" i="3"/>
  <c r="L23" i="3"/>
  <c r="K23" i="3"/>
  <c r="J23" i="3"/>
  <c r="F23" i="3"/>
  <c r="O23" i="3"/>
  <c r="A422" i="3"/>
  <c r="H14" i="3"/>
  <c r="M14" i="3"/>
  <c r="G14" i="3"/>
  <c r="L14" i="3"/>
  <c r="F14" i="3"/>
  <c r="K14" i="3"/>
  <c r="J14" i="3"/>
  <c r="O14" i="3"/>
  <c r="N14" i="3"/>
  <c r="I14" i="3"/>
  <c r="H20" i="3"/>
  <c r="M20" i="3"/>
  <c r="G20" i="3"/>
  <c r="L20" i="3"/>
  <c r="J20" i="3"/>
  <c r="O20" i="3"/>
  <c r="F20" i="3"/>
  <c r="K20" i="3"/>
  <c r="I20" i="3"/>
  <c r="N20" i="3"/>
  <c r="A27" i="3"/>
  <c r="H24" i="3"/>
  <c r="M24" i="3"/>
  <c r="G24" i="3"/>
  <c r="L24" i="3"/>
  <c r="F24" i="3"/>
  <c r="K24" i="3"/>
  <c r="J24" i="3"/>
  <c r="O24" i="3"/>
  <c r="I24" i="3"/>
  <c r="N24" i="3"/>
  <c r="J16" i="3"/>
  <c r="F16" i="3"/>
  <c r="O16" i="3"/>
  <c r="K16" i="3"/>
  <c r="I16" i="3"/>
  <c r="N16" i="3"/>
  <c r="H16" i="3"/>
  <c r="M16" i="3"/>
  <c r="G16" i="3"/>
  <c r="L16" i="3"/>
  <c r="J22" i="3"/>
  <c r="F22" i="3"/>
  <c r="O22" i="3"/>
  <c r="K22" i="3"/>
  <c r="I22" i="3"/>
  <c r="N22" i="3"/>
  <c r="H22" i="3"/>
  <c r="M22" i="3"/>
  <c r="G22" i="3"/>
  <c r="L22" i="3"/>
  <c r="A264" i="3"/>
  <c r="A144" i="3"/>
  <c r="A158" i="3"/>
  <c r="A64" i="3"/>
  <c r="A417" i="3"/>
  <c r="A335" i="3"/>
  <c r="A86" i="3"/>
  <c r="A428" i="3"/>
  <c r="A96" i="3"/>
  <c r="A230" i="3"/>
  <c r="A336" i="3"/>
  <c r="A427" i="3"/>
  <c r="A40" i="3"/>
  <c r="A88" i="3"/>
  <c r="A350" i="3"/>
  <c r="A297" i="3"/>
  <c r="A369" i="3"/>
  <c r="A407" i="3"/>
  <c r="A129" i="3"/>
  <c r="A167" i="3"/>
  <c r="A239" i="3"/>
  <c r="A302" i="3"/>
  <c r="A374" i="3"/>
  <c r="A408" i="3"/>
  <c r="A57" i="3"/>
  <c r="A105" i="3"/>
  <c r="A177" i="3"/>
  <c r="A215" i="3"/>
  <c r="A287" i="3"/>
  <c r="A43" i="3"/>
  <c r="A71" i="3"/>
  <c r="A91" i="3"/>
  <c r="A110" i="3"/>
  <c r="A182" i="3"/>
  <c r="A216" i="3"/>
  <c r="A249" i="3"/>
  <c r="A288" i="3"/>
  <c r="A321" i="3"/>
  <c r="A359" i="3"/>
  <c r="A431" i="3"/>
  <c r="A47" i="3"/>
  <c r="A95" i="3"/>
  <c r="A119" i="3"/>
  <c r="A134" i="3"/>
  <c r="F134" i="3" s="1"/>
  <c r="A168" i="3"/>
  <c r="A191" i="3"/>
  <c r="A201" i="3"/>
  <c r="A240" i="3"/>
  <c r="A254" i="3"/>
  <c r="A273" i="3"/>
  <c r="A311" i="3"/>
  <c r="A326" i="3"/>
  <c r="A360" i="3"/>
  <c r="A383" i="3"/>
  <c r="A393" i="3"/>
  <c r="A432" i="3"/>
  <c r="A33" i="3"/>
  <c r="A67" i="3"/>
  <c r="A81" i="3"/>
  <c r="A120" i="3"/>
  <c r="A143" i="3"/>
  <c r="A153" i="3"/>
  <c r="A192" i="3"/>
  <c r="A206" i="3"/>
  <c r="A225" i="3"/>
  <c r="A263" i="3"/>
  <c r="A278" i="3"/>
  <c r="A312" i="3"/>
  <c r="A345" i="3"/>
  <c r="A384" i="3"/>
  <c r="A398" i="3"/>
  <c r="A429" i="3"/>
  <c r="A405" i="3"/>
  <c r="A381" i="3"/>
  <c r="A357" i="3"/>
  <c r="A333" i="3"/>
  <c r="A309" i="3"/>
  <c r="A285" i="3"/>
  <c r="A261" i="3"/>
  <c r="A237" i="3"/>
  <c r="A213" i="3"/>
  <c r="A189" i="3"/>
  <c r="A165" i="3"/>
  <c r="A141" i="3"/>
  <c r="A117" i="3"/>
  <c r="A93" i="3"/>
  <c r="A69" i="3"/>
  <c r="A45" i="3"/>
  <c r="A430" i="3"/>
  <c r="A406" i="3"/>
  <c r="A382" i="3"/>
  <c r="A358" i="3"/>
  <c r="A334" i="3"/>
  <c r="A310" i="3"/>
  <c r="A286" i="3"/>
  <c r="A262" i="3"/>
  <c r="A238" i="3"/>
  <c r="A214" i="3"/>
  <c r="A190" i="3"/>
  <c r="A166" i="3"/>
  <c r="A142" i="3"/>
  <c r="A118" i="3"/>
  <c r="A46" i="3"/>
  <c r="A70" i="3"/>
  <c r="A94" i="3"/>
  <c r="A423" i="3"/>
  <c r="A399" i="3"/>
  <c r="A375" i="3"/>
  <c r="A351" i="3"/>
  <c r="A327" i="3"/>
  <c r="A303" i="3"/>
  <c r="A279" i="3"/>
  <c r="A255" i="3"/>
  <c r="A231" i="3"/>
  <c r="A207" i="3"/>
  <c r="A183" i="3"/>
  <c r="A159" i="3"/>
  <c r="A135" i="3"/>
  <c r="A111" i="3"/>
  <c r="A87" i="3"/>
  <c r="A63" i="3"/>
  <c r="A39" i="3"/>
  <c r="A424" i="3"/>
  <c r="A400" i="3"/>
  <c r="A376" i="3"/>
  <c r="A352" i="3"/>
  <c r="A328" i="3"/>
  <c r="A304" i="3"/>
  <c r="A280" i="3"/>
  <c r="A256" i="3"/>
  <c r="A232" i="3"/>
  <c r="A208" i="3"/>
  <c r="A184" i="3"/>
  <c r="A160" i="3"/>
  <c r="A136" i="3"/>
  <c r="A112" i="3"/>
  <c r="A38" i="3"/>
  <c r="A44" i="3"/>
  <c r="A48" i="3"/>
  <c r="A62" i="3"/>
  <c r="A68" i="3"/>
  <c r="A72" i="3"/>
  <c r="A92" i="3"/>
  <c r="A115" i="3"/>
  <c r="A139" i="3"/>
  <c r="A163" i="3"/>
  <c r="A187" i="3"/>
  <c r="A211" i="3"/>
  <c r="A235" i="3"/>
  <c r="A259" i="3"/>
  <c r="A283" i="3"/>
  <c r="A307" i="3"/>
  <c r="A331" i="3"/>
  <c r="A355" i="3"/>
  <c r="A379" i="3"/>
  <c r="A403" i="3"/>
  <c r="A116" i="3"/>
  <c r="A140" i="3"/>
  <c r="A164" i="3"/>
  <c r="A188" i="3"/>
  <c r="A212" i="3"/>
  <c r="A236" i="3"/>
  <c r="A260" i="3"/>
  <c r="A284" i="3"/>
  <c r="A308" i="3"/>
  <c r="A332" i="3"/>
  <c r="A356" i="3"/>
  <c r="A380" i="3"/>
  <c r="A404" i="3"/>
  <c r="I27" i="3" l="1"/>
  <c r="K27" i="3"/>
  <c r="J27" i="3"/>
  <c r="O27" i="3"/>
  <c r="L27" i="3"/>
  <c r="M27" i="3"/>
  <c r="N27" i="3"/>
  <c r="J10" i="17"/>
  <c r="J10" i="38"/>
  <c r="I9" i="17"/>
  <c r="I9" i="38"/>
  <c r="F10" i="17"/>
  <c r="I384" i="4"/>
  <c r="F10" i="38"/>
  <c r="F9" i="17"/>
  <c r="F9" i="38"/>
  <c r="H10" i="17"/>
  <c r="H10" i="38"/>
  <c r="L9" i="17"/>
  <c r="L9" i="38"/>
  <c r="L10" i="17"/>
  <c r="L10" i="38"/>
  <c r="I10" i="17"/>
  <c r="I10" i="38"/>
  <c r="G9" i="17"/>
  <c r="G9" i="38"/>
  <c r="J9" i="17"/>
  <c r="J9" i="38"/>
  <c r="K10" i="17"/>
  <c r="K10" i="38"/>
  <c r="K9" i="17"/>
  <c r="K9" i="38"/>
  <c r="G10" i="17"/>
  <c r="G10" i="38"/>
  <c r="H9" i="17"/>
  <c r="H9" i="38"/>
  <c r="A112" i="17"/>
  <c r="A113" i="17" s="1"/>
  <c r="A244" i="17"/>
  <c r="A245" i="17" s="1"/>
  <c r="A266" i="17"/>
  <c r="A267" i="17" s="1"/>
  <c r="A310" i="17"/>
  <c r="A311" i="17" s="1"/>
  <c r="A222" i="17"/>
  <c r="A223" i="17" s="1"/>
  <c r="A332" i="17"/>
  <c r="A333" i="17" s="1"/>
  <c r="A156" i="17"/>
  <c r="A157" i="17" s="1"/>
  <c r="A134" i="17"/>
  <c r="A135" i="17" s="1"/>
  <c r="A200" i="17"/>
  <c r="A201" i="17" s="1"/>
  <c r="A288" i="17"/>
  <c r="A289" i="17" s="1"/>
  <c r="A178" i="17"/>
  <c r="A179" i="17" s="1"/>
  <c r="G359" i="17"/>
  <c r="F359" i="17"/>
  <c r="I254" i="4"/>
  <c r="I319" i="4"/>
  <c r="N9" i="4"/>
  <c r="J9" i="4"/>
  <c r="M9" i="4"/>
  <c r="K9" i="4"/>
  <c r="L9" i="4"/>
  <c r="O9" i="4"/>
  <c r="I9" i="4"/>
  <c r="A267" i="3"/>
  <c r="A363" i="3"/>
  <c r="A75" i="3"/>
  <c r="A171" i="3"/>
  <c r="O236" i="3"/>
  <c r="K236" i="3"/>
  <c r="G236" i="3"/>
  <c r="N236" i="3"/>
  <c r="J236" i="3"/>
  <c r="F236" i="3"/>
  <c r="M236" i="3"/>
  <c r="L236" i="3"/>
  <c r="I236" i="3"/>
  <c r="H236" i="3"/>
  <c r="O355" i="3"/>
  <c r="K355" i="3"/>
  <c r="G355" i="3"/>
  <c r="N355" i="3"/>
  <c r="J355" i="3"/>
  <c r="F355" i="3"/>
  <c r="M355" i="3"/>
  <c r="L355" i="3"/>
  <c r="I355" i="3"/>
  <c r="H355" i="3"/>
  <c r="M259" i="3"/>
  <c r="I259" i="3"/>
  <c r="F259" i="3"/>
  <c r="L259" i="3"/>
  <c r="H259" i="3"/>
  <c r="K259" i="3"/>
  <c r="J259" i="3"/>
  <c r="G259" i="3"/>
  <c r="O259" i="3"/>
  <c r="N259" i="3"/>
  <c r="O72" i="3"/>
  <c r="K72" i="3"/>
  <c r="G72" i="3"/>
  <c r="N72" i="3"/>
  <c r="J72" i="3"/>
  <c r="F72" i="3"/>
  <c r="I72" i="3"/>
  <c r="M72" i="3"/>
  <c r="L72" i="3"/>
  <c r="H72" i="3"/>
  <c r="O160" i="3"/>
  <c r="K160" i="3"/>
  <c r="G160" i="3"/>
  <c r="N160" i="3"/>
  <c r="I160" i="3"/>
  <c r="M160" i="3"/>
  <c r="H160" i="3"/>
  <c r="F160" i="3"/>
  <c r="L160" i="3"/>
  <c r="J160" i="3"/>
  <c r="N256" i="3"/>
  <c r="J256" i="3"/>
  <c r="M256" i="3"/>
  <c r="I256" i="3"/>
  <c r="F256" i="3"/>
  <c r="L256" i="3"/>
  <c r="K256" i="3"/>
  <c r="O256" i="3"/>
  <c r="H256" i="3"/>
  <c r="G256" i="3"/>
  <c r="F135" i="3"/>
  <c r="M135" i="3"/>
  <c r="I135" i="3"/>
  <c r="L135" i="3"/>
  <c r="H135" i="3"/>
  <c r="O135" i="3"/>
  <c r="G135" i="3"/>
  <c r="K135" i="3"/>
  <c r="J135" i="3"/>
  <c r="N135" i="3"/>
  <c r="O327" i="3"/>
  <c r="K327" i="3"/>
  <c r="G327" i="3"/>
  <c r="N327" i="3"/>
  <c r="J327" i="3"/>
  <c r="F327" i="3"/>
  <c r="I327" i="3"/>
  <c r="H327" i="3"/>
  <c r="M327" i="3"/>
  <c r="L327" i="3"/>
  <c r="O118" i="3"/>
  <c r="K118" i="3"/>
  <c r="G118" i="3"/>
  <c r="N118" i="3"/>
  <c r="J118" i="3"/>
  <c r="F118" i="3"/>
  <c r="I118" i="3"/>
  <c r="L118" i="3"/>
  <c r="M118" i="3"/>
  <c r="H118" i="3"/>
  <c r="O310" i="3"/>
  <c r="K310" i="3"/>
  <c r="G310" i="3"/>
  <c r="N310" i="3"/>
  <c r="J310" i="3"/>
  <c r="F310" i="3"/>
  <c r="I310" i="3"/>
  <c r="H310" i="3"/>
  <c r="M310" i="3"/>
  <c r="L310" i="3"/>
  <c r="O93" i="3"/>
  <c r="K93" i="3"/>
  <c r="G93" i="3"/>
  <c r="N93" i="3"/>
  <c r="J93" i="3"/>
  <c r="F93" i="3"/>
  <c r="M93" i="3"/>
  <c r="I93" i="3"/>
  <c r="H93" i="3"/>
  <c r="L93" i="3"/>
  <c r="F189" i="3"/>
  <c r="N189" i="3"/>
  <c r="J189" i="3"/>
  <c r="M189" i="3"/>
  <c r="I189" i="3"/>
  <c r="L189" i="3"/>
  <c r="K189" i="3"/>
  <c r="H189" i="3"/>
  <c r="G189" i="3"/>
  <c r="O189" i="3"/>
  <c r="O381" i="3"/>
  <c r="K381" i="3"/>
  <c r="G381" i="3"/>
  <c r="N381" i="3"/>
  <c r="J381" i="3"/>
  <c r="F381" i="3"/>
  <c r="I381" i="3"/>
  <c r="H381" i="3"/>
  <c r="M381" i="3"/>
  <c r="L381" i="3"/>
  <c r="M263" i="3"/>
  <c r="I263" i="3"/>
  <c r="F263" i="3"/>
  <c r="L263" i="3"/>
  <c r="H263" i="3"/>
  <c r="O263" i="3"/>
  <c r="G263" i="3"/>
  <c r="N263" i="3"/>
  <c r="K263" i="3"/>
  <c r="J263" i="3"/>
  <c r="M67" i="3"/>
  <c r="I67" i="3"/>
  <c r="L67" i="3"/>
  <c r="H67" i="3"/>
  <c r="K67" i="3"/>
  <c r="O67" i="3"/>
  <c r="G67" i="3"/>
  <c r="N67" i="3"/>
  <c r="J67" i="3"/>
  <c r="F67" i="3"/>
  <c r="H273" i="3"/>
  <c r="G273" i="3"/>
  <c r="F273" i="3"/>
  <c r="J273" i="3"/>
  <c r="F191" i="3"/>
  <c r="L191" i="3"/>
  <c r="H191" i="3"/>
  <c r="O191" i="3"/>
  <c r="K191" i="3"/>
  <c r="G191" i="3"/>
  <c r="J191" i="3"/>
  <c r="I191" i="3"/>
  <c r="M191" i="3"/>
  <c r="N191" i="3"/>
  <c r="H321" i="3"/>
  <c r="J321" i="3"/>
  <c r="G321" i="3"/>
  <c r="F321" i="3"/>
  <c r="F182" i="3"/>
  <c r="N182" i="3"/>
  <c r="J182" i="3"/>
  <c r="K182" i="3"/>
  <c r="O182" i="3"/>
  <c r="I182" i="3"/>
  <c r="H182" i="3"/>
  <c r="G182" i="3"/>
  <c r="M182" i="3"/>
  <c r="L182" i="3"/>
  <c r="J43" i="3"/>
  <c r="F43" i="3"/>
  <c r="L43" i="3"/>
  <c r="I43" i="3"/>
  <c r="O43" i="3"/>
  <c r="K43" i="3"/>
  <c r="H43" i="3"/>
  <c r="N43" i="3"/>
  <c r="G43" i="3"/>
  <c r="M43" i="3"/>
  <c r="O302" i="3"/>
  <c r="K302" i="3"/>
  <c r="G302" i="3"/>
  <c r="N302" i="3"/>
  <c r="J302" i="3"/>
  <c r="F302" i="3"/>
  <c r="M302" i="3"/>
  <c r="L302" i="3"/>
  <c r="I302" i="3"/>
  <c r="H302" i="3"/>
  <c r="M407" i="3"/>
  <c r="I407" i="3"/>
  <c r="L407" i="3"/>
  <c r="H407" i="3"/>
  <c r="K407" i="3"/>
  <c r="J407" i="3"/>
  <c r="O407" i="3"/>
  <c r="N407" i="3"/>
  <c r="G407" i="3"/>
  <c r="F407" i="3"/>
  <c r="M88" i="3"/>
  <c r="I88" i="3"/>
  <c r="L88" i="3"/>
  <c r="H88" i="3"/>
  <c r="K88" i="3"/>
  <c r="O88" i="3"/>
  <c r="G88" i="3"/>
  <c r="F88" i="3"/>
  <c r="N88" i="3"/>
  <c r="J88" i="3"/>
  <c r="O230" i="3"/>
  <c r="K230" i="3"/>
  <c r="G230" i="3"/>
  <c r="N230" i="3"/>
  <c r="J230" i="3"/>
  <c r="F230" i="3"/>
  <c r="M230" i="3"/>
  <c r="L230" i="3"/>
  <c r="I230" i="3"/>
  <c r="H230" i="3"/>
  <c r="L335" i="3"/>
  <c r="H335" i="3"/>
  <c r="O335" i="3"/>
  <c r="J335" i="3"/>
  <c r="N335" i="3"/>
  <c r="I335" i="3"/>
  <c r="G335" i="3"/>
  <c r="F335" i="3"/>
  <c r="M335" i="3"/>
  <c r="K335" i="3"/>
  <c r="F144" i="3"/>
  <c r="M144" i="3"/>
  <c r="I144" i="3"/>
  <c r="O144" i="3"/>
  <c r="J144" i="3"/>
  <c r="N144" i="3"/>
  <c r="H144" i="3"/>
  <c r="L144" i="3"/>
  <c r="K144" i="3"/>
  <c r="G144" i="3"/>
  <c r="O404" i="3"/>
  <c r="K404" i="3"/>
  <c r="G404" i="3"/>
  <c r="N404" i="3"/>
  <c r="J404" i="3"/>
  <c r="F404" i="3"/>
  <c r="I404" i="3"/>
  <c r="H404" i="3"/>
  <c r="M404" i="3"/>
  <c r="L404" i="3"/>
  <c r="O308" i="3"/>
  <c r="K308" i="3"/>
  <c r="G308" i="3"/>
  <c r="N308" i="3"/>
  <c r="J308" i="3"/>
  <c r="F308" i="3"/>
  <c r="M308" i="3"/>
  <c r="L308" i="3"/>
  <c r="I308" i="3"/>
  <c r="H308" i="3"/>
  <c r="O116" i="3"/>
  <c r="K116" i="3"/>
  <c r="G116" i="3"/>
  <c r="N116" i="3"/>
  <c r="J116" i="3"/>
  <c r="F116" i="3"/>
  <c r="M116" i="3"/>
  <c r="I116" i="3"/>
  <c r="L116" i="3"/>
  <c r="H116" i="3"/>
  <c r="M235" i="3"/>
  <c r="I235" i="3"/>
  <c r="L235" i="3"/>
  <c r="H235" i="3"/>
  <c r="O235" i="3"/>
  <c r="G235" i="3"/>
  <c r="N235" i="3"/>
  <c r="F235" i="3"/>
  <c r="K235" i="3"/>
  <c r="J235" i="3"/>
  <c r="O68" i="3"/>
  <c r="K68" i="3"/>
  <c r="G68" i="3"/>
  <c r="N68" i="3"/>
  <c r="J68" i="3"/>
  <c r="F68" i="3"/>
  <c r="I68" i="3"/>
  <c r="M68" i="3"/>
  <c r="L68" i="3"/>
  <c r="H68" i="3"/>
  <c r="F184" i="3"/>
  <c r="L184" i="3"/>
  <c r="H184" i="3"/>
  <c r="N184" i="3"/>
  <c r="I184" i="3"/>
  <c r="M184" i="3"/>
  <c r="G184" i="3"/>
  <c r="K184" i="3"/>
  <c r="J184" i="3"/>
  <c r="O184" i="3"/>
  <c r="O376" i="3"/>
  <c r="K376" i="3"/>
  <c r="G376" i="3"/>
  <c r="N376" i="3"/>
  <c r="J376" i="3"/>
  <c r="F376" i="3"/>
  <c r="M376" i="3"/>
  <c r="L376" i="3"/>
  <c r="I376" i="3"/>
  <c r="H376" i="3"/>
  <c r="A195" i="3"/>
  <c r="A387" i="3"/>
  <c r="M159" i="3"/>
  <c r="I159" i="3"/>
  <c r="N159" i="3"/>
  <c r="H159" i="3"/>
  <c r="L159" i="3"/>
  <c r="G159" i="3"/>
  <c r="F159" i="3"/>
  <c r="J159" i="3"/>
  <c r="O159" i="3"/>
  <c r="K159" i="3"/>
  <c r="O351" i="3"/>
  <c r="K351" i="3"/>
  <c r="G351" i="3"/>
  <c r="N351" i="3"/>
  <c r="J351" i="3"/>
  <c r="F351" i="3"/>
  <c r="I351" i="3"/>
  <c r="H351" i="3"/>
  <c r="M351" i="3"/>
  <c r="L351" i="3"/>
  <c r="F142" i="3"/>
  <c r="O142" i="3"/>
  <c r="L142" i="3"/>
  <c r="H142" i="3"/>
  <c r="K142" i="3"/>
  <c r="G142" i="3"/>
  <c r="J142" i="3"/>
  <c r="N142" i="3"/>
  <c r="I142" i="3"/>
  <c r="M142" i="3"/>
  <c r="N334" i="3"/>
  <c r="J334" i="3"/>
  <c r="O334" i="3"/>
  <c r="I334" i="3"/>
  <c r="I332" i="4" s="1"/>
  <c r="M334" i="3"/>
  <c r="H334" i="3"/>
  <c r="G334" i="3"/>
  <c r="F334" i="3"/>
  <c r="L334" i="3"/>
  <c r="K334" i="3"/>
  <c r="M117" i="3"/>
  <c r="I117" i="3"/>
  <c r="L117" i="3"/>
  <c r="H117" i="3"/>
  <c r="K117" i="3"/>
  <c r="O117" i="3"/>
  <c r="F117" i="3"/>
  <c r="J117" i="3"/>
  <c r="G117" i="3"/>
  <c r="N117" i="3"/>
  <c r="M405" i="3"/>
  <c r="I405" i="3"/>
  <c r="L405" i="3"/>
  <c r="H405" i="3"/>
  <c r="O405" i="3"/>
  <c r="G405" i="3"/>
  <c r="N405" i="3"/>
  <c r="F405" i="3"/>
  <c r="K405" i="3"/>
  <c r="J405" i="3"/>
  <c r="H345" i="3"/>
  <c r="F345" i="3"/>
  <c r="J345" i="3"/>
  <c r="G345" i="3"/>
  <c r="F143" i="3"/>
  <c r="N143" i="3"/>
  <c r="J143" i="3"/>
  <c r="M143" i="3"/>
  <c r="H143" i="3"/>
  <c r="L143" i="3"/>
  <c r="G143" i="3"/>
  <c r="K143" i="3"/>
  <c r="O143" i="3"/>
  <c r="I143" i="3"/>
  <c r="H33" i="3"/>
  <c r="G33" i="3"/>
  <c r="F33" i="3"/>
  <c r="J33" i="3"/>
  <c r="F254" i="3"/>
  <c r="O254" i="3"/>
  <c r="K254" i="3"/>
  <c r="G254" i="3"/>
  <c r="M254" i="3"/>
  <c r="H254" i="3"/>
  <c r="L254" i="3"/>
  <c r="J254" i="3"/>
  <c r="I254" i="3"/>
  <c r="N254" i="3"/>
  <c r="J47" i="3"/>
  <c r="F47" i="3"/>
  <c r="L47" i="3"/>
  <c r="I47" i="3"/>
  <c r="O47" i="3"/>
  <c r="K47" i="3"/>
  <c r="H47" i="3"/>
  <c r="N47" i="3"/>
  <c r="G47" i="3"/>
  <c r="M47" i="3"/>
  <c r="O110" i="3"/>
  <c r="K110" i="3"/>
  <c r="G110" i="3"/>
  <c r="N110" i="3"/>
  <c r="J110" i="3"/>
  <c r="F110" i="3"/>
  <c r="M110" i="3"/>
  <c r="L110" i="3"/>
  <c r="H110" i="3"/>
  <c r="I110" i="3"/>
  <c r="G57" i="3"/>
  <c r="J57" i="3"/>
  <c r="F57" i="3"/>
  <c r="H57" i="3"/>
  <c r="G369" i="3"/>
  <c r="J369" i="3"/>
  <c r="F369" i="3"/>
  <c r="H369" i="3"/>
  <c r="H417" i="3"/>
  <c r="G417" i="3"/>
  <c r="F417" i="3"/>
  <c r="J417" i="3"/>
  <c r="M380" i="3"/>
  <c r="I380" i="3"/>
  <c r="L380" i="3"/>
  <c r="H380" i="3"/>
  <c r="K380" i="3"/>
  <c r="J380" i="3"/>
  <c r="O380" i="3"/>
  <c r="N380" i="3"/>
  <c r="G380" i="3"/>
  <c r="F380" i="3"/>
  <c r="M284" i="3"/>
  <c r="I284" i="3"/>
  <c r="L284" i="3"/>
  <c r="H284" i="3"/>
  <c r="O284" i="3"/>
  <c r="G284" i="3"/>
  <c r="N284" i="3"/>
  <c r="F284" i="3"/>
  <c r="K284" i="3"/>
  <c r="J284" i="3"/>
  <c r="F188" i="3"/>
  <c r="O188" i="3"/>
  <c r="K188" i="3"/>
  <c r="N188" i="3"/>
  <c r="J188" i="3"/>
  <c r="M188" i="3"/>
  <c r="G188" i="3"/>
  <c r="L188" i="3"/>
  <c r="H188" i="3"/>
  <c r="I188" i="3"/>
  <c r="M403" i="3"/>
  <c r="I403" i="3"/>
  <c r="L403" i="3"/>
  <c r="H403" i="3"/>
  <c r="K403" i="3"/>
  <c r="J403" i="3"/>
  <c r="G403" i="3"/>
  <c r="F403" i="3"/>
  <c r="O403" i="3"/>
  <c r="N403" i="3"/>
  <c r="M307" i="3"/>
  <c r="I307" i="3"/>
  <c r="L307" i="3"/>
  <c r="H307" i="3"/>
  <c r="O307" i="3"/>
  <c r="G307" i="3"/>
  <c r="N307" i="3"/>
  <c r="F307" i="3"/>
  <c r="K307" i="3"/>
  <c r="J307" i="3"/>
  <c r="O211" i="3"/>
  <c r="K211" i="3"/>
  <c r="G211" i="3"/>
  <c r="N211" i="3"/>
  <c r="J211" i="3"/>
  <c r="I211" i="3"/>
  <c r="H211" i="3"/>
  <c r="M211" i="3"/>
  <c r="L211" i="3"/>
  <c r="F211" i="3"/>
  <c r="M115" i="3"/>
  <c r="I115" i="3"/>
  <c r="L115" i="3"/>
  <c r="H115" i="3"/>
  <c r="O115" i="3"/>
  <c r="G115" i="3"/>
  <c r="N115" i="3"/>
  <c r="J115" i="3"/>
  <c r="F115" i="3"/>
  <c r="K115" i="3"/>
  <c r="O62" i="3"/>
  <c r="K62" i="3"/>
  <c r="G62" i="3"/>
  <c r="N62" i="3"/>
  <c r="J62" i="3"/>
  <c r="F62" i="3"/>
  <c r="I62" i="3"/>
  <c r="M62" i="3"/>
  <c r="L62" i="3"/>
  <c r="H62" i="3"/>
  <c r="O112" i="3"/>
  <c r="K112" i="3"/>
  <c r="G112" i="3"/>
  <c r="N112" i="3"/>
  <c r="J112" i="3"/>
  <c r="F112" i="3"/>
  <c r="I112" i="3"/>
  <c r="M112" i="3"/>
  <c r="H112" i="3"/>
  <c r="L112" i="3"/>
  <c r="F208" i="3"/>
  <c r="L208" i="3"/>
  <c r="H208" i="3"/>
  <c r="O208" i="3"/>
  <c r="K208" i="3"/>
  <c r="G208" i="3"/>
  <c r="J208" i="3"/>
  <c r="I208" i="3"/>
  <c r="N208" i="3"/>
  <c r="M208" i="3"/>
  <c r="O304" i="3"/>
  <c r="K304" i="3"/>
  <c r="G304" i="3"/>
  <c r="N304" i="3"/>
  <c r="J304" i="3"/>
  <c r="F304" i="3"/>
  <c r="I304" i="3"/>
  <c r="H304" i="3"/>
  <c r="M304" i="3"/>
  <c r="L304" i="3"/>
  <c r="O400" i="3"/>
  <c r="K400" i="3"/>
  <c r="G400" i="3"/>
  <c r="N400" i="3"/>
  <c r="J400" i="3"/>
  <c r="F400" i="3"/>
  <c r="M400" i="3"/>
  <c r="L400" i="3"/>
  <c r="I400" i="3"/>
  <c r="H400" i="3"/>
  <c r="A123" i="3"/>
  <c r="A219" i="3"/>
  <c r="A315" i="3"/>
  <c r="A411" i="3"/>
  <c r="O87" i="3"/>
  <c r="K87" i="3"/>
  <c r="G87" i="3"/>
  <c r="N87" i="3"/>
  <c r="J87" i="3"/>
  <c r="F87" i="3"/>
  <c r="M87" i="3"/>
  <c r="I87" i="3"/>
  <c r="L87" i="3"/>
  <c r="H87" i="3"/>
  <c r="F183" i="3"/>
  <c r="M183" i="3"/>
  <c r="I183" i="3"/>
  <c r="L183" i="3"/>
  <c r="G183" i="3"/>
  <c r="K183" i="3"/>
  <c r="J183" i="3"/>
  <c r="N183" i="3"/>
  <c r="O183" i="3"/>
  <c r="H183" i="3"/>
  <c r="O279" i="3"/>
  <c r="K279" i="3"/>
  <c r="G279" i="3"/>
  <c r="N279" i="3"/>
  <c r="J279" i="3"/>
  <c r="F279" i="3"/>
  <c r="M279" i="3"/>
  <c r="L279" i="3"/>
  <c r="I279" i="3"/>
  <c r="H279" i="3"/>
  <c r="M375" i="3"/>
  <c r="I375" i="3"/>
  <c r="L375" i="3"/>
  <c r="H375" i="3"/>
  <c r="O375" i="3"/>
  <c r="G375" i="3"/>
  <c r="N375" i="3"/>
  <c r="F375" i="3"/>
  <c r="K375" i="3"/>
  <c r="J375" i="3"/>
  <c r="O70" i="3"/>
  <c r="K70" i="3"/>
  <c r="G70" i="3"/>
  <c r="N70" i="3"/>
  <c r="J70" i="3"/>
  <c r="F70" i="3"/>
  <c r="M70" i="3"/>
  <c r="I70" i="3"/>
  <c r="L70" i="3"/>
  <c r="H70" i="3"/>
  <c r="O166" i="3"/>
  <c r="K166" i="3"/>
  <c r="G166" i="3"/>
  <c r="L166" i="3"/>
  <c r="F166" i="3"/>
  <c r="J166" i="3"/>
  <c r="I166" i="3"/>
  <c r="N166" i="3"/>
  <c r="H166" i="3"/>
  <c r="M166" i="3"/>
  <c r="N262" i="3"/>
  <c r="J262" i="3"/>
  <c r="M262" i="3"/>
  <c r="I262" i="3"/>
  <c r="I329" i="4" s="1"/>
  <c r="H262" i="3"/>
  <c r="O262" i="3"/>
  <c r="G262" i="3"/>
  <c r="F262" i="3"/>
  <c r="L262" i="3"/>
  <c r="K262" i="3"/>
  <c r="M358" i="3"/>
  <c r="I358" i="3"/>
  <c r="I333" i="4" s="1"/>
  <c r="L358" i="3"/>
  <c r="H358" i="3"/>
  <c r="O358" i="3"/>
  <c r="G358" i="3"/>
  <c r="N358" i="3"/>
  <c r="F358" i="3"/>
  <c r="K358" i="3"/>
  <c r="J358" i="3"/>
  <c r="H45" i="3"/>
  <c r="N45" i="3"/>
  <c r="G45" i="3"/>
  <c r="M45" i="3"/>
  <c r="F45" i="3"/>
  <c r="L45" i="3"/>
  <c r="J45" i="3"/>
  <c r="I45" i="3"/>
  <c r="O45" i="3"/>
  <c r="K45" i="3"/>
  <c r="F141" i="3"/>
  <c r="M141" i="3"/>
  <c r="I141" i="3"/>
  <c r="L141" i="3"/>
  <c r="H141" i="3"/>
  <c r="K141" i="3"/>
  <c r="N141" i="3"/>
  <c r="G141" i="3"/>
  <c r="O141" i="3"/>
  <c r="J141" i="3"/>
  <c r="M237" i="3"/>
  <c r="I237" i="3"/>
  <c r="L237" i="3"/>
  <c r="H237" i="3"/>
  <c r="K237" i="3"/>
  <c r="J237" i="3"/>
  <c r="O237" i="3"/>
  <c r="G237" i="3"/>
  <c r="N237" i="3"/>
  <c r="F237" i="3"/>
  <c r="O333" i="3"/>
  <c r="K333" i="3"/>
  <c r="G333" i="3"/>
  <c r="N333" i="3"/>
  <c r="J333" i="3"/>
  <c r="F333" i="3"/>
  <c r="I333" i="3"/>
  <c r="H333" i="3"/>
  <c r="M333" i="3"/>
  <c r="L333" i="3"/>
  <c r="O429" i="3"/>
  <c r="K429" i="3"/>
  <c r="G429" i="3"/>
  <c r="N429" i="3"/>
  <c r="J429" i="3"/>
  <c r="F429" i="3"/>
  <c r="M429" i="3"/>
  <c r="L429" i="3"/>
  <c r="I429" i="3"/>
  <c r="H429" i="3"/>
  <c r="O312" i="3"/>
  <c r="K312" i="3"/>
  <c r="G312" i="3"/>
  <c r="N312" i="3"/>
  <c r="J312" i="3"/>
  <c r="F312" i="3"/>
  <c r="M312" i="3"/>
  <c r="L312" i="3"/>
  <c r="I312" i="3"/>
  <c r="F274" i="38" s="1"/>
  <c r="H312" i="3"/>
  <c r="N206" i="3"/>
  <c r="J206" i="3"/>
  <c r="M206" i="3"/>
  <c r="I206" i="3"/>
  <c r="F206" i="3"/>
  <c r="L206" i="3"/>
  <c r="K206" i="3"/>
  <c r="H206" i="3"/>
  <c r="G206" i="3"/>
  <c r="O206" i="3"/>
  <c r="O120" i="3"/>
  <c r="K120" i="3"/>
  <c r="G120" i="3"/>
  <c r="N120" i="3"/>
  <c r="J120" i="3"/>
  <c r="F120" i="3"/>
  <c r="M120" i="3"/>
  <c r="H120" i="3"/>
  <c r="L120" i="3"/>
  <c r="I120" i="3"/>
  <c r="M432" i="3"/>
  <c r="I432" i="3"/>
  <c r="F384" i="38" s="1"/>
  <c r="L432" i="3"/>
  <c r="H432" i="3"/>
  <c r="O432" i="3"/>
  <c r="G432" i="3"/>
  <c r="N432" i="3"/>
  <c r="F432" i="3"/>
  <c r="K432" i="3"/>
  <c r="J432" i="3"/>
  <c r="M326" i="3"/>
  <c r="I326" i="3"/>
  <c r="L326" i="3"/>
  <c r="H326" i="3"/>
  <c r="K326" i="3"/>
  <c r="J326" i="3"/>
  <c r="G326" i="3"/>
  <c r="F326" i="3"/>
  <c r="O326" i="3"/>
  <c r="N326" i="3"/>
  <c r="O240" i="3"/>
  <c r="K240" i="3"/>
  <c r="G240" i="3"/>
  <c r="N240" i="3"/>
  <c r="J240" i="3"/>
  <c r="F240" i="3"/>
  <c r="M240" i="3"/>
  <c r="L240" i="3"/>
  <c r="I240" i="3"/>
  <c r="H240" i="3"/>
  <c r="N134" i="3"/>
  <c r="J134" i="3"/>
  <c r="M134" i="3"/>
  <c r="I134" i="3"/>
  <c r="H134" i="3"/>
  <c r="O134" i="3"/>
  <c r="K134" i="3"/>
  <c r="L134" i="3"/>
  <c r="G134" i="3"/>
  <c r="O431" i="3"/>
  <c r="K431" i="3"/>
  <c r="G431" i="3"/>
  <c r="N431" i="3"/>
  <c r="J431" i="3"/>
  <c r="F431" i="3"/>
  <c r="I431" i="3"/>
  <c r="H431" i="3"/>
  <c r="M431" i="3"/>
  <c r="L431" i="3"/>
  <c r="F249" i="3"/>
  <c r="J249" i="3"/>
  <c r="H249" i="3"/>
  <c r="G249" i="3"/>
  <c r="O91" i="3"/>
  <c r="K91" i="3"/>
  <c r="G91" i="3"/>
  <c r="N91" i="3"/>
  <c r="J91" i="3"/>
  <c r="F91" i="3"/>
  <c r="I91" i="3"/>
  <c r="M91" i="3"/>
  <c r="L91" i="3"/>
  <c r="H91" i="3"/>
  <c r="O215" i="3"/>
  <c r="K215" i="3"/>
  <c r="G215" i="3"/>
  <c r="N215" i="3"/>
  <c r="J215" i="3"/>
  <c r="M215" i="3"/>
  <c r="F215" i="3"/>
  <c r="L215" i="3"/>
  <c r="I215" i="3"/>
  <c r="H215" i="3"/>
  <c r="O408" i="3"/>
  <c r="K408" i="3"/>
  <c r="G408" i="3"/>
  <c r="N408" i="3"/>
  <c r="J408" i="3"/>
  <c r="F408" i="3"/>
  <c r="I408" i="3"/>
  <c r="F362" i="38" s="1"/>
  <c r="H408" i="3"/>
  <c r="M408" i="3"/>
  <c r="L408" i="3"/>
  <c r="M167" i="3"/>
  <c r="I167" i="3"/>
  <c r="L167" i="3"/>
  <c r="G167" i="3"/>
  <c r="K167" i="3"/>
  <c r="F167" i="3"/>
  <c r="J167" i="3"/>
  <c r="N167" i="3"/>
  <c r="H167" i="3"/>
  <c r="O167" i="3"/>
  <c r="G297" i="3"/>
  <c r="J297" i="3"/>
  <c r="F297" i="3"/>
  <c r="H297" i="3"/>
  <c r="O427" i="3"/>
  <c r="K427" i="3"/>
  <c r="G427" i="3"/>
  <c r="N427" i="3"/>
  <c r="J427" i="3"/>
  <c r="F427" i="3"/>
  <c r="I427" i="3"/>
  <c r="H427" i="3"/>
  <c r="M427" i="3"/>
  <c r="L427" i="3"/>
  <c r="M428" i="3"/>
  <c r="I428" i="3"/>
  <c r="L428" i="3"/>
  <c r="H428" i="3"/>
  <c r="O428" i="3"/>
  <c r="G428" i="3"/>
  <c r="N428" i="3"/>
  <c r="F428" i="3"/>
  <c r="K428" i="3"/>
  <c r="J428" i="3"/>
  <c r="O64" i="3"/>
  <c r="K64" i="3"/>
  <c r="G64" i="3"/>
  <c r="N64" i="3"/>
  <c r="J64" i="3"/>
  <c r="F64" i="3"/>
  <c r="M64" i="3"/>
  <c r="I64" i="3"/>
  <c r="H64" i="3"/>
  <c r="L64" i="3"/>
  <c r="M332" i="3"/>
  <c r="I332" i="3"/>
  <c r="L332" i="3"/>
  <c r="H332" i="3"/>
  <c r="K332" i="3"/>
  <c r="J332" i="3"/>
  <c r="O332" i="3"/>
  <c r="N332" i="3"/>
  <c r="G332" i="3"/>
  <c r="F332" i="3"/>
  <c r="F140" i="3"/>
  <c r="N140" i="3"/>
  <c r="J140" i="3"/>
  <c r="M140" i="3"/>
  <c r="I140" i="3"/>
  <c r="L140" i="3"/>
  <c r="K140" i="3"/>
  <c r="G140" i="3"/>
  <c r="O140" i="3"/>
  <c r="H140" i="3"/>
  <c r="M163" i="3"/>
  <c r="I163" i="3"/>
  <c r="O163" i="3"/>
  <c r="J163" i="3"/>
  <c r="N163" i="3"/>
  <c r="H163" i="3"/>
  <c r="G163" i="3"/>
  <c r="K163" i="3"/>
  <c r="F163" i="3"/>
  <c r="L163" i="3"/>
  <c r="I44" i="3"/>
  <c r="O44" i="3"/>
  <c r="K44" i="3"/>
  <c r="H44" i="3"/>
  <c r="N44" i="3"/>
  <c r="G44" i="3"/>
  <c r="M44" i="3"/>
  <c r="F44" i="3"/>
  <c r="L44" i="3"/>
  <c r="J44" i="3"/>
  <c r="M352" i="3"/>
  <c r="I352" i="3"/>
  <c r="L352" i="3"/>
  <c r="H352" i="3"/>
  <c r="O352" i="3"/>
  <c r="G352" i="3"/>
  <c r="N352" i="3"/>
  <c r="F352" i="3"/>
  <c r="K352" i="3"/>
  <c r="J352" i="3"/>
  <c r="H39" i="3"/>
  <c r="N39" i="3"/>
  <c r="G39" i="3"/>
  <c r="M39" i="3"/>
  <c r="J39" i="3"/>
  <c r="F39" i="3"/>
  <c r="L39" i="3"/>
  <c r="O39" i="3"/>
  <c r="K39" i="3"/>
  <c r="I39" i="3"/>
  <c r="M231" i="3"/>
  <c r="I231" i="3"/>
  <c r="L231" i="3"/>
  <c r="H231" i="3"/>
  <c r="K231" i="3"/>
  <c r="J231" i="3"/>
  <c r="G231" i="3"/>
  <c r="O231" i="3"/>
  <c r="F231" i="3"/>
  <c r="N231" i="3"/>
  <c r="O423" i="3"/>
  <c r="K423" i="3"/>
  <c r="G423" i="3"/>
  <c r="N423" i="3"/>
  <c r="J423" i="3"/>
  <c r="F423" i="3"/>
  <c r="M423" i="3"/>
  <c r="L423" i="3"/>
  <c r="I423" i="3"/>
  <c r="H423" i="3"/>
  <c r="F214" i="3"/>
  <c r="L214" i="3"/>
  <c r="H214" i="3"/>
  <c r="O214" i="3"/>
  <c r="K214" i="3"/>
  <c r="G214" i="3"/>
  <c r="N214" i="3"/>
  <c r="M214" i="3"/>
  <c r="J214" i="3"/>
  <c r="I214" i="3"/>
  <c r="O406" i="3"/>
  <c r="K406" i="3"/>
  <c r="G406" i="3"/>
  <c r="N406" i="3"/>
  <c r="J406" i="3"/>
  <c r="F406" i="3"/>
  <c r="M406" i="3"/>
  <c r="L406" i="3"/>
  <c r="I406" i="3"/>
  <c r="H406" i="3"/>
  <c r="O285" i="3"/>
  <c r="K285" i="3"/>
  <c r="G285" i="3"/>
  <c r="N285" i="3"/>
  <c r="J285" i="3"/>
  <c r="F285" i="3"/>
  <c r="M285" i="3"/>
  <c r="L285" i="3"/>
  <c r="I285" i="3"/>
  <c r="H285" i="3"/>
  <c r="M384" i="3"/>
  <c r="I384" i="3"/>
  <c r="F340" i="38" s="1"/>
  <c r="L384" i="3"/>
  <c r="H384" i="3"/>
  <c r="K384" i="3"/>
  <c r="J384" i="3"/>
  <c r="G384" i="3"/>
  <c r="F384" i="3"/>
  <c r="O384" i="3"/>
  <c r="N384" i="3"/>
  <c r="G153" i="3"/>
  <c r="J153" i="3"/>
  <c r="H153" i="3"/>
  <c r="F153" i="3"/>
  <c r="O383" i="3"/>
  <c r="K383" i="3"/>
  <c r="G383" i="3"/>
  <c r="N383" i="3"/>
  <c r="J383" i="3"/>
  <c r="F383" i="3"/>
  <c r="M383" i="3"/>
  <c r="L383" i="3"/>
  <c r="I383" i="3"/>
  <c r="H383" i="3"/>
  <c r="O95" i="3"/>
  <c r="K95" i="3"/>
  <c r="G95" i="3"/>
  <c r="N95" i="3"/>
  <c r="J95" i="3"/>
  <c r="F95" i="3"/>
  <c r="I95" i="3"/>
  <c r="M95" i="3"/>
  <c r="L95" i="3"/>
  <c r="H95" i="3"/>
  <c r="G105" i="3"/>
  <c r="J105" i="3"/>
  <c r="F105" i="3"/>
  <c r="H105" i="3"/>
  <c r="N212" i="3"/>
  <c r="J212" i="3"/>
  <c r="M212" i="3"/>
  <c r="I212" i="3"/>
  <c r="H212" i="3"/>
  <c r="O212" i="3"/>
  <c r="G212" i="3"/>
  <c r="F212" i="3"/>
  <c r="L212" i="3"/>
  <c r="K212" i="3"/>
  <c r="O331" i="3"/>
  <c r="K331" i="3"/>
  <c r="G331" i="3"/>
  <c r="N331" i="3"/>
  <c r="J331" i="3"/>
  <c r="F331" i="3"/>
  <c r="M331" i="3"/>
  <c r="L331" i="3"/>
  <c r="I331" i="3"/>
  <c r="H331" i="3"/>
  <c r="F139" i="3"/>
  <c r="O139" i="3"/>
  <c r="K139" i="3"/>
  <c r="G139" i="3"/>
  <c r="N139" i="3"/>
  <c r="J139" i="3"/>
  <c r="M139" i="3"/>
  <c r="I139" i="3"/>
  <c r="L139" i="3"/>
  <c r="H139" i="3"/>
  <c r="I38" i="3"/>
  <c r="O38" i="3"/>
  <c r="K38" i="3"/>
  <c r="H38" i="3"/>
  <c r="N38" i="3"/>
  <c r="G38" i="3"/>
  <c r="M38" i="3"/>
  <c r="J38" i="3"/>
  <c r="F38" i="3"/>
  <c r="L38" i="3"/>
  <c r="M280" i="3"/>
  <c r="I280" i="3"/>
  <c r="L280" i="3"/>
  <c r="H280" i="3"/>
  <c r="K280" i="3"/>
  <c r="J280" i="3"/>
  <c r="G280" i="3"/>
  <c r="F280" i="3"/>
  <c r="O280" i="3"/>
  <c r="N280" i="3"/>
  <c r="A99" i="3"/>
  <c r="A291" i="3"/>
  <c r="M63" i="3"/>
  <c r="I63" i="3"/>
  <c r="L63" i="3"/>
  <c r="H63" i="3"/>
  <c r="O63" i="3"/>
  <c r="G63" i="3"/>
  <c r="K63" i="3"/>
  <c r="N63" i="3"/>
  <c r="J63" i="3"/>
  <c r="F63" i="3"/>
  <c r="N255" i="3"/>
  <c r="J255" i="3"/>
  <c r="O255" i="3"/>
  <c r="I255" i="3"/>
  <c r="F255" i="3"/>
  <c r="M255" i="3"/>
  <c r="H255" i="3"/>
  <c r="L255" i="3"/>
  <c r="K255" i="3"/>
  <c r="G255" i="3"/>
  <c r="M94" i="3"/>
  <c r="I94" i="3"/>
  <c r="L94" i="3"/>
  <c r="H94" i="3"/>
  <c r="K94" i="3"/>
  <c r="O94" i="3"/>
  <c r="G94" i="3"/>
  <c r="N94" i="3"/>
  <c r="J94" i="3"/>
  <c r="F94" i="3"/>
  <c r="O238" i="3"/>
  <c r="K238" i="3"/>
  <c r="G238" i="3"/>
  <c r="N238" i="3"/>
  <c r="J238" i="3"/>
  <c r="F238" i="3"/>
  <c r="I238" i="3"/>
  <c r="H238" i="3"/>
  <c r="M238" i="3"/>
  <c r="L238" i="3"/>
  <c r="M430" i="3"/>
  <c r="I430" i="3"/>
  <c r="I336" i="4" s="1"/>
  <c r="L430" i="3"/>
  <c r="H430" i="3"/>
  <c r="K430" i="3"/>
  <c r="J430" i="3"/>
  <c r="G430" i="3"/>
  <c r="F430" i="3"/>
  <c r="O430" i="3"/>
  <c r="N430" i="3"/>
  <c r="M213" i="3"/>
  <c r="I213" i="3"/>
  <c r="F213" i="3"/>
  <c r="L213" i="3"/>
  <c r="H213" i="3"/>
  <c r="O213" i="3"/>
  <c r="G213" i="3"/>
  <c r="N213" i="3"/>
  <c r="K213" i="3"/>
  <c r="J213" i="3"/>
  <c r="M309" i="3"/>
  <c r="I309" i="3"/>
  <c r="L309" i="3"/>
  <c r="H309" i="3"/>
  <c r="K309" i="3"/>
  <c r="J309" i="3"/>
  <c r="G309" i="3"/>
  <c r="F309" i="3"/>
  <c r="O309" i="3"/>
  <c r="N309" i="3"/>
  <c r="G225" i="3"/>
  <c r="J225" i="3"/>
  <c r="F225" i="3"/>
  <c r="H225" i="3"/>
  <c r="M360" i="3"/>
  <c r="I360" i="3"/>
  <c r="F318" i="38" s="1"/>
  <c r="L360" i="3"/>
  <c r="H360" i="3"/>
  <c r="K360" i="3"/>
  <c r="J360" i="3"/>
  <c r="O360" i="3"/>
  <c r="N360" i="3"/>
  <c r="G360" i="3"/>
  <c r="F360" i="3"/>
  <c r="O168" i="3"/>
  <c r="K168" i="3"/>
  <c r="G168" i="3"/>
  <c r="M168" i="3"/>
  <c r="H168" i="3"/>
  <c r="L168" i="3"/>
  <c r="F168" i="3"/>
  <c r="J168" i="3"/>
  <c r="I168" i="3"/>
  <c r="F142" i="38" s="1"/>
  <c r="F406" i="38" s="1"/>
  <c r="N168" i="3"/>
  <c r="M288" i="3"/>
  <c r="I288" i="3"/>
  <c r="F252" i="38" s="1"/>
  <c r="L288" i="3"/>
  <c r="H288" i="3"/>
  <c r="O288" i="3"/>
  <c r="G288" i="3"/>
  <c r="N288" i="3"/>
  <c r="F288" i="3"/>
  <c r="K288" i="3"/>
  <c r="J288" i="3"/>
  <c r="O287" i="3"/>
  <c r="K287" i="3"/>
  <c r="G287" i="3"/>
  <c r="N287" i="3"/>
  <c r="J287" i="3"/>
  <c r="F287" i="3"/>
  <c r="I287" i="3"/>
  <c r="H287" i="3"/>
  <c r="M287" i="3"/>
  <c r="L287" i="3"/>
  <c r="M239" i="3"/>
  <c r="I239" i="3"/>
  <c r="L239" i="3"/>
  <c r="H239" i="3"/>
  <c r="O239" i="3"/>
  <c r="G239" i="3"/>
  <c r="N239" i="3"/>
  <c r="F239" i="3"/>
  <c r="K239" i="3"/>
  <c r="J239" i="3"/>
  <c r="G40" i="3"/>
  <c r="M40" i="3"/>
  <c r="J40" i="3"/>
  <c r="F40" i="3"/>
  <c r="L40" i="3"/>
  <c r="K40" i="3"/>
  <c r="I40" i="3"/>
  <c r="O40" i="3"/>
  <c r="H40" i="3"/>
  <c r="N40" i="3"/>
  <c r="M96" i="3"/>
  <c r="I96" i="3"/>
  <c r="L96" i="3"/>
  <c r="H96" i="3"/>
  <c r="O96" i="3"/>
  <c r="G96" i="3"/>
  <c r="K96" i="3"/>
  <c r="J96" i="3"/>
  <c r="F96" i="3"/>
  <c r="N96" i="3"/>
  <c r="F264" i="3"/>
  <c r="L264" i="3"/>
  <c r="H264" i="3"/>
  <c r="O264" i="3"/>
  <c r="K264" i="3"/>
  <c r="G264" i="3"/>
  <c r="N264" i="3"/>
  <c r="M264" i="3"/>
  <c r="J264" i="3"/>
  <c r="I264" i="3"/>
  <c r="F230" i="38" s="1"/>
  <c r="A51" i="3"/>
  <c r="M422" i="3"/>
  <c r="I422" i="3"/>
  <c r="L422" i="3"/>
  <c r="H422" i="3"/>
  <c r="O422" i="3"/>
  <c r="G422" i="3"/>
  <c r="N422" i="3"/>
  <c r="F422" i="3"/>
  <c r="K422" i="3"/>
  <c r="J422" i="3"/>
  <c r="M356" i="3"/>
  <c r="I356" i="3"/>
  <c r="L356" i="3"/>
  <c r="H356" i="3"/>
  <c r="K356" i="3"/>
  <c r="J356" i="3"/>
  <c r="G356" i="3"/>
  <c r="F356" i="3"/>
  <c r="O356" i="3"/>
  <c r="N356" i="3"/>
  <c r="F260" i="3"/>
  <c r="L260" i="3"/>
  <c r="H260" i="3"/>
  <c r="O260" i="3"/>
  <c r="K260" i="3"/>
  <c r="G260" i="3"/>
  <c r="J260" i="3"/>
  <c r="I260" i="3"/>
  <c r="N260" i="3"/>
  <c r="M260" i="3"/>
  <c r="O164" i="3"/>
  <c r="K164" i="3"/>
  <c r="G164" i="3"/>
  <c r="J164" i="3"/>
  <c r="N164" i="3"/>
  <c r="I164" i="3"/>
  <c r="H164" i="3"/>
  <c r="F164" i="3"/>
  <c r="M164" i="3"/>
  <c r="L164" i="3"/>
  <c r="O379" i="3"/>
  <c r="N379" i="3"/>
  <c r="M379" i="3"/>
  <c r="I379" i="3"/>
  <c r="L379" i="3"/>
  <c r="H379" i="3"/>
  <c r="K379" i="3"/>
  <c r="J379" i="3"/>
  <c r="G379" i="3"/>
  <c r="F379" i="3"/>
  <c r="O283" i="3"/>
  <c r="K283" i="3"/>
  <c r="G283" i="3"/>
  <c r="N283" i="3"/>
  <c r="J283" i="3"/>
  <c r="F283" i="3"/>
  <c r="I283" i="3"/>
  <c r="H283" i="3"/>
  <c r="M283" i="3"/>
  <c r="L283" i="3"/>
  <c r="F187" i="3"/>
  <c r="O187" i="3"/>
  <c r="K187" i="3"/>
  <c r="G187" i="3"/>
  <c r="J187" i="3"/>
  <c r="N187" i="3"/>
  <c r="I187" i="3"/>
  <c r="M187" i="3"/>
  <c r="H187" i="3"/>
  <c r="L187" i="3"/>
  <c r="M92" i="3"/>
  <c r="I92" i="3"/>
  <c r="L92" i="3"/>
  <c r="H92" i="3"/>
  <c r="O92" i="3"/>
  <c r="G92" i="3"/>
  <c r="K92" i="3"/>
  <c r="N92" i="3"/>
  <c r="J92" i="3"/>
  <c r="F92" i="3"/>
  <c r="I48" i="3"/>
  <c r="O48" i="3"/>
  <c r="K48" i="3"/>
  <c r="H48" i="3"/>
  <c r="N48" i="3"/>
  <c r="G48" i="3"/>
  <c r="M48" i="3"/>
  <c r="J48" i="3"/>
  <c r="F48" i="3"/>
  <c r="L48" i="3"/>
  <c r="F136" i="3"/>
  <c r="L136" i="3"/>
  <c r="H136" i="3"/>
  <c r="O136" i="3"/>
  <c r="K136" i="3"/>
  <c r="G136" i="3"/>
  <c r="N136" i="3"/>
  <c r="I136" i="3"/>
  <c r="M136" i="3"/>
  <c r="J136" i="3"/>
  <c r="O232" i="3"/>
  <c r="K232" i="3"/>
  <c r="G232" i="3"/>
  <c r="N232" i="3"/>
  <c r="J232" i="3"/>
  <c r="F232" i="3"/>
  <c r="I232" i="3"/>
  <c r="H232" i="3"/>
  <c r="M232" i="3"/>
  <c r="L232" i="3"/>
  <c r="M328" i="3"/>
  <c r="I328" i="3"/>
  <c r="L328" i="3"/>
  <c r="H328" i="3"/>
  <c r="O328" i="3"/>
  <c r="G328" i="3"/>
  <c r="N328" i="3"/>
  <c r="F328" i="3"/>
  <c r="K328" i="3"/>
  <c r="J328" i="3"/>
  <c r="M424" i="3"/>
  <c r="I424" i="3"/>
  <c r="L424" i="3"/>
  <c r="H424" i="3"/>
  <c r="K424" i="3"/>
  <c r="J424" i="3"/>
  <c r="O424" i="3"/>
  <c r="N424" i="3"/>
  <c r="G424" i="3"/>
  <c r="F424" i="3"/>
  <c r="A147" i="3"/>
  <c r="A243" i="3"/>
  <c r="A339" i="3"/>
  <c r="A435" i="3"/>
  <c r="M111" i="3"/>
  <c r="I111" i="3"/>
  <c r="L111" i="3"/>
  <c r="H111" i="3"/>
  <c r="K111" i="3"/>
  <c r="N111" i="3"/>
  <c r="G111" i="3"/>
  <c r="F111" i="3"/>
  <c r="O111" i="3"/>
  <c r="J111" i="3"/>
  <c r="M207" i="3"/>
  <c r="I207" i="3"/>
  <c r="F207" i="3"/>
  <c r="L207" i="3"/>
  <c r="H207" i="3"/>
  <c r="K207" i="3"/>
  <c r="J207" i="3"/>
  <c r="O207" i="3"/>
  <c r="G207" i="3"/>
  <c r="N207" i="3"/>
  <c r="M303" i="3"/>
  <c r="I303" i="3"/>
  <c r="L303" i="3"/>
  <c r="H303" i="3"/>
  <c r="K303" i="3"/>
  <c r="J303" i="3"/>
  <c r="O303" i="3"/>
  <c r="N303" i="3"/>
  <c r="G303" i="3"/>
  <c r="F303" i="3"/>
  <c r="M399" i="3"/>
  <c r="I399" i="3"/>
  <c r="L399" i="3"/>
  <c r="H399" i="3"/>
  <c r="O399" i="3"/>
  <c r="G399" i="3"/>
  <c r="N399" i="3"/>
  <c r="F399" i="3"/>
  <c r="K399" i="3"/>
  <c r="J399" i="3"/>
  <c r="G46" i="3"/>
  <c r="M46" i="3"/>
  <c r="J46" i="3"/>
  <c r="F46" i="3"/>
  <c r="L46" i="3"/>
  <c r="I46" i="3"/>
  <c r="O46" i="3"/>
  <c r="K46" i="3"/>
  <c r="H46" i="3"/>
  <c r="N46" i="3"/>
  <c r="F190" i="3"/>
  <c r="M190" i="3"/>
  <c r="I190" i="3"/>
  <c r="L190" i="3"/>
  <c r="H190" i="3"/>
  <c r="K190" i="3"/>
  <c r="J190" i="3"/>
  <c r="O190" i="3"/>
  <c r="G190" i="3"/>
  <c r="N190" i="3"/>
  <c r="M286" i="3"/>
  <c r="I286" i="3"/>
  <c r="I330" i="4" s="1"/>
  <c r="L286" i="3"/>
  <c r="H286" i="3"/>
  <c r="K286" i="3"/>
  <c r="J286" i="3"/>
  <c r="O286" i="3"/>
  <c r="N286" i="3"/>
  <c r="G286" i="3"/>
  <c r="F286" i="3"/>
  <c r="M382" i="3"/>
  <c r="I382" i="3"/>
  <c r="L382" i="3"/>
  <c r="H382" i="3"/>
  <c r="O382" i="3"/>
  <c r="G382" i="3"/>
  <c r="N382" i="3"/>
  <c r="F382" i="3"/>
  <c r="K382" i="3"/>
  <c r="J382" i="3"/>
  <c r="M69" i="3"/>
  <c r="I69" i="3"/>
  <c r="L69" i="3"/>
  <c r="H69" i="3"/>
  <c r="O69" i="3"/>
  <c r="G69" i="3"/>
  <c r="K69" i="3"/>
  <c r="J69" i="3"/>
  <c r="F69" i="3"/>
  <c r="N69" i="3"/>
  <c r="M165" i="3"/>
  <c r="I165" i="3"/>
  <c r="K165" i="3"/>
  <c r="F165" i="3"/>
  <c r="O165" i="3"/>
  <c r="J165" i="3"/>
  <c r="H165" i="3"/>
  <c r="L165" i="3"/>
  <c r="N165" i="3"/>
  <c r="G165" i="3"/>
  <c r="O261" i="3"/>
  <c r="K261" i="3"/>
  <c r="G261" i="3"/>
  <c r="N261" i="3"/>
  <c r="J261" i="3"/>
  <c r="I261" i="3"/>
  <c r="H261" i="3"/>
  <c r="F261" i="3"/>
  <c r="M261" i="3"/>
  <c r="L261" i="3"/>
  <c r="O357" i="3"/>
  <c r="K357" i="3"/>
  <c r="G357" i="3"/>
  <c r="N357" i="3"/>
  <c r="J357" i="3"/>
  <c r="F357" i="3"/>
  <c r="I357" i="3"/>
  <c r="H357" i="3"/>
  <c r="M357" i="3"/>
  <c r="L357" i="3"/>
  <c r="O398" i="3"/>
  <c r="K398" i="3"/>
  <c r="G398" i="3"/>
  <c r="N398" i="3"/>
  <c r="J398" i="3"/>
  <c r="F398" i="3"/>
  <c r="I398" i="3"/>
  <c r="H398" i="3"/>
  <c r="M398" i="3"/>
  <c r="L398" i="3"/>
  <c r="M278" i="3"/>
  <c r="I278" i="3"/>
  <c r="L278" i="3"/>
  <c r="H278" i="3"/>
  <c r="O278" i="3"/>
  <c r="G278" i="3"/>
  <c r="N278" i="3"/>
  <c r="F278" i="3"/>
  <c r="K278" i="3"/>
  <c r="J278" i="3"/>
  <c r="F192" i="3"/>
  <c r="O192" i="3"/>
  <c r="K192" i="3"/>
  <c r="G192" i="3"/>
  <c r="N192" i="3"/>
  <c r="J192" i="3"/>
  <c r="I192" i="3"/>
  <c r="H192" i="3"/>
  <c r="M192" i="3"/>
  <c r="L192" i="3"/>
  <c r="H81" i="3"/>
  <c r="G81" i="3"/>
  <c r="J81" i="3"/>
  <c r="F81" i="3"/>
  <c r="G393" i="3"/>
  <c r="J393" i="3"/>
  <c r="F393" i="3"/>
  <c r="H393" i="3"/>
  <c r="M311" i="3"/>
  <c r="I311" i="3"/>
  <c r="L311" i="3"/>
  <c r="H311" i="3"/>
  <c r="O311" i="3"/>
  <c r="G311" i="3"/>
  <c r="N311" i="3"/>
  <c r="F311" i="3"/>
  <c r="K311" i="3"/>
  <c r="J311" i="3"/>
  <c r="J201" i="3"/>
  <c r="H201" i="3"/>
  <c r="G201" i="3"/>
  <c r="F201" i="3"/>
  <c r="M119" i="3"/>
  <c r="I119" i="3"/>
  <c r="L119" i="3"/>
  <c r="H119" i="3"/>
  <c r="O119" i="3"/>
  <c r="G119" i="3"/>
  <c r="F119" i="3"/>
  <c r="K119" i="3"/>
  <c r="J119" i="3"/>
  <c r="N119" i="3"/>
  <c r="O359" i="3"/>
  <c r="K359" i="3"/>
  <c r="G359" i="3"/>
  <c r="N359" i="3"/>
  <c r="J359" i="3"/>
  <c r="F359" i="3"/>
  <c r="M359" i="3"/>
  <c r="L359" i="3"/>
  <c r="I359" i="3"/>
  <c r="H359" i="3"/>
  <c r="N216" i="3"/>
  <c r="J216" i="3"/>
  <c r="M216" i="3"/>
  <c r="I216" i="3"/>
  <c r="F186" i="38" s="1"/>
  <c r="F216" i="3"/>
  <c r="L216" i="3"/>
  <c r="K216" i="3"/>
  <c r="H216" i="3"/>
  <c r="O216" i="3"/>
  <c r="G216" i="3"/>
  <c r="M71" i="3"/>
  <c r="I71" i="3"/>
  <c r="L71" i="3"/>
  <c r="H71" i="3"/>
  <c r="K71" i="3"/>
  <c r="O71" i="3"/>
  <c r="G71" i="3"/>
  <c r="F71" i="3"/>
  <c r="N71" i="3"/>
  <c r="J71" i="3"/>
  <c r="F177" i="3"/>
  <c r="J177" i="3"/>
  <c r="H177" i="3"/>
  <c r="G177" i="3"/>
  <c r="O374" i="3"/>
  <c r="K374" i="3"/>
  <c r="G374" i="3"/>
  <c r="N374" i="3"/>
  <c r="J374" i="3"/>
  <c r="F374" i="3"/>
  <c r="I374" i="3"/>
  <c r="H374" i="3"/>
  <c r="M374" i="3"/>
  <c r="L374" i="3"/>
  <c r="F129" i="3"/>
  <c r="J129" i="3"/>
  <c r="I129" i="3"/>
  <c r="H129" i="3"/>
  <c r="G129" i="3"/>
  <c r="M350" i="3"/>
  <c r="I350" i="3"/>
  <c r="L350" i="3"/>
  <c r="H350" i="3"/>
  <c r="K350" i="3"/>
  <c r="J350" i="3"/>
  <c r="O350" i="3"/>
  <c r="N350" i="3"/>
  <c r="G350" i="3"/>
  <c r="F350" i="3"/>
  <c r="N336" i="3"/>
  <c r="J336" i="3"/>
  <c r="F336" i="3"/>
  <c r="K336" i="3"/>
  <c r="O336" i="3"/>
  <c r="I336" i="3"/>
  <c r="F296" i="38" s="1"/>
  <c r="H336" i="3"/>
  <c r="G336" i="3"/>
  <c r="M336" i="3"/>
  <c r="L336" i="3"/>
  <c r="M86" i="3"/>
  <c r="I86" i="3"/>
  <c r="L86" i="3"/>
  <c r="H86" i="3"/>
  <c r="O86" i="3"/>
  <c r="G86" i="3"/>
  <c r="K86" i="3"/>
  <c r="J86" i="3"/>
  <c r="F86" i="3"/>
  <c r="N86" i="3"/>
  <c r="O158" i="3"/>
  <c r="K158" i="3"/>
  <c r="G158" i="3"/>
  <c r="M158" i="3"/>
  <c r="H158" i="3"/>
  <c r="L158" i="3"/>
  <c r="F158" i="3"/>
  <c r="J158" i="3"/>
  <c r="I158" i="3"/>
  <c r="N158" i="3"/>
  <c r="C414" i="3"/>
  <c r="C390" i="3"/>
  <c r="C366" i="3"/>
  <c r="C342" i="3"/>
  <c r="C318" i="3"/>
  <c r="C294" i="3"/>
  <c r="C270" i="3"/>
  <c r="C246" i="3"/>
  <c r="C222" i="3"/>
  <c r="C174" i="3"/>
  <c r="C150" i="3"/>
  <c r="C126" i="3"/>
  <c r="C102" i="3"/>
  <c r="C78" i="3"/>
  <c r="C54" i="3"/>
  <c r="C6" i="3"/>
  <c r="N193" i="4" l="1"/>
  <c r="M193" i="4"/>
  <c r="L193" i="4"/>
  <c r="K193" i="4"/>
  <c r="K99" i="3"/>
  <c r="I99" i="3"/>
  <c r="N99" i="3"/>
  <c r="O99" i="3"/>
  <c r="M99" i="3"/>
  <c r="J99" i="3"/>
  <c r="L99" i="3"/>
  <c r="N219" i="3"/>
  <c r="L219" i="3"/>
  <c r="M219" i="3"/>
  <c r="K219" i="3"/>
  <c r="I219" i="3"/>
  <c r="J219" i="3"/>
  <c r="O219" i="3"/>
  <c r="N147" i="3"/>
  <c r="M147" i="3"/>
  <c r="L147" i="3"/>
  <c r="K147" i="3"/>
  <c r="J147" i="3"/>
  <c r="I147" i="3"/>
  <c r="O147" i="3"/>
  <c r="O435" i="3"/>
  <c r="L435" i="3"/>
  <c r="N435" i="3"/>
  <c r="M435" i="3"/>
  <c r="K435" i="3"/>
  <c r="J435" i="3"/>
  <c r="N411" i="3"/>
  <c r="L411" i="3"/>
  <c r="O411" i="3"/>
  <c r="J411" i="3"/>
  <c r="I411" i="3"/>
  <c r="M411" i="3"/>
  <c r="K411" i="3"/>
  <c r="J387" i="3"/>
  <c r="I387" i="3"/>
  <c r="N387" i="3"/>
  <c r="O387" i="3"/>
  <c r="L387" i="3"/>
  <c r="M387" i="3"/>
  <c r="K387" i="3"/>
  <c r="I171" i="3"/>
  <c r="N171" i="3"/>
  <c r="L171" i="3"/>
  <c r="O171" i="3"/>
  <c r="M171" i="3"/>
  <c r="J171" i="3"/>
  <c r="K171" i="3"/>
  <c r="I243" i="3"/>
  <c r="J243" i="3"/>
  <c r="O243" i="3"/>
  <c r="N243" i="3"/>
  <c r="L243" i="3"/>
  <c r="M243" i="3"/>
  <c r="K243" i="3"/>
  <c r="K51" i="3"/>
  <c r="L51" i="3"/>
  <c r="J51" i="3"/>
  <c r="M51" i="3"/>
  <c r="N51" i="3"/>
  <c r="I51" i="3"/>
  <c r="O51" i="3"/>
  <c r="I363" i="3"/>
  <c r="K363" i="3"/>
  <c r="N363" i="3"/>
  <c r="L363" i="3"/>
  <c r="J363" i="3"/>
  <c r="M363" i="3"/>
  <c r="O363" i="3"/>
  <c r="K123" i="3"/>
  <c r="J123" i="3"/>
  <c r="I123" i="3"/>
  <c r="M123" i="3"/>
  <c r="N123" i="3"/>
  <c r="O123" i="3"/>
  <c r="L123" i="3"/>
  <c r="I267" i="3"/>
  <c r="K267" i="3"/>
  <c r="J267" i="3"/>
  <c r="J339" i="3"/>
  <c r="I339" i="3"/>
  <c r="M339" i="3"/>
  <c r="K339" i="3"/>
  <c r="N339" i="3"/>
  <c r="L339" i="3"/>
  <c r="O339" i="3"/>
  <c r="J291" i="3"/>
  <c r="L291" i="3"/>
  <c r="M291" i="3"/>
  <c r="K291" i="3"/>
  <c r="I291" i="3"/>
  <c r="N291" i="3"/>
  <c r="O291" i="3"/>
  <c r="N315" i="3"/>
  <c r="I315" i="3"/>
  <c r="O315" i="3"/>
  <c r="J315" i="3"/>
  <c r="M315" i="3"/>
  <c r="L315" i="3"/>
  <c r="K315" i="3"/>
  <c r="J195" i="3"/>
  <c r="I195" i="3"/>
  <c r="O195" i="3"/>
  <c r="N195" i="3"/>
  <c r="M195" i="3"/>
  <c r="L195" i="3"/>
  <c r="K195" i="3"/>
  <c r="K75" i="3"/>
  <c r="N75" i="3"/>
  <c r="I75" i="3"/>
  <c r="O75" i="3"/>
  <c r="J75" i="3"/>
  <c r="L75" i="3"/>
  <c r="M75" i="3"/>
  <c r="O193" i="4"/>
  <c r="I14" i="4"/>
  <c r="I26" i="4"/>
  <c r="H296" i="17"/>
  <c r="H296" i="38"/>
  <c r="I317" i="17"/>
  <c r="I317" i="38"/>
  <c r="K97" i="17"/>
  <c r="K97" i="38"/>
  <c r="F97" i="17"/>
  <c r="F97" i="38"/>
  <c r="L273" i="17"/>
  <c r="L273" i="38"/>
  <c r="J32" i="17"/>
  <c r="J32" i="38"/>
  <c r="K142" i="17"/>
  <c r="K406" i="17" s="1"/>
  <c r="K142" i="38"/>
  <c r="K406" i="38" s="1"/>
  <c r="K318" i="17"/>
  <c r="K318" i="38"/>
  <c r="K339" i="17"/>
  <c r="K339" i="38"/>
  <c r="K362" i="17"/>
  <c r="K362" i="38"/>
  <c r="F383" i="17"/>
  <c r="F383" i="38"/>
  <c r="H208" i="17"/>
  <c r="H208" i="38"/>
  <c r="G384" i="17"/>
  <c r="G384" i="38"/>
  <c r="I119" i="17"/>
  <c r="I119" i="38"/>
  <c r="H120" i="17"/>
  <c r="H120" i="38"/>
  <c r="G120" i="17"/>
  <c r="G120" i="38"/>
  <c r="L295" i="17"/>
  <c r="L295" i="38"/>
  <c r="H361" i="17"/>
  <c r="H361" i="38"/>
  <c r="J361" i="17"/>
  <c r="J361" i="38"/>
  <c r="K163" i="17"/>
  <c r="K163" i="38"/>
  <c r="I163" i="17"/>
  <c r="I163" i="38"/>
  <c r="F54" i="17"/>
  <c r="F54" i="38"/>
  <c r="I53" i="17"/>
  <c r="I53" i="38"/>
  <c r="L186" i="17"/>
  <c r="L186" i="38"/>
  <c r="K186" i="17"/>
  <c r="K186" i="38"/>
  <c r="J317" i="17"/>
  <c r="J317" i="38"/>
  <c r="G97" i="17"/>
  <c r="G97" i="38"/>
  <c r="L97" i="17"/>
  <c r="L97" i="38"/>
  <c r="J97" i="17"/>
  <c r="J97" i="38"/>
  <c r="I32" i="17"/>
  <c r="I32" i="38"/>
  <c r="L32" i="17"/>
  <c r="L32" i="38"/>
  <c r="G230" i="17"/>
  <c r="G230" i="38"/>
  <c r="H230" i="17"/>
  <c r="H230" i="38"/>
  <c r="K207" i="17"/>
  <c r="K207" i="38"/>
  <c r="I207" i="17"/>
  <c r="I207" i="38"/>
  <c r="J251" i="17"/>
  <c r="J251" i="38"/>
  <c r="G251" i="17"/>
  <c r="G251" i="38"/>
  <c r="L251" i="17"/>
  <c r="L251" i="38"/>
  <c r="K252" i="17"/>
  <c r="K252" i="38"/>
  <c r="I252" i="17"/>
  <c r="I252" i="38"/>
  <c r="L142" i="17"/>
  <c r="L406" i="17" s="1"/>
  <c r="L142" i="38"/>
  <c r="L406" i="38" s="1"/>
  <c r="L318" i="17"/>
  <c r="L318" i="38"/>
  <c r="I318" i="17"/>
  <c r="I318" i="38"/>
  <c r="J339" i="17"/>
  <c r="J339" i="38"/>
  <c r="K340" i="17"/>
  <c r="K340" i="38"/>
  <c r="G340" i="17"/>
  <c r="G340" i="38"/>
  <c r="H141" i="17"/>
  <c r="H405" i="17" s="1"/>
  <c r="H141" i="38"/>
  <c r="H405" i="38" s="1"/>
  <c r="J141" i="17"/>
  <c r="J405" i="17" s="1"/>
  <c r="J141" i="38"/>
  <c r="J405" i="38" s="1"/>
  <c r="F185" i="17"/>
  <c r="F185" i="38"/>
  <c r="G185" i="17"/>
  <c r="G185" i="38"/>
  <c r="L185" i="17"/>
  <c r="L185" i="38"/>
  <c r="I383" i="17"/>
  <c r="I383" i="38"/>
  <c r="H383" i="17"/>
  <c r="H383" i="38"/>
  <c r="F208" i="17"/>
  <c r="F208" i="38"/>
  <c r="G208" i="17"/>
  <c r="G208" i="38"/>
  <c r="L208" i="17"/>
  <c r="L208" i="38"/>
  <c r="H384" i="17"/>
  <c r="H384" i="38"/>
  <c r="L384" i="17"/>
  <c r="L384" i="38"/>
  <c r="J384" i="17"/>
  <c r="J384" i="38"/>
  <c r="J98" i="17"/>
  <c r="J98" i="38"/>
  <c r="J274" i="17"/>
  <c r="J274" i="38"/>
  <c r="K31" i="17"/>
  <c r="K31" i="38"/>
  <c r="F31" i="17"/>
  <c r="F31" i="38"/>
  <c r="L119" i="17"/>
  <c r="L119" i="38"/>
  <c r="I120" i="17"/>
  <c r="I120" i="38"/>
  <c r="L120" i="17"/>
  <c r="L120" i="38"/>
  <c r="H295" i="17"/>
  <c r="H295" i="38"/>
  <c r="F295" i="17"/>
  <c r="F295" i="38"/>
  <c r="K361" i="17"/>
  <c r="K361" i="38"/>
  <c r="J163" i="17"/>
  <c r="J163" i="38"/>
  <c r="H163" i="17"/>
  <c r="H163" i="38"/>
  <c r="G229" i="17"/>
  <c r="G229" i="38"/>
  <c r="L229" i="17"/>
  <c r="L229" i="38"/>
  <c r="F229" i="17"/>
  <c r="F229" i="38"/>
  <c r="H54" i="17"/>
  <c r="H54" i="38"/>
  <c r="I186" i="17"/>
  <c r="I186" i="38"/>
  <c r="K317" i="17"/>
  <c r="K317" i="38"/>
  <c r="J273" i="17"/>
  <c r="J273" i="38"/>
  <c r="K164" i="17"/>
  <c r="K164" i="38"/>
  <c r="I230" i="17"/>
  <c r="I230" i="38"/>
  <c r="H251" i="17"/>
  <c r="H251" i="38"/>
  <c r="I142" i="17"/>
  <c r="I406" i="17" s="1"/>
  <c r="I142" i="38"/>
  <c r="I406" i="38" s="1"/>
  <c r="I340" i="17"/>
  <c r="I340" i="38"/>
  <c r="F141" i="17"/>
  <c r="F405" i="17" s="1"/>
  <c r="F141" i="38"/>
  <c r="F405" i="38" s="1"/>
  <c r="J185" i="17"/>
  <c r="J185" i="38"/>
  <c r="K98" i="17"/>
  <c r="K98" i="38"/>
  <c r="K274" i="17"/>
  <c r="K274" i="38"/>
  <c r="L31" i="17"/>
  <c r="L31" i="38"/>
  <c r="K119" i="17"/>
  <c r="K119" i="38"/>
  <c r="I296" i="17"/>
  <c r="I296" i="38"/>
  <c r="G296" i="17"/>
  <c r="G296" i="38"/>
  <c r="G53" i="17"/>
  <c r="G53" i="38"/>
  <c r="L53" i="17"/>
  <c r="L53" i="38"/>
  <c r="F53" i="17"/>
  <c r="F53" i="38"/>
  <c r="H317" i="17"/>
  <c r="H317" i="38"/>
  <c r="H97" i="17"/>
  <c r="H97" i="38"/>
  <c r="K273" i="17"/>
  <c r="K273" i="38"/>
  <c r="I273" i="17"/>
  <c r="I273" i="38"/>
  <c r="F164" i="17"/>
  <c r="F164" i="38"/>
  <c r="H164" i="17"/>
  <c r="H164" i="38"/>
  <c r="K32" i="17"/>
  <c r="K32" i="38"/>
  <c r="F32" i="17"/>
  <c r="F32" i="38"/>
  <c r="J230" i="17"/>
  <c r="J230" i="38"/>
  <c r="L230" i="17"/>
  <c r="L230" i="38"/>
  <c r="G207" i="17"/>
  <c r="G207" i="38"/>
  <c r="F207" i="17"/>
  <c r="F207" i="38"/>
  <c r="K251" i="17"/>
  <c r="K251" i="38"/>
  <c r="G252" i="17"/>
  <c r="G252" i="38"/>
  <c r="G142" i="17"/>
  <c r="G406" i="17" s="1"/>
  <c r="G142" i="38"/>
  <c r="G406" i="38" s="1"/>
  <c r="J142" i="17"/>
  <c r="J406" i="17" s="1"/>
  <c r="J142" i="38"/>
  <c r="J406" i="38" s="1"/>
  <c r="G318" i="17"/>
  <c r="G318" i="38"/>
  <c r="H339" i="17"/>
  <c r="H339" i="38"/>
  <c r="L340" i="17"/>
  <c r="L340" i="38"/>
  <c r="H340" i="17"/>
  <c r="H340" i="38"/>
  <c r="J340" i="17"/>
  <c r="J340" i="38"/>
  <c r="K141" i="17"/>
  <c r="K405" i="17" s="1"/>
  <c r="K141" i="38"/>
  <c r="K405" i="38" s="1"/>
  <c r="I362" i="17"/>
  <c r="I362" i="38"/>
  <c r="H362" i="17"/>
  <c r="H362" i="38"/>
  <c r="I185" i="17"/>
  <c r="I185" i="38"/>
  <c r="K185" i="17"/>
  <c r="K185" i="38"/>
  <c r="J383" i="17"/>
  <c r="J383" i="38"/>
  <c r="G383" i="17"/>
  <c r="G383" i="38"/>
  <c r="L383" i="17"/>
  <c r="L383" i="38"/>
  <c r="I208" i="17"/>
  <c r="I208" i="38"/>
  <c r="K208" i="17"/>
  <c r="K208" i="38"/>
  <c r="F98" i="17"/>
  <c r="F98" i="38"/>
  <c r="H98" i="17"/>
  <c r="H98" i="38"/>
  <c r="H274" i="17"/>
  <c r="H274" i="38"/>
  <c r="I31" i="17"/>
  <c r="I31" i="38"/>
  <c r="H119" i="17"/>
  <c r="H119" i="38"/>
  <c r="J119" i="17"/>
  <c r="J119" i="38"/>
  <c r="F120" i="17"/>
  <c r="F120" i="38"/>
  <c r="J295" i="17"/>
  <c r="J295" i="38"/>
  <c r="K295" i="17"/>
  <c r="K295" i="38"/>
  <c r="I295" i="17"/>
  <c r="I295" i="38"/>
  <c r="L361" i="17"/>
  <c r="L361" i="38"/>
  <c r="I361" i="17"/>
  <c r="I361" i="38"/>
  <c r="F163" i="17"/>
  <c r="F163" i="38"/>
  <c r="L163" i="17"/>
  <c r="L163" i="38"/>
  <c r="H229" i="17"/>
  <c r="H229" i="38"/>
  <c r="J229" i="17"/>
  <c r="J229" i="38"/>
  <c r="I54" i="17"/>
  <c r="I54" i="38"/>
  <c r="G54" i="17"/>
  <c r="G54" i="38"/>
  <c r="L54" i="17"/>
  <c r="L54" i="38"/>
  <c r="G186" i="17"/>
  <c r="G186" i="38"/>
  <c r="H273" i="17"/>
  <c r="H273" i="38"/>
  <c r="J164" i="17"/>
  <c r="J164" i="38"/>
  <c r="H32" i="17"/>
  <c r="H32" i="38"/>
  <c r="I251" i="17"/>
  <c r="I251" i="38"/>
  <c r="H142" i="17"/>
  <c r="H406" i="17" s="1"/>
  <c r="H142" i="38"/>
  <c r="H406" i="38" s="1"/>
  <c r="I339" i="17"/>
  <c r="I339" i="38"/>
  <c r="L141" i="17"/>
  <c r="L405" i="17" s="1"/>
  <c r="L141" i="38"/>
  <c r="L405" i="38" s="1"/>
  <c r="H185" i="17"/>
  <c r="H185" i="38"/>
  <c r="I274" i="17"/>
  <c r="I274" i="38"/>
  <c r="G31" i="17"/>
  <c r="G31" i="38"/>
  <c r="F119" i="17"/>
  <c r="F119" i="38"/>
  <c r="J296" i="17"/>
  <c r="J296" i="38"/>
  <c r="L296" i="17"/>
  <c r="L296" i="38"/>
  <c r="K296" i="17"/>
  <c r="K296" i="38"/>
  <c r="K53" i="17"/>
  <c r="K53" i="38"/>
  <c r="H53" i="17"/>
  <c r="H53" i="38"/>
  <c r="J53" i="17"/>
  <c r="J53" i="38"/>
  <c r="H186" i="17"/>
  <c r="H186" i="38"/>
  <c r="J186" i="17"/>
  <c r="J186" i="38"/>
  <c r="F317" i="17"/>
  <c r="F317" i="38"/>
  <c r="G317" i="17"/>
  <c r="G317" i="38"/>
  <c r="L317" i="17"/>
  <c r="L317" i="38"/>
  <c r="I97" i="17"/>
  <c r="I97" i="38"/>
  <c r="G273" i="17"/>
  <c r="G273" i="38"/>
  <c r="F273" i="17"/>
  <c r="F273" i="38"/>
  <c r="I164" i="17"/>
  <c r="I164" i="38"/>
  <c r="G164" i="17"/>
  <c r="G164" i="38"/>
  <c r="L164" i="17"/>
  <c r="L164" i="38"/>
  <c r="G32" i="17"/>
  <c r="G32" i="38"/>
  <c r="K230" i="17"/>
  <c r="K230" i="38"/>
  <c r="H207" i="17"/>
  <c r="H207" i="38"/>
  <c r="L207" i="17"/>
  <c r="L207" i="38"/>
  <c r="J207" i="17"/>
  <c r="J207" i="38"/>
  <c r="F251" i="17"/>
  <c r="F251" i="38"/>
  <c r="H252" i="17"/>
  <c r="H252" i="38"/>
  <c r="L252" i="17"/>
  <c r="L252" i="38"/>
  <c r="J252" i="17"/>
  <c r="J252" i="38"/>
  <c r="H318" i="17"/>
  <c r="H318" i="38"/>
  <c r="J318" i="17"/>
  <c r="J318" i="38"/>
  <c r="F339" i="17"/>
  <c r="F339" i="38"/>
  <c r="G339" i="17"/>
  <c r="G339" i="38"/>
  <c r="L339" i="17"/>
  <c r="L339" i="38"/>
  <c r="G141" i="17"/>
  <c r="G405" i="17" s="1"/>
  <c r="G141" i="38"/>
  <c r="G405" i="38" s="1"/>
  <c r="I141" i="17"/>
  <c r="I405" i="17" s="1"/>
  <c r="I141" i="38"/>
  <c r="I405" i="38" s="1"/>
  <c r="J362" i="17"/>
  <c r="J362" i="38"/>
  <c r="G362" i="17"/>
  <c r="G362" i="38"/>
  <c r="L362" i="17"/>
  <c r="L362" i="38"/>
  <c r="K383" i="17"/>
  <c r="K383" i="38"/>
  <c r="J208" i="17"/>
  <c r="J208" i="38"/>
  <c r="K384" i="17"/>
  <c r="K384" i="38"/>
  <c r="I384" i="17"/>
  <c r="I384" i="38"/>
  <c r="I98" i="17"/>
  <c r="I98" i="38"/>
  <c r="G98" i="17"/>
  <c r="G98" i="38"/>
  <c r="L98" i="17"/>
  <c r="L98" i="38"/>
  <c r="G274" i="17"/>
  <c r="G274" i="38"/>
  <c r="L274" i="17"/>
  <c r="L274" i="38"/>
  <c r="J31" i="17"/>
  <c r="J31" i="38"/>
  <c r="H31" i="17"/>
  <c r="H31" i="38"/>
  <c r="G119" i="17"/>
  <c r="G119" i="38"/>
  <c r="K120" i="17"/>
  <c r="K120" i="38"/>
  <c r="J120" i="17"/>
  <c r="J120" i="38"/>
  <c r="G295" i="17"/>
  <c r="G295" i="38"/>
  <c r="G361" i="17"/>
  <c r="G361" i="38"/>
  <c r="F361" i="17"/>
  <c r="F361" i="38"/>
  <c r="G163" i="17"/>
  <c r="G163" i="38"/>
  <c r="K229" i="17"/>
  <c r="K229" i="38"/>
  <c r="I229" i="17"/>
  <c r="I229" i="38"/>
  <c r="J54" i="17"/>
  <c r="J54" i="38"/>
  <c r="K54" i="17"/>
  <c r="K54" i="38"/>
  <c r="I76" i="17"/>
  <c r="I76" i="38"/>
  <c r="I75" i="17"/>
  <c r="I75" i="38"/>
  <c r="G75" i="17"/>
  <c r="G75" i="38"/>
  <c r="L76" i="17"/>
  <c r="L76" i="38"/>
  <c r="J76" i="17"/>
  <c r="J76" i="38"/>
  <c r="F75" i="17"/>
  <c r="F75" i="38"/>
  <c r="H76" i="17"/>
  <c r="H76" i="38"/>
  <c r="L75" i="17"/>
  <c r="L75" i="38"/>
  <c r="K76" i="17"/>
  <c r="K76" i="38"/>
  <c r="F76" i="17"/>
  <c r="I387" i="4"/>
  <c r="F76" i="38"/>
  <c r="J75" i="17"/>
  <c r="J75" i="38"/>
  <c r="K75" i="17"/>
  <c r="K75" i="38"/>
  <c r="G76" i="17"/>
  <c r="G76" i="38"/>
  <c r="H75" i="17"/>
  <c r="H75" i="38"/>
  <c r="I259" i="4"/>
  <c r="I262" i="4"/>
  <c r="I264" i="4"/>
  <c r="J12" i="4"/>
  <c r="I334" i="4"/>
  <c r="I335" i="4"/>
  <c r="I331" i="4"/>
  <c r="I399" i="4"/>
  <c r="F340" i="17"/>
  <c r="I397" i="4"/>
  <c r="F296" i="17"/>
  <c r="I390" i="4"/>
  <c r="F142" i="17"/>
  <c r="F406" i="17" s="1"/>
  <c r="I400" i="4"/>
  <c r="F362" i="17"/>
  <c r="I396" i="4"/>
  <c r="F274" i="17"/>
  <c r="I392" i="4"/>
  <c r="F186" i="17"/>
  <c r="I394" i="4"/>
  <c r="F230" i="17"/>
  <c r="I395" i="4"/>
  <c r="F252" i="17"/>
  <c r="I398" i="4"/>
  <c r="F318" i="17"/>
  <c r="I401" i="4"/>
  <c r="F384" i="17"/>
  <c r="F360" i="17"/>
  <c r="G360" i="17"/>
  <c r="I325" i="4"/>
  <c r="I324" i="4"/>
  <c r="I386" i="4"/>
  <c r="I322" i="4"/>
  <c r="I267" i="4"/>
  <c r="I261" i="4"/>
  <c r="O267" i="3"/>
  <c r="L267" i="3"/>
  <c r="M267" i="3"/>
  <c r="N267" i="3"/>
  <c r="I320" i="4"/>
  <c r="I263" i="4"/>
  <c r="I391" i="4"/>
  <c r="I326" i="4"/>
  <c r="O16" i="4"/>
  <c r="M26" i="4"/>
  <c r="O26" i="4"/>
  <c r="K26" i="4"/>
  <c r="I385" i="4"/>
  <c r="K16" i="4"/>
  <c r="J20" i="4"/>
  <c r="O20" i="4"/>
  <c r="K24" i="4"/>
  <c r="M24" i="4"/>
  <c r="K22" i="4"/>
  <c r="J15" i="4"/>
  <c r="L26" i="4"/>
  <c r="I388" i="4"/>
  <c r="I321" i="4"/>
  <c r="J13" i="4"/>
  <c r="J25" i="4"/>
  <c r="I265" i="4"/>
  <c r="K19" i="4"/>
  <c r="L23" i="4"/>
  <c r="I327" i="4"/>
  <c r="I271" i="4"/>
  <c r="I269" i="4"/>
  <c r="I258" i="4"/>
  <c r="I255" i="4"/>
  <c r="I389" i="4"/>
  <c r="I257" i="4"/>
  <c r="I260" i="4"/>
  <c r="I268" i="4"/>
  <c r="I328" i="4"/>
  <c r="I393" i="4"/>
  <c r="I256" i="4"/>
  <c r="I266" i="4"/>
  <c r="I270" i="4"/>
  <c r="I323" i="4"/>
  <c r="O22" i="4"/>
  <c r="J26" i="4"/>
  <c r="M25" i="4"/>
  <c r="M20" i="4"/>
  <c r="K15" i="4"/>
  <c r="M12" i="4"/>
  <c r="I19" i="4"/>
  <c r="N23" i="4"/>
  <c r="L16" i="4"/>
  <c r="N16" i="4"/>
  <c r="N20" i="4"/>
  <c r="K14" i="4"/>
  <c r="J22" i="4"/>
  <c r="L17" i="4"/>
  <c r="O17" i="4"/>
  <c r="L21" i="4"/>
  <c r="O25" i="4"/>
  <c r="K25" i="4"/>
  <c r="N18" i="4"/>
  <c r="O19" i="4"/>
  <c r="M19" i="4"/>
  <c r="M23" i="4"/>
  <c r="J16" i="4"/>
  <c r="L24" i="4"/>
  <c r="O24" i="4"/>
  <c r="J14" i="4"/>
  <c r="O14" i="4"/>
  <c r="L22" i="4"/>
  <c r="N22" i="4"/>
  <c r="L15" i="4"/>
  <c r="N26" i="4"/>
  <c r="K13" i="4"/>
  <c r="M17" i="4"/>
  <c r="N17" i="4"/>
  <c r="J21" i="4"/>
  <c r="J18" i="4"/>
  <c r="L19" i="4"/>
  <c r="K23" i="4"/>
  <c r="K17" i="4"/>
  <c r="N25" i="4"/>
  <c r="N19" i="4"/>
  <c r="N24" i="4"/>
  <c r="M14" i="4"/>
  <c r="O15" i="4"/>
  <c r="N13" i="4"/>
  <c r="L13" i="4"/>
  <c r="J17" i="4"/>
  <c r="N21" i="4"/>
  <c r="L18" i="4"/>
  <c r="M16" i="4"/>
  <c r="L20" i="4"/>
  <c r="K20" i="4"/>
  <c r="J24" i="4"/>
  <c r="L14" i="4"/>
  <c r="N14" i="4"/>
  <c r="M22" i="4"/>
  <c r="N15" i="4"/>
  <c r="M15" i="4"/>
  <c r="O13" i="4"/>
  <c r="M13" i="4"/>
  <c r="K21" i="4"/>
  <c r="O21" i="4"/>
  <c r="M21" i="4"/>
  <c r="L25" i="4"/>
  <c r="K18" i="4"/>
  <c r="O18" i="4"/>
  <c r="M18" i="4"/>
  <c r="J19" i="4"/>
  <c r="J23" i="4"/>
  <c r="O23" i="4"/>
  <c r="N12" i="4"/>
  <c r="K12" i="4"/>
  <c r="L12" i="4"/>
  <c r="O12" i="4"/>
  <c r="K11" i="4"/>
  <c r="N11" i="4"/>
  <c r="O11" i="4"/>
  <c r="J11" i="4"/>
  <c r="M11" i="4"/>
  <c r="L11" i="4"/>
  <c r="N10" i="4"/>
  <c r="L10" i="4"/>
  <c r="M10" i="4"/>
  <c r="K10" i="4"/>
  <c r="O10" i="4"/>
  <c r="J10" i="4"/>
  <c r="I10" i="4"/>
  <c r="K153" i="4"/>
  <c r="M153" i="4"/>
  <c r="N153" i="4"/>
  <c r="O153" i="4"/>
  <c r="L153" i="4"/>
  <c r="I16" i="4"/>
  <c r="I20" i="4"/>
  <c r="I12" i="4"/>
  <c r="K194" i="4" l="1"/>
  <c r="L197" i="4"/>
  <c r="K207" i="4"/>
  <c r="O194" i="4"/>
  <c r="N194" i="4"/>
  <c r="O195" i="4"/>
  <c r="N197" i="4"/>
  <c r="K210" i="4"/>
  <c r="K196" i="4"/>
  <c r="K197" i="4"/>
  <c r="K203" i="4"/>
  <c r="M194" i="4"/>
  <c r="M195" i="4"/>
  <c r="K195" i="4"/>
  <c r="O197" i="4"/>
  <c r="L194" i="4"/>
  <c r="L195" i="4"/>
  <c r="N195" i="4"/>
  <c r="M197" i="4"/>
  <c r="I339" i="4"/>
  <c r="I340" i="4" s="1"/>
  <c r="N203" i="4"/>
  <c r="M203" i="4"/>
  <c r="L203" i="4"/>
  <c r="O203" i="4"/>
  <c r="O196" i="4"/>
  <c r="O209" i="4"/>
  <c r="K206" i="4"/>
  <c r="L200" i="4"/>
  <c r="K199" i="4"/>
  <c r="K202" i="4"/>
  <c r="N206" i="4"/>
  <c r="O208" i="4"/>
  <c r="N209" i="4"/>
  <c r="L206" i="4"/>
  <c r="L208" i="4"/>
  <c r="L205" i="4"/>
  <c r="K198" i="4"/>
  <c r="N207" i="4"/>
  <c r="M205" i="4"/>
  <c r="K201" i="4"/>
  <c r="O201" i="4"/>
  <c r="L202" i="4"/>
  <c r="M199" i="4"/>
  <c r="M207" i="4"/>
  <c r="L201" i="4"/>
  <c r="M196" i="4"/>
  <c r="O210" i="4"/>
  <c r="N210" i="4"/>
  <c r="L209" i="4"/>
  <c r="K209" i="4"/>
  <c r="K208" i="4"/>
  <c r="N208" i="4"/>
  <c r="O207" i="4"/>
  <c r="L207" i="4"/>
  <c r="M206" i="4"/>
  <c r="K205" i="4"/>
  <c r="N205" i="4"/>
  <c r="O205" i="4"/>
  <c r="K204" i="4"/>
  <c r="M204" i="4"/>
  <c r="L204" i="4"/>
  <c r="N204" i="4"/>
  <c r="O204" i="4"/>
  <c r="M202" i="4"/>
  <c r="N202" i="4"/>
  <c r="O202" i="4"/>
  <c r="N201" i="4"/>
  <c r="M201" i="4"/>
  <c r="O200" i="4"/>
  <c r="M200" i="4"/>
  <c r="N200" i="4"/>
  <c r="N199" i="4"/>
  <c r="O199" i="4"/>
  <c r="L199" i="4"/>
  <c r="N198" i="4"/>
  <c r="M198" i="4"/>
  <c r="O198" i="4"/>
  <c r="L198" i="4"/>
  <c r="N196" i="4"/>
  <c r="L196" i="4"/>
  <c r="K200" i="4"/>
  <c r="O206" i="4"/>
  <c r="M208" i="4"/>
  <c r="M209" i="4"/>
  <c r="M210" i="4"/>
  <c r="L210" i="4"/>
  <c r="G363" i="17"/>
  <c r="F363" i="17"/>
  <c r="K163" i="4"/>
  <c r="I274" i="4"/>
  <c r="I275" i="4" s="1"/>
  <c r="O163" i="4"/>
  <c r="N163" i="4"/>
  <c r="L163" i="4"/>
  <c r="M163" i="4"/>
  <c r="O166" i="4"/>
  <c r="L165" i="4"/>
  <c r="N169" i="4"/>
  <c r="M165" i="4"/>
  <c r="O161" i="4"/>
  <c r="O154" i="4"/>
  <c r="O159" i="4"/>
  <c r="O158" i="4"/>
  <c r="N160" i="4"/>
  <c r="N156" i="4"/>
  <c r="M167" i="4"/>
  <c r="L169" i="4"/>
  <c r="O168" i="4"/>
  <c r="K161" i="4"/>
  <c r="O165" i="4"/>
  <c r="N158" i="4"/>
  <c r="L160" i="4"/>
  <c r="L157" i="4"/>
  <c r="L164" i="4"/>
  <c r="N154" i="4"/>
  <c r="N162" i="4"/>
  <c r="M159" i="4"/>
  <c r="M156" i="4"/>
  <c r="N165" i="4"/>
  <c r="L159" i="4"/>
  <c r="K154" i="4"/>
  <c r="O157" i="4"/>
  <c r="N164" i="4"/>
  <c r="L161" i="4"/>
  <c r="N167" i="4"/>
  <c r="L154" i="4"/>
  <c r="O164" i="4"/>
  <c r="M170" i="4"/>
  <c r="M162" i="4"/>
  <c r="L156" i="4"/>
  <c r="M155" i="4"/>
  <c r="O156" i="4"/>
  <c r="O169" i="4"/>
  <c r="O155" i="4"/>
  <c r="N170" i="4"/>
  <c r="M164" i="4"/>
  <c r="O162" i="4"/>
  <c r="K159" i="4"/>
  <c r="L158" i="4"/>
  <c r="M161" i="4"/>
  <c r="M154" i="4"/>
  <c r="O167" i="4"/>
  <c r="N157" i="4"/>
  <c r="O160" i="4"/>
  <c r="M160" i="4"/>
  <c r="L166" i="4"/>
  <c r="L168" i="4"/>
  <c r="M158" i="4"/>
  <c r="L162" i="4"/>
  <c r="M166" i="4"/>
  <c r="L167" i="4"/>
  <c r="K156" i="4"/>
  <c r="N161" i="4"/>
  <c r="N159" i="4"/>
  <c r="L170" i="4"/>
  <c r="M157" i="4"/>
  <c r="N168" i="4"/>
  <c r="L155" i="4"/>
  <c r="O170" i="4"/>
  <c r="N155" i="4"/>
  <c r="N166" i="4"/>
  <c r="M169" i="4"/>
  <c r="M168" i="4"/>
  <c r="I404" i="4"/>
  <c r="I405" i="4" s="1"/>
  <c r="I18" i="4"/>
  <c r="I11" i="4"/>
  <c r="I13" i="4"/>
  <c r="I25" i="4"/>
  <c r="I23" i="4"/>
  <c r="I24" i="4"/>
  <c r="I22" i="4"/>
  <c r="I17" i="4"/>
  <c r="I15" i="4"/>
  <c r="I21" i="4"/>
  <c r="L408" i="4" l="1"/>
  <c r="O408" i="4"/>
  <c r="K408" i="4"/>
  <c r="M408" i="4"/>
  <c r="N408" i="4"/>
  <c r="L423" i="4"/>
  <c r="M423" i="4"/>
  <c r="N421" i="4"/>
  <c r="O421" i="4"/>
  <c r="N415" i="4"/>
  <c r="O409" i="4"/>
  <c r="N416" i="4"/>
  <c r="O417" i="4"/>
  <c r="O418" i="4"/>
  <c r="K412" i="4"/>
  <c r="M414" i="4"/>
  <c r="N414" i="4"/>
  <c r="K424" i="4"/>
  <c r="M420" i="4"/>
  <c r="K413" i="4"/>
  <c r="L410" i="4"/>
  <c r="O411" i="4"/>
  <c r="L419" i="4"/>
  <c r="M419" i="4"/>
  <c r="K422" i="4"/>
  <c r="O425" i="4"/>
  <c r="O415" i="4"/>
  <c r="M409" i="4"/>
  <c r="O416" i="4"/>
  <c r="M417" i="4"/>
  <c r="O423" i="4"/>
  <c r="M421" i="4"/>
  <c r="L415" i="4"/>
  <c r="M415" i="4"/>
  <c r="N409" i="4"/>
  <c r="K409" i="4"/>
  <c r="M416" i="4"/>
  <c r="N417" i="4"/>
  <c r="K417" i="4"/>
  <c r="K418" i="4"/>
  <c r="N412" i="4"/>
  <c r="L414" i="4"/>
  <c r="N424" i="4"/>
  <c r="O420" i="4"/>
  <c r="L420" i="4"/>
  <c r="N413" i="4"/>
  <c r="O413" i="4"/>
  <c r="O410" i="4"/>
  <c r="K411" i="4"/>
  <c r="O419" i="4"/>
  <c r="M422" i="4"/>
  <c r="N422" i="4"/>
  <c r="N425" i="4"/>
  <c r="K425" i="4"/>
  <c r="K423" i="4"/>
  <c r="L421" i="4"/>
  <c r="L416" i="4"/>
  <c r="N423" i="4"/>
  <c r="K421" i="4"/>
  <c r="K415" i="4"/>
  <c r="L409" i="4"/>
  <c r="K416" i="4"/>
  <c r="L417" i="4"/>
  <c r="L418" i="4"/>
  <c r="O412" i="4"/>
  <c r="L412" i="4"/>
  <c r="K414" i="4"/>
  <c r="O424" i="4"/>
  <c r="L424" i="4"/>
  <c r="N420" i="4"/>
  <c r="L413" i="4"/>
  <c r="M410" i="4"/>
  <c r="N410" i="4"/>
  <c r="L411" i="4"/>
  <c r="M411" i="4"/>
  <c r="N419" i="4"/>
  <c r="O422" i="4"/>
  <c r="L425" i="4"/>
  <c r="N418" i="4"/>
  <c r="O414" i="4"/>
  <c r="L422" i="4"/>
  <c r="M425" i="4"/>
  <c r="M424" i="4"/>
  <c r="M413" i="4"/>
  <c r="M412" i="4"/>
  <c r="K410" i="4"/>
  <c r="N411" i="4"/>
  <c r="M418" i="4"/>
  <c r="K420" i="4"/>
  <c r="K419" i="4"/>
  <c r="M278" i="4"/>
  <c r="N278" i="4"/>
  <c r="L278" i="4"/>
  <c r="O278" i="4"/>
  <c r="K278" i="4"/>
  <c r="K286" i="4"/>
  <c r="K289" i="4"/>
  <c r="L281" i="4"/>
  <c r="M281" i="4"/>
  <c r="K284" i="4"/>
  <c r="O288" i="4"/>
  <c r="L292" i="4"/>
  <c r="L280" i="4"/>
  <c r="O290" i="4"/>
  <c r="L290" i="4"/>
  <c r="M294" i="4"/>
  <c r="N279" i="4"/>
  <c r="K279" i="4"/>
  <c r="O283" i="4"/>
  <c r="N287" i="4"/>
  <c r="O287" i="4"/>
  <c r="M291" i="4"/>
  <c r="N295" i="4"/>
  <c r="K295" i="4"/>
  <c r="N285" i="4"/>
  <c r="K293" i="4"/>
  <c r="N282" i="4"/>
  <c r="K281" i="4"/>
  <c r="L284" i="4"/>
  <c r="M288" i="4"/>
  <c r="N288" i="4"/>
  <c r="K292" i="4"/>
  <c r="K294" i="4"/>
  <c r="N286" i="4"/>
  <c r="N289" i="4"/>
  <c r="O281" i="4"/>
  <c r="M284" i="4"/>
  <c r="N284" i="4"/>
  <c r="K288" i="4"/>
  <c r="O292" i="4"/>
  <c r="O280" i="4"/>
  <c r="K290" i="4"/>
  <c r="O294" i="4"/>
  <c r="L294" i="4"/>
  <c r="M279" i="4"/>
  <c r="N283" i="4"/>
  <c r="K283" i="4"/>
  <c r="M287" i="4"/>
  <c r="L291" i="4"/>
  <c r="M295" i="4"/>
  <c r="L285" i="4"/>
  <c r="M285" i="4"/>
  <c r="N293" i="4"/>
  <c r="M282" i="4"/>
  <c r="M286" i="4"/>
  <c r="L289" i="4"/>
  <c r="M289" i="4"/>
  <c r="K280" i="4"/>
  <c r="N290" i="4"/>
  <c r="O286" i="4"/>
  <c r="L286" i="4"/>
  <c r="O289" i="4"/>
  <c r="N281" i="4"/>
  <c r="O284" i="4"/>
  <c r="L288" i="4"/>
  <c r="M292" i="4"/>
  <c r="N292" i="4"/>
  <c r="M280" i="4"/>
  <c r="N280" i="4"/>
  <c r="M290" i="4"/>
  <c r="N294" i="4"/>
  <c r="O279" i="4"/>
  <c r="L283" i="4"/>
  <c r="K287" i="4"/>
  <c r="N291" i="4"/>
  <c r="O291" i="4"/>
  <c r="O295" i="4"/>
  <c r="K285" i="4"/>
  <c r="O293" i="4"/>
  <c r="K282" i="4"/>
  <c r="M283" i="4"/>
  <c r="O285" i="4"/>
  <c r="L293" i="4"/>
  <c r="L287" i="4"/>
  <c r="K291" i="4"/>
  <c r="O282" i="4"/>
  <c r="M293" i="4"/>
  <c r="L279" i="4"/>
  <c r="L295" i="4"/>
  <c r="L282" i="4"/>
  <c r="K168" i="4"/>
  <c r="K160" i="4"/>
  <c r="K157" i="4"/>
  <c r="K164" i="4"/>
  <c r="K167" i="4"/>
  <c r="K165" i="4"/>
  <c r="K166" i="4"/>
  <c r="K155" i="4"/>
  <c r="K169" i="4"/>
  <c r="K162" i="4"/>
  <c r="K158" i="4"/>
  <c r="K170" i="4"/>
  <c r="K430" i="4" l="1"/>
  <c r="L431" i="4"/>
  <c r="L432" i="4"/>
  <c r="N443" i="4"/>
  <c r="N433" i="4"/>
  <c r="N437" i="4"/>
  <c r="M437" i="4"/>
  <c r="O445" i="4"/>
  <c r="K444" i="4"/>
  <c r="O438" i="4"/>
  <c r="O428" i="4"/>
  <c r="M432" i="4"/>
  <c r="N430" i="4"/>
  <c r="L444" i="4"/>
  <c r="L429" i="4"/>
  <c r="K431" i="4"/>
  <c r="N432" i="4"/>
  <c r="L435" i="4"/>
  <c r="K442" i="4"/>
  <c r="N434" i="4"/>
  <c r="N428" i="4"/>
  <c r="M438" i="4"/>
  <c r="M433" i="4"/>
  <c r="O434" i="4"/>
  <c r="N439" i="4"/>
  <c r="M430" i="4"/>
  <c r="O444" i="4"/>
  <c r="L438" i="4"/>
  <c r="K435" i="4"/>
  <c r="L441" i="4"/>
  <c r="N442" i="4"/>
  <c r="O430" i="4"/>
  <c r="O440" i="4"/>
  <c r="K438" i="4"/>
  <c r="K429" i="4"/>
  <c r="M441" i="4"/>
  <c r="M429" i="4"/>
  <c r="M439" i="4"/>
  <c r="K433" i="4"/>
  <c r="M434" i="4"/>
  <c r="N436" i="4"/>
  <c r="N441" i="4"/>
  <c r="M428" i="4"/>
  <c r="K439" i="4"/>
  <c r="M445" i="4"/>
  <c r="L445" i="4"/>
  <c r="N440" i="4"/>
  <c r="K436" i="4"/>
  <c r="K445" i="4"/>
  <c r="O439" i="4"/>
  <c r="L434" i="4"/>
  <c r="M435" i="4"/>
  <c r="O431" i="4"/>
  <c r="N435" i="4"/>
  <c r="L443" i="4"/>
  <c r="K440" i="4"/>
  <c r="L442" i="4"/>
  <c r="O442" i="4"/>
  <c r="O432" i="4"/>
  <c r="L436" i="4"/>
  <c r="N445" i="4"/>
  <c r="L440" i="4"/>
  <c r="M436" i="4"/>
  <c r="O436" i="4"/>
  <c r="L430" i="4"/>
  <c r="O437" i="4"/>
  <c r="O441" i="4"/>
  <c r="L428" i="4"/>
  <c r="N431" i="4"/>
  <c r="M444" i="4"/>
  <c r="N438" i="4"/>
  <c r="M431" i="4"/>
  <c r="L433" i="4"/>
  <c r="K434" i="4"/>
  <c r="L437" i="4"/>
  <c r="K441" i="4"/>
  <c r="K443" i="4"/>
  <c r="M442" i="4"/>
  <c r="O433" i="4"/>
  <c r="N444" i="4"/>
  <c r="K437" i="4"/>
  <c r="N429" i="4"/>
  <c r="O443" i="4"/>
  <c r="O435" i="4"/>
  <c r="L439" i="4"/>
  <c r="M440" i="4"/>
  <c r="K432" i="4"/>
  <c r="O429" i="4"/>
  <c r="M443" i="4"/>
  <c r="K428" i="4"/>
  <c r="C30" i="3"/>
  <c r="O343" i="4" l="1"/>
  <c r="L343" i="4"/>
  <c r="N343" i="4"/>
  <c r="M343" i="4"/>
  <c r="K343" i="4"/>
  <c r="N350" i="4"/>
  <c r="O350" i="4"/>
  <c r="M357" i="4"/>
  <c r="N353" i="4"/>
  <c r="O356" i="4"/>
  <c r="M354" i="4"/>
  <c r="L344" i="4"/>
  <c r="M344" i="4"/>
  <c r="O352" i="4"/>
  <c r="N349" i="4"/>
  <c r="O347" i="4"/>
  <c r="L359" i="4"/>
  <c r="L348" i="4"/>
  <c r="M348" i="4"/>
  <c r="O355" i="4"/>
  <c r="M345" i="4"/>
  <c r="L358" i="4"/>
  <c r="K360" i="4"/>
  <c r="M346" i="4"/>
  <c r="O351" i="4"/>
  <c r="O354" i="4"/>
  <c r="K344" i="4"/>
  <c r="O349" i="4"/>
  <c r="N347" i="4"/>
  <c r="M350" i="4"/>
  <c r="O357" i="4"/>
  <c r="L357" i="4"/>
  <c r="M353" i="4"/>
  <c r="K356" i="4"/>
  <c r="L354" i="4"/>
  <c r="O344" i="4"/>
  <c r="K352" i="4"/>
  <c r="M349" i="4"/>
  <c r="K347" i="4"/>
  <c r="O359" i="4"/>
  <c r="O348" i="4"/>
  <c r="K355" i="4"/>
  <c r="O345" i="4"/>
  <c r="L345" i="4"/>
  <c r="O358" i="4"/>
  <c r="N360" i="4"/>
  <c r="L346" i="4"/>
  <c r="K351" i="4"/>
  <c r="L350" i="4"/>
  <c r="K357" i="4"/>
  <c r="O353" i="4"/>
  <c r="L353" i="4"/>
  <c r="N356" i="4"/>
  <c r="N352" i="4"/>
  <c r="L349" i="4"/>
  <c r="M347" i="4"/>
  <c r="K350" i="4"/>
  <c r="N357" i="4"/>
  <c r="K353" i="4"/>
  <c r="L356" i="4"/>
  <c r="M356" i="4"/>
  <c r="N354" i="4"/>
  <c r="K354" i="4"/>
  <c r="N344" i="4"/>
  <c r="L352" i="4"/>
  <c r="M352" i="4"/>
  <c r="K349" i="4"/>
  <c r="L347" i="4"/>
  <c r="M359" i="4"/>
  <c r="N359" i="4"/>
  <c r="N348" i="4"/>
  <c r="L355" i="4"/>
  <c r="N345" i="4"/>
  <c r="M358" i="4"/>
  <c r="O360" i="4"/>
  <c r="N346" i="4"/>
  <c r="K346" i="4"/>
  <c r="L351" i="4"/>
  <c r="N355" i="4"/>
  <c r="N358" i="4"/>
  <c r="M351" i="4"/>
  <c r="K348" i="4"/>
  <c r="K359" i="4"/>
  <c r="M360" i="4"/>
  <c r="K358" i="4"/>
  <c r="L360" i="4"/>
  <c r="N351" i="4"/>
  <c r="M355" i="4"/>
  <c r="K345" i="4"/>
  <c r="O346" i="4"/>
  <c r="M379" i="4" l="1"/>
  <c r="N376" i="4"/>
  <c r="O378" i="4"/>
  <c r="M373" i="4"/>
  <c r="K363" i="4"/>
  <c r="M375" i="4"/>
  <c r="M380" i="4"/>
  <c r="N378" i="4"/>
  <c r="L373" i="4"/>
  <c r="O379" i="4"/>
  <c r="L377" i="4"/>
  <c r="M377" i="4"/>
  <c r="K379" i="4"/>
  <c r="O380" i="4"/>
  <c r="K374" i="4"/>
  <c r="K373" i="4"/>
  <c r="O373" i="4"/>
  <c r="L374" i="4"/>
  <c r="O377" i="4"/>
  <c r="K380" i="4"/>
  <c r="M374" i="4"/>
  <c r="K378" i="4"/>
  <c r="M376" i="4"/>
  <c r="L379" i="4"/>
  <c r="N373" i="4"/>
  <c r="L375" i="4"/>
  <c r="L376" i="4"/>
  <c r="O375" i="4"/>
  <c r="N375" i="4"/>
  <c r="L380" i="4"/>
  <c r="M378" i="4"/>
  <c r="N379" i="4"/>
  <c r="N374" i="4"/>
  <c r="N377" i="4"/>
  <c r="K377" i="4"/>
  <c r="N380" i="4"/>
  <c r="K375" i="4"/>
  <c r="K376" i="4"/>
  <c r="O374" i="4"/>
  <c r="L378" i="4"/>
  <c r="O376" i="4"/>
  <c r="K308" i="4"/>
  <c r="N308" i="4"/>
  <c r="M308" i="4"/>
  <c r="L308" i="4"/>
  <c r="O308" i="4"/>
  <c r="K2" i="4"/>
  <c r="L2" i="4"/>
  <c r="M2" i="4"/>
  <c r="N2" i="4"/>
  <c r="O2" i="4"/>
  <c r="J2" i="4"/>
  <c r="I2" i="4"/>
  <c r="H2" i="4"/>
  <c r="G2" i="4"/>
  <c r="N2" i="3"/>
  <c r="O2" i="3"/>
  <c r="M2" i="3"/>
  <c r="L2" i="3"/>
  <c r="K2" i="3"/>
  <c r="J2" i="3"/>
  <c r="I2" i="3"/>
  <c r="H2" i="3"/>
  <c r="G2" i="3"/>
  <c r="F2" i="3"/>
  <c r="N315" i="4" l="1"/>
  <c r="O314" i="4"/>
  <c r="K314" i="4"/>
  <c r="L313" i="4"/>
  <c r="M312" i="4"/>
  <c r="N311" i="4"/>
  <c r="O310" i="4"/>
  <c r="K310" i="4"/>
  <c r="L309" i="4"/>
  <c r="N307" i="4"/>
  <c r="O306" i="4"/>
  <c r="K306" i="4"/>
  <c r="L305" i="4"/>
  <c r="M304" i="4"/>
  <c r="N303" i="4"/>
  <c r="O302" i="4"/>
  <c r="K302" i="4"/>
  <c r="L301" i="4"/>
  <c r="M300" i="4"/>
  <c r="N299" i="4"/>
  <c r="K315" i="4"/>
  <c r="O313" i="4"/>
  <c r="O312" i="4"/>
  <c r="O311" i="4"/>
  <c r="N310" i="4"/>
  <c r="N309" i="4"/>
  <c r="M307" i="4"/>
  <c r="M306" i="4"/>
  <c r="M305" i="4"/>
  <c r="L304" i="4"/>
  <c r="L303" i="4"/>
  <c r="L302" i="4"/>
  <c r="K301" i="4"/>
  <c r="K300" i="4"/>
  <c r="K299" i="4"/>
  <c r="O315" i="4"/>
  <c r="N314" i="4"/>
  <c r="N313" i="4"/>
  <c r="N312" i="4"/>
  <c r="M311" i="4"/>
  <c r="M310" i="4"/>
  <c r="M309" i="4"/>
  <c r="L307" i="4"/>
  <c r="L306" i="4"/>
  <c r="K305" i="4"/>
  <c r="K304" i="4"/>
  <c r="K303" i="4"/>
  <c r="O301" i="4"/>
  <c r="O300" i="4"/>
  <c r="O299" i="4"/>
  <c r="M315" i="4"/>
  <c r="M313" i="4"/>
  <c r="L312" i="4"/>
  <c r="L310" i="4"/>
  <c r="K309" i="4"/>
  <c r="K307" i="4"/>
  <c r="O305" i="4"/>
  <c r="O303" i="4"/>
  <c r="N302" i="4"/>
  <c r="N300" i="4"/>
  <c r="L314" i="4"/>
  <c r="K312" i="4"/>
  <c r="O309" i="4"/>
  <c r="O307" i="4"/>
  <c r="N305" i="4"/>
  <c r="M303" i="4"/>
  <c r="M301" i="4"/>
  <c r="L300" i="4"/>
  <c r="M314" i="4"/>
  <c r="L311" i="4"/>
  <c r="O304" i="4"/>
  <c r="N301" i="4"/>
  <c r="M299" i="4"/>
  <c r="L315" i="4"/>
  <c r="K313" i="4"/>
  <c r="K311" i="4"/>
  <c r="N306" i="4"/>
  <c r="N304" i="4"/>
  <c r="M302" i="4"/>
  <c r="L299" i="4"/>
  <c r="O298" i="4"/>
  <c r="L298" i="4"/>
  <c r="K298" i="4"/>
  <c r="N298" i="4"/>
  <c r="M298" i="4"/>
  <c r="L363" i="4" l="1"/>
  <c r="O366" i="4"/>
  <c r="N365" i="4"/>
  <c r="L369" i="4"/>
  <c r="M368" i="4"/>
  <c r="N372" i="4"/>
  <c r="O369" i="4"/>
  <c r="M363" i="4"/>
  <c r="K370" i="4"/>
  <c r="O367" i="4"/>
  <c r="K366" i="4"/>
  <c r="L365" i="4"/>
  <c r="L364" i="4"/>
  <c r="N370" i="4"/>
  <c r="M364" i="4"/>
  <c r="N364" i="4"/>
  <c r="M365" i="4"/>
  <c r="O372" i="4"/>
  <c r="K371" i="4"/>
  <c r="K368" i="4"/>
  <c r="M372" i="4"/>
  <c r="L367" i="4"/>
  <c r="N371" i="4"/>
  <c r="O365" i="4"/>
  <c r="K369" i="4"/>
  <c r="L372" i="4"/>
  <c r="N367" i="4"/>
  <c r="M366" i="4"/>
  <c r="O364" i="4"/>
  <c r="K364" i="4"/>
  <c r="N366" i="4"/>
  <c r="N369" i="4"/>
  <c r="N368" i="4"/>
  <c r="L370" i="4"/>
  <c r="M369" i="4"/>
  <c r="M367" i="4"/>
  <c r="O363" i="4"/>
  <c r="N363" i="4"/>
  <c r="O371" i="4"/>
  <c r="K372" i="4"/>
  <c r="O370" i="4"/>
  <c r="O368" i="4"/>
  <c r="K367" i="4"/>
  <c r="L371" i="4"/>
  <c r="L366" i="4"/>
  <c r="M370" i="4"/>
  <c r="K365" i="4"/>
  <c r="L368" i="4"/>
  <c r="M371" i="4"/>
  <c r="O381" i="4" l="1"/>
  <c r="K381" i="4"/>
  <c r="L381" i="4"/>
  <c r="M316" i="4"/>
  <c r="L316" i="4"/>
  <c r="N316" i="4"/>
  <c r="N381" i="4"/>
  <c r="K316" i="4"/>
  <c r="M381" i="4"/>
  <c r="O316" i="4"/>
  <c r="G378" i="17" l="1"/>
  <c r="F378" i="17"/>
  <c r="F379" i="17" l="1"/>
  <c r="G379" i="17"/>
  <c r="G380" i="17" l="1"/>
  <c r="F380" i="17"/>
  <c r="F381" i="17" l="1"/>
  <c r="G381" i="17"/>
  <c r="G382" i="17" l="1"/>
  <c r="F382" i="17"/>
  <c r="M446" i="4"/>
  <c r="K446" i="4"/>
  <c r="L446" i="4"/>
  <c r="O446" i="4"/>
  <c r="N446" i="4"/>
  <c r="F385" i="17" l="1"/>
  <c r="G385" i="17"/>
  <c r="F266" i="17" l="1"/>
  <c r="F266" i="38"/>
  <c r="I273" i="3"/>
  <c r="F244" i="17"/>
  <c r="F244" i="38"/>
  <c r="I249" i="3"/>
  <c r="F376" i="17"/>
  <c r="F376" i="38"/>
  <c r="I393" i="3"/>
  <c r="F46" i="17"/>
  <c r="F46" i="38"/>
  <c r="I33" i="3"/>
  <c r="F200" i="17"/>
  <c r="F200" i="38"/>
  <c r="I201" i="3"/>
  <c r="F332" i="17"/>
  <c r="F332" i="38"/>
  <c r="I345" i="3"/>
  <c r="F310" i="17"/>
  <c r="F310" i="38"/>
  <c r="I321" i="3"/>
  <c r="F222" i="17"/>
  <c r="F222" i="38"/>
  <c r="I225" i="3"/>
  <c r="F398" i="17"/>
  <c r="F398" i="38"/>
  <c r="I417" i="3"/>
  <c r="F112" i="17"/>
  <c r="F112" i="38"/>
  <c r="I105" i="3"/>
  <c r="F288" i="17"/>
  <c r="F288" i="38"/>
  <c r="I297" i="3"/>
  <c r="F24" i="17"/>
  <c r="F24" i="38"/>
  <c r="I9" i="3"/>
  <c r="F68" i="17"/>
  <c r="F68" i="38"/>
  <c r="I57" i="3"/>
  <c r="F178" i="17"/>
  <c r="F178" i="38"/>
  <c r="I177" i="3"/>
  <c r="F354" i="17"/>
  <c r="F354" i="38"/>
  <c r="I369" i="3"/>
  <c r="F90" i="17"/>
  <c r="F90" i="38"/>
  <c r="I81" i="3"/>
  <c r="F156" i="17"/>
  <c r="F420" i="17" s="1"/>
  <c r="F156" i="38"/>
  <c r="F420" i="38" s="1"/>
  <c r="I153" i="3"/>
  <c r="K629" i="35" l="1"/>
  <c r="K617" i="35"/>
  <c r="N629" i="35"/>
  <c r="M629" i="35"/>
  <c r="L617" i="35"/>
  <c r="L629" i="35"/>
  <c r="O617" i="35"/>
  <c r="N617" i="35"/>
  <c r="M617" i="35"/>
  <c r="O629" i="35" l="1"/>
  <c r="I429" i="35" l="1"/>
  <c r="L565" i="35"/>
  <c r="K388" i="35"/>
  <c r="M399" i="35"/>
  <c r="I315" i="35"/>
  <c r="N564" i="35"/>
  <c r="L555" i="35"/>
  <c r="O389" i="35"/>
  <c r="M833" i="35"/>
  <c r="O555" i="35"/>
  <c r="O319" i="35"/>
  <c r="M394" i="35"/>
  <c r="L317" i="35"/>
  <c r="L435" i="35"/>
  <c r="I561" i="35"/>
  <c r="N556" i="35"/>
  <c r="N390" i="35"/>
  <c r="L561" i="35"/>
  <c r="M427" i="35"/>
  <c r="M409" i="35"/>
  <c r="L321" i="35"/>
  <c r="M314" i="35"/>
  <c r="L394" i="35"/>
  <c r="L308" i="35"/>
  <c r="O399" i="35"/>
  <c r="J447" i="35"/>
  <c r="K414" i="35"/>
  <c r="L407" i="35"/>
  <c r="I413" i="35"/>
  <c r="K557" i="35"/>
  <c r="M318" i="35"/>
  <c r="N320" i="35"/>
  <c r="M434" i="35"/>
  <c r="N394" i="35"/>
  <c r="L318" i="35"/>
  <c r="I323" i="35"/>
  <c r="O321" i="35"/>
  <c r="J318" i="35"/>
  <c r="I395" i="35"/>
  <c r="O320" i="35"/>
  <c r="O388" i="35"/>
  <c r="I310" i="35"/>
  <c r="M407" i="35"/>
  <c r="L429" i="35"/>
  <c r="O318" i="35"/>
  <c r="M388" i="35"/>
  <c r="O410" i="35"/>
  <c r="N558" i="35"/>
  <c r="I414" i="35"/>
  <c r="I430" i="35"/>
  <c r="N429" i="35"/>
  <c r="I431" i="35"/>
  <c r="L570" i="35"/>
  <c r="N307" i="35"/>
  <c r="N554" i="35"/>
  <c r="N566" i="35"/>
  <c r="N324" i="35"/>
  <c r="L434" i="35"/>
  <c r="K398" i="35"/>
  <c r="K432" i="35"/>
  <c r="O833" i="35"/>
  <c r="K308" i="35"/>
  <c r="L554" i="35"/>
  <c r="N393" i="35"/>
  <c r="M412" i="35"/>
  <c r="K396" i="35"/>
  <c r="M881" i="35"/>
  <c r="K313" i="35"/>
  <c r="I555" i="35"/>
  <c r="M566" i="35"/>
  <c r="N403" i="35"/>
  <c r="K321" i="35"/>
  <c r="N413" i="35"/>
  <c r="J309" i="35"/>
  <c r="N416" i="35"/>
  <c r="M556" i="35"/>
  <c r="N309" i="35"/>
  <c r="K430" i="35"/>
  <c r="J313" i="35"/>
  <c r="I564" i="35"/>
  <c r="L312" i="35"/>
  <c r="O310" i="35"/>
  <c r="M569" i="35"/>
  <c r="M558" i="35"/>
  <c r="L427" i="35"/>
  <c r="K310" i="35"/>
  <c r="I398" i="35"/>
  <c r="I554" i="35"/>
  <c r="L402" i="35"/>
  <c r="I560" i="35"/>
  <c r="L313" i="35"/>
  <c r="L309" i="35"/>
  <c r="I557" i="35"/>
  <c r="N402" i="35"/>
  <c r="K433" i="35"/>
  <c r="O309" i="35"/>
  <c r="M413" i="35"/>
  <c r="K403" i="35"/>
  <c r="L389" i="35"/>
  <c r="N398" i="35"/>
  <c r="L409" i="35"/>
  <c r="N570" i="35"/>
  <c r="N430" i="35"/>
  <c r="M560" i="35"/>
  <c r="K558" i="35"/>
  <c r="K563" i="35"/>
  <c r="L401" i="35"/>
  <c r="O556" i="35"/>
  <c r="L397" i="35"/>
  <c r="O400" i="35"/>
  <c r="N433" i="35"/>
  <c r="I565" i="35"/>
  <c r="N415" i="35"/>
  <c r="I400" i="35"/>
  <c r="L311" i="35"/>
  <c r="M416" i="35"/>
  <c r="N311" i="35"/>
  <c r="K569" i="35"/>
  <c r="K400" i="35"/>
  <c r="N399" i="35"/>
  <c r="M570" i="35"/>
  <c r="K390" i="35"/>
  <c r="O881" i="35"/>
  <c r="K431" i="35"/>
  <c r="L398" i="35"/>
  <c r="N561" i="35"/>
  <c r="M323" i="35"/>
  <c r="N389" i="35"/>
  <c r="I388" i="35"/>
  <c r="M400" i="35"/>
  <c r="I559" i="35"/>
  <c r="I412" i="35"/>
  <c r="O435" i="35"/>
  <c r="M315" i="35"/>
  <c r="N833" i="35"/>
  <c r="O565" i="35"/>
  <c r="K314" i="35"/>
  <c r="O571" i="35"/>
  <c r="J316" i="35"/>
  <c r="L413" i="35"/>
  <c r="L320" i="35"/>
  <c r="M312" i="35"/>
  <c r="O323" i="35"/>
  <c r="O557" i="35"/>
  <c r="K428" i="35"/>
  <c r="O393" i="35"/>
  <c r="I394" i="35"/>
  <c r="I392" i="35"/>
  <c r="K399" i="35"/>
  <c r="J310" i="35"/>
  <c r="L558" i="35"/>
  <c r="N310" i="35"/>
  <c r="O390" i="35"/>
  <c r="K434" i="35"/>
  <c r="N412" i="35"/>
  <c r="M319" i="35"/>
  <c r="M390" i="35"/>
  <c r="O404" i="35"/>
  <c r="K392" i="35"/>
  <c r="O411" i="35"/>
  <c r="K411" i="35"/>
  <c r="K571" i="35"/>
  <c r="K560" i="35"/>
  <c r="M411" i="35"/>
  <c r="N432" i="35"/>
  <c r="L319" i="35"/>
  <c r="N391" i="35"/>
  <c r="O570" i="35"/>
  <c r="I393" i="35"/>
  <c r="K401" i="35"/>
  <c r="O428" i="35"/>
  <c r="I569" i="35"/>
  <c r="N555" i="35"/>
  <c r="L433" i="35"/>
  <c r="L314" i="35"/>
  <c r="L324" i="35"/>
  <c r="K568" i="35"/>
  <c r="J311" i="35"/>
  <c r="M568" i="35"/>
  <c r="L323" i="35"/>
  <c r="M402" i="35"/>
  <c r="N323" i="35"/>
  <c r="M320" i="35"/>
  <c r="M401" i="35"/>
  <c r="M431" i="35"/>
  <c r="O394" i="35"/>
  <c r="K555" i="35"/>
  <c r="K429" i="35"/>
  <c r="K323" i="35"/>
  <c r="N314" i="35"/>
  <c r="O311" i="35"/>
  <c r="O324" i="35"/>
  <c r="O395" i="35"/>
  <c r="N414" i="35"/>
  <c r="J320" i="35"/>
  <c r="K394" i="35"/>
  <c r="N436" i="35"/>
  <c r="K319" i="35"/>
  <c r="O314" i="35"/>
  <c r="M565" i="35"/>
  <c r="I432" i="35"/>
  <c r="L833" i="35"/>
  <c r="N397" i="35"/>
  <c r="L430" i="35"/>
  <c r="O558" i="35"/>
  <c r="L315" i="35"/>
  <c r="M555" i="35"/>
  <c r="L416" i="35"/>
  <c r="M389" i="35"/>
  <c r="J308" i="35"/>
  <c r="I556" i="35"/>
  <c r="I316" i="35"/>
  <c r="N318" i="35"/>
  <c r="N569" i="35"/>
  <c r="K315" i="35"/>
  <c r="M311" i="35"/>
  <c r="L414" i="35"/>
  <c r="I391" i="35"/>
  <c r="M435" i="35"/>
  <c r="I313" i="35"/>
  <c r="K415" i="35"/>
  <c r="O412" i="35"/>
  <c r="N431" i="35"/>
  <c r="N313" i="35"/>
  <c r="M432" i="35"/>
  <c r="L400" i="35"/>
  <c r="M557" i="35"/>
  <c r="O562" i="35"/>
  <c r="M563" i="35"/>
  <c r="N407" i="35"/>
  <c r="N315" i="35"/>
  <c r="I434" i="35"/>
  <c r="I427" i="35"/>
  <c r="M433" i="35"/>
  <c r="K427" i="35"/>
  <c r="L569" i="35"/>
  <c r="I571" i="35"/>
  <c r="O387" i="35"/>
  <c r="O307" i="35"/>
  <c r="M564" i="35"/>
  <c r="N562" i="35"/>
  <c r="K317" i="35"/>
  <c r="L390" i="35"/>
  <c r="J317" i="35"/>
  <c r="I401" i="35"/>
  <c r="I433" i="35"/>
  <c r="O568" i="35"/>
  <c r="K408" i="35"/>
  <c r="N322" i="35"/>
  <c r="O561" i="35"/>
  <c r="K562" i="35"/>
  <c r="I311" i="35"/>
  <c r="L567" i="35"/>
  <c r="K324" i="35"/>
  <c r="M322" i="35"/>
  <c r="I319" i="35"/>
  <c r="L396" i="35"/>
  <c r="J315" i="35"/>
  <c r="M414" i="35"/>
  <c r="N312" i="35"/>
  <c r="K561" i="35"/>
  <c r="I396" i="35"/>
  <c r="K318" i="35"/>
  <c r="L387" i="35"/>
  <c r="I567" i="35"/>
  <c r="O566" i="35"/>
  <c r="L412" i="35"/>
  <c r="I308" i="35"/>
  <c r="N392" i="35"/>
  <c r="K410" i="35"/>
  <c r="K413" i="35"/>
  <c r="M317" i="35"/>
  <c r="I570" i="35"/>
  <c r="N410" i="35"/>
  <c r="O436" i="35"/>
  <c r="O414" i="35"/>
  <c r="L388" i="35"/>
  <c r="I312" i="35"/>
  <c r="K556" i="35"/>
  <c r="J321" i="35"/>
  <c r="M554" i="35"/>
  <c r="L391" i="35"/>
  <c r="I321" i="35"/>
  <c r="O409" i="35"/>
  <c r="L564" i="35"/>
  <c r="N571" i="35"/>
  <c r="M387" i="35"/>
  <c r="O398" i="35"/>
  <c r="M307" i="35"/>
  <c r="L566" i="35"/>
  <c r="O407" i="35"/>
  <c r="I403" i="35"/>
  <c r="L568" i="35"/>
  <c r="M316" i="35"/>
  <c r="M391" i="35"/>
  <c r="J324" i="35"/>
  <c r="N563" i="35"/>
  <c r="K309" i="35"/>
  <c r="M396" i="35"/>
  <c r="M310" i="35"/>
  <c r="L571" i="35"/>
  <c r="I407" i="35"/>
  <c r="O563" i="35"/>
  <c r="N427" i="35"/>
  <c r="M561" i="35"/>
  <c r="M392" i="35"/>
  <c r="K312" i="35"/>
  <c r="I324" i="35"/>
  <c r="M571" i="35"/>
  <c r="J319" i="35"/>
  <c r="O434" i="35"/>
  <c r="K402" i="35"/>
  <c r="K395" i="35"/>
  <c r="I409" i="35"/>
  <c r="K393" i="35"/>
  <c r="M397" i="35"/>
  <c r="L408" i="35"/>
  <c r="N395" i="35"/>
  <c r="O401" i="35"/>
  <c r="M309" i="35"/>
  <c r="O317" i="35"/>
  <c r="L432" i="35"/>
  <c r="O415" i="35"/>
  <c r="N434" i="35"/>
  <c r="I563" i="35"/>
  <c r="I317" i="35"/>
  <c r="L436" i="35"/>
  <c r="L560" i="35"/>
  <c r="I307" i="35"/>
  <c r="I558" i="35"/>
  <c r="L410" i="35"/>
  <c r="M403" i="35"/>
  <c r="K316" i="35"/>
  <c r="N409" i="35"/>
  <c r="N308" i="35"/>
  <c r="K566" i="35"/>
  <c r="O429" i="35"/>
  <c r="O431" i="35"/>
  <c r="N408" i="35"/>
  <c r="L316" i="35"/>
  <c r="O391" i="35"/>
  <c r="I408" i="35"/>
  <c r="M321" i="35"/>
  <c r="K397" i="35"/>
  <c r="L307" i="35"/>
  <c r="M313" i="35"/>
  <c r="L404" i="35"/>
  <c r="N387" i="35"/>
  <c r="N428" i="35"/>
  <c r="O416" i="35"/>
  <c r="I415" i="35"/>
  <c r="N560" i="35"/>
  <c r="M408" i="35"/>
  <c r="O396" i="35"/>
  <c r="L393" i="35"/>
  <c r="M429" i="35"/>
  <c r="O322" i="35"/>
  <c r="O432" i="35"/>
  <c r="O315" i="35"/>
  <c r="K391" i="35"/>
  <c r="M428" i="35"/>
  <c r="L395" i="35"/>
  <c r="J322" i="35"/>
  <c r="L559" i="35"/>
  <c r="K435" i="35"/>
  <c r="I320" i="35"/>
  <c r="I314" i="35"/>
  <c r="I397" i="35"/>
  <c r="M395" i="35"/>
  <c r="L881" i="35"/>
  <c r="N559" i="35"/>
  <c r="I428" i="35"/>
  <c r="L392" i="35"/>
  <c r="N568" i="35"/>
  <c r="N396" i="35"/>
  <c r="I410" i="35"/>
  <c r="N411" i="35"/>
  <c r="K320" i="35"/>
  <c r="O427" i="35"/>
  <c r="K564" i="35"/>
  <c r="M410" i="35"/>
  <c r="K570" i="35"/>
  <c r="J314" i="35"/>
  <c r="L310" i="35"/>
  <c r="I387" i="35"/>
  <c r="N565" i="35"/>
  <c r="I404" i="35"/>
  <c r="O392" i="35"/>
  <c r="O430" i="35"/>
  <c r="K322" i="35"/>
  <c r="I411" i="35"/>
  <c r="O564" i="35"/>
  <c r="I399" i="35"/>
  <c r="O308" i="35"/>
  <c r="M562" i="35"/>
  <c r="K881" i="35"/>
  <c r="I568" i="35"/>
  <c r="L403" i="35"/>
  <c r="M393" i="35"/>
  <c r="I436" i="35"/>
  <c r="N401" i="35"/>
  <c r="O559" i="35"/>
  <c r="I562" i="35"/>
  <c r="O312" i="35"/>
  <c r="O397" i="35"/>
  <c r="O402" i="35"/>
  <c r="M404" i="35"/>
  <c r="L563" i="35"/>
  <c r="I318" i="35"/>
  <c r="O433" i="35"/>
  <c r="J312" i="35"/>
  <c r="K416" i="35"/>
  <c r="M436" i="35"/>
  <c r="K567" i="35"/>
  <c r="O413" i="35"/>
  <c r="M308" i="35"/>
  <c r="O560" i="35"/>
  <c r="O567" i="35"/>
  <c r="I566" i="35"/>
  <c r="N321" i="35"/>
  <c r="L431" i="35"/>
  <c r="I402" i="35"/>
  <c r="K833" i="35"/>
  <c r="M430" i="35"/>
  <c r="O316" i="35"/>
  <c r="L428" i="35"/>
  <c r="K407" i="35"/>
  <c r="N567" i="35"/>
  <c r="L557" i="35"/>
  <c r="N319" i="35"/>
  <c r="K409" i="35"/>
  <c r="N400" i="35"/>
  <c r="O408" i="35"/>
  <c r="M415" i="35"/>
  <c r="I322" i="35"/>
  <c r="L562" i="35"/>
  <c r="N388" i="35"/>
  <c r="L411" i="35"/>
  <c r="O403" i="35"/>
  <c r="L415" i="35"/>
  <c r="K436" i="35"/>
  <c r="N557" i="35"/>
  <c r="M464" i="35"/>
  <c r="L556" i="35"/>
  <c r="N317" i="35"/>
  <c r="M398" i="35"/>
  <c r="L399" i="35"/>
  <c r="K565" i="35"/>
  <c r="J323" i="35"/>
  <c r="M567" i="35"/>
  <c r="O569" i="35"/>
  <c r="M559" i="35"/>
  <c r="K412" i="35"/>
  <c r="I389" i="35"/>
  <c r="N881" i="35"/>
  <c r="I416" i="35"/>
  <c r="K311" i="35"/>
  <c r="O313" i="35"/>
  <c r="N404" i="35"/>
  <c r="N435" i="35"/>
  <c r="L322" i="35"/>
  <c r="N316" i="35"/>
  <c r="I435" i="35"/>
  <c r="I390" i="35"/>
  <c r="I309" i="35"/>
  <c r="K559" i="35"/>
  <c r="E580" i="35" l="1"/>
  <c r="Q746" i="35" s="1"/>
  <c r="I349" i="35"/>
  <c r="I369" i="35"/>
  <c r="I489" i="35" s="1"/>
  <c r="N369" i="35"/>
  <c r="N489" i="35" s="1"/>
  <c r="L369" i="35"/>
  <c r="L489" i="35" s="1"/>
  <c r="K369" i="35"/>
  <c r="K489" i="35" s="1"/>
  <c r="M369" i="35"/>
  <c r="M489" i="35" s="1"/>
  <c r="O369" i="35"/>
  <c r="O489" i="35" s="1"/>
  <c r="N356" i="35"/>
  <c r="L362" i="35"/>
  <c r="O353" i="35"/>
  <c r="K351" i="35"/>
  <c r="N229" i="24"/>
  <c r="N229" i="18" s="1"/>
  <c r="E586" i="35"/>
  <c r="Q782" i="35" s="1"/>
  <c r="N357" i="35"/>
  <c r="I382" i="35"/>
  <c r="I502" i="35" s="1"/>
  <c r="M382" i="35"/>
  <c r="M502" i="35" s="1"/>
  <c r="L382" i="35"/>
  <c r="L502" i="35" s="1"/>
  <c r="I362" i="35"/>
  <c r="K382" i="35"/>
  <c r="K502" i="35" s="1"/>
  <c r="N382" i="35"/>
  <c r="N502" i="35" s="1"/>
  <c r="O382" i="35"/>
  <c r="O502" i="35" s="1"/>
  <c r="N359" i="35"/>
  <c r="O356" i="35"/>
  <c r="K34" i="24"/>
  <c r="K34" i="18" s="1"/>
  <c r="N361" i="35"/>
  <c r="M348" i="35"/>
  <c r="E588" i="35"/>
  <c r="Q794" i="35" s="1"/>
  <c r="I358" i="35"/>
  <c r="M378" i="35"/>
  <c r="M498" i="35" s="1"/>
  <c r="O378" i="35"/>
  <c r="O498" i="35" s="1"/>
  <c r="K378" i="35"/>
  <c r="K498" i="35" s="1"/>
  <c r="I378" i="35"/>
  <c r="I498" i="35" s="1"/>
  <c r="N378" i="35"/>
  <c r="N498" i="35" s="1"/>
  <c r="L378" i="35"/>
  <c r="L498" i="35" s="1"/>
  <c r="O352" i="35"/>
  <c r="K229" i="24"/>
  <c r="K229" i="18" s="1"/>
  <c r="O348" i="35"/>
  <c r="K362" i="35"/>
  <c r="L350" i="35"/>
  <c r="E591" i="35"/>
  <c r="Q812" i="35" s="1"/>
  <c r="E585" i="35"/>
  <c r="Q776" i="35" s="1"/>
  <c r="K360" i="35"/>
  <c r="L229" i="24"/>
  <c r="L229" i="18" s="1"/>
  <c r="N374" i="35"/>
  <c r="N494" i="35" s="1"/>
  <c r="M374" i="35"/>
  <c r="M494" i="35" s="1"/>
  <c r="O374" i="35"/>
  <c r="O494" i="35" s="1"/>
  <c r="I354" i="35"/>
  <c r="L374" i="35"/>
  <c r="L494" i="35" s="1"/>
  <c r="I374" i="35"/>
  <c r="I494" i="35" s="1"/>
  <c r="K374" i="35"/>
  <c r="K494" i="35" s="1"/>
  <c r="K380" i="35"/>
  <c r="K500" i="35" s="1"/>
  <c r="M380" i="35"/>
  <c r="M500" i="35" s="1"/>
  <c r="I380" i="35"/>
  <c r="I500" i="35" s="1"/>
  <c r="N380" i="35"/>
  <c r="N500" i="35" s="1"/>
  <c r="L380" i="35"/>
  <c r="L500" i="35" s="1"/>
  <c r="O380" i="35"/>
  <c r="O500" i="35" s="1"/>
  <c r="I360" i="35"/>
  <c r="O355" i="35"/>
  <c r="O362" i="35"/>
  <c r="M353" i="35"/>
  <c r="L347" i="35"/>
  <c r="M361" i="35"/>
  <c r="L356" i="35"/>
  <c r="E587" i="35"/>
  <c r="Q788" i="35" s="1"/>
  <c r="N348" i="35"/>
  <c r="K356" i="35"/>
  <c r="L367" i="35"/>
  <c r="L487" i="35" s="1"/>
  <c r="O367" i="35"/>
  <c r="O487" i="35" s="1"/>
  <c r="I367" i="35"/>
  <c r="I487" i="35" s="1"/>
  <c r="I347" i="35"/>
  <c r="N367" i="35"/>
  <c r="N487" i="35" s="1"/>
  <c r="K347" i="35"/>
  <c r="K367" i="35"/>
  <c r="K487" i="35" s="1"/>
  <c r="K527" i="35" s="1"/>
  <c r="M367" i="35"/>
  <c r="M487" i="35" s="1"/>
  <c r="I377" i="35"/>
  <c r="I497" i="35" s="1"/>
  <c r="I357" i="35"/>
  <c r="M377" i="35"/>
  <c r="M497" i="35" s="1"/>
  <c r="L377" i="35"/>
  <c r="L497" i="35" s="1"/>
  <c r="O377" i="35"/>
  <c r="O497" i="35" s="1"/>
  <c r="N377" i="35"/>
  <c r="N497" i="35" s="1"/>
  <c r="K377" i="35"/>
  <c r="K497" i="35" s="1"/>
  <c r="O357" i="35"/>
  <c r="M349" i="35"/>
  <c r="L384" i="35"/>
  <c r="L504" i="35" s="1"/>
  <c r="K384" i="35"/>
  <c r="K504" i="35" s="1"/>
  <c r="N384" i="35"/>
  <c r="N504" i="35" s="1"/>
  <c r="I384" i="35"/>
  <c r="I504" i="35" s="1"/>
  <c r="I364" i="35"/>
  <c r="O384" i="35"/>
  <c r="O504" i="35" s="1"/>
  <c r="M384" i="35"/>
  <c r="M504" i="35" s="1"/>
  <c r="M544" i="35" s="1"/>
  <c r="M364" i="35"/>
  <c r="K352" i="35"/>
  <c r="M350" i="35"/>
  <c r="K349" i="35"/>
  <c r="M356" i="35"/>
  <c r="M347" i="35"/>
  <c r="M381" i="35"/>
  <c r="M501" i="35" s="1"/>
  <c r="L381" i="35"/>
  <c r="L501" i="35" s="1"/>
  <c r="I381" i="35"/>
  <c r="I501" i="35" s="1"/>
  <c r="K381" i="35"/>
  <c r="K501" i="35" s="1"/>
  <c r="N381" i="35"/>
  <c r="N501" i="35" s="1"/>
  <c r="I361" i="35"/>
  <c r="O381" i="35"/>
  <c r="O501" i="35" s="1"/>
  <c r="E577" i="35"/>
  <c r="Q728" i="35" s="1"/>
  <c r="L372" i="35"/>
  <c r="L492" i="35" s="1"/>
  <c r="M372" i="35"/>
  <c r="M492" i="35" s="1"/>
  <c r="I352" i="35"/>
  <c r="N372" i="35"/>
  <c r="N492" i="35" s="1"/>
  <c r="O372" i="35"/>
  <c r="O492" i="35" s="1"/>
  <c r="I372" i="35"/>
  <c r="I492" i="35" s="1"/>
  <c r="K372" i="35"/>
  <c r="K492" i="35" s="1"/>
  <c r="M357" i="35"/>
  <c r="I348" i="35"/>
  <c r="M368" i="35"/>
  <c r="M488" i="35" s="1"/>
  <c r="O368" i="35"/>
  <c r="O488" i="35" s="1"/>
  <c r="K368" i="35"/>
  <c r="K488" i="35" s="1"/>
  <c r="L368" i="35"/>
  <c r="L488" i="35" s="1"/>
  <c r="N368" i="35"/>
  <c r="N488" i="35" s="1"/>
  <c r="I368" i="35"/>
  <c r="I488" i="35" s="1"/>
  <c r="K358" i="35"/>
  <c r="E582" i="35"/>
  <c r="Q758" i="35" s="1"/>
  <c r="N352" i="35"/>
  <c r="O379" i="35"/>
  <c r="O499" i="35" s="1"/>
  <c r="L379" i="35"/>
  <c r="L499" i="35" s="1"/>
  <c r="I359" i="35"/>
  <c r="K379" i="35"/>
  <c r="K499" i="35" s="1"/>
  <c r="M379" i="35"/>
  <c r="M499" i="35" s="1"/>
  <c r="N379" i="35"/>
  <c r="N499" i="35" s="1"/>
  <c r="I379" i="35"/>
  <c r="I499" i="35" s="1"/>
  <c r="M362" i="35"/>
  <c r="K364" i="35"/>
  <c r="L371" i="35"/>
  <c r="L491" i="35" s="1"/>
  <c r="O371" i="35"/>
  <c r="O491" i="35" s="1"/>
  <c r="M371" i="35"/>
  <c r="M491" i="35" s="1"/>
  <c r="K371" i="35"/>
  <c r="K491" i="35" s="1"/>
  <c r="I351" i="35"/>
  <c r="N371" i="35"/>
  <c r="N491" i="35" s="1"/>
  <c r="I371" i="35"/>
  <c r="I491" i="35" s="1"/>
  <c r="E583" i="35"/>
  <c r="Q764" i="35" s="1"/>
  <c r="N362" i="35"/>
  <c r="K357" i="35"/>
  <c r="O347" i="35"/>
  <c r="N355" i="35"/>
  <c r="N353" i="35"/>
  <c r="K373" i="35"/>
  <c r="K493" i="35" s="1"/>
  <c r="M373" i="35"/>
  <c r="M493" i="35" s="1"/>
  <c r="N373" i="35"/>
  <c r="N493" i="35" s="1"/>
  <c r="L373" i="35"/>
  <c r="L493" i="35" s="1"/>
  <c r="O373" i="35"/>
  <c r="O493" i="35" s="1"/>
  <c r="I373" i="35"/>
  <c r="I493" i="35" s="1"/>
  <c r="I353" i="35"/>
  <c r="M351" i="35"/>
  <c r="K355" i="35"/>
  <c r="N358" i="35"/>
  <c r="M376" i="35"/>
  <c r="M496" i="35" s="1"/>
  <c r="O376" i="35"/>
  <c r="O496" i="35" s="1"/>
  <c r="K376" i="35"/>
  <c r="K496" i="35" s="1"/>
  <c r="L376" i="35"/>
  <c r="L496" i="35" s="1"/>
  <c r="I376" i="35"/>
  <c r="I496" i="35" s="1"/>
  <c r="N376" i="35"/>
  <c r="N496" i="35" s="1"/>
  <c r="I356" i="35"/>
  <c r="L355" i="35"/>
  <c r="L34" i="24"/>
  <c r="L34" i="18" s="1"/>
  <c r="O354" i="35"/>
  <c r="K359" i="35"/>
  <c r="O364" i="35"/>
  <c r="O351" i="35"/>
  <c r="N354" i="35"/>
  <c r="K363" i="35"/>
  <c r="E576" i="35"/>
  <c r="Q722" i="35" s="1"/>
  <c r="M360" i="35"/>
  <c r="N363" i="35"/>
  <c r="L363" i="35"/>
  <c r="E589" i="35"/>
  <c r="Q800" i="35" s="1"/>
  <c r="L364" i="35"/>
  <c r="L354" i="35"/>
  <c r="L359" i="35"/>
  <c r="E581" i="35"/>
  <c r="Q752" i="35" s="1"/>
  <c r="E592" i="35"/>
  <c r="Q818" i="35" s="1"/>
  <c r="M359" i="35"/>
  <c r="N350" i="35"/>
  <c r="O363" i="35"/>
  <c r="M352" i="35"/>
  <c r="L360" i="35"/>
  <c r="K354" i="35"/>
  <c r="N34" i="24"/>
  <c r="N34" i="18" s="1"/>
  <c r="M355" i="35"/>
  <c r="M363" i="35"/>
  <c r="O229" i="24"/>
  <c r="O229" i="18" s="1"/>
  <c r="E590" i="35"/>
  <c r="Q806" i="35" s="1"/>
  <c r="N351" i="35"/>
  <c r="L351" i="35"/>
  <c r="E584" i="35"/>
  <c r="Q770" i="35" s="1"/>
  <c r="E579" i="35"/>
  <c r="Q740" i="35" s="1"/>
  <c r="O349" i="35"/>
  <c r="L349" i="35"/>
  <c r="L353" i="35"/>
  <c r="K350" i="35"/>
  <c r="O350" i="35"/>
  <c r="L352" i="35"/>
  <c r="N349" i="35"/>
  <c r="K361" i="35"/>
  <c r="K353" i="35"/>
  <c r="M229" i="24"/>
  <c r="M229" i="18" s="1"/>
  <c r="E575" i="35"/>
  <c r="Q716" i="35" s="1"/>
  <c r="K348" i="35"/>
  <c r="O34" i="24"/>
  <c r="O34" i="18" s="1"/>
  <c r="N364" i="35"/>
  <c r="N347" i="35"/>
  <c r="O358" i="35"/>
  <c r="I370" i="35"/>
  <c r="I490" i="35" s="1"/>
  <c r="O370" i="35"/>
  <c r="O490" i="35" s="1"/>
  <c r="K370" i="35"/>
  <c r="K490" i="35" s="1"/>
  <c r="N370" i="35"/>
  <c r="N490" i="35" s="1"/>
  <c r="I350" i="35"/>
  <c r="L370" i="35"/>
  <c r="L490" i="35" s="1"/>
  <c r="M370" i="35"/>
  <c r="M490" i="35" s="1"/>
  <c r="O360" i="35"/>
  <c r="O361" i="35"/>
  <c r="L383" i="35"/>
  <c r="L503" i="35" s="1"/>
  <c r="M383" i="35"/>
  <c r="M503" i="35" s="1"/>
  <c r="I363" i="35"/>
  <c r="I383" i="35"/>
  <c r="I503" i="35" s="1"/>
  <c r="O383" i="35"/>
  <c r="O503" i="35" s="1"/>
  <c r="K383" i="35"/>
  <c r="K503" i="35" s="1"/>
  <c r="N383" i="35"/>
  <c r="N503" i="35" s="1"/>
  <c r="L358" i="35"/>
  <c r="N360" i="35"/>
  <c r="M358" i="35"/>
  <c r="E578" i="35"/>
  <c r="Q734" i="35" s="1"/>
  <c r="L348" i="35"/>
  <c r="M354" i="35"/>
  <c r="L361" i="35"/>
  <c r="L357" i="35"/>
  <c r="O359" i="35"/>
  <c r="M34" i="24"/>
  <c r="M34" i="18" s="1"/>
  <c r="L375" i="35"/>
  <c r="L495" i="35" s="1"/>
  <c r="N375" i="35"/>
  <c r="N495" i="35" s="1"/>
  <c r="M375" i="35"/>
  <c r="M495" i="35" s="1"/>
  <c r="K375" i="35"/>
  <c r="K495" i="35" s="1"/>
  <c r="I375" i="35"/>
  <c r="I495" i="35" s="1"/>
  <c r="I355" i="35"/>
  <c r="O375" i="35"/>
  <c r="O495" i="35" s="1"/>
  <c r="I462" i="35"/>
  <c r="N461" i="35"/>
  <c r="I458" i="35"/>
  <c r="K462" i="35"/>
  <c r="O462" i="35"/>
  <c r="L456" i="35"/>
  <c r="I457" i="35"/>
  <c r="O457" i="35"/>
  <c r="J459" i="35"/>
  <c r="M450" i="35"/>
  <c r="J464" i="35"/>
  <c r="M447" i="35"/>
  <c r="I461" i="35"/>
  <c r="M457" i="35"/>
  <c r="N452" i="35"/>
  <c r="I459" i="35"/>
  <c r="M451" i="35"/>
  <c r="I456" i="35"/>
  <c r="O451" i="35"/>
  <c r="K463" i="35"/>
  <c r="M460" i="35"/>
  <c r="L463" i="35"/>
  <c r="L464" i="35"/>
  <c r="M459" i="35"/>
  <c r="L460" i="35"/>
  <c r="K454" i="35"/>
  <c r="N451" i="35"/>
  <c r="L452" i="35"/>
  <c r="N464" i="35"/>
  <c r="L457" i="35"/>
  <c r="I449" i="35"/>
  <c r="O456" i="35"/>
  <c r="M449" i="35"/>
  <c r="M456" i="35"/>
  <c r="K464" i="35"/>
  <c r="I453" i="35"/>
  <c r="K455" i="35"/>
  <c r="O464" i="35"/>
  <c r="L454" i="35"/>
  <c r="M455" i="35"/>
  <c r="O449" i="35"/>
  <c r="J453" i="35"/>
  <c r="O460" i="35"/>
  <c r="M458" i="35"/>
  <c r="L461" i="35"/>
  <c r="L462" i="35"/>
  <c r="K451" i="35"/>
  <c r="M448" i="35"/>
  <c r="O452" i="35"/>
  <c r="J454" i="35"/>
  <c r="M453" i="35"/>
  <c r="N448" i="35"/>
  <c r="K449" i="35"/>
  <c r="M462" i="35"/>
  <c r="L455" i="35"/>
  <c r="N454" i="35"/>
  <c r="J450" i="35"/>
  <c r="L451" i="35"/>
  <c r="L453" i="35"/>
  <c r="O450" i="35"/>
  <c r="K461" i="35"/>
  <c r="O458" i="35"/>
  <c r="J458" i="35"/>
  <c r="N457" i="35"/>
  <c r="J452" i="35"/>
  <c r="L450" i="35"/>
  <c r="J462" i="35"/>
  <c r="L447" i="35"/>
  <c r="I447" i="35"/>
  <c r="J461" i="35"/>
  <c r="I452" i="35"/>
  <c r="K458" i="35"/>
  <c r="I451" i="35"/>
  <c r="N462" i="35"/>
  <c r="O447" i="35"/>
  <c r="J448" i="35"/>
  <c r="J460" i="35"/>
  <c r="N463" i="35"/>
  <c r="J451" i="35"/>
  <c r="O463" i="35"/>
  <c r="M463" i="35"/>
  <c r="L449" i="35"/>
  <c r="K450" i="35"/>
  <c r="J449" i="35"/>
  <c r="K453" i="35"/>
  <c r="K448" i="35"/>
  <c r="N447" i="35"/>
  <c r="I450" i="35"/>
  <c r="O461" i="35"/>
  <c r="I463" i="35"/>
  <c r="N460" i="35"/>
  <c r="L448" i="35"/>
  <c r="N456" i="35"/>
  <c r="O453" i="35"/>
  <c r="J463" i="35"/>
  <c r="O448" i="35"/>
  <c r="I454" i="35"/>
  <c r="K456" i="35"/>
  <c r="I464" i="35"/>
  <c r="K452" i="35"/>
  <c r="J455" i="35"/>
  <c r="J457" i="35"/>
  <c r="N453" i="35"/>
  <c r="O454" i="35"/>
  <c r="N450" i="35"/>
  <c r="J456" i="35"/>
  <c r="L458" i="35"/>
  <c r="O459" i="35"/>
  <c r="N459" i="35"/>
  <c r="K460" i="35"/>
  <c r="I460" i="35"/>
  <c r="O455" i="35"/>
  <c r="M461" i="35"/>
  <c r="I448" i="35"/>
  <c r="K457" i="35"/>
  <c r="N455" i="35"/>
  <c r="N458" i="35"/>
  <c r="K459" i="35"/>
  <c r="L459" i="35"/>
  <c r="M452" i="35"/>
  <c r="N449" i="35"/>
  <c r="M454" i="35"/>
  <c r="I455" i="35"/>
  <c r="I535" i="35" l="1"/>
  <c r="I475" i="35"/>
  <c r="I515" i="35" s="1"/>
  <c r="M474" i="35"/>
  <c r="M514" i="35" s="1"/>
  <c r="M602" i="35" s="1"/>
  <c r="M534" i="35"/>
  <c r="N469" i="35"/>
  <c r="N509" i="35" s="1"/>
  <c r="N597" i="35" s="1"/>
  <c r="N637" i="35" s="1"/>
  <c r="N657" i="35" s="1"/>
  <c r="N529" i="35"/>
  <c r="M532" i="35"/>
  <c r="M472" i="35"/>
  <c r="M512" i="35" s="1"/>
  <c r="M600" i="35" s="1"/>
  <c r="L539" i="35"/>
  <c r="L479" i="35"/>
  <c r="L519" i="35" s="1"/>
  <c r="L607" i="35" s="1"/>
  <c r="K479" i="35"/>
  <c r="K519" i="35" s="1"/>
  <c r="K607" i="35" s="1"/>
  <c r="K539" i="35"/>
  <c r="N478" i="35"/>
  <c r="N518" i="35" s="1"/>
  <c r="N606" i="35" s="1"/>
  <c r="N538" i="35"/>
  <c r="N475" i="35"/>
  <c r="N515" i="35" s="1"/>
  <c r="N603" i="35" s="1"/>
  <c r="N535" i="35"/>
  <c r="K537" i="35"/>
  <c r="K477" i="35"/>
  <c r="K517" i="35" s="1"/>
  <c r="K605" i="35" s="1"/>
  <c r="I528" i="35"/>
  <c r="I468" i="35"/>
  <c r="I508" i="35" s="1"/>
  <c r="M481" i="35"/>
  <c r="M521" i="35" s="1"/>
  <c r="M609" i="35" s="1"/>
  <c r="M649" i="35" s="1"/>
  <c r="M669" i="35" s="1"/>
  <c r="M541" i="35"/>
  <c r="O475" i="35"/>
  <c r="O515" i="35" s="1"/>
  <c r="O603" i="35" s="1"/>
  <c r="O535" i="35"/>
  <c r="I540" i="35"/>
  <c r="I480" i="35"/>
  <c r="I520" i="35" s="1"/>
  <c r="K540" i="35"/>
  <c r="K480" i="35"/>
  <c r="K520" i="35" s="1"/>
  <c r="K608" i="35" s="1"/>
  <c r="N479" i="35"/>
  <c r="N519" i="35" s="1"/>
  <c r="N607" i="35" s="1"/>
  <c r="N539" i="35"/>
  <c r="O479" i="35"/>
  <c r="O519" i="35" s="1"/>
  <c r="O607" i="35" s="1"/>
  <c r="O539" i="35"/>
  <c r="L478" i="35"/>
  <c r="L518" i="35" s="1"/>
  <c r="L606" i="35" s="1"/>
  <c r="L538" i="35"/>
  <c r="N470" i="35"/>
  <c r="N510" i="35" s="1"/>
  <c r="N598" i="35" s="1"/>
  <c r="N530" i="35"/>
  <c r="O534" i="35"/>
  <c r="O474" i="35"/>
  <c r="O514" i="35" s="1"/>
  <c r="O602" i="35" s="1"/>
  <c r="N473" i="35"/>
  <c r="N513" i="35" s="1"/>
  <c r="N601" i="35" s="1"/>
  <c r="N533" i="35"/>
  <c r="K472" i="35"/>
  <c r="K512" i="35" s="1"/>
  <c r="K600" i="35" s="1"/>
  <c r="K532" i="35"/>
  <c r="I544" i="35"/>
  <c r="I484" i="35"/>
  <c r="I524" i="35" s="1"/>
  <c r="M484" i="35"/>
  <c r="M524" i="35" s="1"/>
  <c r="M612" i="35" s="1"/>
  <c r="K536" i="35"/>
  <c r="K476" i="35"/>
  <c r="K516" i="35" s="1"/>
  <c r="K604" i="35" s="1"/>
  <c r="I534" i="35"/>
  <c r="I474" i="35"/>
  <c r="I514" i="35" s="1"/>
  <c r="O528" i="35"/>
  <c r="O468" i="35"/>
  <c r="O508" i="35" s="1"/>
  <c r="O596" i="35" s="1"/>
  <c r="O533" i="35"/>
  <c r="O473" i="35"/>
  <c r="O513" i="35" s="1"/>
  <c r="O601" i="35" s="1"/>
  <c r="N536" i="35"/>
  <c r="N476" i="35"/>
  <c r="N516" i="35" s="1"/>
  <c r="N604" i="35" s="1"/>
  <c r="L468" i="35"/>
  <c r="L508" i="35" s="1"/>
  <c r="L596" i="35" s="1"/>
  <c r="L528" i="35"/>
  <c r="N540" i="35"/>
  <c r="N480" i="35"/>
  <c r="N520" i="35" s="1"/>
  <c r="N608" i="35" s="1"/>
  <c r="I483" i="35"/>
  <c r="I523" i="35" s="1"/>
  <c r="I543" i="35"/>
  <c r="O541" i="35"/>
  <c r="O481" i="35"/>
  <c r="O521" i="35" s="1"/>
  <c r="O609" i="35" s="1"/>
  <c r="O649" i="35" s="1"/>
  <c r="O669" i="35" s="1"/>
  <c r="I470" i="35"/>
  <c r="I510" i="35" s="1"/>
  <c r="I530" i="35"/>
  <c r="N467" i="35"/>
  <c r="N507" i="35" s="1"/>
  <c r="N595" i="35" s="1"/>
  <c r="N527" i="35"/>
  <c r="K468" i="35"/>
  <c r="K508" i="35" s="1"/>
  <c r="K596" i="35" s="1"/>
  <c r="K528" i="35"/>
  <c r="K473" i="35"/>
  <c r="K513" i="35" s="1"/>
  <c r="K601" i="35" s="1"/>
  <c r="K533" i="35"/>
  <c r="K470" i="35"/>
  <c r="K510" i="35" s="1"/>
  <c r="K598" i="35" s="1"/>
  <c r="K530" i="35"/>
  <c r="L529" i="35"/>
  <c r="L469" i="35"/>
  <c r="L509" i="35" s="1"/>
  <c r="L597" i="35" s="1"/>
  <c r="L637" i="35" s="1"/>
  <c r="L657" i="35" s="1"/>
  <c r="M543" i="35"/>
  <c r="M483" i="35"/>
  <c r="M523" i="35" s="1"/>
  <c r="M611" i="35" s="1"/>
  <c r="O543" i="35"/>
  <c r="O483" i="35"/>
  <c r="O523" i="35" s="1"/>
  <c r="O611" i="35" s="1"/>
  <c r="N483" i="35"/>
  <c r="N523" i="35" s="1"/>
  <c r="N611" i="35" s="1"/>
  <c r="N543" i="35"/>
  <c r="O467" i="35"/>
  <c r="O507" i="35" s="1"/>
  <c r="O595" i="35" s="1"/>
  <c r="O527" i="35"/>
  <c r="N482" i="35"/>
  <c r="N522" i="35" s="1"/>
  <c r="N610" i="35" s="1"/>
  <c r="N542" i="35"/>
  <c r="I471" i="35"/>
  <c r="I511" i="35" s="1"/>
  <c r="I531" i="35"/>
  <c r="K478" i="35"/>
  <c r="K518" i="35" s="1"/>
  <c r="K606" i="35" s="1"/>
  <c r="K538" i="35"/>
  <c r="I472" i="35"/>
  <c r="I512" i="35" s="1"/>
  <c r="I532" i="35"/>
  <c r="K467" i="35"/>
  <c r="K507" i="35" s="1"/>
  <c r="K595" i="35" s="1"/>
  <c r="I527" i="35"/>
  <c r="I467" i="35"/>
  <c r="I507" i="35" s="1"/>
  <c r="L527" i="35"/>
  <c r="L467" i="35"/>
  <c r="L507" i="35" s="1"/>
  <c r="L595" i="35" s="1"/>
  <c r="L530" i="35"/>
  <c r="L470" i="35"/>
  <c r="L510" i="35" s="1"/>
  <c r="L598" i="35" s="1"/>
  <c r="N537" i="35"/>
  <c r="N477" i="35"/>
  <c r="N517" i="35" s="1"/>
  <c r="N605" i="35" s="1"/>
  <c r="O478" i="35"/>
  <c r="O518" i="35" s="1"/>
  <c r="O606" i="35" s="1"/>
  <c r="O538" i="35"/>
  <c r="K481" i="35"/>
  <c r="K521" i="35" s="1"/>
  <c r="K609" i="35" s="1"/>
  <c r="K541" i="35"/>
  <c r="O470" i="35"/>
  <c r="O510" i="35" s="1"/>
  <c r="O598" i="35" s="1"/>
  <c r="O530" i="35"/>
  <c r="L473" i="35"/>
  <c r="L513" i="35" s="1"/>
  <c r="L601" i="35" s="1"/>
  <c r="L533" i="35"/>
  <c r="L471" i="35"/>
  <c r="L511" i="35" s="1"/>
  <c r="L599" i="35" s="1"/>
  <c r="L531" i="35"/>
  <c r="N474" i="35"/>
  <c r="N514" i="35" s="1"/>
  <c r="N602" i="35" s="1"/>
  <c r="N534" i="35"/>
  <c r="L475" i="35"/>
  <c r="L515" i="35" s="1"/>
  <c r="L603" i="35" s="1"/>
  <c r="L535" i="35"/>
  <c r="M482" i="35"/>
  <c r="M522" i="35" s="1"/>
  <c r="M610" i="35" s="1"/>
  <c r="M542" i="35"/>
  <c r="K469" i="35"/>
  <c r="K509" i="35" s="1"/>
  <c r="K597" i="35" s="1"/>
  <c r="K529" i="35"/>
  <c r="N468" i="35"/>
  <c r="N508" i="35" s="1"/>
  <c r="N596" i="35" s="1"/>
  <c r="N528" i="35"/>
  <c r="M533" i="35"/>
  <c r="M473" i="35"/>
  <c r="M513" i="35" s="1"/>
  <c r="M601" i="35" s="1"/>
  <c r="O472" i="35"/>
  <c r="O512" i="35" s="1"/>
  <c r="O600" i="35" s="1"/>
  <c r="O532" i="35"/>
  <c r="M528" i="35"/>
  <c r="M468" i="35"/>
  <c r="M508" i="35" s="1"/>
  <c r="M596" i="35" s="1"/>
  <c r="K531" i="35"/>
  <c r="K471" i="35"/>
  <c r="K511" i="35" s="1"/>
  <c r="K599" i="35" s="1"/>
  <c r="L542" i="35"/>
  <c r="L482" i="35"/>
  <c r="L522" i="35" s="1"/>
  <c r="L610" i="35" s="1"/>
  <c r="L541" i="35"/>
  <c r="L481" i="35"/>
  <c r="L521" i="35" s="1"/>
  <c r="L609" i="35" s="1"/>
  <c r="L649" i="35" s="1"/>
  <c r="L669" i="35" s="1"/>
  <c r="M478" i="35"/>
  <c r="M518" i="35" s="1"/>
  <c r="M606" i="35" s="1"/>
  <c r="M538" i="35"/>
  <c r="O540" i="35"/>
  <c r="O480" i="35"/>
  <c r="O520" i="35" s="1"/>
  <c r="O608" i="35" s="1"/>
  <c r="O469" i="35"/>
  <c r="O509" i="35" s="1"/>
  <c r="O597" i="35" s="1"/>
  <c r="O637" i="35" s="1"/>
  <c r="O657" i="35" s="1"/>
  <c r="O529" i="35"/>
  <c r="M535" i="35"/>
  <c r="M475" i="35"/>
  <c r="M515" i="35" s="1"/>
  <c r="M603" i="35" s="1"/>
  <c r="L534" i="35"/>
  <c r="L474" i="35"/>
  <c r="L514" i="35" s="1"/>
  <c r="L602" i="35" s="1"/>
  <c r="O544" i="35"/>
  <c r="O484" i="35"/>
  <c r="O524" i="35" s="1"/>
  <c r="O612" i="35" s="1"/>
  <c r="K475" i="35"/>
  <c r="K515" i="35" s="1"/>
  <c r="K603" i="35" s="1"/>
  <c r="K535" i="35"/>
  <c r="I473" i="35"/>
  <c r="I513" i="35" s="1"/>
  <c r="I533" i="35"/>
  <c r="K544" i="35"/>
  <c r="K484" i="35"/>
  <c r="K524" i="35" s="1"/>
  <c r="K612" i="35" s="1"/>
  <c r="M476" i="35"/>
  <c r="M516" i="35" s="1"/>
  <c r="M604" i="35" s="1"/>
  <c r="M536" i="35"/>
  <c r="M469" i="35"/>
  <c r="M509" i="35" s="1"/>
  <c r="M597" i="35" s="1"/>
  <c r="M637" i="35" s="1"/>
  <c r="M657" i="35" s="1"/>
  <c r="M529" i="35"/>
  <c r="O476" i="35"/>
  <c r="O516" i="35" s="1"/>
  <c r="O604" i="35" s="1"/>
  <c r="O536" i="35"/>
  <c r="I469" i="35"/>
  <c r="I509" i="35" s="1"/>
  <c r="I529" i="35"/>
  <c r="L537" i="35"/>
  <c r="L477" i="35"/>
  <c r="L517" i="35" s="1"/>
  <c r="L605" i="35" s="1"/>
  <c r="N484" i="35"/>
  <c r="N524" i="35" s="1"/>
  <c r="N612" i="35" s="1"/>
  <c r="N544" i="35"/>
  <c r="L472" i="35"/>
  <c r="L512" i="35" s="1"/>
  <c r="L600" i="35" s="1"/>
  <c r="L532" i="35"/>
  <c r="N471" i="35"/>
  <c r="N511" i="35" s="1"/>
  <c r="N599" i="35" s="1"/>
  <c r="N531" i="35"/>
  <c r="K534" i="35"/>
  <c r="K474" i="35"/>
  <c r="K514" i="35" s="1"/>
  <c r="K602" i="35" s="1"/>
  <c r="L480" i="35"/>
  <c r="L520" i="35" s="1"/>
  <c r="L608" i="35" s="1"/>
  <c r="L540" i="35"/>
  <c r="M539" i="35"/>
  <c r="M479" i="35"/>
  <c r="M519" i="35" s="1"/>
  <c r="M607" i="35" s="1"/>
  <c r="L544" i="35"/>
  <c r="L484" i="35"/>
  <c r="L524" i="35" s="1"/>
  <c r="L612" i="35" s="1"/>
  <c r="L483" i="35"/>
  <c r="L523" i="35" s="1"/>
  <c r="L611" i="35" s="1"/>
  <c r="L543" i="35"/>
  <c r="M480" i="35"/>
  <c r="M520" i="35" s="1"/>
  <c r="M608" i="35" s="1"/>
  <c r="M540" i="35"/>
  <c r="K543" i="35"/>
  <c r="K483" i="35"/>
  <c r="K523" i="35" s="1"/>
  <c r="K611" i="35" s="1"/>
  <c r="O531" i="35"/>
  <c r="O471" i="35"/>
  <c r="O511" i="35" s="1"/>
  <c r="O599" i="35" s="1"/>
  <c r="I476" i="35"/>
  <c r="I516" i="35" s="1"/>
  <c r="I536" i="35"/>
  <c r="M531" i="35"/>
  <c r="M471" i="35"/>
  <c r="M511" i="35" s="1"/>
  <c r="M599" i="35" s="1"/>
  <c r="I479" i="35"/>
  <c r="I519" i="35" s="1"/>
  <c r="I539" i="35"/>
  <c r="N472" i="35"/>
  <c r="N512" i="35" s="1"/>
  <c r="N600" i="35" s="1"/>
  <c r="N532" i="35"/>
  <c r="M477" i="35"/>
  <c r="M517" i="35" s="1"/>
  <c r="M605" i="35" s="1"/>
  <c r="M537" i="35"/>
  <c r="I481" i="35"/>
  <c r="I521" i="35" s="1"/>
  <c r="I541" i="35"/>
  <c r="M467" i="35"/>
  <c r="M507" i="35" s="1"/>
  <c r="M595" i="35" s="1"/>
  <c r="M527" i="35"/>
  <c r="M470" i="35"/>
  <c r="M510" i="35" s="1"/>
  <c r="M598" i="35" s="1"/>
  <c r="M530" i="35"/>
  <c r="O477" i="35"/>
  <c r="O517" i="35" s="1"/>
  <c r="O605" i="35" s="1"/>
  <c r="O537" i="35"/>
  <c r="I477" i="35"/>
  <c r="I517" i="35" s="1"/>
  <c r="I537" i="35"/>
  <c r="L476" i="35"/>
  <c r="L516" i="35" s="1"/>
  <c r="L604" i="35" s="1"/>
  <c r="L536" i="35"/>
  <c r="O542" i="35"/>
  <c r="O482" i="35"/>
  <c r="O522" i="35" s="1"/>
  <c r="O610" i="35" s="1"/>
  <c r="K542" i="35"/>
  <c r="K482" i="35"/>
  <c r="K522" i="35" s="1"/>
  <c r="K610" i="35" s="1"/>
  <c r="I538" i="35"/>
  <c r="I478" i="35"/>
  <c r="I518" i="35" s="1"/>
  <c r="N541" i="35"/>
  <c r="N481" i="35"/>
  <c r="N521" i="35" s="1"/>
  <c r="N609" i="35" s="1"/>
  <c r="N649" i="35" s="1"/>
  <c r="N669" i="35" s="1"/>
  <c r="I482" i="35"/>
  <c r="I522" i="35" s="1"/>
  <c r="I542" i="35"/>
  <c r="W716" i="35"/>
  <c r="W718" i="35"/>
  <c r="W717" i="35"/>
  <c r="W808" i="35"/>
  <c r="W807" i="35"/>
  <c r="W806" i="35"/>
  <c r="K57" i="3"/>
  <c r="H68" i="17"/>
  <c r="H68" i="38"/>
  <c r="W782" i="35"/>
  <c r="W783" i="35"/>
  <c r="W784" i="35"/>
  <c r="J354" i="38"/>
  <c r="M369" i="3"/>
  <c r="J354" i="17"/>
  <c r="O369" i="3"/>
  <c r="L354" i="38"/>
  <c r="L354" i="17"/>
  <c r="W801" i="35"/>
  <c r="W802" i="35"/>
  <c r="W800" i="35"/>
  <c r="W728" i="35"/>
  <c r="W730" i="35"/>
  <c r="W729" i="35"/>
  <c r="W742" i="35"/>
  <c r="W741" i="35"/>
  <c r="W740" i="35"/>
  <c r="K68" i="38"/>
  <c r="K68" i="17"/>
  <c r="N57" i="3"/>
  <c r="W754" i="35"/>
  <c r="W752" i="35"/>
  <c r="W753" i="35"/>
  <c r="W776" i="35"/>
  <c r="W778" i="35"/>
  <c r="W777" i="35"/>
  <c r="K354" i="38"/>
  <c r="K354" i="17"/>
  <c r="N369" i="3"/>
  <c r="J68" i="38"/>
  <c r="M57" i="3"/>
  <c r="J68" i="17"/>
  <c r="W766" i="35"/>
  <c r="W765" i="35"/>
  <c r="W764" i="35"/>
  <c r="W758" i="35"/>
  <c r="W760" i="35"/>
  <c r="W759" i="35"/>
  <c r="L68" i="17"/>
  <c r="O57" i="3"/>
  <c r="L68" i="38"/>
  <c r="W820" i="35"/>
  <c r="W819" i="35"/>
  <c r="W818" i="35"/>
  <c r="W724" i="35"/>
  <c r="W722" i="35"/>
  <c r="W723" i="35"/>
  <c r="W790" i="35"/>
  <c r="W788" i="35"/>
  <c r="W789" i="35"/>
  <c r="W735" i="35"/>
  <c r="W734" i="35"/>
  <c r="W736" i="35"/>
  <c r="W772" i="35"/>
  <c r="W771" i="35"/>
  <c r="W770" i="35"/>
  <c r="L57" i="3"/>
  <c r="I68" i="17"/>
  <c r="I68" i="38"/>
  <c r="I354" i="17"/>
  <c r="L369" i="3"/>
  <c r="I354" i="38"/>
  <c r="W814" i="35"/>
  <c r="W812" i="35"/>
  <c r="W813" i="35"/>
  <c r="H354" i="17"/>
  <c r="K369" i="3"/>
  <c r="H354" i="38"/>
  <c r="W796" i="35"/>
  <c r="W794" i="35"/>
  <c r="W795" i="35"/>
  <c r="W748" i="35"/>
  <c r="W746" i="35"/>
  <c r="W747" i="35"/>
  <c r="O470" i="4" l="1"/>
  <c r="O115" i="4"/>
  <c r="N470" i="4"/>
  <c r="N115" i="4"/>
  <c r="M483" i="4"/>
  <c r="M128" i="4"/>
  <c r="Q610" i="35"/>
  <c r="S610" i="35" s="1"/>
  <c r="Q611" i="35"/>
  <c r="S611" i="35" s="1"/>
  <c r="Q602" i="35"/>
  <c r="S602" i="35" s="1"/>
  <c r="Q599" i="35"/>
  <c r="S599" i="35" s="1"/>
  <c r="Q595" i="35"/>
  <c r="S595" i="35" s="1"/>
  <c r="Q606" i="35"/>
  <c r="S606" i="35" s="1"/>
  <c r="Q598" i="35"/>
  <c r="S598" i="35" s="1"/>
  <c r="Q596" i="35"/>
  <c r="S596" i="35" s="1"/>
  <c r="Q608" i="35"/>
  <c r="S608" i="35" s="1"/>
  <c r="K128" i="4"/>
  <c r="K483" i="4"/>
  <c r="M115" i="4"/>
  <c r="M470" i="4"/>
  <c r="K649" i="35"/>
  <c r="K669" i="35" s="1"/>
  <c r="E689" i="35" s="1"/>
  <c r="Q609" i="35"/>
  <c r="S609" i="35" s="1"/>
  <c r="U609" i="35" s="1"/>
  <c r="Q604" i="35"/>
  <c r="S604" i="35" s="1"/>
  <c r="Q607" i="35"/>
  <c r="S607" i="35" s="1"/>
  <c r="O128" i="4"/>
  <c r="O483" i="4"/>
  <c r="Q612" i="35"/>
  <c r="S612" i="35" s="1"/>
  <c r="Q601" i="35"/>
  <c r="S601" i="35" s="1"/>
  <c r="Q605" i="35"/>
  <c r="S605" i="35" s="1"/>
  <c r="L483" i="4"/>
  <c r="L128" i="4"/>
  <c r="L470" i="4"/>
  <c r="L115" i="4"/>
  <c r="N483" i="4"/>
  <c r="N128" i="4"/>
  <c r="K470" i="4"/>
  <c r="K115" i="4"/>
  <c r="Q603" i="35"/>
  <c r="S603" i="35" s="1"/>
  <c r="K637" i="35"/>
  <c r="K657" i="35" s="1"/>
  <c r="E677" i="35" s="1"/>
  <c r="Q597" i="35"/>
  <c r="S597" i="35" s="1"/>
  <c r="U597" i="35" s="1"/>
  <c r="Q600" i="35"/>
  <c r="S600" i="35" s="1"/>
  <c r="E697" i="35" l="1"/>
  <c r="I31" i="4" s="1"/>
  <c r="I71" i="4" s="1"/>
  <c r="I91" i="4" s="1"/>
  <c r="I51" i="4"/>
  <c r="K625" i="35"/>
  <c r="M625" i="35"/>
  <c r="N625" i="35"/>
  <c r="U605" i="35"/>
  <c r="O625" i="35"/>
  <c r="L625" i="35"/>
  <c r="O621" i="35"/>
  <c r="L621" i="35"/>
  <c r="N621" i="35"/>
  <c r="U601" i="35"/>
  <c r="M621" i="35"/>
  <c r="K621" i="35"/>
  <c r="O632" i="35"/>
  <c r="N632" i="35"/>
  <c r="U612" i="35"/>
  <c r="L632" i="35"/>
  <c r="M632" i="35"/>
  <c r="K632" i="35"/>
  <c r="M624" i="35"/>
  <c r="K624" i="35"/>
  <c r="O624" i="35"/>
  <c r="L624" i="35"/>
  <c r="N624" i="35"/>
  <c r="U604" i="35"/>
  <c r="M630" i="35"/>
  <c r="O630" i="35"/>
  <c r="U610" i="35"/>
  <c r="N630" i="35"/>
  <c r="K630" i="35"/>
  <c r="L630" i="35"/>
  <c r="E709" i="35"/>
  <c r="I44" i="4" s="1"/>
  <c r="I84" i="4" s="1"/>
  <c r="I104" i="4" s="1"/>
  <c r="I64" i="4"/>
  <c r="L628" i="35"/>
  <c r="K628" i="35"/>
  <c r="M628" i="35"/>
  <c r="U608" i="35"/>
  <c r="O628" i="35"/>
  <c r="N628" i="35"/>
  <c r="M631" i="35"/>
  <c r="O631" i="35"/>
  <c r="N631" i="35"/>
  <c r="U611" i="35"/>
  <c r="K631" i="35"/>
  <c r="L631" i="35"/>
  <c r="L620" i="35"/>
  <c r="U600" i="35"/>
  <c r="N620" i="35"/>
  <c r="K620" i="35"/>
  <c r="O620" i="35"/>
  <c r="M620" i="35"/>
  <c r="U603" i="35"/>
  <c r="L623" i="35"/>
  <c r="O623" i="35"/>
  <c r="N623" i="35"/>
  <c r="K623" i="35"/>
  <c r="M623" i="35"/>
  <c r="L618" i="35"/>
  <c r="M618" i="35"/>
  <c r="N618" i="35"/>
  <c r="O618" i="35"/>
  <c r="K618" i="35"/>
  <c r="U598" i="35"/>
  <c r="L626" i="35"/>
  <c r="K626" i="35"/>
  <c r="U606" i="35"/>
  <c r="M626" i="35"/>
  <c r="O626" i="35"/>
  <c r="N626" i="35"/>
  <c r="K622" i="35"/>
  <c r="N622" i="35"/>
  <c r="U602" i="35"/>
  <c r="O622" i="35"/>
  <c r="L622" i="35"/>
  <c r="M622" i="35"/>
  <c r="M627" i="35"/>
  <c r="K627" i="35"/>
  <c r="L627" i="35"/>
  <c r="O627" i="35"/>
  <c r="N627" i="35"/>
  <c r="U607" i="35"/>
  <c r="N616" i="35"/>
  <c r="O616" i="35"/>
  <c r="M616" i="35"/>
  <c r="L616" i="35"/>
  <c r="K616" i="35"/>
  <c r="U596" i="35"/>
  <c r="N615" i="35"/>
  <c r="M615" i="35"/>
  <c r="O615" i="35"/>
  <c r="U595" i="35"/>
  <c r="K615" i="35"/>
  <c r="L615" i="35"/>
  <c r="K619" i="35"/>
  <c r="M619" i="35"/>
  <c r="O619" i="35"/>
  <c r="L619" i="35"/>
  <c r="U599" i="35"/>
  <c r="N619" i="35"/>
  <c r="L639" i="35" l="1"/>
  <c r="L659" i="35" s="1"/>
  <c r="M635" i="35"/>
  <c r="M655" i="35" s="1"/>
  <c r="L636" i="35"/>
  <c r="L656" i="35" s="1"/>
  <c r="K647" i="35"/>
  <c r="K667" i="35" s="1"/>
  <c r="N646" i="35"/>
  <c r="N666" i="35" s="1"/>
  <c r="O638" i="35"/>
  <c r="O658" i="35" s="1"/>
  <c r="L643" i="35"/>
  <c r="L663" i="35" s="1"/>
  <c r="L651" i="35"/>
  <c r="L671" i="35" s="1"/>
  <c r="F353" i="17"/>
  <c r="F353" i="38"/>
  <c r="K641" i="35"/>
  <c r="K661" i="35" s="1"/>
  <c r="F67" i="38"/>
  <c r="F67" i="17"/>
  <c r="O639" i="35"/>
  <c r="O659" i="35" s="1"/>
  <c r="N635" i="35"/>
  <c r="N655" i="35" s="1"/>
  <c r="N647" i="35"/>
  <c r="N667" i="35" s="1"/>
  <c r="O646" i="35"/>
  <c r="O666" i="35" s="1"/>
  <c r="N638" i="35"/>
  <c r="N658" i="35" s="1"/>
  <c r="K643" i="35"/>
  <c r="K663" i="35" s="1"/>
  <c r="N640" i="35"/>
  <c r="N660" i="35" s="1"/>
  <c r="N639" i="35"/>
  <c r="N659" i="35" s="1"/>
  <c r="M639" i="35"/>
  <c r="M659" i="35" s="1"/>
  <c r="O636" i="35"/>
  <c r="O656" i="35" s="1"/>
  <c r="O647" i="35"/>
  <c r="O667" i="35" s="1"/>
  <c r="M642" i="35"/>
  <c r="M662" i="35" s="1"/>
  <c r="N642" i="35"/>
  <c r="N662" i="35" s="1"/>
  <c r="M646" i="35"/>
  <c r="M666" i="35" s="1"/>
  <c r="M638" i="35"/>
  <c r="M658" i="35" s="1"/>
  <c r="N643" i="35"/>
  <c r="N663" i="35" s="1"/>
  <c r="M640" i="35"/>
  <c r="M660" i="35" s="1"/>
  <c r="N648" i="35"/>
  <c r="N668" i="35" s="1"/>
  <c r="K648" i="35"/>
  <c r="K668" i="35" s="1"/>
  <c r="L650" i="35"/>
  <c r="L670" i="35" s="1"/>
  <c r="O650" i="35"/>
  <c r="O670" i="35" s="1"/>
  <c r="L644" i="35"/>
  <c r="L664" i="35" s="1"/>
  <c r="K652" i="35"/>
  <c r="K672" i="35" s="1"/>
  <c r="N652" i="35"/>
  <c r="N672" i="35" s="1"/>
  <c r="L645" i="35"/>
  <c r="L665" i="35" s="1"/>
  <c r="M645" i="35"/>
  <c r="M665" i="35" s="1"/>
  <c r="K639" i="35"/>
  <c r="K659" i="35" s="1"/>
  <c r="O635" i="35"/>
  <c r="O655" i="35" s="1"/>
  <c r="K636" i="35"/>
  <c r="K656" i="35" s="1"/>
  <c r="N636" i="35"/>
  <c r="N656" i="35" s="1"/>
  <c r="L647" i="35"/>
  <c r="L667" i="35" s="1"/>
  <c r="L642" i="35"/>
  <c r="L662" i="35" s="1"/>
  <c r="K642" i="35"/>
  <c r="K662" i="35" s="1"/>
  <c r="K638" i="35"/>
  <c r="K658" i="35" s="1"/>
  <c r="L638" i="35"/>
  <c r="L658" i="35" s="1"/>
  <c r="O643" i="35"/>
  <c r="O663" i="35" s="1"/>
  <c r="O640" i="35"/>
  <c r="O660" i="35" s="1"/>
  <c r="L640" i="35"/>
  <c r="L660" i="35" s="1"/>
  <c r="N651" i="35"/>
  <c r="N671" i="35" s="1"/>
  <c r="O648" i="35"/>
  <c r="O668" i="35" s="1"/>
  <c r="L648" i="35"/>
  <c r="L668" i="35" s="1"/>
  <c r="K650" i="35"/>
  <c r="K670" i="35" s="1"/>
  <c r="M650" i="35"/>
  <c r="M670" i="35" s="1"/>
  <c r="O644" i="35"/>
  <c r="O664" i="35" s="1"/>
  <c r="M652" i="35"/>
  <c r="M672" i="35" s="1"/>
  <c r="O652" i="35"/>
  <c r="O672" i="35" s="1"/>
  <c r="N641" i="35"/>
  <c r="N661" i="35" s="1"/>
  <c r="O645" i="35"/>
  <c r="O665" i="35" s="1"/>
  <c r="K645" i="35"/>
  <c r="K665" i="35" s="1"/>
  <c r="L635" i="35"/>
  <c r="L655" i="35" s="1"/>
  <c r="O642" i="35"/>
  <c r="O662" i="35" s="1"/>
  <c r="K646" i="35"/>
  <c r="K666" i="35" s="1"/>
  <c r="M643" i="35"/>
  <c r="M663" i="35" s="1"/>
  <c r="K640" i="35"/>
  <c r="K660" i="35" s="1"/>
  <c r="O651" i="35"/>
  <c r="O671" i="35" s="1"/>
  <c r="N650" i="35"/>
  <c r="N670" i="35" s="1"/>
  <c r="K644" i="35"/>
  <c r="K664" i="35" s="1"/>
  <c r="L652" i="35"/>
  <c r="L672" i="35" s="1"/>
  <c r="L641" i="35"/>
  <c r="L661" i="35" s="1"/>
  <c r="K635" i="35"/>
  <c r="K655" i="35" s="1"/>
  <c r="M636" i="35"/>
  <c r="M656" i="35" s="1"/>
  <c r="M647" i="35"/>
  <c r="M667" i="35" s="1"/>
  <c r="L646" i="35"/>
  <c r="L666" i="35" s="1"/>
  <c r="K651" i="35"/>
  <c r="K671" i="35" s="1"/>
  <c r="M651" i="35"/>
  <c r="M671" i="35" s="1"/>
  <c r="M648" i="35"/>
  <c r="M668" i="35" s="1"/>
  <c r="F346" i="38"/>
  <c r="F347" i="38"/>
  <c r="F345" i="17"/>
  <c r="F343" i="17"/>
  <c r="F347" i="17"/>
  <c r="F346" i="17"/>
  <c r="F344" i="38"/>
  <c r="F344" i="17"/>
  <c r="F343" i="38"/>
  <c r="F345" i="38"/>
  <c r="N644" i="35"/>
  <c r="N664" i="35" s="1"/>
  <c r="M644" i="35"/>
  <c r="M664" i="35" s="1"/>
  <c r="M641" i="35"/>
  <c r="M661" i="35" s="1"/>
  <c r="O641" i="35"/>
  <c r="O661" i="35" s="1"/>
  <c r="N645" i="35"/>
  <c r="N665" i="35" s="1"/>
  <c r="F59" i="17"/>
  <c r="F61" i="17"/>
  <c r="F61" i="38"/>
  <c r="F58" i="38"/>
  <c r="F60" i="17"/>
  <c r="F58" i="17"/>
  <c r="F57" i="38"/>
  <c r="F57" i="17"/>
  <c r="F60" i="38"/>
  <c r="F59" i="38"/>
  <c r="N861" i="35"/>
  <c r="M849" i="35"/>
  <c r="N865" i="35"/>
  <c r="L829" i="35"/>
  <c r="L857" i="35"/>
  <c r="K857" i="35"/>
  <c r="M853" i="35"/>
  <c r="N877" i="35"/>
  <c r="L861" i="35"/>
  <c r="O825" i="35"/>
  <c r="L853" i="35"/>
  <c r="L845" i="35"/>
  <c r="O861" i="35"/>
  <c r="O865" i="35"/>
  <c r="K845" i="35"/>
  <c r="L893" i="35"/>
  <c r="K889" i="35"/>
  <c r="M825" i="35"/>
  <c r="K873" i="35"/>
  <c r="O837" i="35"/>
  <c r="L889" i="35"/>
  <c r="K849" i="35"/>
  <c r="O841" i="35"/>
  <c r="N873" i="35"/>
  <c r="N837" i="35"/>
  <c r="N845" i="35"/>
  <c r="M841" i="35"/>
  <c r="O873" i="35"/>
  <c r="N853" i="35"/>
  <c r="M837" i="35"/>
  <c r="M845" i="35"/>
  <c r="K877" i="35"/>
  <c r="O885" i="35"/>
  <c r="K893" i="35"/>
  <c r="L865" i="35"/>
  <c r="K841" i="35"/>
  <c r="K829" i="35"/>
  <c r="L873" i="35"/>
  <c r="K853" i="35"/>
  <c r="L837" i="35"/>
  <c r="O845" i="35"/>
  <c r="N889" i="35"/>
  <c r="L877" i="35"/>
  <c r="M885" i="35"/>
  <c r="M893" i="35"/>
  <c r="N849" i="35"/>
  <c r="K865" i="35"/>
  <c r="O853" i="35"/>
  <c r="M857" i="35"/>
  <c r="O889" i="35"/>
  <c r="K861" i="35"/>
  <c r="L849" i="35"/>
  <c r="M829" i="35"/>
  <c r="L869" i="35"/>
  <c r="M889" i="35"/>
  <c r="M861" i="35"/>
  <c r="O849" i="35"/>
  <c r="L841" i="35"/>
  <c r="N869" i="35"/>
  <c r="N825" i="35"/>
  <c r="O869" i="35"/>
  <c r="N841" i="35"/>
  <c r="O829" i="35"/>
  <c r="M869" i="35"/>
  <c r="N857" i="35"/>
  <c r="L885" i="35"/>
  <c r="N893" i="35"/>
  <c r="M865" i="35"/>
  <c r="N829" i="35"/>
  <c r="K837" i="35"/>
  <c r="O857" i="35"/>
  <c r="O877" i="35"/>
  <c r="K885" i="35"/>
  <c r="O893" i="35"/>
  <c r="L825" i="35"/>
  <c r="K869" i="35"/>
  <c r="N885" i="35"/>
  <c r="K825" i="35"/>
  <c r="M873" i="35"/>
  <c r="M877" i="35"/>
  <c r="E679" i="35" l="1"/>
  <c r="E699" i="35" s="1"/>
  <c r="I33" i="4" s="1"/>
  <c r="I73" i="4" s="1"/>
  <c r="I93" i="4" s="1"/>
  <c r="E685" i="35"/>
  <c r="E705" i="35" s="1"/>
  <c r="I39" i="4" s="1"/>
  <c r="I79" i="4" s="1"/>
  <c r="I99" i="4" s="1"/>
  <c r="M214" i="24"/>
  <c r="M214" i="18" s="1"/>
  <c r="M199" i="24"/>
  <c r="M199" i="18" s="1"/>
  <c r="K4" i="24"/>
  <c r="K4" i="18" s="1"/>
  <c r="N244" i="24"/>
  <c r="N244" i="18" s="1"/>
  <c r="K169" i="24"/>
  <c r="K169" i="18" s="1"/>
  <c r="L4" i="24"/>
  <c r="L4" i="18" s="1"/>
  <c r="O259" i="24"/>
  <c r="O259" i="18" s="1"/>
  <c r="K244" i="24"/>
  <c r="K244" i="18" s="1"/>
  <c r="O214" i="24"/>
  <c r="O214" i="18" s="1"/>
  <c r="O124" i="24"/>
  <c r="O124" i="18" s="1"/>
  <c r="K49" i="24"/>
  <c r="K49" i="18" s="1"/>
  <c r="N19" i="24"/>
  <c r="N19" i="18" s="1"/>
  <c r="M154" i="24"/>
  <c r="M154" i="18" s="1"/>
  <c r="N259" i="24"/>
  <c r="N259" i="18" s="1"/>
  <c r="L244" i="24"/>
  <c r="L244" i="18" s="1"/>
  <c r="N124" i="24"/>
  <c r="N124" i="18" s="1"/>
  <c r="M169" i="24"/>
  <c r="M169" i="18" s="1"/>
  <c r="O19" i="24"/>
  <c r="O19" i="18" s="1"/>
  <c r="N64" i="24"/>
  <c r="N64" i="18" s="1"/>
  <c r="O169" i="24"/>
  <c r="O169" i="18" s="1"/>
  <c r="N4" i="24"/>
  <c r="N4" i="18" s="1"/>
  <c r="N169" i="24"/>
  <c r="N169" i="18" s="1"/>
  <c r="L64" i="24"/>
  <c r="L64" i="18" s="1"/>
  <c r="O94" i="24"/>
  <c r="O94" i="18" s="1"/>
  <c r="M139" i="24"/>
  <c r="M139" i="18" s="1"/>
  <c r="M184" i="24"/>
  <c r="M184" i="18" s="1"/>
  <c r="L169" i="24"/>
  <c r="L169" i="18" s="1"/>
  <c r="M19" i="24"/>
  <c r="M19" i="18" s="1"/>
  <c r="L94" i="24"/>
  <c r="L94" i="18" s="1"/>
  <c r="K139" i="24"/>
  <c r="K139" i="18" s="1"/>
  <c r="O184" i="24"/>
  <c r="O184" i="18" s="1"/>
  <c r="M124" i="24"/>
  <c r="M124" i="18" s="1"/>
  <c r="O109" i="24"/>
  <c r="O109" i="18" s="1"/>
  <c r="K154" i="24"/>
  <c r="K154" i="18" s="1"/>
  <c r="N94" i="24"/>
  <c r="N94" i="18" s="1"/>
  <c r="M259" i="24"/>
  <c r="M259" i="18" s="1"/>
  <c r="M244" i="24"/>
  <c r="M244" i="18" s="1"/>
  <c r="L214" i="24"/>
  <c r="L214" i="18" s="1"/>
  <c r="N184" i="24"/>
  <c r="N184" i="18" s="1"/>
  <c r="O79" i="24"/>
  <c r="O79" i="18" s="1"/>
  <c r="L49" i="24"/>
  <c r="L49" i="18" s="1"/>
  <c r="K109" i="24"/>
  <c r="K109" i="18" s="1"/>
  <c r="L199" i="24"/>
  <c r="L199" i="18" s="1"/>
  <c r="K19" i="24"/>
  <c r="K19" i="18" s="1"/>
  <c r="K64" i="24"/>
  <c r="K64" i="18" s="1"/>
  <c r="L154" i="24"/>
  <c r="L154" i="18" s="1"/>
  <c r="K259" i="24"/>
  <c r="K259" i="18" s="1"/>
  <c r="O244" i="24"/>
  <c r="O244" i="18" s="1"/>
  <c r="K214" i="24"/>
  <c r="K214" i="18" s="1"/>
  <c r="M79" i="24"/>
  <c r="M79" i="18" s="1"/>
  <c r="M49" i="24"/>
  <c r="M49" i="18" s="1"/>
  <c r="N109" i="24"/>
  <c r="N109" i="18" s="1"/>
  <c r="O199" i="24"/>
  <c r="O199" i="18" s="1"/>
  <c r="M64" i="24"/>
  <c r="M64" i="18" s="1"/>
  <c r="N79" i="24"/>
  <c r="N79" i="18" s="1"/>
  <c r="N49" i="24"/>
  <c r="N49" i="18" s="1"/>
  <c r="N199" i="24"/>
  <c r="N199" i="18" s="1"/>
  <c r="O64" i="24"/>
  <c r="O64" i="18" s="1"/>
  <c r="K94" i="24"/>
  <c r="K94" i="18" s="1"/>
  <c r="L184" i="24"/>
  <c r="L184" i="18" s="1"/>
  <c r="O49" i="24"/>
  <c r="O49" i="18" s="1"/>
  <c r="K199" i="24"/>
  <c r="K199" i="18" s="1"/>
  <c r="M4" i="24"/>
  <c r="M4" i="18" s="1"/>
  <c r="K184" i="24"/>
  <c r="K184" i="18" s="1"/>
  <c r="L259" i="24"/>
  <c r="L259" i="18" s="1"/>
  <c r="K79" i="24"/>
  <c r="K79" i="18" s="1"/>
  <c r="O154" i="24"/>
  <c r="O154" i="18" s="1"/>
  <c r="O139" i="24"/>
  <c r="O139" i="18" s="1"/>
  <c r="L79" i="24"/>
  <c r="L79" i="18" s="1"/>
  <c r="L109" i="24"/>
  <c r="L109" i="18" s="1"/>
  <c r="O4" i="24"/>
  <c r="O4" i="18" s="1"/>
  <c r="L139" i="24"/>
  <c r="L139" i="18" s="1"/>
  <c r="N214" i="24"/>
  <c r="N214" i="18" s="1"/>
  <c r="M109" i="24"/>
  <c r="M109" i="18" s="1"/>
  <c r="K124" i="24"/>
  <c r="K124" i="18" s="1"/>
  <c r="L124" i="24"/>
  <c r="L124" i="18" s="1"/>
  <c r="L19" i="24"/>
  <c r="L19" i="18" s="1"/>
  <c r="N154" i="24"/>
  <c r="N154" i="18" s="1"/>
  <c r="M94" i="24"/>
  <c r="M94" i="18" s="1"/>
  <c r="N139" i="24"/>
  <c r="N139" i="18" s="1"/>
  <c r="E684" i="35"/>
  <c r="I59" i="4"/>
  <c r="E682" i="35"/>
  <c r="E692" i="35"/>
  <c r="E688" i="35"/>
  <c r="E681" i="35"/>
  <c r="E687" i="35"/>
  <c r="E676" i="35"/>
  <c r="E691" i="35"/>
  <c r="E675" i="35"/>
  <c r="E680" i="35"/>
  <c r="E686" i="35"/>
  <c r="E690" i="35"/>
  <c r="E678" i="35"/>
  <c r="E683" i="35"/>
  <c r="I53" i="4" l="1"/>
  <c r="F111" i="38" s="1"/>
  <c r="F104" i="38"/>
  <c r="F105" i="17"/>
  <c r="F101" i="17"/>
  <c r="F103" i="38"/>
  <c r="F104" i="17"/>
  <c r="F102" i="38"/>
  <c r="F101" i="38"/>
  <c r="F103" i="17"/>
  <c r="F102" i="17"/>
  <c r="F105" i="38"/>
  <c r="K332" i="17"/>
  <c r="N345" i="3"/>
  <c r="K332" i="38"/>
  <c r="I398" i="17"/>
  <c r="I398" i="38"/>
  <c r="L417" i="3"/>
  <c r="N321" i="3"/>
  <c r="K310" i="38"/>
  <c r="K310" i="17"/>
  <c r="H332" i="38"/>
  <c r="K345" i="3"/>
  <c r="H332" i="17"/>
  <c r="L81" i="3"/>
  <c r="I90" i="17"/>
  <c r="I90" i="38"/>
  <c r="I156" i="38"/>
  <c r="I420" i="38" s="1"/>
  <c r="L153" i="3"/>
  <c r="I156" i="17"/>
  <c r="I420" i="17" s="1"/>
  <c r="K24" i="17"/>
  <c r="K24" i="38"/>
  <c r="N9" i="3"/>
  <c r="J244" i="17"/>
  <c r="M249" i="3"/>
  <c r="J244" i="38"/>
  <c r="K273" i="3"/>
  <c r="H266" i="38"/>
  <c r="H266" i="17"/>
  <c r="I63" i="4"/>
  <c r="E708" i="35"/>
  <c r="I43" i="4" s="1"/>
  <c r="I83" i="4" s="1"/>
  <c r="I103" i="4" s="1"/>
  <c r="K222" i="38"/>
  <c r="N225" i="3"/>
  <c r="K222" i="17"/>
  <c r="L225" i="3"/>
  <c r="I222" i="38"/>
  <c r="I222" i="17"/>
  <c r="H288" i="38"/>
  <c r="K297" i="3"/>
  <c r="H288" i="17"/>
  <c r="K178" i="38"/>
  <c r="N177" i="3"/>
  <c r="K178" i="17"/>
  <c r="H46" i="17"/>
  <c r="K33" i="3"/>
  <c r="H46" i="38"/>
  <c r="J398" i="38"/>
  <c r="M417" i="3"/>
  <c r="J398" i="17"/>
  <c r="J46" i="38"/>
  <c r="M33" i="3"/>
  <c r="J46" i="17"/>
  <c r="N201" i="3"/>
  <c r="K200" i="38"/>
  <c r="K200" i="17"/>
  <c r="F235" i="17"/>
  <c r="F237" i="38"/>
  <c r="F235" i="38"/>
  <c r="F234" i="17"/>
  <c r="F233" i="17"/>
  <c r="F234" i="38"/>
  <c r="F237" i="17"/>
  <c r="F236" i="38"/>
  <c r="F233" i="38"/>
  <c r="F236" i="17"/>
  <c r="J156" i="38"/>
  <c r="J420" i="38" s="1"/>
  <c r="M153" i="3"/>
  <c r="J156" i="17"/>
  <c r="J420" i="17" s="1"/>
  <c r="H200" i="38"/>
  <c r="H200" i="17"/>
  <c r="K201" i="3"/>
  <c r="L24" i="17"/>
  <c r="L24" i="38"/>
  <c r="O9" i="3"/>
  <c r="O249" i="3"/>
  <c r="L244" i="38"/>
  <c r="L244" i="17"/>
  <c r="M9" i="3"/>
  <c r="J24" i="38"/>
  <c r="J24" i="17"/>
  <c r="H156" i="38"/>
  <c r="H420" i="38" s="1"/>
  <c r="H156" i="17"/>
  <c r="H420" i="17" s="1"/>
  <c r="K153" i="3"/>
  <c r="N129" i="3"/>
  <c r="K134" i="38"/>
  <c r="K134" i="17"/>
  <c r="J90" i="38"/>
  <c r="J90" i="17"/>
  <c r="M81" i="3"/>
  <c r="H398" i="38"/>
  <c r="H398" i="17"/>
  <c r="K417" i="3"/>
  <c r="I310" i="38"/>
  <c r="I310" i="17"/>
  <c r="L321" i="3"/>
  <c r="K288" i="17"/>
  <c r="N297" i="3"/>
  <c r="K288" i="38"/>
  <c r="K156" i="17"/>
  <c r="K420" i="17" s="1"/>
  <c r="K156" i="38"/>
  <c r="K420" i="38" s="1"/>
  <c r="N153" i="3"/>
  <c r="O297" i="3"/>
  <c r="L288" i="17"/>
  <c r="L288" i="38"/>
  <c r="I266" i="38"/>
  <c r="I266" i="17"/>
  <c r="L273" i="3"/>
  <c r="I112" i="38"/>
  <c r="I112" i="17"/>
  <c r="L105" i="3"/>
  <c r="K112" i="38"/>
  <c r="K112" i="17"/>
  <c r="N105" i="3"/>
  <c r="I376" i="38"/>
  <c r="L393" i="3"/>
  <c r="I376" i="17"/>
  <c r="K81" i="3"/>
  <c r="H90" i="17"/>
  <c r="H90" i="38"/>
  <c r="L398" i="17"/>
  <c r="O417" i="3"/>
  <c r="L398" i="38"/>
  <c r="K9" i="3"/>
  <c r="H24" i="38"/>
  <c r="H24" i="17"/>
  <c r="E698" i="35"/>
  <c r="I32" i="4" s="1"/>
  <c r="I72" i="4" s="1"/>
  <c r="I92" i="4" s="1"/>
  <c r="I52" i="4"/>
  <c r="E695" i="35"/>
  <c r="I29" i="4" s="1"/>
  <c r="I69" i="4" s="1"/>
  <c r="I89" i="4" s="1"/>
  <c r="I49" i="4"/>
  <c r="E701" i="35"/>
  <c r="I35" i="4" s="1"/>
  <c r="I75" i="4" s="1"/>
  <c r="I95" i="4" s="1"/>
  <c r="I55" i="4"/>
  <c r="E704" i="35"/>
  <c r="I38" i="4" s="1"/>
  <c r="I78" i="4" s="1"/>
  <c r="I98" i="4" s="1"/>
  <c r="I58" i="4"/>
  <c r="I46" i="38"/>
  <c r="L33" i="3"/>
  <c r="I46" i="17"/>
  <c r="I134" i="17"/>
  <c r="I134" i="38"/>
  <c r="L129" i="3"/>
  <c r="L90" i="17"/>
  <c r="L90" i="38"/>
  <c r="O81" i="3"/>
  <c r="L310" i="38"/>
  <c r="L310" i="17"/>
  <c r="O321" i="3"/>
  <c r="H112" i="38"/>
  <c r="H112" i="17"/>
  <c r="K105" i="3"/>
  <c r="J376" i="17"/>
  <c r="J376" i="38"/>
  <c r="M393" i="3"/>
  <c r="O177" i="3"/>
  <c r="L178" i="38"/>
  <c r="L178" i="17"/>
  <c r="M225" i="3"/>
  <c r="J222" i="38"/>
  <c r="J222" i="17"/>
  <c r="J266" i="17"/>
  <c r="J266" i="38"/>
  <c r="M273" i="3"/>
  <c r="L332" i="17"/>
  <c r="L332" i="38"/>
  <c r="O345" i="3"/>
  <c r="J332" i="38"/>
  <c r="J332" i="17"/>
  <c r="M345" i="3"/>
  <c r="E710" i="35"/>
  <c r="I45" i="4" s="1"/>
  <c r="I85" i="4" s="1"/>
  <c r="I105" i="4" s="1"/>
  <c r="I65" i="4"/>
  <c r="I61" i="4"/>
  <c r="E711" i="35"/>
  <c r="I41" i="4" s="1"/>
  <c r="I81" i="4" s="1"/>
  <c r="I101" i="4" s="1"/>
  <c r="E702" i="35"/>
  <c r="I36" i="4" s="1"/>
  <c r="I76" i="4" s="1"/>
  <c r="I96" i="4" s="1"/>
  <c r="I56" i="4"/>
  <c r="I200" i="38"/>
  <c r="I200" i="17"/>
  <c r="L201" i="3"/>
  <c r="L222" i="38"/>
  <c r="O225" i="3"/>
  <c r="L222" i="17"/>
  <c r="I288" i="38"/>
  <c r="I288" i="17"/>
  <c r="L297" i="3"/>
  <c r="K90" i="17"/>
  <c r="K90" i="38"/>
  <c r="N81" i="3"/>
  <c r="L376" i="38"/>
  <c r="O393" i="3"/>
  <c r="L376" i="17"/>
  <c r="L134" i="38"/>
  <c r="L134" i="17"/>
  <c r="O129" i="3"/>
  <c r="J200" i="38"/>
  <c r="J200" i="17"/>
  <c r="M201" i="3"/>
  <c r="L156" i="17"/>
  <c r="L420" i="17" s="1"/>
  <c r="L156" i="38"/>
  <c r="L420" i="38" s="1"/>
  <c r="O153" i="3"/>
  <c r="L266" i="38"/>
  <c r="L266" i="17"/>
  <c r="O273" i="3"/>
  <c r="K46" i="38"/>
  <c r="K46" i="17"/>
  <c r="N33" i="3"/>
  <c r="H376" i="38"/>
  <c r="H376" i="17"/>
  <c r="K393" i="3"/>
  <c r="K376" i="38"/>
  <c r="N393" i="3"/>
  <c r="K376" i="17"/>
  <c r="E706" i="35"/>
  <c r="I40" i="4" s="1"/>
  <c r="I80" i="4" s="1"/>
  <c r="I100" i="4" s="1"/>
  <c r="I60" i="4"/>
  <c r="I50" i="4"/>
  <c r="E696" i="35"/>
  <c r="I30" i="4" s="1"/>
  <c r="I70" i="4" s="1"/>
  <c r="I90" i="4" s="1"/>
  <c r="E712" i="35"/>
  <c r="I46" i="4" s="1"/>
  <c r="I86" i="4" s="1"/>
  <c r="I106" i="4" s="1"/>
  <c r="I66" i="4"/>
  <c r="I57" i="4"/>
  <c r="E703" i="35"/>
  <c r="I37" i="4" s="1"/>
  <c r="I77" i="4" s="1"/>
  <c r="I97" i="4" s="1"/>
  <c r="I54" i="4"/>
  <c r="E700" i="35"/>
  <c r="I34" i="4" s="1"/>
  <c r="I74" i="4" s="1"/>
  <c r="I94" i="4" s="1"/>
  <c r="E707" i="35"/>
  <c r="I42" i="4" s="1"/>
  <c r="I82" i="4" s="1"/>
  <c r="I102" i="4" s="1"/>
  <c r="I62" i="4"/>
  <c r="F243" i="17"/>
  <c r="F243" i="38"/>
  <c r="N249" i="3"/>
  <c r="K244" i="38"/>
  <c r="K244" i="17"/>
  <c r="M177" i="3"/>
  <c r="J178" i="38"/>
  <c r="J178" i="17"/>
  <c r="L177" i="3"/>
  <c r="I178" i="17"/>
  <c r="I178" i="38"/>
  <c r="H134" i="38"/>
  <c r="H134" i="17"/>
  <c r="K129" i="3"/>
  <c r="K321" i="3"/>
  <c r="H310" i="17"/>
  <c r="H310" i="38"/>
  <c r="L112" i="17"/>
  <c r="L112" i="38"/>
  <c r="O105" i="3"/>
  <c r="J112" i="17"/>
  <c r="J112" i="38"/>
  <c r="M105" i="3"/>
  <c r="J134" i="17"/>
  <c r="M129" i="3"/>
  <c r="J134" i="38"/>
  <c r="I244" i="38"/>
  <c r="L249" i="3"/>
  <c r="I244" i="17"/>
  <c r="K177" i="3"/>
  <c r="H178" i="17"/>
  <c r="H178" i="38"/>
  <c r="L345" i="3"/>
  <c r="I332" i="38"/>
  <c r="I332" i="17"/>
  <c r="H244" i="38"/>
  <c r="K249" i="3"/>
  <c r="H244" i="17"/>
  <c r="H222" i="38"/>
  <c r="H222" i="17"/>
  <c r="K225" i="3"/>
  <c r="M297" i="3"/>
  <c r="J288" i="17"/>
  <c r="J288" i="38"/>
  <c r="K266" i="17"/>
  <c r="K266" i="38"/>
  <c r="N273" i="3"/>
  <c r="L46" i="17"/>
  <c r="O33" i="3"/>
  <c r="L46" i="38"/>
  <c r="K398" i="17"/>
  <c r="K398" i="38"/>
  <c r="N417" i="3"/>
  <c r="O201" i="3"/>
  <c r="L200" i="17"/>
  <c r="L200" i="38"/>
  <c r="I24" i="38"/>
  <c r="L9" i="3"/>
  <c r="I24" i="17"/>
  <c r="J310" i="38"/>
  <c r="J310" i="17"/>
  <c r="M321" i="3"/>
  <c r="F111" i="17" l="1"/>
  <c r="N485" i="4"/>
  <c r="N130" i="4"/>
  <c r="F302" i="17"/>
  <c r="F301" i="17"/>
  <c r="F302" i="38"/>
  <c r="F303" i="17"/>
  <c r="F301" i="38"/>
  <c r="F299" i="38"/>
  <c r="F299" i="17"/>
  <c r="F300" i="17"/>
  <c r="F303" i="38"/>
  <c r="F300" i="38"/>
  <c r="F45" i="17"/>
  <c r="F45" i="38"/>
  <c r="O479" i="4"/>
  <c r="O124" i="4"/>
  <c r="L121" i="4"/>
  <c r="L476" i="4"/>
  <c r="F365" i="17"/>
  <c r="F369" i="17"/>
  <c r="F366" i="38"/>
  <c r="F365" i="38"/>
  <c r="F366" i="17"/>
  <c r="F368" i="17"/>
  <c r="F368" i="38"/>
  <c r="F367" i="38"/>
  <c r="F369" i="38"/>
  <c r="F367" i="17"/>
  <c r="M122" i="4"/>
  <c r="M477" i="4"/>
  <c r="L114" i="4"/>
  <c r="L469" i="4"/>
  <c r="F89" i="17"/>
  <c r="F89" i="38"/>
  <c r="L479" i="4"/>
  <c r="L124" i="4"/>
  <c r="L126" i="4"/>
  <c r="L481" i="4"/>
  <c r="K119" i="4"/>
  <c r="K474" i="4"/>
  <c r="K476" i="4"/>
  <c r="K121" i="4"/>
  <c r="M485" i="4"/>
  <c r="M130" i="4"/>
  <c r="L478" i="4"/>
  <c r="L123" i="4"/>
  <c r="O472" i="4"/>
  <c r="O117" i="4"/>
  <c r="F280" i="17"/>
  <c r="F280" i="38"/>
  <c r="F281" i="17"/>
  <c r="F278" i="38"/>
  <c r="F278" i="17"/>
  <c r="F279" i="38"/>
  <c r="F277" i="38"/>
  <c r="F277" i="17"/>
  <c r="F281" i="38"/>
  <c r="F279" i="17"/>
  <c r="O116" i="4"/>
  <c r="O471" i="4"/>
  <c r="F149" i="17"/>
  <c r="F413" i="17" s="1"/>
  <c r="F146" i="38"/>
  <c r="F410" i="38" s="1"/>
  <c r="F146" i="17"/>
  <c r="F410" i="17" s="1"/>
  <c r="F148" i="17"/>
  <c r="F412" i="17" s="1"/>
  <c r="F149" i="38"/>
  <c r="F413" i="38" s="1"/>
  <c r="F147" i="17"/>
  <c r="F411" i="17" s="1"/>
  <c r="F145" i="17"/>
  <c r="F409" i="17" s="1"/>
  <c r="F145" i="38"/>
  <c r="F409" i="38" s="1"/>
  <c r="F147" i="38"/>
  <c r="F411" i="38" s="1"/>
  <c r="F148" i="38"/>
  <c r="F412" i="38" s="1"/>
  <c r="L117" i="4"/>
  <c r="L472" i="4"/>
  <c r="M468" i="4"/>
  <c r="M113" i="4"/>
  <c r="F324" i="38"/>
  <c r="F322" i="17"/>
  <c r="F325" i="38"/>
  <c r="F325" i="17"/>
  <c r="F321" i="38"/>
  <c r="F323" i="38"/>
  <c r="F322" i="38"/>
  <c r="F323" i="17"/>
  <c r="F324" i="17"/>
  <c r="F321" i="17"/>
  <c r="K124" i="4"/>
  <c r="K479" i="4"/>
  <c r="N113" i="4"/>
  <c r="N468" i="4"/>
  <c r="L474" i="4"/>
  <c r="L119" i="4"/>
  <c r="L116" i="4"/>
  <c r="L471" i="4"/>
  <c r="N479" i="4"/>
  <c r="N124" i="4"/>
  <c r="M117" i="4"/>
  <c r="M472" i="4"/>
  <c r="K481" i="4"/>
  <c r="K126" i="4"/>
  <c r="N123" i="4"/>
  <c r="N478" i="4"/>
  <c r="F133" i="17"/>
  <c r="F133" i="38"/>
  <c r="F390" i="38"/>
  <c r="F389" i="17"/>
  <c r="F388" i="38"/>
  <c r="F389" i="38"/>
  <c r="F390" i="17"/>
  <c r="F391" i="38"/>
  <c r="F387" i="38"/>
  <c r="F391" i="17"/>
  <c r="F388" i="17"/>
  <c r="F387" i="17"/>
  <c r="F258" i="38"/>
  <c r="F255" i="38"/>
  <c r="F257" i="38"/>
  <c r="F259" i="17"/>
  <c r="F259" i="38"/>
  <c r="F257" i="17"/>
  <c r="F255" i="17"/>
  <c r="F256" i="38"/>
  <c r="F258" i="17"/>
  <c r="F256" i="17"/>
  <c r="K129" i="4"/>
  <c r="K484" i="4"/>
  <c r="M121" i="4"/>
  <c r="M476" i="4"/>
  <c r="L125" i="4"/>
  <c r="L480" i="4"/>
  <c r="O122" i="4"/>
  <c r="O477" i="4"/>
  <c r="F287" i="38"/>
  <c r="F287" i="17"/>
  <c r="O126" i="4"/>
  <c r="O481" i="4"/>
  <c r="F221" i="17"/>
  <c r="F221" i="38"/>
  <c r="F23" i="17"/>
  <c r="F23" i="38"/>
  <c r="O485" i="4"/>
  <c r="O130" i="4"/>
  <c r="K471" i="4"/>
  <c r="K116" i="4"/>
  <c r="N117" i="4"/>
  <c r="N472" i="4"/>
  <c r="N474" i="4"/>
  <c r="N119" i="4"/>
  <c r="N125" i="4"/>
  <c r="N480" i="4"/>
  <c r="M116" i="4"/>
  <c r="M471" i="4"/>
  <c r="N120" i="4"/>
  <c r="N475" i="4"/>
  <c r="F331" i="38"/>
  <c r="F331" i="17"/>
  <c r="O114" i="4"/>
  <c r="O469" i="4"/>
  <c r="K477" i="4"/>
  <c r="K122" i="4"/>
  <c r="K478" i="4"/>
  <c r="K123" i="4"/>
  <c r="L127" i="4"/>
  <c r="L482" i="4"/>
  <c r="M473" i="4"/>
  <c r="M118" i="4"/>
  <c r="L475" i="4"/>
  <c r="L120" i="4"/>
  <c r="F199" i="38"/>
  <c r="F199" i="17"/>
  <c r="N484" i="4"/>
  <c r="N129" i="4"/>
  <c r="F168" i="38"/>
  <c r="F170" i="38"/>
  <c r="F167" i="17"/>
  <c r="F171" i="17"/>
  <c r="F169" i="38"/>
  <c r="F171" i="38"/>
  <c r="F170" i="17"/>
  <c r="F168" i="17"/>
  <c r="F169" i="17"/>
  <c r="F167" i="38"/>
  <c r="O127" i="4"/>
  <c r="O482" i="4"/>
  <c r="M484" i="4"/>
  <c r="M129" i="4"/>
  <c r="L118" i="4"/>
  <c r="L473" i="4"/>
  <c r="F155" i="38"/>
  <c r="F419" i="38" s="1"/>
  <c r="F155" i="17"/>
  <c r="F419" i="17" s="1"/>
  <c r="K113" i="4"/>
  <c r="K468" i="4"/>
  <c r="L129" i="4"/>
  <c r="L484" i="4"/>
  <c r="O123" i="4"/>
  <c r="O478" i="4"/>
  <c r="M474" i="4"/>
  <c r="M119" i="4"/>
  <c r="L485" i="4"/>
  <c r="L130" i="4"/>
  <c r="N127" i="4"/>
  <c r="N482" i="4"/>
  <c r="F125" i="17"/>
  <c r="F126" i="17"/>
  <c r="F126" i="38"/>
  <c r="F123" i="17"/>
  <c r="F127" i="17"/>
  <c r="F124" i="38"/>
  <c r="F127" i="38"/>
  <c r="F124" i="17"/>
  <c r="F125" i="38"/>
  <c r="F123" i="38"/>
  <c r="F397" i="17"/>
  <c r="F397" i="38"/>
  <c r="F265" i="38"/>
  <c r="F265" i="17"/>
  <c r="N469" i="4"/>
  <c r="N114" i="4"/>
  <c r="O473" i="4"/>
  <c r="O118" i="4"/>
  <c r="O484" i="4"/>
  <c r="O129" i="4"/>
  <c r="M482" i="4"/>
  <c r="M127" i="4"/>
  <c r="F80" i="17"/>
  <c r="F81" i="17"/>
  <c r="F82" i="17"/>
  <c r="F83" i="17"/>
  <c r="F79" i="38"/>
  <c r="F81" i="38"/>
  <c r="F79" i="17"/>
  <c r="F80" i="38"/>
  <c r="F83" i="38"/>
  <c r="F82" i="38"/>
  <c r="O125" i="4"/>
  <c r="O480" i="4"/>
  <c r="O468" i="4"/>
  <c r="O113" i="4"/>
  <c r="M469" i="4"/>
  <c r="M114" i="4"/>
  <c r="K125" i="4"/>
  <c r="K480" i="4"/>
  <c r="L477" i="4"/>
  <c r="L122" i="4"/>
  <c r="M481" i="4"/>
  <c r="M126" i="4"/>
  <c r="L468" i="4"/>
  <c r="L113" i="4"/>
  <c r="O476" i="4"/>
  <c r="O121" i="4"/>
  <c r="M125" i="4"/>
  <c r="M480" i="4"/>
  <c r="K475" i="4"/>
  <c r="K120" i="4"/>
  <c r="K473" i="4"/>
  <c r="K118" i="4"/>
  <c r="M475" i="4"/>
  <c r="M120" i="4"/>
  <c r="F309" i="38"/>
  <c r="F309" i="17"/>
  <c r="F189" i="17"/>
  <c r="F191" i="38"/>
  <c r="F189" i="38"/>
  <c r="F190" i="38"/>
  <c r="F193" i="17"/>
  <c r="F192" i="38"/>
  <c r="F191" i="17"/>
  <c r="F193" i="38"/>
  <c r="F192" i="17"/>
  <c r="F190" i="17"/>
  <c r="F39" i="17"/>
  <c r="F39" i="38"/>
  <c r="F35" i="38"/>
  <c r="F38" i="38"/>
  <c r="F36" i="38"/>
  <c r="F35" i="17"/>
  <c r="F38" i="17"/>
  <c r="F37" i="17"/>
  <c r="F36" i="17"/>
  <c r="F37" i="38"/>
  <c r="O474" i="4"/>
  <c r="O119" i="4"/>
  <c r="N116" i="4"/>
  <c r="N471" i="4"/>
  <c r="F177" i="17"/>
  <c r="F177" i="38"/>
  <c r="F375" i="17"/>
  <c r="F375" i="38"/>
  <c r="M479" i="4"/>
  <c r="M124" i="4"/>
  <c r="O475" i="4"/>
  <c r="O120" i="4"/>
  <c r="K472" i="4"/>
  <c r="K117" i="4"/>
  <c r="F214" i="38"/>
  <c r="F213" i="17"/>
  <c r="F214" i="17"/>
  <c r="F215" i="38"/>
  <c r="F211" i="38"/>
  <c r="F213" i="38"/>
  <c r="F215" i="17"/>
  <c r="F212" i="38"/>
  <c r="F212" i="17"/>
  <c r="F211" i="17"/>
  <c r="F15" i="17"/>
  <c r="I109" i="4"/>
  <c r="I110" i="4" s="1"/>
  <c r="F14" i="38"/>
  <c r="F17" i="17"/>
  <c r="F13" i="38"/>
  <c r="F15" i="38"/>
  <c r="F13" i="17"/>
  <c r="F14" i="17"/>
  <c r="F16" i="38"/>
  <c r="F16" i="17"/>
  <c r="F17" i="38"/>
  <c r="K130" i="4"/>
  <c r="K485" i="4"/>
  <c r="N473" i="4"/>
  <c r="N118" i="4"/>
  <c r="N476" i="4"/>
  <c r="N121" i="4"/>
  <c r="K114" i="4"/>
  <c r="K469" i="4"/>
  <c r="N477" i="4"/>
  <c r="N122" i="4"/>
  <c r="M123" i="4"/>
  <c r="M478" i="4"/>
  <c r="K482" i="4"/>
  <c r="K127" i="4"/>
  <c r="N126" i="4"/>
  <c r="N481" i="4"/>
  <c r="K146" i="4" l="1"/>
  <c r="K186" i="4" s="1"/>
  <c r="K226" i="4" s="1"/>
  <c r="H307" i="17" s="1"/>
  <c r="L144" i="4"/>
  <c r="L184" i="4" s="1"/>
  <c r="L224" i="4" s="1"/>
  <c r="I264" i="17" s="1"/>
  <c r="K147" i="4"/>
  <c r="K187" i="4" s="1"/>
  <c r="K227" i="4" s="1"/>
  <c r="H329" i="17" s="1"/>
  <c r="M145" i="4"/>
  <c r="M185" i="4" s="1"/>
  <c r="M225" i="4" s="1"/>
  <c r="J269" i="38" s="1"/>
  <c r="L146" i="4"/>
  <c r="L186" i="4" s="1"/>
  <c r="L226" i="4" s="1"/>
  <c r="I307" i="38" s="1"/>
  <c r="K133" i="4"/>
  <c r="K173" i="4" s="1"/>
  <c r="K213" i="4" s="1"/>
  <c r="H21" i="38" s="1"/>
  <c r="O142" i="4"/>
  <c r="O182" i="4" s="1"/>
  <c r="O222" i="4" s="1"/>
  <c r="L219" i="17" s="1"/>
  <c r="M141" i="4"/>
  <c r="M181" i="4" s="1"/>
  <c r="M221" i="4" s="1"/>
  <c r="J198" i="17" s="1"/>
  <c r="K138" i="4"/>
  <c r="K178" i="4" s="1"/>
  <c r="K218" i="4" s="1"/>
  <c r="H132" i="38" s="1"/>
  <c r="O147" i="4"/>
  <c r="O187" i="4" s="1"/>
  <c r="O227" i="4" s="1"/>
  <c r="L316" i="17" s="1"/>
  <c r="N146" i="4"/>
  <c r="N186" i="4" s="1"/>
  <c r="N226" i="4" s="1"/>
  <c r="K307" i="17" s="1"/>
  <c r="K134" i="4"/>
  <c r="K174" i="4" s="1"/>
  <c r="K214" i="4" s="1"/>
  <c r="H27" i="38" s="1"/>
  <c r="L134" i="4"/>
  <c r="L174" i="4" s="1"/>
  <c r="L214" i="4" s="1"/>
  <c r="I28" i="38" s="1"/>
  <c r="K140" i="4"/>
  <c r="K180" i="4" s="1"/>
  <c r="K220" i="4" s="1"/>
  <c r="H159" i="38" s="1"/>
  <c r="M136" i="4"/>
  <c r="M176" i="4" s="1"/>
  <c r="M216" i="4" s="1"/>
  <c r="J88" i="38" s="1"/>
  <c r="N139" i="4"/>
  <c r="N179" i="4" s="1"/>
  <c r="N219" i="4" s="1"/>
  <c r="K137" i="38" s="1"/>
  <c r="K401" i="38" s="1"/>
  <c r="K144" i="4"/>
  <c r="K184" i="4" s="1"/>
  <c r="K224" i="4" s="1"/>
  <c r="H261" i="17" s="1"/>
  <c r="N150" i="4"/>
  <c r="N190" i="4" s="1"/>
  <c r="N230" i="4" s="1"/>
  <c r="K382" i="38" s="1"/>
  <c r="O145" i="4"/>
  <c r="O185" i="4" s="1"/>
  <c r="O225" i="4" s="1"/>
  <c r="L283" i="17" s="1"/>
  <c r="M149" i="4"/>
  <c r="M189" i="4" s="1"/>
  <c r="M229" i="4" s="1"/>
  <c r="J360" i="38" s="1"/>
  <c r="H291" i="17"/>
  <c r="H307" i="38"/>
  <c r="H306" i="38"/>
  <c r="H293" i="17"/>
  <c r="H305" i="38"/>
  <c r="L133" i="4"/>
  <c r="L173" i="4" s="1"/>
  <c r="L213" i="4" s="1"/>
  <c r="M134" i="4"/>
  <c r="M174" i="4" s="1"/>
  <c r="M214" i="4" s="1"/>
  <c r="L141" i="4"/>
  <c r="L181" i="4" s="1"/>
  <c r="L221" i="4" s="1"/>
  <c r="N138" i="4"/>
  <c r="N178" i="4" s="1"/>
  <c r="N218" i="4" s="1"/>
  <c r="L140" i="4"/>
  <c r="L180" i="4" s="1"/>
  <c r="L220" i="4" s="1"/>
  <c r="N140" i="4"/>
  <c r="N180" i="4" s="1"/>
  <c r="N220" i="4" s="1"/>
  <c r="N144" i="4"/>
  <c r="N184" i="4" s="1"/>
  <c r="N224" i="4" s="1"/>
  <c r="O150" i="4"/>
  <c r="O190" i="4" s="1"/>
  <c r="O230" i="4" s="1"/>
  <c r="K139" i="4"/>
  <c r="K179" i="4" s="1"/>
  <c r="K219" i="4" s="1"/>
  <c r="L149" i="4"/>
  <c r="L189" i="4" s="1"/>
  <c r="L229" i="4" s="1"/>
  <c r="O146" i="4"/>
  <c r="O186" i="4" s="1"/>
  <c r="O226" i="4" s="1"/>
  <c r="O133" i="4"/>
  <c r="O173" i="4" s="1"/>
  <c r="O213" i="4" s="1"/>
  <c r="L142" i="4"/>
  <c r="L182" i="4" s="1"/>
  <c r="L222" i="4" s="1"/>
  <c r="N134" i="4"/>
  <c r="N174" i="4" s="1"/>
  <c r="N214" i="4" s="1"/>
  <c r="K141" i="4"/>
  <c r="K181" i="4" s="1"/>
  <c r="K221" i="4" s="1"/>
  <c r="O136" i="4"/>
  <c r="O176" i="4" s="1"/>
  <c r="O216" i="4" s="1"/>
  <c r="L138" i="4"/>
  <c r="L178" i="4" s="1"/>
  <c r="L218" i="4" s="1"/>
  <c r="M138" i="4"/>
  <c r="M178" i="4" s="1"/>
  <c r="M218" i="4" s="1"/>
  <c r="O140" i="4"/>
  <c r="O180" i="4" s="1"/>
  <c r="O220" i="4" s="1"/>
  <c r="O144" i="4"/>
  <c r="O184" i="4" s="1"/>
  <c r="O224" i="4" s="1"/>
  <c r="L150" i="4"/>
  <c r="L190" i="4" s="1"/>
  <c r="L230" i="4" s="1"/>
  <c r="M147" i="4"/>
  <c r="M187" i="4" s="1"/>
  <c r="M227" i="4" s="1"/>
  <c r="O139" i="4"/>
  <c r="O179" i="4" s="1"/>
  <c r="O219" i="4" s="1"/>
  <c r="N145" i="4"/>
  <c r="N185" i="4" s="1"/>
  <c r="N225" i="4" s="1"/>
  <c r="O149" i="4"/>
  <c r="O189" i="4" s="1"/>
  <c r="O229" i="4" s="1"/>
  <c r="H315" i="17"/>
  <c r="L136" i="4"/>
  <c r="L176" i="4" s="1"/>
  <c r="L216" i="4" s="1"/>
  <c r="F431" i="17"/>
  <c r="N148" i="4"/>
  <c r="N188" i="4" s="1"/>
  <c r="N228" i="4" s="1"/>
  <c r="K135" i="4"/>
  <c r="K175" i="4" s="1"/>
  <c r="K215" i="4" s="1"/>
  <c r="N135" i="4"/>
  <c r="N175" i="4" s="1"/>
  <c r="N215" i="4" s="1"/>
  <c r="M135" i="4"/>
  <c r="M175" i="4" s="1"/>
  <c r="M215" i="4" s="1"/>
  <c r="K148" i="4"/>
  <c r="K188" i="4" s="1"/>
  <c r="K228" i="4" s="1"/>
  <c r="L135" i="4"/>
  <c r="L175" i="4" s="1"/>
  <c r="L215" i="4" s="1"/>
  <c r="L148" i="4"/>
  <c r="L188" i="4" s="1"/>
  <c r="L228" i="4" s="1"/>
  <c r="M148" i="4"/>
  <c r="M188" i="4" s="1"/>
  <c r="M228" i="4" s="1"/>
  <c r="O148" i="4"/>
  <c r="O188" i="4" s="1"/>
  <c r="O228" i="4" s="1"/>
  <c r="O135" i="4"/>
  <c r="O175" i="4" s="1"/>
  <c r="O215" i="4" s="1"/>
  <c r="L137" i="4"/>
  <c r="L177" i="4" s="1"/>
  <c r="L217" i="4" s="1"/>
  <c r="O143" i="4"/>
  <c r="O183" i="4" s="1"/>
  <c r="O223" i="4" s="1"/>
  <c r="N143" i="4"/>
  <c r="N183" i="4" s="1"/>
  <c r="N223" i="4" s="1"/>
  <c r="K137" i="4"/>
  <c r="K177" i="4" s="1"/>
  <c r="K217" i="4" s="1"/>
  <c r="K143" i="4"/>
  <c r="K183" i="4" s="1"/>
  <c r="K223" i="4" s="1"/>
  <c r="O137" i="4"/>
  <c r="O177" i="4" s="1"/>
  <c r="O217" i="4" s="1"/>
  <c r="N137" i="4"/>
  <c r="N177" i="4" s="1"/>
  <c r="N217" i="4" s="1"/>
  <c r="M143" i="4"/>
  <c r="M183" i="4" s="1"/>
  <c r="M223" i="4" s="1"/>
  <c r="L143" i="4"/>
  <c r="L183" i="4" s="1"/>
  <c r="L223" i="4" s="1"/>
  <c r="M137" i="4"/>
  <c r="M177" i="4" s="1"/>
  <c r="M217" i="4" s="1"/>
  <c r="K142" i="4"/>
  <c r="K182" i="4" s="1"/>
  <c r="K222" i="4" s="1"/>
  <c r="N136" i="4"/>
  <c r="N176" i="4" s="1"/>
  <c r="N216" i="4" s="1"/>
  <c r="N147" i="4"/>
  <c r="N187" i="4" s="1"/>
  <c r="N227" i="4" s="1"/>
  <c r="L145" i="4"/>
  <c r="L185" i="4" s="1"/>
  <c r="L225" i="4" s="1"/>
  <c r="N133" i="4"/>
  <c r="N173" i="4" s="1"/>
  <c r="N213" i="4" s="1"/>
  <c r="M133" i="4"/>
  <c r="M173" i="4" s="1"/>
  <c r="M213" i="4" s="1"/>
  <c r="M142" i="4"/>
  <c r="M182" i="4" s="1"/>
  <c r="M222" i="4" s="1"/>
  <c r="N142" i="4"/>
  <c r="N182" i="4" s="1"/>
  <c r="N222" i="4" s="1"/>
  <c r="O134" i="4"/>
  <c r="O174" i="4" s="1"/>
  <c r="O214" i="4" s="1"/>
  <c r="O141" i="4"/>
  <c r="O181" i="4" s="1"/>
  <c r="O221" i="4" s="1"/>
  <c r="N141" i="4"/>
  <c r="N181" i="4" s="1"/>
  <c r="N221" i="4" s="1"/>
  <c r="K136" i="4"/>
  <c r="K176" i="4" s="1"/>
  <c r="K216" i="4" s="1"/>
  <c r="O138" i="4"/>
  <c r="O178" i="4" s="1"/>
  <c r="O218" i="4" s="1"/>
  <c r="M140" i="4"/>
  <c r="M180" i="4" s="1"/>
  <c r="M220" i="4" s="1"/>
  <c r="M144" i="4"/>
  <c r="M184" i="4" s="1"/>
  <c r="M224" i="4" s="1"/>
  <c r="M150" i="4"/>
  <c r="M190" i="4" s="1"/>
  <c r="M230" i="4" s="1"/>
  <c r="K150" i="4"/>
  <c r="K190" i="4" s="1"/>
  <c r="K230" i="4" s="1"/>
  <c r="L147" i="4"/>
  <c r="L187" i="4" s="1"/>
  <c r="L227" i="4" s="1"/>
  <c r="L139" i="4"/>
  <c r="L179" i="4" s="1"/>
  <c r="L219" i="4" s="1"/>
  <c r="M139" i="4"/>
  <c r="M179" i="4" s="1"/>
  <c r="M219" i="4" s="1"/>
  <c r="K145" i="4"/>
  <c r="K185" i="4" s="1"/>
  <c r="K225" i="4" s="1"/>
  <c r="N149" i="4"/>
  <c r="N189" i="4" s="1"/>
  <c r="N229" i="4" s="1"/>
  <c r="K149" i="4"/>
  <c r="K189" i="4" s="1"/>
  <c r="K229" i="4" s="1"/>
  <c r="M146" i="4"/>
  <c r="M186" i="4" s="1"/>
  <c r="M226" i="4" s="1"/>
  <c r="L203" i="17" l="1"/>
  <c r="L270" i="17"/>
  <c r="J87" i="38"/>
  <c r="L203" i="38"/>
  <c r="J86" i="38"/>
  <c r="H328" i="38"/>
  <c r="J86" i="17"/>
  <c r="L205" i="38"/>
  <c r="L286" i="17"/>
  <c r="H327" i="38"/>
  <c r="H294" i="17"/>
  <c r="H292" i="17"/>
  <c r="H305" i="17"/>
  <c r="H304" i="38"/>
  <c r="H292" i="38"/>
  <c r="H293" i="38"/>
  <c r="H308" i="38"/>
  <c r="K246" i="4"/>
  <c r="K461" i="4" s="1"/>
  <c r="K501" i="4" s="1"/>
  <c r="H308" i="17"/>
  <c r="H294" i="38"/>
  <c r="H306" i="17"/>
  <c r="H291" i="38"/>
  <c r="H304" i="17"/>
  <c r="M245" i="4"/>
  <c r="M460" i="4" s="1"/>
  <c r="J268" i="38" s="1"/>
  <c r="J358" i="38"/>
  <c r="J181" i="38"/>
  <c r="H28" i="17"/>
  <c r="K138" i="17"/>
  <c r="K402" i="17" s="1"/>
  <c r="J282" i="38"/>
  <c r="J197" i="38"/>
  <c r="H44" i="17"/>
  <c r="J373" i="38"/>
  <c r="J286" i="38"/>
  <c r="K151" i="17"/>
  <c r="K415" i="17" s="1"/>
  <c r="J371" i="38"/>
  <c r="J283" i="17"/>
  <c r="J183" i="38"/>
  <c r="H27" i="17"/>
  <c r="K138" i="38"/>
  <c r="K402" i="38" s="1"/>
  <c r="J357" i="17"/>
  <c r="J286" i="17"/>
  <c r="J183" i="17"/>
  <c r="J198" i="38"/>
  <c r="H44" i="38"/>
  <c r="H28" i="38"/>
  <c r="K151" i="38"/>
  <c r="K415" i="38" s="1"/>
  <c r="K150" i="38"/>
  <c r="K414" i="38" s="1"/>
  <c r="J359" i="38"/>
  <c r="J370" i="38"/>
  <c r="J270" i="38"/>
  <c r="J284" i="38"/>
  <c r="J196" i="17"/>
  <c r="J181" i="17"/>
  <c r="H29" i="17"/>
  <c r="H40" i="17"/>
  <c r="K137" i="17"/>
  <c r="K401" i="17" s="1"/>
  <c r="N239" i="4"/>
  <c r="N454" i="4" s="1"/>
  <c r="N494" i="4" s="1"/>
  <c r="K140" i="17"/>
  <c r="K404" i="17" s="1"/>
  <c r="J371" i="17"/>
  <c r="J373" i="17"/>
  <c r="J374" i="17"/>
  <c r="J374" i="38"/>
  <c r="J370" i="17"/>
  <c r="L270" i="38"/>
  <c r="H316" i="38"/>
  <c r="J85" i="38"/>
  <c r="J282" i="17"/>
  <c r="J272" i="38"/>
  <c r="J285" i="17"/>
  <c r="J285" i="38"/>
  <c r="J194" i="17"/>
  <c r="J182" i="17"/>
  <c r="J197" i="17"/>
  <c r="J184" i="17"/>
  <c r="M241" i="4"/>
  <c r="M456" i="4" s="1"/>
  <c r="J180" i="38" s="1"/>
  <c r="L219" i="38"/>
  <c r="H40" i="38"/>
  <c r="H41" i="38"/>
  <c r="H30" i="17"/>
  <c r="K234" i="4"/>
  <c r="K449" i="4" s="1"/>
  <c r="K489" i="4" s="1"/>
  <c r="H30" i="38"/>
  <c r="K154" i="17"/>
  <c r="K418" i="17" s="1"/>
  <c r="K152" i="17"/>
  <c r="K416" i="17" s="1"/>
  <c r="K154" i="38"/>
  <c r="K418" i="38" s="1"/>
  <c r="K140" i="38"/>
  <c r="K404" i="38" s="1"/>
  <c r="K150" i="17"/>
  <c r="K414" i="17" s="1"/>
  <c r="J359" i="17"/>
  <c r="M249" i="4"/>
  <c r="M464" i="4" s="1"/>
  <c r="J356" i="17" s="1"/>
  <c r="J360" i="17"/>
  <c r="J272" i="17"/>
  <c r="J283" i="38"/>
  <c r="J271" i="38"/>
  <c r="J182" i="38"/>
  <c r="J194" i="38"/>
  <c r="H43" i="38"/>
  <c r="H42" i="17"/>
  <c r="K152" i="38"/>
  <c r="K416" i="38" s="1"/>
  <c r="K139" i="17"/>
  <c r="K403" i="17" s="1"/>
  <c r="J357" i="38"/>
  <c r="J372" i="38"/>
  <c r="J372" i="17"/>
  <c r="J358" i="17"/>
  <c r="L285" i="17"/>
  <c r="H314" i="38"/>
  <c r="M236" i="4"/>
  <c r="M451" i="4" s="1"/>
  <c r="M491" i="4" s="1"/>
  <c r="J270" i="17"/>
  <c r="J271" i="17"/>
  <c r="J284" i="17"/>
  <c r="J269" i="17"/>
  <c r="J195" i="17"/>
  <c r="J195" i="38"/>
  <c r="J196" i="38"/>
  <c r="J184" i="38"/>
  <c r="L218" i="17"/>
  <c r="H29" i="38"/>
  <c r="H41" i="17"/>
  <c r="H43" i="17"/>
  <c r="H42" i="38"/>
  <c r="K139" i="38"/>
  <c r="K403" i="38" s="1"/>
  <c r="K153" i="38"/>
  <c r="K417" i="38" s="1"/>
  <c r="K153" i="17"/>
  <c r="K417" i="17" s="1"/>
  <c r="K307" i="38"/>
  <c r="I30" i="38"/>
  <c r="K306" i="38"/>
  <c r="L282" i="38"/>
  <c r="L283" i="38"/>
  <c r="L269" i="38"/>
  <c r="H314" i="17"/>
  <c r="H313" i="17"/>
  <c r="J72" i="38"/>
  <c r="J88" i="17"/>
  <c r="J87" i="17"/>
  <c r="L220" i="38"/>
  <c r="L220" i="17"/>
  <c r="L286" i="38"/>
  <c r="L271" i="38"/>
  <c r="K247" i="4"/>
  <c r="K462" i="4" s="1"/>
  <c r="H312" i="17" s="1"/>
  <c r="H315" i="38"/>
  <c r="H327" i="17"/>
  <c r="J71" i="38"/>
  <c r="J85" i="17"/>
  <c r="H129" i="38"/>
  <c r="L204" i="17"/>
  <c r="L206" i="17"/>
  <c r="L206" i="38"/>
  <c r="K293" i="17"/>
  <c r="K395" i="38"/>
  <c r="I308" i="17"/>
  <c r="H129" i="17"/>
  <c r="H22" i="17"/>
  <c r="H162" i="17"/>
  <c r="H248" i="17"/>
  <c r="I42" i="38"/>
  <c r="L313" i="38"/>
  <c r="K293" i="38"/>
  <c r="I261" i="17"/>
  <c r="K393" i="38"/>
  <c r="H262" i="38"/>
  <c r="I27" i="17"/>
  <c r="I308" i="38"/>
  <c r="K393" i="17"/>
  <c r="H5" i="38"/>
  <c r="H176" i="38"/>
  <c r="K394" i="38"/>
  <c r="L244" i="4"/>
  <c r="L459" i="4" s="1"/>
  <c r="I246" i="17" s="1"/>
  <c r="K244" i="4"/>
  <c r="K459" i="4" s="1"/>
  <c r="H246" i="17" s="1"/>
  <c r="I28" i="17"/>
  <c r="H6" i="38"/>
  <c r="I292" i="17"/>
  <c r="K238" i="4"/>
  <c r="K453" i="4" s="1"/>
  <c r="H114" i="17" s="1"/>
  <c r="H115" i="38"/>
  <c r="L329" i="38"/>
  <c r="H172" i="17"/>
  <c r="I248" i="38"/>
  <c r="I261" i="38"/>
  <c r="H22" i="38"/>
  <c r="L329" i="17"/>
  <c r="H172" i="38"/>
  <c r="K381" i="17"/>
  <c r="I260" i="38"/>
  <c r="H247" i="17"/>
  <c r="I40" i="38"/>
  <c r="H7" i="17"/>
  <c r="I307" i="17"/>
  <c r="H118" i="38"/>
  <c r="L326" i="17"/>
  <c r="H175" i="38"/>
  <c r="K396" i="17"/>
  <c r="K382" i="17"/>
  <c r="I262" i="17"/>
  <c r="I263" i="38"/>
  <c r="H20" i="38"/>
  <c r="H18" i="38"/>
  <c r="L314" i="17"/>
  <c r="L316" i="38"/>
  <c r="H175" i="17"/>
  <c r="H161" i="38"/>
  <c r="K395" i="17"/>
  <c r="K380" i="38"/>
  <c r="K396" i="38"/>
  <c r="K381" i="38"/>
  <c r="K380" i="17"/>
  <c r="I250" i="38"/>
  <c r="I263" i="17"/>
  <c r="I264" i="38"/>
  <c r="I248" i="17"/>
  <c r="H250" i="38"/>
  <c r="H263" i="17"/>
  <c r="H260" i="38"/>
  <c r="I44" i="17"/>
  <c r="I43" i="17"/>
  <c r="H5" i="17"/>
  <c r="H8" i="38"/>
  <c r="H21" i="17"/>
  <c r="H8" i="17"/>
  <c r="H19" i="38"/>
  <c r="I304" i="17"/>
  <c r="I293" i="38"/>
  <c r="I293" i="17"/>
  <c r="H132" i="17"/>
  <c r="H130" i="17"/>
  <c r="L326" i="38"/>
  <c r="L315" i="17"/>
  <c r="L330" i="38"/>
  <c r="L328" i="17"/>
  <c r="L327" i="17"/>
  <c r="H174" i="17"/>
  <c r="H173" i="17"/>
  <c r="H160" i="38"/>
  <c r="H162" i="38"/>
  <c r="H174" i="38"/>
  <c r="K304" i="17"/>
  <c r="K392" i="17"/>
  <c r="K392" i="38"/>
  <c r="K379" i="17"/>
  <c r="I250" i="17"/>
  <c r="I249" i="17"/>
  <c r="I247" i="17"/>
  <c r="K233" i="4"/>
  <c r="K448" i="4" s="1"/>
  <c r="H7" i="38"/>
  <c r="L328" i="38"/>
  <c r="L327" i="38"/>
  <c r="L314" i="38"/>
  <c r="H159" i="17"/>
  <c r="H160" i="17"/>
  <c r="K379" i="38"/>
  <c r="N250" i="4"/>
  <c r="N465" i="4" s="1"/>
  <c r="K378" i="38" s="1"/>
  <c r="K394" i="17"/>
  <c r="I260" i="17"/>
  <c r="I247" i="38"/>
  <c r="I262" i="38"/>
  <c r="I249" i="38"/>
  <c r="H263" i="38"/>
  <c r="H249" i="17"/>
  <c r="I29" i="17"/>
  <c r="I29" i="38"/>
  <c r="H18" i="17"/>
  <c r="H6" i="17"/>
  <c r="H19" i="17"/>
  <c r="H20" i="17"/>
  <c r="L246" i="4"/>
  <c r="L461" i="4" s="1"/>
  <c r="L501" i="4" s="1"/>
  <c r="I291" i="38"/>
  <c r="I291" i="17"/>
  <c r="H116" i="17"/>
  <c r="H117" i="17"/>
  <c r="H131" i="17"/>
  <c r="L315" i="38"/>
  <c r="O247" i="4"/>
  <c r="O462" i="4" s="1"/>
  <c r="L312" i="38" s="1"/>
  <c r="L330" i="17"/>
  <c r="L313" i="17"/>
  <c r="K240" i="4"/>
  <c r="K455" i="4" s="1"/>
  <c r="K495" i="4" s="1"/>
  <c r="H173" i="38"/>
  <c r="H176" i="17"/>
  <c r="H161" i="17"/>
  <c r="K306" i="17"/>
  <c r="K305" i="17"/>
  <c r="K291" i="38"/>
  <c r="K292" i="38"/>
  <c r="K308" i="17"/>
  <c r="O245" i="4"/>
  <c r="O460" i="4" s="1"/>
  <c r="L268" i="38" s="1"/>
  <c r="L272" i="17"/>
  <c r="L269" i="17"/>
  <c r="L271" i="17"/>
  <c r="L282" i="17"/>
  <c r="H316" i="17"/>
  <c r="H313" i="38"/>
  <c r="H330" i="17"/>
  <c r="H326" i="17"/>
  <c r="H247" i="38"/>
  <c r="H264" i="17"/>
  <c r="H260" i="17"/>
  <c r="H261" i="38"/>
  <c r="H250" i="17"/>
  <c r="J73" i="38"/>
  <c r="J72" i="17"/>
  <c r="J73" i="17"/>
  <c r="J84" i="17"/>
  <c r="I30" i="17"/>
  <c r="I44" i="38"/>
  <c r="I40" i="17"/>
  <c r="I27" i="38"/>
  <c r="I43" i="38"/>
  <c r="I306" i="38"/>
  <c r="I294" i="17"/>
  <c r="I306" i="17"/>
  <c r="I304" i="38"/>
  <c r="I305" i="38"/>
  <c r="H130" i="38"/>
  <c r="H115" i="17"/>
  <c r="H118" i="17"/>
  <c r="H131" i="38"/>
  <c r="L218" i="38"/>
  <c r="L205" i="17"/>
  <c r="L217" i="38"/>
  <c r="L216" i="38"/>
  <c r="O242" i="4"/>
  <c r="O457" i="4" s="1"/>
  <c r="L202" i="17" s="1"/>
  <c r="K292" i="17"/>
  <c r="K294" i="17"/>
  <c r="N246" i="4"/>
  <c r="N461" i="4" s="1"/>
  <c r="K290" i="17" s="1"/>
  <c r="K294" i="38"/>
  <c r="L285" i="38"/>
  <c r="L272" i="38"/>
  <c r="L284" i="17"/>
  <c r="L284" i="38"/>
  <c r="H329" i="38"/>
  <c r="H330" i="38"/>
  <c r="H326" i="38"/>
  <c r="H328" i="17"/>
  <c r="H248" i="38"/>
  <c r="H264" i="38"/>
  <c r="H249" i="38"/>
  <c r="H262" i="17"/>
  <c r="J84" i="38"/>
  <c r="J74" i="38"/>
  <c r="J74" i="17"/>
  <c r="J71" i="17"/>
  <c r="I41" i="38"/>
  <c r="I42" i="17"/>
  <c r="L234" i="4"/>
  <c r="L449" i="4" s="1"/>
  <c r="L489" i="4" s="1"/>
  <c r="I41" i="17"/>
  <c r="I294" i="38"/>
  <c r="I305" i="17"/>
  <c r="I292" i="38"/>
  <c r="H128" i="38"/>
  <c r="H117" i="38"/>
  <c r="H116" i="38"/>
  <c r="H128" i="17"/>
  <c r="L204" i="38"/>
  <c r="L217" i="17"/>
  <c r="L216" i="17"/>
  <c r="K304" i="38"/>
  <c r="K291" i="17"/>
  <c r="K308" i="38"/>
  <c r="K305" i="38"/>
  <c r="J162" i="17"/>
  <c r="J174" i="17"/>
  <c r="J176" i="17"/>
  <c r="J162" i="38"/>
  <c r="J173" i="17"/>
  <c r="J160" i="38"/>
  <c r="J161" i="38"/>
  <c r="J159" i="17"/>
  <c r="J172" i="38"/>
  <c r="J175" i="38"/>
  <c r="J174" i="38"/>
  <c r="J175" i="17"/>
  <c r="J172" i="17"/>
  <c r="J159" i="38"/>
  <c r="J160" i="17"/>
  <c r="M240" i="4"/>
  <c r="M455" i="4" s="1"/>
  <c r="J173" i="38"/>
  <c r="J161" i="17"/>
  <c r="J176" i="38"/>
  <c r="J8" i="38"/>
  <c r="J20" i="17"/>
  <c r="J22" i="17"/>
  <c r="J5" i="38"/>
  <c r="J5" i="17"/>
  <c r="J19" i="38"/>
  <c r="J21" i="38"/>
  <c r="J21" i="17"/>
  <c r="J6" i="17"/>
  <c r="M233" i="4"/>
  <c r="J22" i="38"/>
  <c r="J8" i="17"/>
  <c r="J18" i="38"/>
  <c r="J7" i="38"/>
  <c r="J18" i="17"/>
  <c r="J6" i="38"/>
  <c r="J20" i="38"/>
  <c r="J19" i="17"/>
  <c r="J7" i="17"/>
  <c r="J227" i="17"/>
  <c r="J239" i="17"/>
  <c r="J227" i="38"/>
  <c r="J226" i="17"/>
  <c r="J238" i="38"/>
  <c r="J239" i="38"/>
  <c r="J225" i="38"/>
  <c r="J241" i="17"/>
  <c r="J240" i="38"/>
  <c r="J242" i="17"/>
  <c r="J226" i="38"/>
  <c r="J242" i="38"/>
  <c r="M243" i="4"/>
  <c r="M458" i="4" s="1"/>
  <c r="J225" i="17"/>
  <c r="J228" i="38"/>
  <c r="J240" i="17"/>
  <c r="J228" i="17"/>
  <c r="J241" i="38"/>
  <c r="J238" i="17"/>
  <c r="L49" i="38"/>
  <c r="L66" i="38"/>
  <c r="L50" i="17"/>
  <c r="O235" i="4"/>
  <c r="O450" i="4" s="1"/>
  <c r="L62" i="17"/>
  <c r="L64" i="38"/>
  <c r="L51" i="38"/>
  <c r="L49" i="17"/>
  <c r="L65" i="17"/>
  <c r="L62" i="38"/>
  <c r="L63" i="38"/>
  <c r="L65" i="38"/>
  <c r="L66" i="17"/>
  <c r="L63" i="17"/>
  <c r="L64" i="17"/>
  <c r="L50" i="38"/>
  <c r="L52" i="17"/>
  <c r="L52" i="38"/>
  <c r="L51" i="17"/>
  <c r="K282" i="38"/>
  <c r="K283" i="17"/>
  <c r="K271" i="17"/>
  <c r="N245" i="4"/>
  <c r="N460" i="4" s="1"/>
  <c r="K271" i="38"/>
  <c r="K272" i="38"/>
  <c r="K272" i="17"/>
  <c r="K270" i="38"/>
  <c r="K283" i="38"/>
  <c r="K286" i="17"/>
  <c r="K285" i="17"/>
  <c r="K269" i="17"/>
  <c r="K284" i="17"/>
  <c r="K269" i="38"/>
  <c r="K286" i="38"/>
  <c r="K270" i="17"/>
  <c r="K282" i="17"/>
  <c r="K285" i="38"/>
  <c r="K284" i="38"/>
  <c r="L84" i="17"/>
  <c r="L74" i="38"/>
  <c r="L86" i="17"/>
  <c r="L71" i="38"/>
  <c r="O236" i="4"/>
  <c r="O451" i="4" s="1"/>
  <c r="L87" i="38"/>
  <c r="L87" i="17"/>
  <c r="L88" i="38"/>
  <c r="L73" i="38"/>
  <c r="L72" i="38"/>
  <c r="L85" i="38"/>
  <c r="L72" i="17"/>
  <c r="L84" i="38"/>
  <c r="L86" i="38"/>
  <c r="L73" i="17"/>
  <c r="L88" i="17"/>
  <c r="L74" i="17"/>
  <c r="L71" i="17"/>
  <c r="L85" i="17"/>
  <c r="L379" i="17"/>
  <c r="L381" i="17"/>
  <c r="L382" i="38"/>
  <c r="L392" i="17"/>
  <c r="L392" i="38"/>
  <c r="L382" i="17"/>
  <c r="L396" i="38"/>
  <c r="L395" i="17"/>
  <c r="L379" i="38"/>
  <c r="L394" i="38"/>
  <c r="L380" i="17"/>
  <c r="L393" i="17"/>
  <c r="L396" i="17"/>
  <c r="L395" i="38"/>
  <c r="O250" i="4"/>
  <c r="O465" i="4" s="1"/>
  <c r="L393" i="38"/>
  <c r="L381" i="38"/>
  <c r="L394" i="17"/>
  <c r="L380" i="38"/>
  <c r="J268" i="17"/>
  <c r="H382" i="17"/>
  <c r="H381" i="17"/>
  <c r="H379" i="17"/>
  <c r="H394" i="17"/>
  <c r="H394" i="38"/>
  <c r="H393" i="38"/>
  <c r="H380" i="38"/>
  <c r="H382" i="38"/>
  <c r="H393" i="17"/>
  <c r="H392" i="38"/>
  <c r="H396" i="38"/>
  <c r="H395" i="38"/>
  <c r="K250" i="4"/>
  <c r="K465" i="4" s="1"/>
  <c r="H395" i="17"/>
  <c r="H381" i="38"/>
  <c r="H380" i="17"/>
  <c r="H379" i="38"/>
  <c r="H396" i="17"/>
  <c r="H392" i="17"/>
  <c r="L27" i="17"/>
  <c r="L29" i="38"/>
  <c r="L28" i="17"/>
  <c r="L40" i="17"/>
  <c r="L27" i="38"/>
  <c r="L42" i="17"/>
  <c r="L40" i="38"/>
  <c r="L42" i="38"/>
  <c r="L28" i="38"/>
  <c r="L30" i="17"/>
  <c r="L29" i="17"/>
  <c r="L41" i="17"/>
  <c r="O234" i="4"/>
  <c r="O449" i="4" s="1"/>
  <c r="L43" i="38"/>
  <c r="L44" i="38"/>
  <c r="L30" i="38"/>
  <c r="L43" i="17"/>
  <c r="L44" i="17"/>
  <c r="L41" i="38"/>
  <c r="H219" i="17"/>
  <c r="K242" i="4"/>
  <c r="K457" i="4" s="1"/>
  <c r="H203" i="38"/>
  <c r="H220" i="17"/>
  <c r="H216" i="17"/>
  <c r="H204" i="38"/>
  <c r="H206" i="17"/>
  <c r="H218" i="38"/>
  <c r="H205" i="38"/>
  <c r="H217" i="38"/>
  <c r="H203" i="17"/>
  <c r="H204" i="17"/>
  <c r="H217" i="17"/>
  <c r="H220" i="38"/>
  <c r="H216" i="38"/>
  <c r="H206" i="38"/>
  <c r="H205" i="17"/>
  <c r="H219" i="38"/>
  <c r="H218" i="17"/>
  <c r="K242" i="38"/>
  <c r="K241" i="17"/>
  <c r="K227" i="17"/>
  <c r="K228" i="17"/>
  <c r="K225" i="17"/>
  <c r="K225" i="38"/>
  <c r="K239" i="17"/>
  <c r="K238" i="17"/>
  <c r="K226" i="38"/>
  <c r="K239" i="38"/>
  <c r="K240" i="38"/>
  <c r="K241" i="38"/>
  <c r="K242" i="17"/>
  <c r="K226" i="17"/>
  <c r="K238" i="38"/>
  <c r="K240" i="17"/>
  <c r="N243" i="4"/>
  <c r="N458" i="4" s="1"/>
  <c r="K228" i="38"/>
  <c r="K227" i="38"/>
  <c r="H349" i="38"/>
  <c r="H352" i="38"/>
  <c r="H336" i="17"/>
  <c r="H338" i="17"/>
  <c r="H350" i="17"/>
  <c r="H348" i="17"/>
  <c r="H351" i="17"/>
  <c r="H352" i="17"/>
  <c r="H338" i="38"/>
  <c r="H351" i="38"/>
  <c r="K248" i="4"/>
  <c r="K463" i="4" s="1"/>
  <c r="H335" i="17"/>
  <c r="H336" i="38"/>
  <c r="H350" i="38"/>
  <c r="H337" i="38"/>
  <c r="H348" i="38"/>
  <c r="H349" i="17"/>
  <c r="H335" i="38"/>
  <c r="H337" i="17"/>
  <c r="O239" i="4"/>
  <c r="O454" i="4" s="1"/>
  <c r="L139" i="17"/>
  <c r="L403" i="17" s="1"/>
  <c r="L138" i="17"/>
  <c r="L402" i="17" s="1"/>
  <c r="L152" i="17"/>
  <c r="L416" i="17" s="1"/>
  <c r="L151" i="38"/>
  <c r="L415" i="38" s="1"/>
  <c r="L154" i="17"/>
  <c r="L418" i="17" s="1"/>
  <c r="L139" i="38"/>
  <c r="L403" i="38" s="1"/>
  <c r="L140" i="17"/>
  <c r="L404" i="17" s="1"/>
  <c r="L137" i="38"/>
  <c r="L401" i="38" s="1"/>
  <c r="L137" i="17"/>
  <c r="L401" i="17" s="1"/>
  <c r="L150" i="38"/>
  <c r="L414" i="38" s="1"/>
  <c r="L154" i="38"/>
  <c r="L418" i="38" s="1"/>
  <c r="L153" i="38"/>
  <c r="L417" i="38" s="1"/>
  <c r="L152" i="38"/>
  <c r="L416" i="38" s="1"/>
  <c r="L153" i="17"/>
  <c r="L417" i="17" s="1"/>
  <c r="L151" i="17"/>
  <c r="L415" i="17" s="1"/>
  <c r="L140" i="38"/>
  <c r="L404" i="38" s="1"/>
  <c r="L150" i="17"/>
  <c r="L414" i="17" s="1"/>
  <c r="L138" i="38"/>
  <c r="L402" i="38" s="1"/>
  <c r="H196" i="38"/>
  <c r="H198" i="38"/>
  <c r="H184" i="38"/>
  <c r="H196" i="17"/>
  <c r="H195" i="38"/>
  <c r="H195" i="17"/>
  <c r="H197" i="38"/>
  <c r="H183" i="38"/>
  <c r="H184" i="17"/>
  <c r="H181" i="17"/>
  <c r="H197" i="17"/>
  <c r="H181" i="38"/>
  <c r="H182" i="38"/>
  <c r="H183" i="17"/>
  <c r="H194" i="38"/>
  <c r="K241" i="4"/>
  <c r="K456" i="4" s="1"/>
  <c r="H198" i="17"/>
  <c r="H194" i="17"/>
  <c r="H182" i="17"/>
  <c r="K262" i="38"/>
  <c r="K249" i="17"/>
  <c r="K248" i="38"/>
  <c r="K247" i="17"/>
  <c r="K261" i="38"/>
  <c r="K249" i="38"/>
  <c r="K260" i="17"/>
  <c r="K263" i="17"/>
  <c r="K264" i="17"/>
  <c r="K262" i="17"/>
  <c r="K261" i="17"/>
  <c r="K263" i="38"/>
  <c r="K250" i="17"/>
  <c r="K247" i="38"/>
  <c r="N244" i="4"/>
  <c r="N459" i="4" s="1"/>
  <c r="K264" i="38"/>
  <c r="K248" i="17"/>
  <c r="K260" i="38"/>
  <c r="K250" i="38"/>
  <c r="I196" i="17"/>
  <c r="I182" i="17"/>
  <c r="I194" i="17"/>
  <c r="I183" i="38"/>
  <c r="I181" i="38"/>
  <c r="I184" i="38"/>
  <c r="I197" i="38"/>
  <c r="I194" i="38"/>
  <c r="I195" i="38"/>
  <c r="I183" i="17"/>
  <c r="I184" i="17"/>
  <c r="L241" i="4"/>
  <c r="L456" i="4" s="1"/>
  <c r="I182" i="38"/>
  <c r="I196" i="38"/>
  <c r="I195" i="17"/>
  <c r="I198" i="17"/>
  <c r="I198" i="38"/>
  <c r="I197" i="17"/>
  <c r="I181" i="17"/>
  <c r="J292" i="17"/>
  <c r="J294" i="38"/>
  <c r="J293" i="17"/>
  <c r="J304" i="17"/>
  <c r="J308" i="38"/>
  <c r="J291" i="17"/>
  <c r="J305" i="17"/>
  <c r="J294" i="17"/>
  <c r="J306" i="17"/>
  <c r="J306" i="38"/>
  <c r="J304" i="38"/>
  <c r="J291" i="38"/>
  <c r="J292" i="38"/>
  <c r="M246" i="4"/>
  <c r="M461" i="4" s="1"/>
  <c r="J307" i="17"/>
  <c r="J307" i="38"/>
  <c r="J308" i="17"/>
  <c r="J293" i="38"/>
  <c r="J305" i="38"/>
  <c r="J396" i="17"/>
  <c r="J396" i="38"/>
  <c r="J394" i="38"/>
  <c r="J395" i="38"/>
  <c r="J382" i="17"/>
  <c r="M250" i="4"/>
  <c r="M465" i="4" s="1"/>
  <c r="J392" i="38"/>
  <c r="J393" i="38"/>
  <c r="J380" i="17"/>
  <c r="J394" i="17"/>
  <c r="J392" i="17"/>
  <c r="J379" i="17"/>
  <c r="J393" i="17"/>
  <c r="J382" i="38"/>
  <c r="J379" i="38"/>
  <c r="J380" i="38"/>
  <c r="J395" i="17"/>
  <c r="J381" i="17"/>
  <c r="J381" i="38"/>
  <c r="K218" i="17"/>
  <c r="K205" i="38"/>
  <c r="K218" i="38"/>
  <c r="N242" i="4"/>
  <c r="N457" i="4" s="1"/>
  <c r="K206" i="17"/>
  <c r="K217" i="38"/>
  <c r="K219" i="17"/>
  <c r="K220" i="17"/>
  <c r="K204" i="17"/>
  <c r="K220" i="38"/>
  <c r="K216" i="17"/>
  <c r="K216" i="38"/>
  <c r="K217" i="17"/>
  <c r="K203" i="38"/>
  <c r="K204" i="38"/>
  <c r="K205" i="17"/>
  <c r="K219" i="38"/>
  <c r="K206" i="38"/>
  <c r="K203" i="17"/>
  <c r="J95" i="17"/>
  <c r="J109" i="17"/>
  <c r="J109" i="38"/>
  <c r="J96" i="38"/>
  <c r="J93" i="38"/>
  <c r="J107" i="38"/>
  <c r="J96" i="17"/>
  <c r="J110" i="38"/>
  <c r="J94" i="38"/>
  <c r="J95" i="38"/>
  <c r="J93" i="17"/>
  <c r="J107" i="17"/>
  <c r="J94" i="17"/>
  <c r="J106" i="38"/>
  <c r="J106" i="17"/>
  <c r="J108" i="38"/>
  <c r="J108" i="17"/>
  <c r="J110" i="17"/>
  <c r="M237" i="4"/>
  <c r="M452" i="4" s="1"/>
  <c r="O243" i="4"/>
  <c r="O458" i="4" s="1"/>
  <c r="L239" i="38"/>
  <c r="L227" i="38"/>
  <c r="L241" i="17"/>
  <c r="L238" i="38"/>
  <c r="L225" i="17"/>
  <c r="L225" i="38"/>
  <c r="L228" i="17"/>
  <c r="L242" i="17"/>
  <c r="L242" i="38"/>
  <c r="L238" i="17"/>
  <c r="L226" i="38"/>
  <c r="L227" i="17"/>
  <c r="L228" i="38"/>
  <c r="L226" i="17"/>
  <c r="L241" i="38"/>
  <c r="L240" i="38"/>
  <c r="L240" i="17"/>
  <c r="L239" i="17"/>
  <c r="J351" i="17"/>
  <c r="J338" i="38"/>
  <c r="J351" i="38"/>
  <c r="J337" i="17"/>
  <c r="J350" i="17"/>
  <c r="J352" i="38"/>
  <c r="J350" i="38"/>
  <c r="J335" i="17"/>
  <c r="J336" i="38"/>
  <c r="J335" i="38"/>
  <c r="J336" i="17"/>
  <c r="J348" i="38"/>
  <c r="J349" i="38"/>
  <c r="J337" i="38"/>
  <c r="J338" i="17"/>
  <c r="M248" i="4"/>
  <c r="M463" i="4" s="1"/>
  <c r="J348" i="17"/>
  <c r="J349" i="17"/>
  <c r="J352" i="17"/>
  <c r="J63" i="38"/>
  <c r="J64" i="38"/>
  <c r="J65" i="38"/>
  <c r="J50" i="17"/>
  <c r="J66" i="17"/>
  <c r="J52" i="38"/>
  <c r="J49" i="38"/>
  <c r="J49" i="17"/>
  <c r="J51" i="38"/>
  <c r="J66" i="38"/>
  <c r="J50" i="38"/>
  <c r="M235" i="4"/>
  <c r="M450" i="4" s="1"/>
  <c r="J52" i="17"/>
  <c r="J62" i="17"/>
  <c r="J63" i="17"/>
  <c r="J64" i="17"/>
  <c r="J51" i="17"/>
  <c r="J62" i="38"/>
  <c r="J65" i="17"/>
  <c r="F435" i="17"/>
  <c r="F433" i="17"/>
  <c r="F434" i="17"/>
  <c r="F432" i="17"/>
  <c r="J326" i="38"/>
  <c r="J327" i="38"/>
  <c r="M247" i="4"/>
  <c r="M462" i="4" s="1"/>
  <c r="J316" i="17"/>
  <c r="J326" i="17"/>
  <c r="J329" i="38"/>
  <c r="J316" i="38"/>
  <c r="J329" i="17"/>
  <c r="J330" i="38"/>
  <c r="J315" i="38"/>
  <c r="J330" i="17"/>
  <c r="J313" i="38"/>
  <c r="J314" i="38"/>
  <c r="J313" i="17"/>
  <c r="J314" i="17"/>
  <c r="J328" i="17"/>
  <c r="J315" i="17"/>
  <c r="J328" i="38"/>
  <c r="J327" i="17"/>
  <c r="J115" i="17"/>
  <c r="J129" i="38"/>
  <c r="J116" i="38"/>
  <c r="J117" i="38"/>
  <c r="J117" i="17"/>
  <c r="J115" i="38"/>
  <c r="J132" i="38"/>
  <c r="J118" i="38"/>
  <c r="J116" i="17"/>
  <c r="J131" i="38"/>
  <c r="J130" i="38"/>
  <c r="J128" i="38"/>
  <c r="M238" i="4"/>
  <c r="M453" i="4" s="1"/>
  <c r="J130" i="17"/>
  <c r="J129" i="17"/>
  <c r="J128" i="17"/>
  <c r="J118" i="17"/>
  <c r="J131" i="17"/>
  <c r="J132" i="17"/>
  <c r="K28" i="38"/>
  <c r="K29" i="38"/>
  <c r="K27" i="38"/>
  <c r="K30" i="17"/>
  <c r="N234" i="4"/>
  <c r="N449" i="4" s="1"/>
  <c r="K44" i="17"/>
  <c r="K29" i="17"/>
  <c r="K40" i="17"/>
  <c r="K41" i="17"/>
  <c r="K40" i="38"/>
  <c r="K42" i="38"/>
  <c r="K27" i="17"/>
  <c r="K42" i="17"/>
  <c r="K28" i="17"/>
  <c r="K30" i="38"/>
  <c r="K43" i="38"/>
  <c r="K43" i="17"/>
  <c r="K41" i="38"/>
  <c r="K44" i="38"/>
  <c r="L249" i="4"/>
  <c r="L464" i="4" s="1"/>
  <c r="I357" i="38"/>
  <c r="I359" i="38"/>
  <c r="I370" i="17"/>
  <c r="I358" i="17"/>
  <c r="I371" i="38"/>
  <c r="I360" i="38"/>
  <c r="I372" i="17"/>
  <c r="I371" i="17"/>
  <c r="I360" i="17"/>
  <c r="I359" i="17"/>
  <c r="I357" i="17"/>
  <c r="I374" i="17"/>
  <c r="I373" i="38"/>
  <c r="I358" i="38"/>
  <c r="I370" i="38"/>
  <c r="I373" i="17"/>
  <c r="I374" i="38"/>
  <c r="I372" i="38"/>
  <c r="K174" i="38"/>
  <c r="K176" i="38"/>
  <c r="K162" i="38"/>
  <c r="K175" i="38"/>
  <c r="K175" i="17"/>
  <c r="K173" i="17"/>
  <c r="K159" i="17"/>
  <c r="K162" i="17"/>
  <c r="K172" i="38"/>
  <c r="K160" i="17"/>
  <c r="K173" i="38"/>
  <c r="K161" i="17"/>
  <c r="N240" i="4"/>
  <c r="N455" i="4" s="1"/>
  <c r="K160" i="38"/>
  <c r="K174" i="17"/>
  <c r="K176" i="17"/>
  <c r="K172" i="17"/>
  <c r="K161" i="38"/>
  <c r="K159" i="38"/>
  <c r="J29" i="38"/>
  <c r="J42" i="17"/>
  <c r="M234" i="4"/>
  <c r="M449" i="4" s="1"/>
  <c r="J44" i="17"/>
  <c r="J42" i="38"/>
  <c r="J29" i="17"/>
  <c r="J41" i="17"/>
  <c r="J41" i="38"/>
  <c r="J40" i="17"/>
  <c r="J27" i="17"/>
  <c r="J44" i="38"/>
  <c r="J28" i="38"/>
  <c r="J43" i="38"/>
  <c r="J27" i="38"/>
  <c r="J30" i="38"/>
  <c r="J30" i="17"/>
  <c r="J28" i="17"/>
  <c r="J43" i="17"/>
  <c r="J40" i="38"/>
  <c r="K374" i="17"/>
  <c r="K373" i="38"/>
  <c r="N249" i="4"/>
  <c r="N464" i="4" s="1"/>
  <c r="K359" i="17"/>
  <c r="K359" i="38"/>
  <c r="K371" i="17"/>
  <c r="K370" i="38"/>
  <c r="K358" i="17"/>
  <c r="K357" i="38"/>
  <c r="K370" i="17"/>
  <c r="K360" i="17"/>
  <c r="K374" i="38"/>
  <c r="K372" i="38"/>
  <c r="K373" i="17"/>
  <c r="K358" i="38"/>
  <c r="K372" i="17"/>
  <c r="K357" i="17"/>
  <c r="K371" i="38"/>
  <c r="K360" i="38"/>
  <c r="I326" i="38"/>
  <c r="I313" i="38"/>
  <c r="I328" i="17"/>
  <c r="I330" i="17"/>
  <c r="L247" i="4"/>
  <c r="L462" i="4" s="1"/>
  <c r="I314" i="17"/>
  <c r="I316" i="17"/>
  <c r="I329" i="38"/>
  <c r="I315" i="17"/>
  <c r="I329" i="17"/>
  <c r="I326" i="17"/>
  <c r="I327" i="38"/>
  <c r="I328" i="38"/>
  <c r="I327" i="17"/>
  <c r="I315" i="38"/>
  <c r="I316" i="38"/>
  <c r="I314" i="38"/>
  <c r="I313" i="17"/>
  <c r="I330" i="38"/>
  <c r="L184" i="38"/>
  <c r="L183" i="17"/>
  <c r="L198" i="17"/>
  <c r="L195" i="17"/>
  <c r="L194" i="38"/>
  <c r="L183" i="38"/>
  <c r="L196" i="17"/>
  <c r="L194" i="17"/>
  <c r="L198" i="38"/>
  <c r="L182" i="17"/>
  <c r="L184" i="17"/>
  <c r="L181" i="17"/>
  <c r="O241" i="4"/>
  <c r="O456" i="4" s="1"/>
  <c r="L195" i="38"/>
  <c r="L197" i="17"/>
  <c r="L197" i="38"/>
  <c r="L181" i="38"/>
  <c r="L196" i="38"/>
  <c r="L182" i="38"/>
  <c r="K74" i="17"/>
  <c r="K74" i="38"/>
  <c r="K87" i="17"/>
  <c r="K88" i="17"/>
  <c r="K85" i="17"/>
  <c r="K73" i="38"/>
  <c r="K72" i="17"/>
  <c r="K73" i="17"/>
  <c r="K88" i="38"/>
  <c r="N236" i="4"/>
  <c r="N451" i="4" s="1"/>
  <c r="K71" i="38"/>
  <c r="K87" i="38"/>
  <c r="K86" i="38"/>
  <c r="K84" i="17"/>
  <c r="K72" i="38"/>
  <c r="K71" i="17"/>
  <c r="K86" i="17"/>
  <c r="K84" i="38"/>
  <c r="K85" i="38"/>
  <c r="H96" i="38"/>
  <c r="H106" i="17"/>
  <c r="H93" i="38"/>
  <c r="H107" i="17"/>
  <c r="H108" i="17"/>
  <c r="H109" i="17"/>
  <c r="H95" i="17"/>
  <c r="H108" i="38"/>
  <c r="H106" i="38"/>
  <c r="H109" i="38"/>
  <c r="H93" i="17"/>
  <c r="H95" i="38"/>
  <c r="H110" i="17"/>
  <c r="H110" i="38"/>
  <c r="H96" i="17"/>
  <c r="K237" i="4"/>
  <c r="K452" i="4" s="1"/>
  <c r="H94" i="38"/>
  <c r="H107" i="38"/>
  <c r="H94" i="17"/>
  <c r="I49" i="17"/>
  <c r="I62" i="17"/>
  <c r="I64" i="17"/>
  <c r="I63" i="17"/>
  <c r="I52" i="38"/>
  <c r="I65" i="17"/>
  <c r="I52" i="17"/>
  <c r="I51" i="17"/>
  <c r="I64" i="38"/>
  <c r="L235" i="4"/>
  <c r="L450" i="4" s="1"/>
  <c r="I63" i="38"/>
  <c r="I66" i="38"/>
  <c r="I49" i="38"/>
  <c r="I66" i="17"/>
  <c r="I50" i="38"/>
  <c r="I51" i="38"/>
  <c r="I50" i="17"/>
  <c r="I65" i="38"/>
  <c r="I62" i="38"/>
  <c r="H50" i="38"/>
  <c r="H50" i="17"/>
  <c r="H62" i="17"/>
  <c r="H65" i="17"/>
  <c r="H66" i="38"/>
  <c r="H64" i="38"/>
  <c r="H64" i="17"/>
  <c r="H49" i="38"/>
  <c r="K235" i="4"/>
  <c r="K450" i="4" s="1"/>
  <c r="H65" i="38"/>
  <c r="H51" i="38"/>
  <c r="H49" i="17"/>
  <c r="H66" i="17"/>
  <c r="H63" i="38"/>
  <c r="H52" i="17"/>
  <c r="H63" i="17"/>
  <c r="H52" i="38"/>
  <c r="H51" i="17"/>
  <c r="H62" i="38"/>
  <c r="L248" i="38"/>
  <c r="L248" i="17"/>
  <c r="L262" i="17"/>
  <c r="L263" i="17"/>
  <c r="L260" i="38"/>
  <c r="L260" i="17"/>
  <c r="L250" i="17"/>
  <c r="L249" i="17"/>
  <c r="L249" i="38"/>
  <c r="O244" i="4"/>
  <c r="O459" i="4" s="1"/>
  <c r="L247" i="38"/>
  <c r="L264" i="38"/>
  <c r="L261" i="17"/>
  <c r="L261" i="38"/>
  <c r="L247" i="17"/>
  <c r="L263" i="38"/>
  <c r="L250" i="38"/>
  <c r="L264" i="17"/>
  <c r="L262" i="38"/>
  <c r="L7" i="17"/>
  <c r="L21" i="38"/>
  <c r="O233" i="4"/>
  <c r="L8" i="38"/>
  <c r="L8" i="17"/>
  <c r="L18" i="17"/>
  <c r="L22" i="17"/>
  <c r="L22" i="38"/>
  <c r="L6" i="17"/>
  <c r="L19" i="38"/>
  <c r="L20" i="17"/>
  <c r="L19" i="17"/>
  <c r="L18" i="38"/>
  <c r="L21" i="17"/>
  <c r="L6" i="38"/>
  <c r="L20" i="38"/>
  <c r="L5" i="38"/>
  <c r="L7" i="38"/>
  <c r="L5" i="17"/>
  <c r="K117" i="17"/>
  <c r="K115" i="38"/>
  <c r="K118" i="17"/>
  <c r="K130" i="17"/>
  <c r="K132" i="17"/>
  <c r="K131" i="17"/>
  <c r="K117" i="38"/>
  <c r="K129" i="17"/>
  <c r="K128" i="17"/>
  <c r="K128" i="38"/>
  <c r="K118" i="38"/>
  <c r="K132" i="38"/>
  <c r="K129" i="38"/>
  <c r="K131" i="38"/>
  <c r="K115" i="17"/>
  <c r="N238" i="4"/>
  <c r="N453" i="4" s="1"/>
  <c r="K116" i="17"/>
  <c r="K130" i="38"/>
  <c r="K116" i="38"/>
  <c r="H284" i="38"/>
  <c r="H285" i="17"/>
  <c r="H285" i="38"/>
  <c r="H283" i="38"/>
  <c r="H271" i="38"/>
  <c r="H269" i="17"/>
  <c r="H282" i="17"/>
  <c r="H270" i="17"/>
  <c r="H286" i="38"/>
  <c r="H271" i="17"/>
  <c r="H272" i="17"/>
  <c r="H282" i="38"/>
  <c r="H270" i="38"/>
  <c r="H284" i="17"/>
  <c r="K245" i="4"/>
  <c r="K460" i="4" s="1"/>
  <c r="H286" i="17"/>
  <c r="H269" i="38"/>
  <c r="H272" i="38"/>
  <c r="H283" i="17"/>
  <c r="L118" i="17"/>
  <c r="O238" i="4"/>
  <c r="O453" i="4" s="1"/>
  <c r="L129" i="38"/>
  <c r="L132" i="38"/>
  <c r="L116" i="38"/>
  <c r="L118" i="38"/>
  <c r="L131" i="17"/>
  <c r="L128" i="17"/>
  <c r="L132" i="17"/>
  <c r="L129" i="17"/>
  <c r="L115" i="38"/>
  <c r="L130" i="17"/>
  <c r="L115" i="17"/>
  <c r="L128" i="38"/>
  <c r="L117" i="17"/>
  <c r="L116" i="17"/>
  <c r="L130" i="38"/>
  <c r="L117" i="38"/>
  <c r="L131" i="38"/>
  <c r="K5" i="38"/>
  <c r="N233" i="4"/>
  <c r="K8" i="38"/>
  <c r="K7" i="38"/>
  <c r="K18" i="17"/>
  <c r="K22" i="17"/>
  <c r="K19" i="17"/>
  <c r="K20" i="38"/>
  <c r="K22" i="38"/>
  <c r="K6" i="38"/>
  <c r="K19" i="38"/>
  <c r="K21" i="38"/>
  <c r="K5" i="17"/>
  <c r="K20" i="17"/>
  <c r="K8" i="17"/>
  <c r="K18" i="38"/>
  <c r="K7" i="17"/>
  <c r="K6" i="17"/>
  <c r="K21" i="17"/>
  <c r="K96" i="17"/>
  <c r="K110" i="17"/>
  <c r="K107" i="17"/>
  <c r="K93" i="17"/>
  <c r="K95" i="17"/>
  <c r="K110" i="38"/>
  <c r="K108" i="38"/>
  <c r="K108" i="17"/>
  <c r="K109" i="38"/>
  <c r="K109" i="17"/>
  <c r="K107" i="38"/>
  <c r="K96" i="38"/>
  <c r="K93" i="38"/>
  <c r="K94" i="38"/>
  <c r="K106" i="17"/>
  <c r="N237" i="4"/>
  <c r="N452" i="4" s="1"/>
  <c r="K106" i="38"/>
  <c r="K94" i="17"/>
  <c r="K95" i="38"/>
  <c r="L337" i="38"/>
  <c r="L350" i="38"/>
  <c r="L338" i="17"/>
  <c r="L337" i="17"/>
  <c r="L348" i="17"/>
  <c r="L335" i="38"/>
  <c r="L351" i="38"/>
  <c r="L336" i="38"/>
  <c r="L335" i="17"/>
  <c r="L338" i="38"/>
  <c r="L351" i="17"/>
  <c r="L352" i="17"/>
  <c r="L352" i="38"/>
  <c r="L336" i="17"/>
  <c r="L349" i="38"/>
  <c r="L349" i="17"/>
  <c r="L348" i="38"/>
  <c r="O248" i="4"/>
  <c r="O463" i="4" s="1"/>
  <c r="L350" i="17"/>
  <c r="K349" i="17"/>
  <c r="K352" i="17"/>
  <c r="K336" i="38"/>
  <c r="K351" i="38"/>
  <c r="K348" i="17"/>
  <c r="K336" i="17"/>
  <c r="K351" i="17"/>
  <c r="K338" i="38"/>
  <c r="K337" i="38"/>
  <c r="K350" i="17"/>
  <c r="K335" i="17"/>
  <c r="K335" i="38"/>
  <c r="K352" i="38"/>
  <c r="K350" i="38"/>
  <c r="K348" i="38"/>
  <c r="K338" i="17"/>
  <c r="K337" i="17"/>
  <c r="K349" i="38"/>
  <c r="N248" i="4"/>
  <c r="N463" i="4" s="1"/>
  <c r="L162" i="17"/>
  <c r="L173" i="38"/>
  <c r="O240" i="4"/>
  <c r="O455" i="4" s="1"/>
  <c r="L160" i="38"/>
  <c r="L172" i="38"/>
  <c r="L173" i="17"/>
  <c r="L176" i="17"/>
  <c r="L175" i="17"/>
  <c r="L174" i="38"/>
  <c r="L162" i="38"/>
  <c r="L175" i="38"/>
  <c r="L174" i="17"/>
  <c r="L160" i="17"/>
  <c r="L159" i="38"/>
  <c r="L172" i="17"/>
  <c r="L159" i="17"/>
  <c r="L176" i="38"/>
  <c r="L161" i="38"/>
  <c r="L161" i="17"/>
  <c r="L307" i="38"/>
  <c r="L305" i="17"/>
  <c r="L294" i="17"/>
  <c r="L308" i="17"/>
  <c r="L292" i="38"/>
  <c r="L294" i="38"/>
  <c r="L305" i="38"/>
  <c r="L304" i="38"/>
  <c r="L291" i="17"/>
  <c r="O246" i="4"/>
  <c r="O461" i="4" s="1"/>
  <c r="L293" i="17"/>
  <c r="L293" i="38"/>
  <c r="L304" i="17"/>
  <c r="L306" i="38"/>
  <c r="L291" i="38"/>
  <c r="L292" i="17"/>
  <c r="L308" i="38"/>
  <c r="L306" i="17"/>
  <c r="L307" i="17"/>
  <c r="J151" i="38"/>
  <c r="J415" i="38" s="1"/>
  <c r="J153" i="17"/>
  <c r="J417" i="17" s="1"/>
  <c r="J138" i="38"/>
  <c r="J402" i="38" s="1"/>
  <c r="J150" i="38"/>
  <c r="J414" i="38" s="1"/>
  <c r="J139" i="38"/>
  <c r="J403" i="38" s="1"/>
  <c r="J151" i="17"/>
  <c r="J415" i="17" s="1"/>
  <c r="M239" i="4"/>
  <c r="M454" i="4" s="1"/>
  <c r="J153" i="38"/>
  <c r="J417" i="38" s="1"/>
  <c r="J137" i="38"/>
  <c r="J401" i="38" s="1"/>
  <c r="J152" i="17"/>
  <c r="J416" i="17" s="1"/>
  <c r="J152" i="38"/>
  <c r="J416" i="38" s="1"/>
  <c r="J138" i="17"/>
  <c r="J402" i="17" s="1"/>
  <c r="J140" i="17"/>
  <c r="J404" i="17" s="1"/>
  <c r="J137" i="17"/>
  <c r="J401" i="17" s="1"/>
  <c r="J139" i="17"/>
  <c r="J403" i="17" s="1"/>
  <c r="J150" i="17"/>
  <c r="J414" i="17" s="1"/>
  <c r="J154" i="17"/>
  <c r="J418" i="17" s="1"/>
  <c r="J154" i="38"/>
  <c r="J418" i="38" s="1"/>
  <c r="J140" i="38"/>
  <c r="J404" i="38" s="1"/>
  <c r="H85" i="38"/>
  <c r="H71" i="17"/>
  <c r="H74" i="17"/>
  <c r="H88" i="17"/>
  <c r="H85" i="17"/>
  <c r="H73" i="17"/>
  <c r="H71" i="38"/>
  <c r="H87" i="17"/>
  <c r="H88" i="38"/>
  <c r="H87" i="38"/>
  <c r="H86" i="17"/>
  <c r="K236" i="4"/>
  <c r="K451" i="4" s="1"/>
  <c r="H72" i="17"/>
  <c r="H72" i="38"/>
  <c r="H84" i="38"/>
  <c r="H86" i="38"/>
  <c r="H84" i="17"/>
  <c r="H74" i="38"/>
  <c r="H73" i="38"/>
  <c r="I270" i="38"/>
  <c r="I283" i="38"/>
  <c r="I270" i="17"/>
  <c r="I285" i="38"/>
  <c r="L245" i="4"/>
  <c r="L460" i="4" s="1"/>
  <c r="I282" i="38"/>
  <c r="I269" i="17"/>
  <c r="I286" i="17"/>
  <c r="I284" i="17"/>
  <c r="I272" i="38"/>
  <c r="I282" i="17"/>
  <c r="I271" i="38"/>
  <c r="I286" i="38"/>
  <c r="I269" i="38"/>
  <c r="I271" i="17"/>
  <c r="I272" i="17"/>
  <c r="I283" i="17"/>
  <c r="I284" i="38"/>
  <c r="I285" i="17"/>
  <c r="L108" i="38"/>
  <c r="L110" i="38"/>
  <c r="L107" i="38"/>
  <c r="L109" i="38"/>
  <c r="L94" i="17"/>
  <c r="L96" i="17"/>
  <c r="L108" i="17"/>
  <c r="L106" i="38"/>
  <c r="L110" i="17"/>
  <c r="L93" i="17"/>
  <c r="L95" i="17"/>
  <c r="L109" i="17"/>
  <c r="L95" i="38"/>
  <c r="L107" i="17"/>
  <c r="L106" i="17"/>
  <c r="L93" i="38"/>
  <c r="L96" i="38"/>
  <c r="O237" i="4"/>
  <c r="O452" i="4" s="1"/>
  <c r="L94" i="38"/>
  <c r="H359" i="17"/>
  <c r="H358" i="17"/>
  <c r="H370" i="17"/>
  <c r="H358" i="38"/>
  <c r="H370" i="38"/>
  <c r="H371" i="38"/>
  <c r="H357" i="17"/>
  <c r="H360" i="17"/>
  <c r="K249" i="4"/>
  <c r="K464" i="4" s="1"/>
  <c r="H372" i="38"/>
  <c r="H359" i="38"/>
  <c r="H372" i="17"/>
  <c r="H374" i="38"/>
  <c r="H373" i="17"/>
  <c r="H371" i="17"/>
  <c r="H374" i="17"/>
  <c r="H360" i="38"/>
  <c r="H373" i="38"/>
  <c r="H357" i="38"/>
  <c r="I137" i="17"/>
  <c r="I401" i="17" s="1"/>
  <c r="I154" i="17"/>
  <c r="I418" i="17" s="1"/>
  <c r="I138" i="17"/>
  <c r="I402" i="17" s="1"/>
  <c r="I139" i="38"/>
  <c r="I403" i="38" s="1"/>
  <c r="L239" i="4"/>
  <c r="L454" i="4" s="1"/>
  <c r="I140" i="17"/>
  <c r="I404" i="17" s="1"/>
  <c r="I152" i="17"/>
  <c r="I416" i="17" s="1"/>
  <c r="I150" i="38"/>
  <c r="I414" i="38" s="1"/>
  <c r="I151" i="17"/>
  <c r="I415" i="17" s="1"/>
  <c r="I140" i="38"/>
  <c r="I404" i="38" s="1"/>
  <c r="I139" i="17"/>
  <c r="I403" i="17" s="1"/>
  <c r="I151" i="38"/>
  <c r="I415" i="38" s="1"/>
  <c r="I153" i="17"/>
  <c r="I417" i="17" s="1"/>
  <c r="I152" i="38"/>
  <c r="I416" i="38" s="1"/>
  <c r="I154" i="38"/>
  <c r="I418" i="38" s="1"/>
  <c r="I153" i="38"/>
  <c r="I417" i="38" s="1"/>
  <c r="I150" i="17"/>
  <c r="I414" i="17" s="1"/>
  <c r="I138" i="38"/>
  <c r="I402" i="38" s="1"/>
  <c r="I137" i="38"/>
  <c r="I401" i="38" s="1"/>
  <c r="J261" i="38"/>
  <c r="J260" i="38"/>
  <c r="J263" i="38"/>
  <c r="J247" i="17"/>
  <c r="M244" i="4"/>
  <c r="M459" i="4" s="1"/>
  <c r="J249" i="17"/>
  <c r="J250" i="17"/>
  <c r="J249" i="38"/>
  <c r="J261" i="17"/>
  <c r="J264" i="38"/>
  <c r="J262" i="17"/>
  <c r="J247" i="38"/>
  <c r="J248" i="17"/>
  <c r="J248" i="38"/>
  <c r="J260" i="17"/>
  <c r="J263" i="17"/>
  <c r="J250" i="38"/>
  <c r="J262" i="38"/>
  <c r="J264" i="17"/>
  <c r="K184" i="17"/>
  <c r="K183" i="17"/>
  <c r="K195" i="17"/>
  <c r="K184" i="38"/>
  <c r="N241" i="4"/>
  <c r="N456" i="4" s="1"/>
  <c r="K194" i="17"/>
  <c r="K196" i="38"/>
  <c r="K181" i="17"/>
  <c r="K198" i="38"/>
  <c r="K198" i="17"/>
  <c r="K183" i="38"/>
  <c r="K196" i="17"/>
  <c r="K194" i="38"/>
  <c r="K197" i="38"/>
  <c r="K197" i="17"/>
  <c r="K181" i="38"/>
  <c r="K195" i="38"/>
  <c r="K182" i="38"/>
  <c r="K182" i="17"/>
  <c r="J204" i="38"/>
  <c r="J218" i="17"/>
  <c r="J204" i="17"/>
  <c r="J218" i="38"/>
  <c r="J205" i="38"/>
  <c r="J206" i="38"/>
  <c r="J220" i="17"/>
  <c r="J220" i="38"/>
  <c r="J206" i="17"/>
  <c r="J216" i="38"/>
  <c r="J217" i="38"/>
  <c r="J205" i="17"/>
  <c r="J219" i="38"/>
  <c r="J217" i="17"/>
  <c r="J203" i="17"/>
  <c r="J219" i="17"/>
  <c r="J216" i="17"/>
  <c r="J203" i="38"/>
  <c r="M242" i="4"/>
  <c r="M457" i="4" s="1"/>
  <c r="K327" i="38"/>
  <c r="K315" i="17"/>
  <c r="K315" i="38"/>
  <c r="K314" i="17"/>
  <c r="K330" i="38"/>
  <c r="K328" i="38"/>
  <c r="K328" i="17"/>
  <c r="K316" i="38"/>
  <c r="K329" i="17"/>
  <c r="K327" i="17"/>
  <c r="K326" i="38"/>
  <c r="K313" i="17"/>
  <c r="K314" i="38"/>
  <c r="K326" i="17"/>
  <c r="K316" i="17"/>
  <c r="K329" i="38"/>
  <c r="K330" i="17"/>
  <c r="K313" i="38"/>
  <c r="N247" i="4"/>
  <c r="N462" i="4" s="1"/>
  <c r="I225" i="38"/>
  <c r="I225" i="17"/>
  <c r="I241" i="17"/>
  <c r="I238" i="17"/>
  <c r="I226" i="38"/>
  <c r="I239" i="38"/>
  <c r="L243" i="4"/>
  <c r="L458" i="4" s="1"/>
  <c r="I242" i="17"/>
  <c r="I227" i="17"/>
  <c r="I241" i="38"/>
  <c r="I240" i="17"/>
  <c r="I242" i="38"/>
  <c r="I240" i="38"/>
  <c r="I226" i="17"/>
  <c r="I238" i="38"/>
  <c r="I227" i="38"/>
  <c r="I239" i="17"/>
  <c r="I228" i="38"/>
  <c r="I228" i="17"/>
  <c r="H226" i="17"/>
  <c r="H239" i="38"/>
  <c r="H225" i="17"/>
  <c r="K243" i="4"/>
  <c r="K458" i="4" s="1"/>
  <c r="H227" i="17"/>
  <c r="H238" i="17"/>
  <c r="H225" i="38"/>
  <c r="H238" i="38"/>
  <c r="H240" i="17"/>
  <c r="H240" i="38"/>
  <c r="H241" i="17"/>
  <c r="H242" i="17"/>
  <c r="H228" i="17"/>
  <c r="H241" i="38"/>
  <c r="H242" i="38"/>
  <c r="H239" i="17"/>
  <c r="H228" i="38"/>
  <c r="H226" i="38"/>
  <c r="H227" i="38"/>
  <c r="I107" i="38"/>
  <c r="I106" i="38"/>
  <c r="I107" i="17"/>
  <c r="I95" i="38"/>
  <c r="I93" i="38"/>
  <c r="I109" i="17"/>
  <c r="I108" i="17"/>
  <c r="I110" i="17"/>
  <c r="I106" i="17"/>
  <c r="I94" i="38"/>
  <c r="I108" i="38"/>
  <c r="I110" i="38"/>
  <c r="I96" i="38"/>
  <c r="I109" i="38"/>
  <c r="I94" i="17"/>
  <c r="L237" i="4"/>
  <c r="L452" i="4" s="1"/>
  <c r="I95" i="17"/>
  <c r="I96" i="17"/>
  <c r="I93" i="17"/>
  <c r="I352" i="17"/>
  <c r="I350" i="17"/>
  <c r="I335" i="38"/>
  <c r="I350" i="38"/>
  <c r="I349" i="17"/>
  <c r="I348" i="38"/>
  <c r="I351" i="17"/>
  <c r="I337" i="38"/>
  <c r="I338" i="17"/>
  <c r="I336" i="38"/>
  <c r="I336" i="17"/>
  <c r="I335" i="17"/>
  <c r="I337" i="17"/>
  <c r="I348" i="17"/>
  <c r="L248" i="4"/>
  <c r="L463" i="4" s="1"/>
  <c r="I338" i="38"/>
  <c r="I352" i="38"/>
  <c r="I349" i="38"/>
  <c r="I351" i="38"/>
  <c r="K62" i="17"/>
  <c r="K65" i="38"/>
  <c r="K50" i="17"/>
  <c r="K51" i="38"/>
  <c r="K49" i="17"/>
  <c r="K51" i="17"/>
  <c r="K63" i="38"/>
  <c r="K64" i="17"/>
  <c r="K50" i="38"/>
  <c r="K65" i="17"/>
  <c r="K52" i="17"/>
  <c r="K66" i="38"/>
  <c r="K62" i="38"/>
  <c r="K66" i="17"/>
  <c r="K64" i="38"/>
  <c r="K52" i="38"/>
  <c r="K49" i="38"/>
  <c r="N235" i="4"/>
  <c r="N450" i="4" s="1"/>
  <c r="K63" i="17"/>
  <c r="I84" i="38"/>
  <c r="I88" i="17"/>
  <c r="I87" i="38"/>
  <c r="I74" i="17"/>
  <c r="I88" i="38"/>
  <c r="I86" i="38"/>
  <c r="I71" i="38"/>
  <c r="I72" i="38"/>
  <c r="I73" i="38"/>
  <c r="I84" i="17"/>
  <c r="I71" i="17"/>
  <c r="I85" i="38"/>
  <c r="I73" i="17"/>
  <c r="I74" i="38"/>
  <c r="I72" i="17"/>
  <c r="I85" i="17"/>
  <c r="I86" i="17"/>
  <c r="L236" i="4"/>
  <c r="L451" i="4" s="1"/>
  <c r="I87" i="17"/>
  <c r="L371" i="38"/>
  <c r="L373" i="38"/>
  <c r="L370" i="17"/>
  <c r="L372" i="38"/>
  <c r="L360" i="38"/>
  <c r="L357" i="17"/>
  <c r="L358" i="38"/>
  <c r="L374" i="17"/>
  <c r="L371" i="17"/>
  <c r="L372" i="17"/>
  <c r="L373" i="17"/>
  <c r="L359" i="17"/>
  <c r="L370" i="38"/>
  <c r="L374" i="38"/>
  <c r="O249" i="4"/>
  <c r="O464" i="4" s="1"/>
  <c r="L360" i="17"/>
  <c r="L357" i="38"/>
  <c r="L358" i="17"/>
  <c r="L359" i="38"/>
  <c r="I382" i="38"/>
  <c r="I381" i="17"/>
  <c r="I395" i="38"/>
  <c r="I394" i="38"/>
  <c r="I394" i="17"/>
  <c r="I379" i="38"/>
  <c r="I392" i="17"/>
  <c r="I381" i="38"/>
  <c r="I396" i="38"/>
  <c r="I379" i="17"/>
  <c r="I380" i="38"/>
  <c r="I392" i="38"/>
  <c r="I395" i="17"/>
  <c r="I396" i="17"/>
  <c r="I380" i="17"/>
  <c r="L250" i="4"/>
  <c r="L465" i="4" s="1"/>
  <c r="I382" i="17"/>
  <c r="I393" i="38"/>
  <c r="I393" i="17"/>
  <c r="I132" i="38"/>
  <c r="I131" i="38"/>
  <c r="I115" i="17"/>
  <c r="I129" i="38"/>
  <c r="I131" i="17"/>
  <c r="I118" i="17"/>
  <c r="I116" i="38"/>
  <c r="I117" i="38"/>
  <c r="I117" i="17"/>
  <c r="I130" i="17"/>
  <c r="I129" i="17"/>
  <c r="I118" i="38"/>
  <c r="I115" i="38"/>
  <c r="I128" i="38"/>
  <c r="L238" i="4"/>
  <c r="L453" i="4" s="1"/>
  <c r="I132" i="17"/>
  <c r="I130" i="38"/>
  <c r="I116" i="17"/>
  <c r="I128" i="17"/>
  <c r="I205" i="17"/>
  <c r="I216" i="38"/>
  <c r="I218" i="38"/>
  <c r="I206" i="17"/>
  <c r="L242" i="4"/>
  <c r="L457" i="4" s="1"/>
  <c r="I216" i="17"/>
  <c r="I219" i="17"/>
  <c r="I203" i="17"/>
  <c r="I206" i="38"/>
  <c r="I204" i="38"/>
  <c r="I205" i="38"/>
  <c r="I217" i="17"/>
  <c r="I219" i="38"/>
  <c r="I204" i="17"/>
  <c r="I220" i="17"/>
  <c r="I220" i="38"/>
  <c r="I218" i="17"/>
  <c r="I203" i="38"/>
  <c r="I217" i="38"/>
  <c r="H138" i="17"/>
  <c r="H402" i="17" s="1"/>
  <c r="H139" i="17"/>
  <c r="H403" i="17" s="1"/>
  <c r="H137" i="38"/>
  <c r="H401" i="38" s="1"/>
  <c r="H154" i="38"/>
  <c r="H418" i="38" s="1"/>
  <c r="H153" i="17"/>
  <c r="H417" i="17" s="1"/>
  <c r="H154" i="17"/>
  <c r="H418" i="17" s="1"/>
  <c r="H152" i="17"/>
  <c r="H416" i="17" s="1"/>
  <c r="H137" i="17"/>
  <c r="H401" i="17" s="1"/>
  <c r="H140" i="38"/>
  <c r="H404" i="38" s="1"/>
  <c r="H139" i="38"/>
  <c r="H403" i="38" s="1"/>
  <c r="K239" i="4"/>
  <c r="K454" i="4" s="1"/>
  <c r="H150" i="38"/>
  <c r="H414" i="38" s="1"/>
  <c r="H153" i="38"/>
  <c r="H417" i="38" s="1"/>
  <c r="H152" i="38"/>
  <c r="H416" i="38" s="1"/>
  <c r="H151" i="38"/>
  <c r="H415" i="38" s="1"/>
  <c r="H140" i="17"/>
  <c r="H404" i="17" s="1"/>
  <c r="H138" i="38"/>
  <c r="H402" i="38" s="1"/>
  <c r="H151" i="17"/>
  <c r="H415" i="17" s="1"/>
  <c r="H150" i="17"/>
  <c r="H414" i="17" s="1"/>
  <c r="I160" i="17"/>
  <c r="I161" i="38"/>
  <c r="I173" i="38"/>
  <c r="I175" i="17"/>
  <c r="I172" i="38"/>
  <c r="I159" i="17"/>
  <c r="L240" i="4"/>
  <c r="L455" i="4" s="1"/>
  <c r="I159" i="38"/>
  <c r="I162" i="17"/>
  <c r="I173" i="17"/>
  <c r="I161" i="17"/>
  <c r="I160" i="38"/>
  <c r="I162" i="38"/>
  <c r="I174" i="38"/>
  <c r="I175" i="38"/>
  <c r="I174" i="17"/>
  <c r="I176" i="38"/>
  <c r="I172" i="17"/>
  <c r="I176" i="17"/>
  <c r="I22" i="17"/>
  <c r="I18" i="38"/>
  <c r="I19" i="38"/>
  <c r="I20" i="17"/>
  <c r="I7" i="38"/>
  <c r="I6" i="38"/>
  <c r="I18" i="17"/>
  <c r="L233" i="4"/>
  <c r="I7" i="17"/>
  <c r="I20" i="38"/>
  <c r="I19" i="17"/>
  <c r="I8" i="17"/>
  <c r="I5" i="38"/>
  <c r="I6" i="17"/>
  <c r="I21" i="17"/>
  <c r="I22" i="38"/>
  <c r="I21" i="38"/>
  <c r="I8" i="38"/>
  <c r="I5" i="17"/>
  <c r="H26" i="17" l="1"/>
  <c r="H290" i="38"/>
  <c r="J70" i="38"/>
  <c r="H26" i="38"/>
  <c r="H290" i="17"/>
  <c r="M500" i="4"/>
  <c r="J275" i="38" s="1"/>
  <c r="M504" i="4"/>
  <c r="J363" i="38" s="1"/>
  <c r="J70" i="17"/>
  <c r="K502" i="4"/>
  <c r="H319" i="17" s="1"/>
  <c r="K136" i="17"/>
  <c r="K400" i="17" s="1"/>
  <c r="J356" i="38"/>
  <c r="K136" i="38"/>
  <c r="K400" i="38" s="1"/>
  <c r="H312" i="38"/>
  <c r="J180" i="17"/>
  <c r="M496" i="4"/>
  <c r="J187" i="38" s="1"/>
  <c r="K290" i="38"/>
  <c r="O500" i="4"/>
  <c r="L275" i="38" s="1"/>
  <c r="N505" i="4"/>
  <c r="K385" i="17" s="1"/>
  <c r="H158" i="38"/>
  <c r="K493" i="4"/>
  <c r="H121" i="38" s="1"/>
  <c r="H114" i="38"/>
  <c r="K499" i="4"/>
  <c r="H253" i="17" s="1"/>
  <c r="H246" i="38"/>
  <c r="O497" i="4"/>
  <c r="L209" i="38" s="1"/>
  <c r="I290" i="17"/>
  <c r="L499" i="4"/>
  <c r="I253" i="38" s="1"/>
  <c r="I290" i="38"/>
  <c r="I246" i="38"/>
  <c r="O502" i="4"/>
  <c r="L319" i="38" s="1"/>
  <c r="L202" i="38"/>
  <c r="L268" i="17"/>
  <c r="H158" i="17"/>
  <c r="L312" i="17"/>
  <c r="K378" i="17"/>
  <c r="I26" i="17"/>
  <c r="I26" i="38"/>
  <c r="N501" i="4"/>
  <c r="K297" i="38" s="1"/>
  <c r="L505" i="4"/>
  <c r="I378" i="17"/>
  <c r="I378" i="38"/>
  <c r="O504" i="4"/>
  <c r="L356" i="38"/>
  <c r="L356" i="17"/>
  <c r="K466" i="4"/>
  <c r="K488" i="4"/>
  <c r="H4" i="38"/>
  <c r="H4" i="17"/>
  <c r="N490" i="4"/>
  <c r="K48" i="17"/>
  <c r="K48" i="38"/>
  <c r="I92" i="17"/>
  <c r="L492" i="4"/>
  <c r="I92" i="38"/>
  <c r="I136" i="38"/>
  <c r="I400" i="38" s="1"/>
  <c r="I136" i="17"/>
  <c r="I400" i="17" s="1"/>
  <c r="L494" i="4"/>
  <c r="L275" i="17"/>
  <c r="K92" i="17"/>
  <c r="N492" i="4"/>
  <c r="K92" i="38"/>
  <c r="L114" i="17"/>
  <c r="O493" i="4"/>
  <c r="L114" i="38"/>
  <c r="K492" i="4"/>
  <c r="H92" i="38"/>
  <c r="H92" i="17"/>
  <c r="L502" i="4"/>
  <c r="I312" i="38"/>
  <c r="I312" i="17"/>
  <c r="K158" i="17"/>
  <c r="N495" i="4"/>
  <c r="K158" i="38"/>
  <c r="L224" i="17"/>
  <c r="L224" i="38"/>
  <c r="O498" i="4"/>
  <c r="J378" i="17"/>
  <c r="M505" i="4"/>
  <c r="J378" i="38"/>
  <c r="H202" i="17"/>
  <c r="H202" i="38"/>
  <c r="K497" i="4"/>
  <c r="L26" i="17"/>
  <c r="L26" i="38"/>
  <c r="O489" i="4"/>
  <c r="H319" i="38"/>
  <c r="M495" i="4"/>
  <c r="J158" i="17"/>
  <c r="J158" i="38"/>
  <c r="L251" i="4"/>
  <c r="L448" i="4"/>
  <c r="I158" i="38"/>
  <c r="L495" i="4"/>
  <c r="I158" i="17"/>
  <c r="L497" i="4"/>
  <c r="I202" i="17"/>
  <c r="I202" i="38"/>
  <c r="I70" i="17"/>
  <c r="L491" i="4"/>
  <c r="I70" i="38"/>
  <c r="M497" i="4"/>
  <c r="J202" i="17"/>
  <c r="J202" i="38"/>
  <c r="M499" i="4"/>
  <c r="J246" i="17"/>
  <c r="J246" i="38"/>
  <c r="L92" i="38"/>
  <c r="O492" i="4"/>
  <c r="L92" i="17"/>
  <c r="I268" i="38"/>
  <c r="I268" i="17"/>
  <c r="L500" i="4"/>
  <c r="H70" i="38"/>
  <c r="K491" i="4"/>
  <c r="H70" i="17"/>
  <c r="J136" i="38"/>
  <c r="J400" i="38" s="1"/>
  <c r="J136" i="17"/>
  <c r="J400" i="17" s="1"/>
  <c r="M494" i="4"/>
  <c r="L158" i="17"/>
  <c r="O495" i="4"/>
  <c r="L158" i="38"/>
  <c r="N251" i="4"/>
  <c r="N448" i="4"/>
  <c r="K490" i="4"/>
  <c r="H48" i="17"/>
  <c r="H48" i="38"/>
  <c r="K70" i="38"/>
  <c r="K70" i="17"/>
  <c r="N491" i="4"/>
  <c r="L180" i="17"/>
  <c r="L180" i="38"/>
  <c r="O496" i="4"/>
  <c r="K356" i="17"/>
  <c r="N504" i="4"/>
  <c r="K356" i="38"/>
  <c r="M493" i="4"/>
  <c r="J114" i="38"/>
  <c r="J114" i="17"/>
  <c r="J92" i="38"/>
  <c r="M492" i="4"/>
  <c r="J92" i="17"/>
  <c r="I180" i="17"/>
  <c r="I180" i="38"/>
  <c r="L496" i="4"/>
  <c r="K246" i="38"/>
  <c r="K246" i="17"/>
  <c r="N499" i="4"/>
  <c r="L136" i="38"/>
  <c r="L400" i="38" s="1"/>
  <c r="L136" i="17"/>
  <c r="L400" i="17" s="1"/>
  <c r="O494" i="4"/>
  <c r="H334" i="17"/>
  <c r="K503" i="4"/>
  <c r="H334" i="38"/>
  <c r="M498" i="4"/>
  <c r="J224" i="17"/>
  <c r="J224" i="38"/>
  <c r="H33" i="17"/>
  <c r="H33" i="38"/>
  <c r="H136" i="38"/>
  <c r="H400" i="38" s="1"/>
  <c r="H136" i="17"/>
  <c r="H400" i="17" s="1"/>
  <c r="K494" i="4"/>
  <c r="I114" i="38"/>
  <c r="L493" i="4"/>
  <c r="I114" i="17"/>
  <c r="I33" i="38"/>
  <c r="I33" i="17"/>
  <c r="I334" i="38"/>
  <c r="I334" i="17"/>
  <c r="L503" i="4"/>
  <c r="K312" i="17"/>
  <c r="N502" i="4"/>
  <c r="K312" i="38"/>
  <c r="N496" i="4"/>
  <c r="K180" i="38"/>
  <c r="K180" i="17"/>
  <c r="K143" i="38"/>
  <c r="K407" i="38" s="1"/>
  <c r="K143" i="17"/>
  <c r="K407" i="17" s="1"/>
  <c r="H268" i="17"/>
  <c r="H268" i="38"/>
  <c r="K500" i="4"/>
  <c r="K114" i="17"/>
  <c r="K114" i="38"/>
  <c r="N493" i="4"/>
  <c r="O448" i="4"/>
  <c r="O251" i="4"/>
  <c r="L246" i="17"/>
  <c r="L246" i="38"/>
  <c r="O499" i="4"/>
  <c r="I297" i="38"/>
  <c r="I297" i="17"/>
  <c r="K26" i="17"/>
  <c r="N489" i="4"/>
  <c r="K26" i="38"/>
  <c r="J312" i="38"/>
  <c r="M502" i="4"/>
  <c r="J312" i="17"/>
  <c r="J334" i="38"/>
  <c r="J334" i="17"/>
  <c r="M503" i="4"/>
  <c r="H297" i="17"/>
  <c r="H297" i="38"/>
  <c r="K224" i="17"/>
  <c r="K224" i="38"/>
  <c r="N498" i="4"/>
  <c r="O505" i="4"/>
  <c r="L378" i="38"/>
  <c r="L378" i="17"/>
  <c r="K251" i="4"/>
  <c r="H224" i="17"/>
  <c r="K498" i="4"/>
  <c r="H224" i="38"/>
  <c r="L498" i="4"/>
  <c r="I224" i="38"/>
  <c r="I224" i="17"/>
  <c r="K504" i="4"/>
  <c r="H356" i="17"/>
  <c r="H356" i="38"/>
  <c r="L290" i="38"/>
  <c r="L290" i="17"/>
  <c r="O501" i="4"/>
  <c r="K334" i="17"/>
  <c r="N503" i="4"/>
  <c r="K334" i="38"/>
  <c r="O503" i="4"/>
  <c r="L334" i="38"/>
  <c r="L334" i="17"/>
  <c r="H165" i="38"/>
  <c r="H165" i="17"/>
  <c r="I48" i="38"/>
  <c r="I48" i="17"/>
  <c r="L490" i="4"/>
  <c r="J26" i="17"/>
  <c r="M489" i="4"/>
  <c r="J26" i="38"/>
  <c r="I356" i="17"/>
  <c r="I356" i="38"/>
  <c r="L504" i="4"/>
  <c r="J77" i="17"/>
  <c r="J77" i="38"/>
  <c r="J48" i="38"/>
  <c r="J48" i="17"/>
  <c r="M490" i="4"/>
  <c r="K202" i="38"/>
  <c r="N497" i="4"/>
  <c r="K202" i="17"/>
  <c r="J290" i="17"/>
  <c r="M501" i="4"/>
  <c r="J290" i="38"/>
  <c r="H180" i="38"/>
  <c r="H180" i="17"/>
  <c r="K496" i="4"/>
  <c r="K505" i="4"/>
  <c r="H378" i="38"/>
  <c r="H378" i="17"/>
  <c r="L70" i="38"/>
  <c r="O491" i="4"/>
  <c r="L70" i="17"/>
  <c r="K268" i="17"/>
  <c r="N500" i="4"/>
  <c r="K268" i="38"/>
  <c r="O490" i="4"/>
  <c r="L48" i="38"/>
  <c r="L48" i="17"/>
  <c r="M251" i="4"/>
  <c r="M448" i="4"/>
  <c r="J275" i="17" l="1"/>
  <c r="I253" i="17"/>
  <c r="J363" i="17"/>
  <c r="J187" i="17"/>
  <c r="K297" i="17"/>
  <c r="H253" i="38"/>
  <c r="L319" i="17"/>
  <c r="K385" i="38"/>
  <c r="H121" i="17"/>
  <c r="L209" i="17"/>
  <c r="J4" i="17"/>
  <c r="M488" i="4"/>
  <c r="M466" i="4"/>
  <c r="J4" i="38"/>
  <c r="K275" i="17"/>
  <c r="K275" i="38"/>
  <c r="I55" i="17"/>
  <c r="I55" i="38"/>
  <c r="H363" i="17"/>
  <c r="H363" i="38"/>
  <c r="L385" i="17"/>
  <c r="L385" i="38"/>
  <c r="J341" i="38"/>
  <c r="J341" i="17"/>
  <c r="J319" i="38"/>
  <c r="J319" i="17"/>
  <c r="K121" i="17"/>
  <c r="K121" i="38"/>
  <c r="K319" i="38"/>
  <c r="K319" i="17"/>
  <c r="J209" i="38"/>
  <c r="J209" i="17"/>
  <c r="I165" i="38"/>
  <c r="I165" i="17"/>
  <c r="H209" i="17"/>
  <c r="H209" i="38"/>
  <c r="K99" i="38"/>
  <c r="K99" i="17"/>
  <c r="I385" i="17"/>
  <c r="I385" i="38"/>
  <c r="J55" i="38"/>
  <c r="J55" i="17"/>
  <c r="K341" i="17"/>
  <c r="K341" i="38"/>
  <c r="H231" i="17"/>
  <c r="H231" i="38"/>
  <c r="J231" i="17"/>
  <c r="J231" i="38"/>
  <c r="I187" i="17"/>
  <c r="I187" i="38"/>
  <c r="K363" i="38"/>
  <c r="K363" i="17"/>
  <c r="L99" i="17"/>
  <c r="L99" i="38"/>
  <c r="L33" i="38"/>
  <c r="L33" i="17"/>
  <c r="H99" i="38"/>
  <c r="H99" i="17"/>
  <c r="L121" i="17"/>
  <c r="L121" i="38"/>
  <c r="H11" i="38"/>
  <c r="H11" i="17"/>
  <c r="K506" i="4"/>
  <c r="L363" i="17"/>
  <c r="L363" i="38"/>
  <c r="H187" i="38"/>
  <c r="H187" i="17"/>
  <c r="I363" i="38"/>
  <c r="I363" i="17"/>
  <c r="J33" i="17"/>
  <c r="J33" i="38"/>
  <c r="K187" i="17"/>
  <c r="K187" i="38"/>
  <c r="I341" i="38"/>
  <c r="I341" i="17"/>
  <c r="H143" i="17"/>
  <c r="H407" i="17" s="1"/>
  <c r="H143" i="38"/>
  <c r="H407" i="38" s="1"/>
  <c r="K253" i="38"/>
  <c r="K253" i="17"/>
  <c r="K77" i="38"/>
  <c r="K77" i="17"/>
  <c r="N466" i="4"/>
  <c r="N488" i="4"/>
  <c r="K4" i="17"/>
  <c r="K4" i="38"/>
  <c r="I77" i="38"/>
  <c r="I77" i="17"/>
  <c r="I209" i="38"/>
  <c r="I209" i="17"/>
  <c r="I4" i="17"/>
  <c r="L466" i="4"/>
  <c r="I4" i="38"/>
  <c r="L488" i="4"/>
  <c r="J165" i="17"/>
  <c r="J165" i="38"/>
  <c r="L231" i="17"/>
  <c r="L231" i="38"/>
  <c r="K165" i="38"/>
  <c r="K165" i="17"/>
  <c r="I319" i="38"/>
  <c r="I319" i="17"/>
  <c r="I143" i="17"/>
  <c r="I407" i="17" s="1"/>
  <c r="I143" i="38"/>
  <c r="I407" i="38" s="1"/>
  <c r="I99" i="17"/>
  <c r="I99" i="38"/>
  <c r="K55" i="38"/>
  <c r="K55" i="17"/>
  <c r="L55" i="38"/>
  <c r="L55" i="17"/>
  <c r="J297" i="17"/>
  <c r="J297" i="38"/>
  <c r="I121" i="17"/>
  <c r="I121" i="38"/>
  <c r="J385" i="17"/>
  <c r="J385" i="38"/>
  <c r="H341" i="17"/>
  <c r="H341" i="38"/>
  <c r="L165" i="38"/>
  <c r="L165" i="17"/>
  <c r="I275" i="38"/>
  <c r="I275" i="17"/>
  <c r="J253" i="38"/>
  <c r="J253" i="17"/>
  <c r="L77" i="38"/>
  <c r="L77" i="17"/>
  <c r="H385" i="17"/>
  <c r="H385" i="38"/>
  <c r="K209" i="38"/>
  <c r="K209" i="17"/>
  <c r="L341" i="17"/>
  <c r="L341" i="38"/>
  <c r="L297" i="38"/>
  <c r="L297" i="17"/>
  <c r="I231" i="38"/>
  <c r="I231" i="17"/>
  <c r="K231" i="38"/>
  <c r="K231" i="17"/>
  <c r="K33" i="17"/>
  <c r="K33" i="38"/>
  <c r="L253" i="38"/>
  <c r="L253" i="17"/>
  <c r="O466" i="4"/>
  <c r="L4" i="17"/>
  <c r="O488" i="4"/>
  <c r="L4" i="38"/>
  <c r="H275" i="17"/>
  <c r="H275" i="38"/>
  <c r="L143" i="38"/>
  <c r="L407" i="38" s="1"/>
  <c r="L143" i="17"/>
  <c r="L407" i="17" s="1"/>
  <c r="J99" i="38"/>
  <c r="J99" i="17"/>
  <c r="J121" i="38"/>
  <c r="J121" i="17"/>
  <c r="L187" i="17"/>
  <c r="L187" i="38"/>
  <c r="H55" i="17"/>
  <c r="H55" i="38"/>
  <c r="J143" i="38"/>
  <c r="J407" i="38" s="1"/>
  <c r="J143" i="17"/>
  <c r="J407" i="17" s="1"/>
  <c r="H77" i="38"/>
  <c r="H77" i="17"/>
  <c r="K11" i="17" l="1"/>
  <c r="K11" i="38"/>
  <c r="N506" i="4"/>
  <c r="I11" i="38"/>
  <c r="I11" i="17"/>
  <c r="L506" i="4"/>
  <c r="L11" i="38"/>
  <c r="O506" i="4"/>
  <c r="L11" i="17"/>
  <c r="J11" i="38"/>
  <c r="J11" i="17"/>
  <c r="M506" i="4"/>
</calcChain>
</file>

<file path=xl/sharedStrings.xml><?xml version="1.0" encoding="utf-8"?>
<sst xmlns="http://schemas.openxmlformats.org/spreadsheetml/2006/main" count="14159" uniqueCount="536">
  <si>
    <t>Nr 0dp</t>
  </si>
  <si>
    <t>Calculations</t>
  </si>
  <si>
    <t>Input Data</t>
  </si>
  <si>
    <t/>
  </si>
  <si>
    <t>Year</t>
  </si>
  <si>
    <t>2010-11</t>
  </si>
  <si>
    <t>2011-12</t>
  </si>
  <si>
    <t>2012-13</t>
  </si>
  <si>
    <t>2013-14</t>
  </si>
  <si>
    <t>2014-15</t>
  </si>
  <si>
    <t>£m 3dp</t>
  </si>
  <si>
    <t>-</t>
  </si>
  <si>
    <t>Source</t>
  </si>
  <si>
    <t>Date</t>
  </si>
  <si>
    <t>Who</t>
  </si>
  <si>
    <t>Description of change</t>
  </si>
  <si>
    <t>CHANGE HISTORY</t>
  </si>
  <si>
    <t>PURPOSE</t>
  </si>
  <si>
    <t>WORKBOOK COMMENTS</t>
  </si>
  <si>
    <t>FURTHER SUPPORTING INFORMATION</t>
  </si>
  <si>
    <t>INPUT DATA GUIDANCE NOTES</t>
  </si>
  <si>
    <t>OTHER NOTES</t>
  </si>
  <si>
    <t>Item description</t>
  </si>
  <si>
    <t>Reference</t>
  </si>
  <si>
    <t>Unit dp</t>
  </si>
  <si>
    <t>Unit/dp</t>
  </si>
  <si>
    <t>Parameter title</t>
  </si>
  <si>
    <r>
      <rPr>
        <b/>
        <sz val="10"/>
        <color theme="4"/>
        <rFont val="Arial"/>
        <family val="2"/>
      </rPr>
      <t>F_Outputs</t>
    </r>
    <r>
      <rPr>
        <sz val="10"/>
        <color theme="4"/>
        <rFont val="Arial"/>
        <family val="2"/>
      </rPr>
      <t xml:space="preserve"> - contains the outputs that require saving back to Fountain for further re-use.</t>
    </r>
  </si>
  <si>
    <t>ASSURANCE HISTORY</t>
  </si>
  <si>
    <t>000 3dp</t>
  </si>
  <si>
    <t>£/cust 2 dp</t>
  </si>
  <si>
    <t>ANH</t>
  </si>
  <si>
    <t>WSH</t>
  </si>
  <si>
    <t>NES</t>
  </si>
  <si>
    <t>2015-16</t>
  </si>
  <si>
    <t>2016-17</t>
  </si>
  <si>
    <t>2017-18</t>
  </si>
  <si>
    <t>2018-19</t>
  </si>
  <si>
    <t>2019-20</t>
  </si>
  <si>
    <t>% 4dp</t>
  </si>
  <si>
    <t>OEMWO</t>
  </si>
  <si>
    <t>OEMSO</t>
  </si>
  <si>
    <t>OEMWS</t>
  </si>
  <si>
    <t>Unweighted average cost to serve - metered water and sewerage customers</t>
  </si>
  <si>
    <t>Unweighted average cost to serve - metered water only customers</t>
  </si>
  <si>
    <t>Unweighted average cost to serve - metered sewerage only customers</t>
  </si>
  <si>
    <t>SVT</t>
  </si>
  <si>
    <t>SWT</t>
  </si>
  <si>
    <t>SRN</t>
  </si>
  <si>
    <t>TMS</t>
  </si>
  <si>
    <t>NWT</t>
  </si>
  <si>
    <t>WSX</t>
  </si>
  <si>
    <t>YKY</t>
  </si>
  <si>
    <t>AFW</t>
  </si>
  <si>
    <t>BRL</t>
  </si>
  <si>
    <t>DVW</t>
  </si>
  <si>
    <t>PRT</t>
  </si>
  <si>
    <t>SBW</t>
  </si>
  <si>
    <t>SEW</t>
  </si>
  <si>
    <t>SES</t>
  </si>
  <si>
    <t>The additional cost to serve for metered customers by:</t>
  </si>
  <si>
    <t>Water only customers</t>
  </si>
  <si>
    <t>Sewerage only customers</t>
  </si>
  <si>
    <t>Water and sewerage customers</t>
  </si>
  <si>
    <t>Retail average cost to serve model (R5)</t>
  </si>
  <si>
    <t>IND</t>
  </si>
  <si>
    <t>SSC</t>
  </si>
  <si>
    <t>Economies of scope</t>
  </si>
  <si>
    <t>Unweighted average cost to serve (excluding metering and bad debt costs)</t>
  </si>
  <si>
    <t xml:space="preserve"> </t>
  </si>
  <si>
    <t>OUTPUT DEFINITIONS</t>
  </si>
  <si>
    <t>Code</t>
  </si>
  <si>
    <t>Description</t>
  </si>
  <si>
    <t>Definition</t>
  </si>
  <si>
    <t>£m</t>
  </si>
  <si>
    <t>£/cust</t>
  </si>
  <si>
    <t>Unit</t>
  </si>
  <si>
    <t>Input(L8+L9+L10+L11+(L12+L13)*EoS)</t>
  </si>
  <si>
    <t>R3001</t>
  </si>
  <si>
    <t>R3014</t>
  </si>
  <si>
    <t>R3015</t>
  </si>
  <si>
    <t>R3016</t>
  </si>
  <si>
    <t>R3017</t>
  </si>
  <si>
    <t>R3019</t>
  </si>
  <si>
    <t>R3020</t>
  </si>
  <si>
    <t>R3021</t>
  </si>
  <si>
    <t>R3022</t>
  </si>
  <si>
    <t>R3018</t>
  </si>
  <si>
    <t>000</t>
  </si>
  <si>
    <t>Households connected for water only - unmetered</t>
  </si>
  <si>
    <t>Households connected for water only - metered</t>
  </si>
  <si>
    <t>Households connected for sewerage only - unmetered</t>
  </si>
  <si>
    <t>Households connected for sewerage only - metered</t>
  </si>
  <si>
    <t>Households connected for water and sewerage - unmetered</t>
  </si>
  <si>
    <t>Households connected for water and sewerage - metered</t>
  </si>
  <si>
    <t>Input(L6/L11)*1000</t>
  </si>
  <si>
    <t>Input(L7/L13)*1000</t>
  </si>
  <si>
    <t>R3002</t>
  </si>
  <si>
    <t>R3003</t>
  </si>
  <si>
    <t>Total depreciation of assets included in RCV (assets existing before AMP6)</t>
  </si>
  <si>
    <t>Total depreciation of assets that are not included in RCV (AMP6 or later assets)</t>
  </si>
  <si>
    <t>Sum S2.2b/No of companies</t>
  </si>
  <si>
    <t>S2.2/S2.1*1000</t>
  </si>
  <si>
    <t>S2.1*S2.5a/1000</t>
  </si>
  <si>
    <t>Sum S2.5b</t>
  </si>
  <si>
    <t>Input L2/S2.1*1000</t>
  </si>
  <si>
    <t>Input(L5/L9)*1000</t>
  </si>
  <si>
    <t>Sum 2.6a/No of companies</t>
  </si>
  <si>
    <t>Input L9*S2.6e</t>
  </si>
  <si>
    <t>Sum S2.6f</t>
  </si>
  <si>
    <t>Sum S2.7a/No of companies</t>
  </si>
  <si>
    <t>Sum 2.8a/No of companies</t>
  </si>
  <si>
    <t>Sum S2.7f</t>
  </si>
  <si>
    <t>F_Outputs</t>
  </si>
  <si>
    <t>The average cost to serve (ACTS) for unmetered customers</t>
  </si>
  <si>
    <t>1.3 Customer numbers - business plan</t>
  </si>
  <si>
    <t>Total household retail service expenditure</t>
  </si>
  <si>
    <t>Input</t>
  </si>
  <si>
    <t>Cost to serve per unmetered customer (CTS)</t>
  </si>
  <si>
    <t>Cost to serve per metered water customer (CTS)</t>
  </si>
  <si>
    <t>Cost to serve per metered sewerage customer (CTS)</t>
  </si>
  <si>
    <t>Cost to serve per metered customer dual service (CTS)</t>
  </si>
  <si>
    <t>Households connected for water and sewerage - unmetered*economies of scope</t>
  </si>
  <si>
    <t>Households connected for water and sewerage - metered*economies of scope</t>
  </si>
  <si>
    <t>Cost to serve per metered dual service customer (CTS)</t>
  </si>
  <si>
    <t>Total operating costs (excluding exceptional items) plus total depreciation of assets included in RCV (assets existing before AMP6)</t>
  </si>
  <si>
    <t>Allowed unmetered cost to serve plus allowed deprecation for an unmetered customer</t>
  </si>
  <si>
    <t>Unmetered cost to serve plus additional cost of serving a metered water only customer</t>
  </si>
  <si>
    <t>Unmetered cost to serve plus additional cost of serving a metered sewerage only customer</t>
  </si>
  <si>
    <t>Unmetered cost to serve plus additional cost of serving a metered water and sewerage customer</t>
  </si>
  <si>
    <t>Number of unmetered dual service customers * economies of scope</t>
  </si>
  <si>
    <t>Number of metered dual service customers * economies of scope</t>
  </si>
  <si>
    <t>Total operating expenditure (excluding exceptional items)</t>
  </si>
  <si>
    <t xml:space="preserve">1.1 operating expenditure </t>
  </si>
  <si>
    <t>1.2 operating expenditure - metering</t>
  </si>
  <si>
    <t>Total retail metering expenditure - water only customers</t>
  </si>
  <si>
    <t>Total retail metering expenditure - sewerage only customers</t>
  </si>
  <si>
    <t>Total retail metering expenditure -  water and sewerage customers</t>
  </si>
  <si>
    <t>% 2dp</t>
  </si>
  <si>
    <t>Allowed depreciation (post efficiency challenge and adjustments)</t>
  </si>
  <si>
    <t>Input(L1-L4-L5-L6+L2+L3)</t>
  </si>
  <si>
    <t>S2.4a+S2.4b</t>
  </si>
  <si>
    <t>If 2.2b &gt; 2.2c then 2.2b-(2.2b-2.2c)*glidepath else 2.2b</t>
  </si>
  <si>
    <t>If (2.6a &gt; 2.6b then 2.6a-(2.6a-2.6b)*glidepath else 2.6a</t>
  </si>
  <si>
    <t>If 2.7a &gt; 2.7b then 2.7a-(2.7a-2.7b)*glidepath else 2.7a</t>
  </si>
  <si>
    <t>Input L11*S2.7c/1000</t>
  </si>
  <si>
    <t>If 2.8a &gt; 2.8b then 2.8a-(2.8a-2.8b)*glidepath else 2.8a</t>
  </si>
  <si>
    <t>Input L13*S2.8c/1000</t>
  </si>
  <si>
    <t>S2.5b+S2.6d+S2.7d+S2.8d</t>
  </si>
  <si>
    <t>S2.9*S2.10</t>
  </si>
  <si>
    <t>FLOWCHART</t>
  </si>
  <si>
    <t>(S2.2d-S2.3)</t>
  </si>
  <si>
    <t>Input(L3/(L3+L1)</t>
  </si>
  <si>
    <t>Nr       0 dp</t>
  </si>
  <si>
    <t>Number of companies to calculate ACTS</t>
  </si>
  <si>
    <t>Input(L14+L16+L15)</t>
  </si>
  <si>
    <t>R3013</t>
  </si>
  <si>
    <t>Operating expenditure - excluded from ACTS</t>
  </si>
  <si>
    <t>Total depreciation of assets that are not included in RCV - excluded from ACTS</t>
  </si>
  <si>
    <t>R3023</t>
  </si>
  <si>
    <t>1.4 Company specific adjustments</t>
  </si>
  <si>
    <t>Input(L1-L5-L6-L7+L2+L3)/S2.1*1000</t>
  </si>
  <si>
    <t>C00090_R005</t>
  </si>
  <si>
    <t>C00091_R005</t>
  </si>
  <si>
    <t>C00092_R005</t>
  </si>
  <si>
    <t>C00093_R005</t>
  </si>
  <si>
    <t>C00094_R005</t>
  </si>
  <si>
    <t>C00095_R005</t>
  </si>
  <si>
    <t>C00096_R005</t>
  </si>
  <si>
    <t>C00097_R005</t>
  </si>
  <si>
    <t>C00134_R005</t>
  </si>
  <si>
    <t>nr</t>
  </si>
  <si>
    <t>Economies of scope (Manual Iput)</t>
  </si>
  <si>
    <t>Glidepath (Manual Input)</t>
  </si>
  <si>
    <t>R1ZZZ001</t>
  </si>
  <si>
    <t>Total household retail allowed expenditure</t>
  </si>
  <si>
    <t>The purpose of this model is to feed into the financial model:</t>
  </si>
  <si>
    <t>The amount of total household retail service revenue that is depreciation.</t>
  </si>
  <si>
    <t>The ratio of the cost to serving a single service water customer to a dual service customer (for an efficient company)</t>
  </si>
  <si>
    <t>PL14R005IN</t>
  </si>
  <si>
    <t>Acronym</t>
  </si>
  <si>
    <t>Model</t>
  </si>
  <si>
    <t>Periodic Review 2014</t>
  </si>
  <si>
    <t>000s</t>
  </si>
  <si>
    <t>Incremental expenditure in addition to retail operating expenditure and depreciation of retail assets - total for all outcomes</t>
  </si>
  <si>
    <t>Company cost to serve un-measured (including modification for new costs)</t>
  </si>
  <si>
    <t>Company cost to serve measured water only</t>
  </si>
  <si>
    <t>Company cost to serve measured wastewater only</t>
  </si>
  <si>
    <t>Company cost to serve measured water and wastewater</t>
  </si>
  <si>
    <t>Company cost to serve unmeasured water and wastewater customers</t>
  </si>
  <si>
    <t>Allowed cost to serve unmeasured water and wastewater customers</t>
  </si>
  <si>
    <t>Allowed cost to serve measured water-only customers</t>
  </si>
  <si>
    <t>Allowed cost to serve measured wastewater-only customers</t>
  </si>
  <si>
    <t>Allowed cost to serve measured water and wastewater customers</t>
  </si>
  <si>
    <t>C00586_R005</t>
  </si>
  <si>
    <t>C00587_R005</t>
  </si>
  <si>
    <t>C00588_R005</t>
  </si>
  <si>
    <t>C00589_R005</t>
  </si>
  <si>
    <t>C00591_R005</t>
  </si>
  <si>
    <t>C00596_R005</t>
  </si>
  <si>
    <t>C00597_R005</t>
  </si>
  <si>
    <t>C00598_R005</t>
  </si>
  <si>
    <t>C00599_R005</t>
  </si>
  <si>
    <t>Allowed cost to serve unmeasured single service customers</t>
  </si>
  <si>
    <t>C00595_R005</t>
  </si>
  <si>
    <t>Modification made to 2013-14 CTS for ACTS calculation</t>
  </si>
  <si>
    <t>R3001_R005</t>
  </si>
  <si>
    <t>R3013_R005</t>
  </si>
  <si>
    <t>C00796_R005</t>
  </si>
  <si>
    <t>Industry ACTS for unmetered single service customers</t>
  </si>
  <si>
    <t>Industry ACTS for unmetered water and sewerage customers</t>
  </si>
  <si>
    <t>Industry ACTS for metered water-only customers</t>
  </si>
  <si>
    <t>Industry ACTS for metered sewerage-only customers</t>
  </si>
  <si>
    <t>Industry ACTS for metered water and sewerage customers</t>
  </si>
  <si>
    <t>Units</t>
  </si>
  <si>
    <t>Anglian</t>
  </si>
  <si>
    <t>Welsh</t>
  </si>
  <si>
    <t>Northumbrian</t>
  </si>
  <si>
    <t>Severn Trent</t>
  </si>
  <si>
    <t>SevernTrent</t>
  </si>
  <si>
    <t>SouthWest</t>
  </si>
  <si>
    <t>Southern</t>
  </si>
  <si>
    <t>Thames</t>
  </si>
  <si>
    <t>UnitedUtilities</t>
  </si>
  <si>
    <t>Wessex</t>
  </si>
  <si>
    <t>Yorkshire</t>
  </si>
  <si>
    <t>Affinity</t>
  </si>
  <si>
    <t>Bristol</t>
  </si>
  <si>
    <t>DeeValley</t>
  </si>
  <si>
    <t>Portsmouth</t>
  </si>
  <si>
    <t>Bournemouth</t>
  </si>
  <si>
    <t>SouthEast</t>
  </si>
  <si>
    <t>Staffs</t>
  </si>
  <si>
    <t>Essex</t>
  </si>
  <si>
    <t>Recharge from wholesale for legacy assets principally used by wholesale (assets existing before AMP 6)</t>
  </si>
  <si>
    <t>R3036</t>
  </si>
  <si>
    <t>Income from wholesale for legacy assets principally used by retail (assets existing before AMP 6)</t>
  </si>
  <si>
    <t>R3037</t>
  </si>
  <si>
    <t>Recharge from wholesale for AMP 6 or later assets principally used by wholesale</t>
  </si>
  <si>
    <t>R3038</t>
  </si>
  <si>
    <t>Income from wholesale for AMP 6 or later assets principally used by retail</t>
  </si>
  <si>
    <t>R3039</t>
  </si>
  <si>
    <t>Economies of Scope</t>
  </si>
  <si>
    <t>Materiality threshold</t>
  </si>
  <si>
    <t>No</t>
  </si>
  <si>
    <t>Deevalley</t>
  </si>
  <si>
    <t>South East</t>
  </si>
  <si>
    <t>Adjustment 2</t>
  </si>
  <si>
    <t>Adjustment 3</t>
  </si>
  <si>
    <t>Total operating expenditure</t>
  </si>
  <si>
    <t>Pension Deficit Repair Costs</t>
  </si>
  <si>
    <t>AMP 6 depreciation net of recharges</t>
  </si>
  <si>
    <t>Legacy depreciation net of recharges</t>
  </si>
  <si>
    <t>2.4 b Materiality threshold</t>
  </si>
  <si>
    <t>Sutton and East Surrey</t>
  </si>
  <si>
    <t>SuttonEastSurrey</t>
  </si>
  <si>
    <t>The cost to serve for measured water only customers. Derived from the sum of the unmeasured CTS and the additional cost of serving a measured water only customer</t>
  </si>
  <si>
    <t>The cost to serve for measured wastewater only customers. Derived from the sum of the unmeasured CTS and the additional cost of serving a measured wastewater only customer</t>
  </si>
  <si>
    <t>The cost to serve for measured wastewater only customers. Derived from the sum of the unmeasured CTS and the additional cost of serving a measured wastewater only customer both multiplied by the economies of scope factor</t>
  </si>
  <si>
    <t>The cost to serve for an unmeasured single service customer used for calculating the ACTS</t>
  </si>
  <si>
    <t>The cost to serve for a dual service unmeasured customer. Derived using the unmeasured CTS multiplied by the economies of scope factor</t>
  </si>
  <si>
    <t>The allowed cost a company can recover for each unmeasured single service customer</t>
  </si>
  <si>
    <t>The allowed cost a company can recover for each unmeasured dual service customer</t>
  </si>
  <si>
    <t>The allowed cost a company can recover for each measured water only customer</t>
  </si>
  <si>
    <t>The allowed cost a company can recover for each measured wastewater only customer</t>
  </si>
  <si>
    <t>The allowed cost a company can recover for each measured dual service customer</t>
  </si>
  <si>
    <t>The modification made to the 13-14 company cost to serve un-measured</t>
  </si>
  <si>
    <t>The effective total operating expenditure used as an input into the model</t>
  </si>
  <si>
    <t>The effective operating expenditure - excluded from the ACTS used as an input into the model</t>
  </si>
  <si>
    <t>The unmeasured ACTS used as a benchmark for setting efficiency challenges</t>
  </si>
  <si>
    <t>The unmeasured ACTS used as a benchmark for setting efficiency challenges multiplied by the economies of scope factor</t>
  </si>
  <si>
    <t>FOUNTAIN_INSTANCE_URL</t>
  </si>
  <si>
    <t>https://fntlive201/Fountain/rest-services_XLSPF</t>
  </si>
  <si>
    <t>inputRunName</t>
  </si>
  <si>
    <t>inputRunId</t>
  </si>
  <si>
    <t>outputRunName</t>
  </si>
  <si>
    <t>outputRunId</t>
  </si>
  <si>
    <t>tagName</t>
  </si>
  <si>
    <t>tagId</t>
  </si>
  <si>
    <t>F_Inputs_TABLE_ID</t>
  </si>
  <si>
    <t>F_Inputs_TEAM</t>
  </si>
  <si>
    <t>IPL_XLSPF</t>
  </si>
  <si>
    <t>F_Inputs_USER</t>
  </si>
  <si>
    <t>OFWAT\Andy.Duff_XLSPF</t>
  </si>
  <si>
    <t>F_Inputs_NAME</t>
  </si>
  <si>
    <t>PL14R005IN_XLSPF</t>
  </si>
  <si>
    <t>F_Inputs_TITLE</t>
  </si>
  <si>
    <t>_XLSPF</t>
  </si>
  <si>
    <t>allowselectRun</t>
  </si>
  <si>
    <t>True_XLSPF</t>
  </si>
  <si>
    <t>EXTERNAL_MODEL_NAME</t>
  </si>
  <si>
    <t>EXTERNAL_MODEL_CODE</t>
  </si>
  <si>
    <t>EXTERNAL_MODEL_FAMILY</t>
  </si>
  <si>
    <t>PR14_XLSPF</t>
  </si>
  <si>
    <t>FOUNTAIN_REPORT</t>
  </si>
  <si>
    <t>PL14R005OUT</t>
  </si>
  <si>
    <t>Calculations - New costs and adjustments</t>
  </si>
  <si>
    <t>6996_XLSPF</t>
  </si>
  <si>
    <t>1641_XLSPF</t>
  </si>
  <si>
    <t>TBU</t>
  </si>
  <si>
    <t>Materiality Threshold</t>
  </si>
  <si>
    <t>Sum of AMP ADJ</t>
  </si>
  <si>
    <t>Material?</t>
  </si>
  <si>
    <t>Yes</t>
  </si>
  <si>
    <t>Total new costs</t>
  </si>
  <si>
    <t>Difference</t>
  </si>
  <si>
    <t>inputSheetLastUpdated</t>
  </si>
  <si>
    <t>Pensions for 2015-16 to 2019-20 overridden with Ofwat view.</t>
  </si>
  <si>
    <t>Is the adjustment allowed? (No: not allowed and added on to base opex if not an IPP claim. Yes: allowed)</t>
  </si>
  <si>
    <t>AWS</t>
  </si>
  <si>
    <t>F_Outputs_TABLE_ID</t>
  </si>
  <si>
    <t>F_Outputs_TEAM</t>
  </si>
  <si>
    <t>F_Outputs_USER</t>
  </si>
  <si>
    <t>F_Outputs_NAME</t>
  </si>
  <si>
    <t>ACTS_August_DD_250702014_XLSPF</t>
  </si>
  <si>
    <t>F_Outputs_TITLE</t>
  </si>
  <si>
    <t>7381_XLSPF</t>
  </si>
  <si>
    <t>outputSheetLastSent</t>
  </si>
  <si>
    <t>Industry cost to serve un-measured (including modification for new costs)</t>
  </si>
  <si>
    <t>Industry cost to serve measured water only</t>
  </si>
  <si>
    <t>Industry cost to serve measured wastewater only</t>
  </si>
  <si>
    <t>Industry cost to serve measured water and wastewater</t>
  </si>
  <si>
    <t>Industry cost to serve unmeasured water and wastewater customers</t>
  </si>
  <si>
    <t>Company specific adjustments</t>
  </si>
  <si>
    <t>0_XLSPF</t>
  </si>
  <si>
    <t>latest_XLSPF</t>
  </si>
  <si>
    <t>Additional sheets added: New cost and adjustments inputs, New costs and adjustments, Input overrides and Used inputs. These sheets have been added to include the new cost calculations within the ACTS model. Previously these calculations were done in a separate, offline model. 
Additional sheet added: F_Outputs Complete. This sheet was added to include industry level outputs for ACTS.</t>
  </si>
  <si>
    <t xml:space="preserve">Major updates since version published July 2014. </t>
  </si>
  <si>
    <t>The household retail costs that companies can recover.</t>
  </si>
  <si>
    <t>The unmeasured ACTS plus the average additional cost to serve metered water-only customers</t>
  </si>
  <si>
    <t>The unmeasured ACTS plus the average additional cost to serve metered sewerage-only customers</t>
  </si>
  <si>
    <t>The unmeasured ACTS plus the average additional cost to serve metered water and sewerage customers multiplied by the economics of scope factor</t>
  </si>
  <si>
    <r>
      <rPr>
        <b/>
        <sz val="10"/>
        <color theme="4"/>
        <rFont val="Arial"/>
        <family val="2"/>
      </rPr>
      <t>New costs and adjustments inputs</t>
    </r>
    <r>
      <rPr>
        <sz val="10"/>
        <color theme="4"/>
        <rFont val="Arial"/>
        <family val="2"/>
      </rPr>
      <t xml:space="preserve"> - This sheet is for manual inputs for new costs and adjustments to reflect Ofwat's decisions on whether new costs and adjustments are allowed.</t>
    </r>
  </si>
  <si>
    <r>
      <rPr>
        <b/>
        <sz val="10"/>
        <color theme="4"/>
        <rFont val="Arial"/>
        <family val="2"/>
      </rPr>
      <t>F_Outputs complete</t>
    </r>
    <r>
      <rPr>
        <sz val="10"/>
        <color theme="4"/>
        <rFont val="Arial"/>
        <family val="2"/>
      </rPr>
      <t xml:space="preserve"> - contains the company specific and industry level outputs. </t>
    </r>
  </si>
  <si>
    <r>
      <rPr>
        <b/>
        <sz val="10"/>
        <color theme="4"/>
        <rFont val="Arial"/>
        <family val="2"/>
      </rPr>
      <t>Price setting</t>
    </r>
    <r>
      <rPr>
        <sz val="10"/>
        <color theme="4"/>
        <rFont val="Arial"/>
        <family val="2"/>
      </rPr>
      <t xml:space="preserve"> - contains the calculations required to for average cost to serve customers.</t>
    </r>
  </si>
  <si>
    <r>
      <rPr>
        <b/>
        <sz val="10"/>
        <color theme="4"/>
        <rFont val="Arial"/>
        <family val="2"/>
      </rPr>
      <t>Input</t>
    </r>
    <r>
      <rPr>
        <sz val="10"/>
        <color theme="4"/>
        <rFont val="Arial"/>
        <family val="2"/>
      </rPr>
      <t xml:space="preserve"> - arranges the data from the F_Inputs sheet and also allows the user to make a manual adjustment for company specific adjustments.</t>
    </r>
  </si>
  <si>
    <r>
      <rPr>
        <b/>
        <sz val="10"/>
        <color theme="4"/>
        <rFont val="Arial"/>
        <family val="2"/>
      </rPr>
      <t>New costs and adjustments</t>
    </r>
    <r>
      <rPr>
        <sz val="10"/>
        <color theme="4"/>
        <rFont val="Arial"/>
        <family val="2"/>
      </rPr>
      <t xml:space="preserve"> - This sheet calculates company specific adjustments, materiality of new costs and disallowed new costs.</t>
    </r>
  </si>
  <si>
    <r>
      <rPr>
        <b/>
        <sz val="10"/>
        <color theme="4"/>
        <rFont val="Arial"/>
        <family val="2"/>
      </rPr>
      <t>F_Inputs</t>
    </r>
    <r>
      <rPr>
        <sz val="10"/>
        <color theme="4"/>
        <rFont val="Arial"/>
        <family val="2"/>
      </rPr>
      <t xml:space="preserve"> - This sheet is where the Fountain report will be "dumped". This is where the majority of the data for this model will come from.</t>
    </r>
  </si>
  <si>
    <t>For supporting information see the user guide.</t>
  </si>
  <si>
    <t>New costs and adjustments inputs</t>
  </si>
  <si>
    <t>Input overrides</t>
  </si>
  <si>
    <t xml:space="preserve">Input  </t>
  </si>
  <si>
    <t>Ofwat assumptions</t>
  </si>
  <si>
    <t>Ofwat decisions and company business plans</t>
  </si>
  <si>
    <t xml:space="preserve">2.1 operating expenditure </t>
  </si>
  <si>
    <t>2.2 operating expenditure - metering</t>
  </si>
  <si>
    <t>2.3 Customer numbers - business plan</t>
  </si>
  <si>
    <t>3.4 Company specific adjustments</t>
  </si>
  <si>
    <t xml:space="preserve">3.1 operating expenditure </t>
  </si>
  <si>
    <t>2.4 Company specific adjustments</t>
  </si>
  <si>
    <t>3.2 operating expenditure - metering</t>
  </si>
  <si>
    <t>3.3 Customer numbers - business plan</t>
  </si>
  <si>
    <t xml:space="preserve">4.1 operating expenditure </t>
  </si>
  <si>
    <t>4.2 operating expenditure - metering</t>
  </si>
  <si>
    <t>4.3 Customer numbers - business plan</t>
  </si>
  <si>
    <t>4.4 Company specific adjustments</t>
  </si>
  <si>
    <t xml:space="preserve">5.1 operating expenditure </t>
  </si>
  <si>
    <t>5.2 operating expenditure - metering</t>
  </si>
  <si>
    <t>5.3 Customer numbers - business plan</t>
  </si>
  <si>
    <t>5.4 Company specific adjustments</t>
  </si>
  <si>
    <t xml:space="preserve">6.1 operating expenditure </t>
  </si>
  <si>
    <t>6.2 operating expenditure - metering</t>
  </si>
  <si>
    <t>6.3 Customer numbers - business plan</t>
  </si>
  <si>
    <t>6.4 Company specific adjustments</t>
  </si>
  <si>
    <t xml:space="preserve">7.1 operating expenditure </t>
  </si>
  <si>
    <t>7.2 operating expenditure - metering</t>
  </si>
  <si>
    <t>7.3 Customer numbers - business plan</t>
  </si>
  <si>
    <t>7.4 Company specific adjustments</t>
  </si>
  <si>
    <t xml:space="preserve">8.1 operating expenditure </t>
  </si>
  <si>
    <t>8.2 operating expenditure - metering</t>
  </si>
  <si>
    <t>8.3 Customer numbers - business plan</t>
  </si>
  <si>
    <t>8.4 Company specific adjustments</t>
  </si>
  <si>
    <t xml:space="preserve">9.1 operating expenditure </t>
  </si>
  <si>
    <t>9.2 operating expenditure - metering</t>
  </si>
  <si>
    <t>9.3 Customer numbers - business plan</t>
  </si>
  <si>
    <t>9.4 Company specific adjustments</t>
  </si>
  <si>
    <t xml:space="preserve">10.1 operating expenditure </t>
  </si>
  <si>
    <t>10.2 operating expenditure - metering</t>
  </si>
  <si>
    <t>10.3 Customer numbers - business plan</t>
  </si>
  <si>
    <t>10.4 Company specific adjustments</t>
  </si>
  <si>
    <t xml:space="preserve">11.1 operating expenditure </t>
  </si>
  <si>
    <t>11.2 operating expenditure - metering</t>
  </si>
  <si>
    <t>11.3 Customer numbers - business plan</t>
  </si>
  <si>
    <t>11.4 Company specific adjustments</t>
  </si>
  <si>
    <t xml:space="preserve">12.1 operating expenditure </t>
  </si>
  <si>
    <t>12.2 operating expenditure - metering</t>
  </si>
  <si>
    <t>12.3 Customer numbers - business plan</t>
  </si>
  <si>
    <t>12.4 Company specific adjustments</t>
  </si>
  <si>
    <t xml:space="preserve">13.1 operating expenditure </t>
  </si>
  <si>
    <t>13.2 operating expenditure - metering</t>
  </si>
  <si>
    <t>13.3 Customer numbers - business plan</t>
  </si>
  <si>
    <t>13.4 Company specific adjustments</t>
  </si>
  <si>
    <t xml:space="preserve">14.1 operating expenditure </t>
  </si>
  <si>
    <t>14.2 operating expenditure - metering</t>
  </si>
  <si>
    <t>14.3 Customer numbers - business plan</t>
  </si>
  <si>
    <t>14.4 Company specific adjustments</t>
  </si>
  <si>
    <t xml:space="preserve">15.1 operating expenditure </t>
  </si>
  <si>
    <t>15.2 operating expenditure - metering</t>
  </si>
  <si>
    <t>15.3 Customer numbers - business plan</t>
  </si>
  <si>
    <t>15.4 Company specific adjustments</t>
  </si>
  <si>
    <t xml:space="preserve">16.1 operating expenditure </t>
  </si>
  <si>
    <t>16.2 operating expenditure - metering</t>
  </si>
  <si>
    <t>16.3 Customer numbers - business plan</t>
  </si>
  <si>
    <t>16.4 Company specific adjustments</t>
  </si>
  <si>
    <t xml:space="preserve">17.1 operating expenditure </t>
  </si>
  <si>
    <t>17.2 operating expenditure - metering</t>
  </si>
  <si>
    <t>17.3 Customer numbers - business plan</t>
  </si>
  <si>
    <t>17.4 Company specific adjustments</t>
  </si>
  <si>
    <t xml:space="preserve">18.1 operating expenditure </t>
  </si>
  <si>
    <t>18.2 operating expenditure - metering</t>
  </si>
  <si>
    <t>18.3 Customer numbers - business plan</t>
  </si>
  <si>
    <t>18.4 Company specific adjustments</t>
  </si>
  <si>
    <t>19.1 Model parameters - industry</t>
  </si>
  <si>
    <t>Notes on manual overrides</t>
  </si>
  <si>
    <t xml:space="preserve">All changes to AMP6 adjustments should be reflected in 13/14 figures. If adjustments are disallowed in AMP6 then the should be treated the same in 13/14 (i.e. added back onto opex unless related to input price pressure claims). </t>
  </si>
  <si>
    <t>N/A</t>
  </si>
  <si>
    <t>Worksheet</t>
  </si>
  <si>
    <t>Section / line descriptions</t>
  </si>
  <si>
    <t xml:space="preserve">The areas of the model in which manual inputs can be made are set out below. </t>
  </si>
  <si>
    <t>F_Inputs</t>
  </si>
  <si>
    <t>Fountain database</t>
  </si>
  <si>
    <t>New cost and adjustments inputs</t>
  </si>
  <si>
    <t xml:space="preserve">Price setting </t>
  </si>
  <si>
    <t>Used inputs</t>
  </si>
  <si>
    <t>Are new costs material?</t>
  </si>
  <si>
    <t>1.2 Materiality threshold</t>
  </si>
  <si>
    <t>1.1 Are new costs allowed?</t>
  </si>
  <si>
    <t>1.3 New costs requested as adjustments and outcomes</t>
  </si>
  <si>
    <t>1.4 Adjustments</t>
  </si>
  <si>
    <t>1.5 Economies of Scope</t>
  </si>
  <si>
    <t>1.1 Calculating depreciation net of recharges</t>
  </si>
  <si>
    <t>1.2 New costs data</t>
  </si>
  <si>
    <t>2.1 New cost calculations</t>
  </si>
  <si>
    <t>2.2 Materiality</t>
  </si>
  <si>
    <t>2.2 a Opex plus depreciation net of recharges</t>
  </si>
  <si>
    <t>2.2 b New costs materiality threshold</t>
  </si>
  <si>
    <t>2.2 c Total new costs</t>
  </si>
  <si>
    <t>2.2 d Disallowed new costs</t>
  </si>
  <si>
    <t>2.2 e Adjustments</t>
  </si>
  <si>
    <t>2.1b Total customer numbers (sum of all customer numbers) adjusted for EoS</t>
  </si>
  <si>
    <t>2.1c Change in household retail unmeasured costs</t>
  </si>
  <si>
    <t>2.1d Change in household retail unmeasured costs due to change in customer numbers</t>
  </si>
  <si>
    <t>2.1e Change in water only metered costs due to change in water only metered customers</t>
  </si>
  <si>
    <t>2.1f Change in sewerage only metered costs due to change in sewerage only metered customers</t>
  </si>
  <si>
    <t>2.1g Change in water &amp; sewerage metered costs due to change in water &amp; sewerage metered customers</t>
  </si>
  <si>
    <t>2.1h Total household retail expenditure (including metering costs)</t>
  </si>
  <si>
    <t>2.1i Change in household retail expenditure</t>
  </si>
  <si>
    <t>2.1j Total change in household retail expenditure due to change in customer numbers (includes change in metering costs due to change in customer numbers)</t>
  </si>
  <si>
    <t>2.1k Change in household retail expenditure due to other factors</t>
  </si>
  <si>
    <t>2.1l Household retail expenditure excl increase in costs due to increase in customer numbers</t>
  </si>
  <si>
    <t>Input price pressure</t>
  </si>
  <si>
    <t>Sum of accepted adjustments</t>
  </si>
  <si>
    <t>Sum of rejected adjustments (Input price pressure not Inc.)</t>
  </si>
  <si>
    <t>New costs and adjustments</t>
  </si>
  <si>
    <t>2.3 Summary of input overrides</t>
  </si>
  <si>
    <t>F_Outputs complete</t>
  </si>
  <si>
    <t>1 Household retail allowed expenditure</t>
  </si>
  <si>
    <t>1.1 Total Households (Unique customers adjusted for EoS)</t>
  </si>
  <si>
    <t>1.2d Unmetered cost to serve per customers  (excluding metering costs)</t>
  </si>
  <si>
    <t>1.2e Average unmetered cost to serve (excluding metering costs)</t>
  </si>
  <si>
    <t>1.2f Forecast operating cost per customer</t>
  </si>
  <si>
    <t xml:space="preserve">1.2g Allowed unmetered CTS </t>
  </si>
  <si>
    <t>1.3 Depreciation included in RCV  (assets existing before AMP6) cost per customer adjusted for EoS</t>
  </si>
  <si>
    <t>1.4a Household retail allowed expenditure per customer adjusted for EoS</t>
  </si>
  <si>
    <t>1.4b Company specific adjustments and outcomes expenditure for unmetered customers</t>
  </si>
  <si>
    <t>1.5a Household retail allowed expenditure plus company specific adjustments and outcomes per customer adjusted for EoS</t>
  </si>
  <si>
    <t>1.5b Unmetered household retail allowed expenditure</t>
  </si>
  <si>
    <t>1.6a Additional cost of metering per water only customer</t>
  </si>
  <si>
    <t>1.6b Average additional cost of metering - water only customers</t>
  </si>
  <si>
    <t>1.6c Allowed additional cost of metering per water only customer - actual cost * glidepath or actual cost (if 2.6a lower than 2.6b)</t>
  </si>
  <si>
    <t>1.6d Allowed additional metering retail expenditure (water only customers)</t>
  </si>
  <si>
    <t>1.7a Additional cost of metering per sewerage only customer</t>
  </si>
  <si>
    <t>1.7b Average additional cost of metering - sewerage only customers</t>
  </si>
  <si>
    <t>1.7c Allowed additional cost of metering per sewerage only customer - actual cost * glidepath or actual cost (if 2.7a lower than 2.7b)</t>
  </si>
  <si>
    <t>1.7d Allowed additional metering retail expenditure (sewerage only customers)</t>
  </si>
  <si>
    <t>1.8a Additional cost of metering per water and sewerage customer</t>
  </si>
  <si>
    <t>1.8b Average additional cost of metering - metered water and sewerage customers</t>
  </si>
  <si>
    <t>1.8c Allowed additional cost of metering per water and sewerage only customer - actual cost * glidepath or actual cost (if 2.8a lower than 2.8b)</t>
  </si>
  <si>
    <t>1.8d Allowed additional metering retail expenditure (water and sewerage customers)</t>
  </si>
  <si>
    <t>1.9 Total household retail allowed expenditure</t>
  </si>
  <si>
    <t>1.10 Proportion of operating costs that are depreciation of assets not included in RCV</t>
  </si>
  <si>
    <t>1.11 Allowed depreciation</t>
  </si>
  <si>
    <t>1.7 Changes to adjustments</t>
  </si>
  <si>
    <t>1.6 Indexing from 2012-13 to 2013-14</t>
  </si>
  <si>
    <r>
      <rPr>
        <b/>
        <sz val="10"/>
        <color theme="4"/>
        <rFont val="Arial"/>
        <family val="2"/>
      </rPr>
      <t>Flow chart</t>
    </r>
    <r>
      <rPr>
        <sz val="10"/>
        <color theme="4"/>
        <rFont val="Arial"/>
        <family val="2"/>
      </rPr>
      <t xml:space="preserve"> -This sheet shows the model process from input to output.</t>
    </r>
  </si>
  <si>
    <t>FYA RPI</t>
  </si>
  <si>
    <t>2.2 di "Allowed" new costs</t>
  </si>
  <si>
    <t>2.1a Unmeasured household retail operating costs (operating expenditure + depr - metering costs) - excluding adjustments</t>
  </si>
  <si>
    <t>2.2 dii "Allowed" new costs per customer</t>
  </si>
  <si>
    <t>Rebasing</t>
  </si>
  <si>
    <t xml:space="preserve">(New costs and adjustments inputs 2.2 diii Modification for new costs)*Rebasing </t>
  </si>
  <si>
    <t>2.2 div Modification for new costs (£m)</t>
  </si>
  <si>
    <t>2.2 diii Modification for new costs (£/cust)</t>
  </si>
  <si>
    <t>1.2a Modification for new costs (£m)</t>
  </si>
  <si>
    <t>1.2b Modification for new costs (£/cust)</t>
  </si>
  <si>
    <t>ttps://bubble.live.sharepoint.ofwat.net/Teams/FinanceAndNetworks/FinancialModeling/_layouts/xlviewer.aspx?id=/Teams/FinanceAndNetworks/FinancialModeling/Documents/RPI%20and%20COPI%20published%20values%20at%2016%20September%202014.xlsx&amp;Source=https%3A%2F%2Fbubble%2Elive%2Esharepoint%2Eofwat%2Enet%2FTeams%2FFinanceAndNetworks%2FFinancialModeling%2FDocuments%2FForms%2FBy%2520Work%2520area%2Easpx%3FGroupString%3D%253B%2523Inflation%2520measures%253B%2523%26IsGroupRender%3DTRUE&amp;DefaultItemOpen=1&amp;DefaultItemOpen=1</t>
  </si>
  <si>
    <t>RPI index (Sheet: C9 format, Cells: AE47:AF47)</t>
  </si>
  <si>
    <t>1.4  Adjustments</t>
  </si>
  <si>
    <t>Subtract 13-14 IPP requested from every year following to account for the change in price base</t>
  </si>
  <si>
    <t xml:space="preserve">Bad debt and debt management costs. This took the previous allowed bad debt and added the debt management costs proposed with a 5% efficiency. </t>
  </si>
  <si>
    <t>Remaining part of bad debt adjsutment after one off costs removed. This claim is for inflationary effects on bad debt, and so for modelling purposes is treated as an IPP claim. This adjustment is immaterial.</t>
  </si>
  <si>
    <t>Sum of AMP 5 and AMP 6 ADJ</t>
  </si>
  <si>
    <t>Thames Tideway adjusted to 12-13 prices</t>
  </si>
  <si>
    <t>Occupancy Turnover adjusted to 12-13 prices</t>
  </si>
  <si>
    <t>Debt printing and labour cost increases summed</t>
  </si>
  <si>
    <t xml:space="preserve">Sum identified efficiencies and IPP - </t>
  </si>
  <si>
    <t>Table commentary pg 66</t>
  </si>
  <si>
    <t xml:space="preserve">Bad debt. We confirmed that this figure was submitted in 12/13 prices unlinke the rest of SWT's R3 table. </t>
  </si>
  <si>
    <t>ACTS_August_DD_250702014</t>
  </si>
  <si>
    <r>
      <t xml:space="preserve">Used inputs - </t>
    </r>
    <r>
      <rPr>
        <sz val="10"/>
        <color theme="4"/>
        <rFont val="Arial"/>
        <family val="2"/>
      </rPr>
      <t xml:space="preserve">This sheet summarises the inputs to the price setting calculations after new costs and adjustments and manual inputs. It also rebases all monetary inputs to the Price Setting sheet (apart from modifications for new costs). Customer number inputs are purposefully not rebased. </t>
    </r>
  </si>
  <si>
    <t xml:space="preserve">1.2c Total operating expenditure (excluding metering costs)+Total depreciation of assets included in RCV (assets existing before AMP6)+Modification for new costs+Expenditure excluded from ACTS (if claim is disallowed)
</t>
  </si>
  <si>
    <t>31/10/2014 16:09:04_XLSPF</t>
  </si>
  <si>
    <t>83_XLSPF</t>
  </si>
  <si>
    <t>Run 10n: alternative WACC_XLSPF</t>
  </si>
  <si>
    <t>13/11/2014 12:24:31_XLSPF</t>
  </si>
  <si>
    <t>VERSION 5.00</t>
  </si>
  <si>
    <t>Major updates since version published in September 2014.</t>
  </si>
  <si>
    <r>
      <t xml:space="preserve">Input overrides - </t>
    </r>
    <r>
      <rPr>
        <sz val="10"/>
        <color theme="4"/>
        <rFont val="Arial"/>
        <family val="2"/>
      </rPr>
      <t>This sheet overrides inputs from fountain with company specific changes.</t>
    </r>
  </si>
  <si>
    <t>New costs justified in the company's business plan representations.</t>
  </si>
  <si>
    <t>Local rates of £0.252m p.a. included. Third party opex should not be included in the baseline or adjustments (but was included as one of the lines for adjustments in R3 - it is not included here). The part of the bad debt claim that was not allowed, £2.7m p.a is included here too. As these costs are in 13-14 prices, we have rebased these to 2012-13 prices as well, using a multiplier of 0.972.</t>
  </si>
  <si>
    <t xml:space="preserve">This includes the part of the company's debt management and doubtful debt claim that was not accepted. </t>
  </si>
  <si>
    <t>£3m p.a from 2014-15 is the part of the bad debt adjustment adjusts for one off lower doubtful debt costs in 2013-14. Severn Trent Water had included these costs in their doubtful debt adjustment, but we consider these costs to be part of base costs - no evidence is provided to suggest that these are driven by deprivation or bill size. Part of the costs are for outcomes included as adjustments included in table R1 but not line 1 of R3 - see SVT calculation sheet in change log. The final adjustment made here is for reallocation of investigatory visits. At draft determination we had included a value of £3.085m. Representations were submitted by the company to adjust this number which our cost allocation team accepted. The company's proposed adjustment was incremental to our original changes. As these costs are in 2013-14 prices, we have rebased these to 2012-13 prices for the purpose of this input sheet, using a multiplier of 0.972.</t>
  </si>
  <si>
    <t xml:space="preserve">£0.5m is for Outcome B1: Customers assisted by water poverty measures op. cost, which was included as an adjustment in R3, and we are including as a new cost. 2013-14 should not include bad debt adjustment in the baseline as they have presented it. As the costs for outcome B are in 2013-14 prices, we have rebased these to 2012-13 prices as well, using a multiplier of 0.972. The costs for the bad debt adjustment have been previously agreed with SWT as being in 2012-13 prices. </t>
  </si>
  <si>
    <t xml:space="preserve">Southern Water proposed that we make an adjustment for one off costs in 2013-14 to reduce the model costs in this year. This is to account for the fact that Southern Water's 2013-14 costs are unrepresentative of an average year as they include one off costs that are not considered in other years. </t>
  </si>
  <si>
    <t>No adjustment made for outcomes expenditure in table R1 as this expenditure has already been included in line 1 of R3.</t>
  </si>
  <si>
    <t>This is to account for the indexation of their adjustment included in r3001, this is adjusted from 2013-14 prices to 2012-13 prices.</t>
  </si>
  <si>
    <t xml:space="preserve">This is to account for new costs included as adjustments in the company's R3 table for customer communications, social tariffs and new development costs. </t>
  </si>
  <si>
    <t>This is to account for new costs associated with outcomes that were included as an adjustment in the company's R3 table.</t>
  </si>
  <si>
    <t>This is to account for the indexation of the company's adjustment included in R3001.</t>
  </si>
  <si>
    <t>This is to account for new costs associated with outcomes that were included as an adjustment in the company's R3 table for years 2015-20. A cost allocation correction is also made for 2013-14 for £39k.</t>
  </si>
  <si>
    <t>Pensions for 2015-16 to 2019-20 overridden with Ofwat view taking account of the company's representation.</t>
  </si>
  <si>
    <t>Input price pressure claim not allowed.</t>
  </si>
  <si>
    <t>Input price pressure claim allowed.</t>
  </si>
  <si>
    <t>All inputs updated following representations. The calculation of new costs on the 'New costs and adjustments' and 'Price setting' sheets has been corrected for an error identified following publication of model in July. Calculations on 'Used inputs' have been added to rebase costs from 2012-13 prices to 2013-14 prices. So that input price pressure claims are included in the correct price base, the inputs for input price pressure in 'New costs and adjustments inputs' sheet are divided by the rebasing factor so that when they are multiplied by the rebasing factor in the 'Used inputs' sheet the net effect is zero.</t>
  </si>
  <si>
    <t>Bad debt originally applied for is rebased to 12/13 prices</t>
  </si>
  <si>
    <t xml:space="preserve">12-13 bad debt adjustment given as flat across the period. </t>
  </si>
</sst>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00_);_(* \(#,##0.000\);_(* &quot;-&quot;_);_(@_)"/>
    <numFmt numFmtId="167" formatCode="0.0"/>
    <numFmt numFmtId="168" formatCode="0.000"/>
    <numFmt numFmtId="169" formatCode="#,##0.000"/>
    <numFmt numFmtId="170" formatCode="_-[$€]\ * #,##0.00_-;_-[$€]\ * #,##0.00\-;_-[$€]\ * &quot;-&quot;??_-;_-@_-"/>
    <numFmt numFmtId="171" formatCode="[$DKK]\ #,##0.00;\([$DKK]\ #,##0.00\)"/>
    <numFmt numFmtId="172" formatCode="_-[$€-2]* #,##0.00_-;\-[$€-2]* #,##0.00_-;_-[$€-2]* &quot;-&quot;??_-"/>
    <numFmt numFmtId="173" formatCode="#,##0.000_);_)\(#,##0.000\);\-_);@_)"/>
    <numFmt numFmtId="174" formatCode="&quot;$&quot;#,##0.00_);[Red]\(&quot;$&quot;#,##0.00\)"/>
    <numFmt numFmtId="175" formatCode="&quot;$&quot;#,##0.0,_);[Red]\(&quot;$&quot;#,##0.0,\)"/>
    <numFmt numFmtId="176" formatCode="#,##0.0_);[Red]\(#,##0.0\)"/>
    <numFmt numFmtId="177" formatCode="#,##0.0;\(#,##0.0\)"/>
    <numFmt numFmtId="178" formatCode="#,##0.000_);\(#,##0.000\);\-_)"/>
    <numFmt numFmtId="179" formatCode="\£\ #,##0_);[Red]\(\£\ #,##0\)"/>
    <numFmt numFmtId="180" formatCode="\¥\ #,##0_);[Red]\(\¥\ #,##0\)"/>
    <numFmt numFmtId="181" formatCode="#,##0,_);[Red]\(#,##0,\)"/>
    <numFmt numFmtId="182" formatCode="_(* #,##0.0_);_(* \(#,##0.0\);_(* &quot;-&quot;??_);_(@_)"/>
    <numFmt numFmtId="183" formatCode="#,##0.0\x_);\(#,##0.0\x\)"/>
    <numFmt numFmtId="184" formatCode="#,##0_);\(#,##0\);0_);@_)"/>
    <numFmt numFmtId="185" formatCode="#,##0_-;\-#,##0_-"/>
    <numFmt numFmtId="186" formatCode="_(#,##0.0%_);_)\(#,##0.0%\);\-_);_(@_)"/>
    <numFmt numFmtId="187" formatCode="&quot;L.&quot;#,##0;[Red]&quot;L.&quot;\-#,##0"/>
    <numFmt numFmtId="188" formatCode="#,##0.0_);[Red]\(#,##0.0\);\-_0_)"/>
    <numFmt numFmtId="189" formatCode="_(* #,##0_);[Red]_(* \(#,##0\);_(* &quot;-&quot;??_);_(@_)"/>
    <numFmt numFmtId="190" formatCode="_(&quot;$&quot;* #,##0.00_);_(&quot;$&quot;* \(#,##0.00\);_(&quot;$&quot;* &quot;-&quot;??_);_(@_)"/>
    <numFmt numFmtId="191" formatCode="_(&quot;$&quot;* #,##0.0000_);_(&quot;$&quot;* \(#,##0.0000\);_(&quot;$&quot;* &quot;-&quot;??_);_(@_)"/>
    <numFmt numFmtId="192" formatCode="#,##0;[Red]\(#,##0\)"/>
    <numFmt numFmtId="193" formatCode="_(&quot;$&quot;#,##0.0_);\(&quot;$&quot;#,##0.0\);_(&quot;-&quot;_)"/>
    <numFmt numFmtId="194" formatCode="_)d\-mmm\-yy_);_)d\-mmm\-yy_);_)&quot;-&quot;_)"/>
    <numFmt numFmtId="195" formatCode="_(#,##0.0\x_);\(#,##0.0\x\);_(&quot;-&quot;_)"/>
    <numFmt numFmtId="196" formatCode="_(#,##0.0_);\(#,##0.0\);_(&quot;-&quot;_)"/>
    <numFmt numFmtId="197" formatCode="_(#,##0.0%_);\(#,##0.0%\);_(&quot;-&quot;_)"/>
    <numFmt numFmtId="198" formatCode="_(###0_);\(###0\);_(&quot;-&quot;_)"/>
    <numFmt numFmtId="199" formatCode="_(&quot;$&quot;#,##0.0_);\(&quot;$&quot;#,##0.0\);_(&quot;$&quot;#,##0.0_)"/>
    <numFmt numFmtId="200" formatCode="d/m/yy"/>
    <numFmt numFmtId="201" formatCode="_(#,##0.0\x_);\(#,##0.0\x\);_(#,##0.0\x_)"/>
    <numFmt numFmtId="202" formatCode="_(#,##0.0_);\(#,##0.0\);_(#,##0.0_)"/>
    <numFmt numFmtId="203" formatCode="_(#,##0.0%_);\(#,##0.0%\);_(#,##0.0%_)"/>
    <numFmt numFmtId="204" formatCode="_(###0_);\(###0\);_(###0_)"/>
    <numFmt numFmtId="205" formatCode="_)d/m/yy_)"/>
    <numFmt numFmtId="206" formatCode="#,##0.00_);[Red]\(#,##0.00\);\-\-__"/>
    <numFmt numFmtId="207" formatCode="#,##0\ ;\(#,##0\);\-\ \ \ \ \ "/>
    <numFmt numFmtId="208" formatCode="#,##0\ ;\(#,##0\);\–\ \ \ \ \ "/>
    <numFmt numFmtId="209" formatCode="_(* #,##0_);_(* \(#,##0\);_(* &quot;-&quot;?_);@_)"/>
    <numFmt numFmtId="210" formatCode="&quot;$&quot;#,##0_);[Red]\(&quot;$&quot;#,##0\)"/>
    <numFmt numFmtId="211" formatCode="#,##0_);\(#,##0\);\-_)"/>
    <numFmt numFmtId="212" formatCode="_(#,##0_);[Red]_(\(#,##0\);_(&quot;-&quot;_);_(@_)"/>
    <numFmt numFmtId="213" formatCode="\•\ \ @"/>
    <numFmt numFmtId="214" formatCode="#,##0;\-#,##0;&quot;-&quot;"/>
    <numFmt numFmtId="215" formatCode="_-* #,##0\ _F_-;\-* #,##0\ _F_-;_-* &quot;-&quot;\ _F_-;_-@_-"/>
    <numFmt numFmtId="216" formatCode="_-* #,##0\ &quot;F&quot;_-;\-* #,##0\ &quot;F&quot;_-;_-* &quot;-&quot;\ &quot;F&quot;_-;_-@_-"/>
    <numFmt numFmtId="217" formatCode="_-* #,##0_)_-;* \(#,##0\)_-;_-* &quot;-&quot;??_-;_-@_-"/>
    <numFmt numFmtId="218" formatCode="_(#,##0,_);[Red]_(\(#,##0,\);_(&quot;-&quot;_);_(@_)"/>
    <numFmt numFmtId="219" formatCode="00"/>
    <numFmt numFmtId="220" formatCode="000000"/>
    <numFmt numFmtId="221" formatCode="0&quot; years&quot;"/>
    <numFmt numFmtId="222" formatCode="0.0\x_);&quot;nm&quot;_);\-??"/>
    <numFmt numFmtId="223" formatCode="0.0%_);\(0.0%\)"/>
    <numFmt numFmtId="224" formatCode="yyyy"/>
    <numFmt numFmtId="225" formatCode="&quot;$&quot;#,\);\(&quot;$&quot;#,##0\)"/>
    <numFmt numFmtId="226" formatCode="#,##0_%_);\(#,##0\)_%;#,##0_%_);@_%_)"/>
    <numFmt numFmtId="227" formatCode="#,##0.00_%_);\(#,##0.00\)_%;#,##0.00_%_);@_%_)"/>
    <numFmt numFmtId="228" formatCode="_-* #,##0.00\ _D_M_-;\-* #,##0.00\ _D_M_-;_-* &quot;-&quot;??\ _D_M_-;_-@_-"/>
    <numFmt numFmtId="229" formatCode="#,##0."/>
    <numFmt numFmtId="230" formatCode="#,##0;\(#,##0\)"/>
    <numFmt numFmtId="231" formatCode="_-&quot;$&quot;* #,##0_-;\-&quot;$&quot;* #,##0_-;_-&quot;$&quot;* &quot;-&quot;_-;_-@_-"/>
    <numFmt numFmtId="232" formatCode="00000"/>
    <numFmt numFmtId="233" formatCode="_(&quot;$&quot;* #,##0_);_(&quot;$&quot;* \(#,##0\);_(&quot;$&quot;* &quot;-&quot;_);_(@_)"/>
    <numFmt numFmtId="234" formatCode="0.0%;\(0.0%\)"/>
    <numFmt numFmtId="235" formatCode="_(&quot;$&quot;* #,##0_);[Red]_(&quot;$&quot;* \(#,##0\);_(&quot;$&quot;* &quot;-&quot;??_);_(@_)"/>
    <numFmt numFmtId="236" formatCode="0.0%"/>
    <numFmt numFmtId="237" formatCode="0_);\(0\)"/>
    <numFmt numFmtId="238" formatCode="#,##0.0\x\x\);\(#,##0.0\)"/>
    <numFmt numFmtId="239" formatCode="_(&quot;$&quot;* #,##0.0000_);_(&quot;$&quot;* \(#,##0.0000\);_(&quot;$&quot;* &quot;-&quot;????_);_(@_)"/>
    <numFmt numFmtId="240" formatCode="&quot;€&quot;_-0.00"/>
    <numFmt numFmtId="241" formatCode="&quot;£&quot;_-0.00"/>
    <numFmt numFmtId="242" formatCode="0.0&quot;  &quot;"/>
    <numFmt numFmtId="243" formatCode="&quot;$&quot;#,##0\ ;\(&quot;$&quot;#,##0\)"/>
    <numFmt numFmtId="244" formatCode="&quot;£&quot;#,##0.00;\-&quot;£&quot;#,##0.00;;"/>
    <numFmt numFmtId="245" formatCode="\ \ _•\–\ \ \ \ @"/>
    <numFmt numFmtId="246" formatCode="#,##0.0_);\(#,##0.0\)"/>
    <numFmt numFmtId="247" formatCode="#,##0.0000000_);\(#,##0.0000000\)"/>
    <numFmt numFmtId="248" formatCode="#,##0.000_);\(#,##0.000\)"/>
    <numFmt numFmtId="249" formatCode="mmm\-yyyy"/>
    <numFmt numFmtId="250" formatCode="m/d/yy_%_)"/>
    <numFmt numFmtId="251" formatCode="0.00_);\(0.00\)"/>
    <numFmt numFmtId="252" formatCode="m/d/yy_)"/>
    <numFmt numFmtId="253" formatCode="0.0000"/>
    <numFmt numFmtId="254" formatCode="_(* #,##0.0_);_(* \(#,##0.0\);_(* &quot;&quot;\ \-\ &quot;&quot;_);_(@_)"/>
    <numFmt numFmtId="255" formatCode="0.00_);[Red]\(0.00\)"/>
    <numFmt numFmtId="256" formatCode="General_)"/>
    <numFmt numFmtId="257" formatCode="#,##0.0"/>
    <numFmt numFmtId="258" formatCode="#,##0.0000_);[Red]\(#,##0.0000\)"/>
    <numFmt numFmtId="259" formatCode="_-&quot;€&quot;\ * #,##0.00_-;_-&quot;€&quot;\ * #,##0.00\-;_-&quot;€&quot;\ * &quot;-&quot;??_-;_-@_-"/>
    <numFmt numFmtId="260" formatCode="_(* #,##0_);_(* \(#,##0\);_(* &quot;-&quot;??_);_(@_)"/>
    <numFmt numFmtId="261" formatCode="#,##0_);[Red]\(#,##0\);\-_)"/>
    <numFmt numFmtId="262" formatCode="_(* #,##0,_);[Red]_(* \(#,##0,\);_(* &quot;-&quot;_);_(@_)"/>
    <numFmt numFmtId="263" formatCode="#,##0_);[Red]\(#,##0\);_(* &quot;-&quot;_)"/>
    <numFmt numFmtId="264" formatCode="#,##0_ ;\(#,##0\)_-;&quot;-&quot;"/>
    <numFmt numFmtId="265" formatCode="\ ;\ ;"/>
    <numFmt numFmtId="266" formatCode="#,##0_);\(#,##0\);\-_);@_)"/>
    <numFmt numFmtId="267" formatCode="#,##0,;\-#,##0,"/>
    <numFmt numFmtId="268" formatCode="#,###,"/>
    <numFmt numFmtId="269" formatCode="&quot;$&quot;#,##0.0_);[Red]\(&quot;$&quot;#,##0.0\)"/>
    <numFmt numFmtId="270" formatCode="0.0\x_)"/>
    <numFmt numFmtId="271" formatCode="#,##0_);\(#,##0\);\-??"/>
    <numFmt numFmtId="272" formatCode="0&quot; years&quot;_)"/>
    <numFmt numFmtId="273" formatCode="_-* General_-;[Magenta]\(* General\)"/>
    <numFmt numFmtId="274" formatCode="#,##0_);[Red]_(#,##0\);_(&quot;-&quot;_);@"/>
    <numFmt numFmtId="275" formatCode="_(#,##0_);\(#,##0\);_(#,##0_)"/>
    <numFmt numFmtId="276" formatCode="_(* #,##0_);_(* \(#,##0\);_(* &quot;-&quot;_);_(@_)"/>
    <numFmt numFmtId="277" formatCode="_-* #,##0.00\ _F_-;\-* #,##0.00\ _F_-;_-* &quot;-&quot;??\ _F_-;_-@_-"/>
    <numFmt numFmtId="278" formatCode="&quot;$&quot;#,##0.00"/>
    <numFmt numFmtId="279" formatCode="&quot;$&quot;#,##0.00\ "/>
    <numFmt numFmtId="280" formatCode="_(&quot;R$ &quot;* #,##0_);_(&quot;R$ &quot;* \(#,##0\);_(&quot;R$ &quot;* &quot;-&quot;_);_(@_)"/>
    <numFmt numFmtId="281" formatCode="_(&quot;R$ &quot;* #,##0.00_);_(&quot;R$ &quot;* \(#,##0.00\);_(&quot;R$ &quot;* &quot;-&quot;??_);_(@_)"/>
    <numFmt numFmtId="282" formatCode="_-* #,##0.00\ &quot;F&quot;_-;\-* #,##0.00\ &quot;F&quot;_-;_-* &quot;-&quot;??\ &quot;F&quot;_-;_-@_-"/>
    <numFmt numFmtId="283" formatCode="mmm\-yy_)"/>
    <numFmt numFmtId="284" formatCode="mmm_)"/>
    <numFmt numFmtId="285" formatCode="0.0&quot; N&quot;"/>
    <numFmt numFmtId="286" formatCode="#,##0,_);\(#,##0,\)"/>
    <numFmt numFmtId="287" formatCode="0000"/>
    <numFmt numFmtId="288" formatCode="0.00_)"/>
    <numFmt numFmtId="289" formatCode="#,##0.000_);[Red]\(#,##0.000\)"/>
    <numFmt numFmtId="290" formatCode="_(* #,###,_);_(* \(#,###,\);_(* &quot;0&quot;_);_(@_)"/>
    <numFmt numFmtId="291" formatCode="#,_);\(#,\)"/>
    <numFmt numFmtId="292" formatCode="#,##0.00;[Red]\(#,##0.00\)"/>
    <numFmt numFmtId="293" formatCode="#,##0\F;#,##0\U"/>
    <numFmt numFmtId="294" formatCode="0.0%;[Red]\(0.0%\)"/>
    <numFmt numFmtId="295" formatCode="_(#,##0,_);[Red]_(#,##0,\);_(&quot;-&quot;_);_(@_)"/>
    <numFmt numFmtId="296" formatCode="#,##0\ \ \ ;[Red]\(#,##0\)\ \ ;\—\ \ \ \ "/>
    <numFmt numFmtId="297" formatCode="0.000000"/>
    <numFmt numFmtId="298" formatCode="_(#,##0.00_);_)\(#,##0.00\);\-_);@_)"/>
    <numFmt numFmtId="299" formatCode="&quot;No&quot;;&quot;Yes&quot;"/>
    <numFmt numFmtId="300" formatCode="#,##0.0,;[Red]\(#,##0.0,\)"/>
    <numFmt numFmtId="301" formatCode="_(#,###,_);[Red]_(\(#,###,\);_(&quot;0&quot;_);_(@_)"/>
    <numFmt numFmtId="302" formatCode="&quot;$&quot;#,##0.00_);\(&quot;$&quot;#,##0.00\)"/>
    <numFmt numFmtId="303" formatCode="_(* #,##0.00000_);_(* \(#,##0.00000\);_(* &quot;-&quot;??_);_(@_)"/>
    <numFmt numFmtId="304" formatCode="0.0_)"/>
    <numFmt numFmtId="305" formatCode="#,##0.00&quot;*&quot;"/>
    <numFmt numFmtId="306" formatCode="_-* #,##0.0_-;\-* #,##0.0_-;_-* &quot;-&quot;??_-;_-@_-"/>
    <numFmt numFmtId="307" formatCode="#,##0.0\x_);[Red]\(#,##0.0\)"/>
    <numFmt numFmtId="308" formatCode="_(* #,##0.000_);_(* \(#,##0.000\);_(* &quot;-&quot;??_);_(@_)"/>
    <numFmt numFmtId="309" formatCode="0%;[Red]\-0%"/>
    <numFmt numFmtId="310" formatCode="0.0%;[Red]\-0.0%"/>
    <numFmt numFmtId="311" formatCode="[&lt;=9999999]###\-####;\(###\)\ ###\-####"/>
    <numFmt numFmtId="312" formatCode="&quot;$&quot;#,##0;\-&quot;$&quot;#,##0"/>
    <numFmt numFmtId="313" formatCode="[&gt;0.5]#,##0;[&lt;-0.5]\-#,##0;\-"/>
    <numFmt numFmtId="314" formatCode="#,##0_);\-#,##0"/>
    <numFmt numFmtId="315" formatCode="#,##0_);[Red]_(#,##0\);_(&quot;-&quot;_);_(@_)"/>
    <numFmt numFmtId="316" formatCode="0.00\ \ \x"/>
    <numFmt numFmtId="317" formatCode="#,##0.0%_);\(#,##0.0%\);\-_);@_)"/>
    <numFmt numFmtId="318" formatCode="#,##0.00_);\(#,##0.00\);\-??"/>
    <numFmt numFmtId="319" formatCode="&quot;S&quot;* #,##0.00;&quot;S&quot;* \-#,##0.00"/>
    <numFmt numFmtId="320" formatCode="d/mm/yyyy"/>
    <numFmt numFmtId="321" formatCode="0%\);[Red]\(0%"/>
    <numFmt numFmtId="322" formatCode="#,##0_*;\(#,##0\);0_*;@_)"/>
    <numFmt numFmtId="323" formatCode="\€\ #,##0.00;\(\€\ #,##0.00\)"/>
    <numFmt numFmtId="324" formatCode="\ #,##0.00;\(\ #,##0.00\)"/>
    <numFmt numFmtId="325" formatCode="[$SEK]\ #,##0.00;\([$SEK]\ #,##0.00\)"/>
    <numFmt numFmtId="326" formatCode="[$NOK]\ #,##0.00;\([$NOK]\ #,##0.00\)"/>
    <numFmt numFmtId="327" formatCode="\$\ #,##0.00;\(\$\ #,##0.00\)"/>
    <numFmt numFmtId="328" formatCode="&quot;£&quot;\ #,##0.00;\(&quot;£&quot;\ #,##0.00\)"/>
    <numFmt numFmtId="329" formatCode="#,##0.00;\(#,##0.00\)"/>
    <numFmt numFmtId="330" formatCode="&quot;£&quot;\ #,##0.00;\(\€\ #,##0.00\)"/>
    <numFmt numFmtId="331" formatCode="###.0"/>
    <numFmt numFmtId="332" formatCode="##.0"/>
    <numFmt numFmtId="333" formatCode="_(* #,##0_);[Red]_(* \(#,##0\);_(* &quot;-&quot;_);_(@_)"/>
    <numFmt numFmtId="334" formatCode="&quot;$&quot;#,##0.00;[Red]&quot;$&quot;#,##0.00"/>
    <numFmt numFmtId="335" formatCode="#,###,##0"/>
    <numFmt numFmtId="336" formatCode="#,##0;[Red]\-#,##0;[Color16]0"/>
    <numFmt numFmtId="337" formatCode="#,##0.00;[Red]\-#,##0.00;[Color16]0.00"/>
    <numFmt numFmtId="338" formatCode="_-&quot;L.&quot;\ * #,##0_-;\-&quot;L.&quot;\ * #,##0_-;_-&quot;L.&quot;\ * &quot;-&quot;_-;_-@_-"/>
    <numFmt numFmtId="339" formatCode="_-&quot;L.&quot;\ * #,##0.00_-;\-&quot;L.&quot;\ * #,##0.00_-;_-&quot;L.&quot;\ * &quot;-&quot;??_-;_-@_-"/>
    <numFmt numFmtId="340" formatCode="#,##0.0_);[Red]\(#,##0.0\);&quot;-&quot;_);_(@_)"/>
    <numFmt numFmtId="341" formatCode="###0_);[Red]\(###0\)"/>
  </numFmts>
  <fonts count="389">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Arial"/>
      <family val="2"/>
    </font>
    <font>
      <sz val="10"/>
      <color indexed="9"/>
      <name val="Arial"/>
      <family val="2"/>
    </font>
    <font>
      <sz val="14"/>
      <name val="Arial"/>
      <family val="2"/>
    </font>
    <font>
      <b/>
      <sz val="10"/>
      <color indexed="62"/>
      <name val="Arial"/>
      <family val="2"/>
    </font>
    <font>
      <b/>
      <sz val="26"/>
      <color indexed="9"/>
      <name val="Arial"/>
      <family val="2"/>
    </font>
    <font>
      <sz val="14"/>
      <color indexed="9"/>
      <name val="Arial"/>
      <family val="2"/>
    </font>
    <font>
      <b/>
      <sz val="10"/>
      <color indexed="9"/>
      <name val="Arial"/>
      <family val="2"/>
    </font>
    <font>
      <b/>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0"/>
      <color indexed="18"/>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20"/>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8"/>
      <name val="Arial MT"/>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color indexed="9"/>
      <name val="Arial"/>
      <family val="2"/>
    </font>
    <font>
      <sz val="11"/>
      <color indexed="18"/>
      <name val="Arial"/>
      <family val="2"/>
    </font>
    <font>
      <sz val="10"/>
      <color indexed="62"/>
      <name val="Arial"/>
      <family val="2"/>
    </font>
    <font>
      <sz val="10"/>
      <color indexed="8"/>
      <name val="Arial"/>
      <family val="2"/>
    </font>
    <font>
      <sz val="10"/>
      <color rgb="FFFF0000"/>
      <name val="Arial"/>
      <family val="2"/>
    </font>
    <font>
      <sz val="9"/>
      <name val="Arial"/>
      <family val="2"/>
    </font>
    <font>
      <u/>
      <sz val="8"/>
      <color indexed="12"/>
      <name val="Arial"/>
      <family val="2"/>
    </font>
    <font>
      <sz val="10"/>
      <color theme="4"/>
      <name val="Arial"/>
      <family val="2"/>
    </font>
    <font>
      <b/>
      <sz val="10"/>
      <color theme="0"/>
      <name val="Arial"/>
      <family val="2"/>
    </font>
    <font>
      <sz val="8"/>
      <color indexed="9"/>
      <name val="Arial"/>
      <family val="2"/>
    </font>
    <font>
      <b/>
      <sz val="14"/>
      <color theme="4"/>
      <name val="Arial"/>
      <family val="2"/>
    </font>
    <font>
      <sz val="14"/>
      <color theme="4"/>
      <name val="Arial"/>
      <family val="2"/>
    </font>
    <font>
      <sz val="8"/>
      <color theme="4"/>
      <name val="Arial"/>
      <family val="2"/>
    </font>
    <font>
      <b/>
      <sz val="10"/>
      <color theme="4"/>
      <name val="Arial"/>
      <family val="2"/>
    </font>
    <font>
      <b/>
      <sz val="9"/>
      <color theme="4"/>
      <name val="Arial"/>
      <family val="2"/>
    </font>
    <font>
      <u/>
      <sz val="10"/>
      <color theme="10"/>
      <name val="Arial"/>
      <family val="2"/>
    </font>
    <font>
      <sz val="9"/>
      <color theme="4"/>
      <name val="Arial"/>
      <family val="2"/>
    </font>
    <font>
      <b/>
      <sz val="18"/>
      <name val="Arial"/>
      <family val="2"/>
    </font>
    <font>
      <u/>
      <sz val="10"/>
      <name val="Arial"/>
      <family val="2"/>
    </font>
    <font>
      <b/>
      <sz val="9"/>
      <name val="Arial"/>
      <family val="2"/>
    </font>
    <font>
      <sz val="10"/>
      <name val="Arial"/>
      <family val="2"/>
    </font>
    <font>
      <b/>
      <sz val="12"/>
      <name val="Arial"/>
      <family val="2"/>
    </font>
    <font>
      <b/>
      <sz val="11"/>
      <color theme="4"/>
      <name val="Arial"/>
      <family val="2"/>
    </font>
    <font>
      <sz val="11"/>
      <color indexed="8"/>
      <name val="Arial"/>
      <family val="2"/>
      <scheme val="minor"/>
    </font>
    <font>
      <b/>
      <sz val="16"/>
      <name val="Arial"/>
      <family val="2"/>
    </font>
    <font>
      <b/>
      <u/>
      <sz val="10"/>
      <color theme="10"/>
      <name val="Arial"/>
      <family val="2"/>
    </font>
    <font>
      <sz val="26"/>
      <color indexed="9"/>
      <name val="Arial"/>
      <family val="2"/>
    </font>
    <font>
      <sz val="11"/>
      <color theme="4"/>
      <name val="Arial"/>
      <family val="2"/>
    </font>
    <font>
      <b/>
      <sz val="10"/>
      <color rgb="FFFF0000"/>
      <name val="Arial"/>
      <family val="2"/>
    </font>
    <font>
      <b/>
      <sz val="12"/>
      <color rgb="FFFF0000"/>
      <name val="Arial"/>
      <family val="2"/>
    </font>
    <font>
      <sz val="11"/>
      <color rgb="FF000000"/>
      <name val="Arial"/>
      <family val="2"/>
    </font>
    <font>
      <b/>
      <sz val="10"/>
      <color rgb="FF002664"/>
      <name val="Arial"/>
      <family val="2"/>
    </font>
    <font>
      <sz val="10"/>
      <name val="Arial"/>
      <family val="2"/>
    </font>
    <font>
      <sz val="12"/>
      <color indexed="8"/>
      <name val="Arial"/>
      <family val="2"/>
    </font>
    <font>
      <sz val="11"/>
      <color theme="1"/>
      <name val="Arial"/>
      <family val="2"/>
      <scheme val="minor"/>
    </font>
    <font>
      <sz val="12"/>
      <color indexed="9"/>
      <name val="Arial"/>
      <family val="2"/>
    </font>
    <font>
      <sz val="11"/>
      <color theme="0"/>
      <name val="Arial"/>
      <family val="2"/>
      <scheme val="minor"/>
    </font>
    <font>
      <sz val="12"/>
      <color indexed="20"/>
      <name val="Arial"/>
      <family val="2"/>
    </font>
    <font>
      <sz val="11"/>
      <color rgb="FF9C0006"/>
      <name val="Arial"/>
      <family val="2"/>
      <scheme val="minor"/>
    </font>
    <font>
      <b/>
      <sz val="12"/>
      <color indexed="52"/>
      <name val="Arial"/>
      <family val="2"/>
    </font>
    <font>
      <b/>
      <sz val="11"/>
      <color rgb="FFFA7D00"/>
      <name val="Arial"/>
      <family val="2"/>
      <scheme val="minor"/>
    </font>
    <font>
      <b/>
      <sz val="12"/>
      <color indexed="9"/>
      <name val="Arial"/>
      <family val="2"/>
    </font>
    <font>
      <b/>
      <sz val="11"/>
      <color theme="0"/>
      <name val="Arial"/>
      <family val="2"/>
      <scheme val="minor"/>
    </font>
    <font>
      <i/>
      <sz val="12"/>
      <color indexed="23"/>
      <name val="Arial"/>
      <family val="2"/>
    </font>
    <font>
      <i/>
      <sz val="11"/>
      <color rgb="FF7F7F7F"/>
      <name val="Arial"/>
      <family val="2"/>
      <scheme val="minor"/>
    </font>
    <font>
      <sz val="12"/>
      <color indexed="17"/>
      <name val="Arial"/>
      <family val="2"/>
    </font>
    <font>
      <sz val="11"/>
      <color rgb="FF006100"/>
      <name val="Arial"/>
      <family val="2"/>
      <scheme val="minor"/>
    </font>
    <font>
      <b/>
      <sz val="15"/>
      <color indexed="56"/>
      <name val="Arial"/>
      <family val="2"/>
    </font>
    <font>
      <b/>
      <sz val="15"/>
      <color theme="3"/>
      <name val="Arial"/>
      <family val="2"/>
      <scheme val="minor"/>
    </font>
    <font>
      <b/>
      <sz val="13"/>
      <color indexed="56"/>
      <name val="Arial"/>
      <family val="2"/>
    </font>
    <font>
      <b/>
      <sz val="13"/>
      <color theme="3"/>
      <name val="Arial"/>
      <family val="2"/>
      <scheme val="minor"/>
    </font>
    <font>
      <b/>
      <sz val="11"/>
      <color indexed="56"/>
      <name val="Arial"/>
      <family val="2"/>
    </font>
    <font>
      <b/>
      <sz val="11"/>
      <color theme="3"/>
      <name val="Arial"/>
      <family val="2"/>
      <scheme val="minor"/>
    </font>
    <font>
      <u/>
      <sz val="10"/>
      <color indexed="12"/>
      <name val="Arial"/>
      <family val="2"/>
    </font>
    <font>
      <u/>
      <sz val="11"/>
      <color theme="10"/>
      <name val="Arial"/>
      <family val="2"/>
    </font>
    <font>
      <sz val="11"/>
      <color rgb="FF3F3F76"/>
      <name val="Arial"/>
      <family val="2"/>
    </font>
    <font>
      <sz val="12"/>
      <color indexed="62"/>
      <name val="Arial"/>
      <family val="2"/>
    </font>
    <font>
      <sz val="11"/>
      <color rgb="FF3F3F76"/>
      <name val="Arial"/>
      <family val="2"/>
      <scheme val="minor"/>
    </font>
    <font>
      <sz val="12"/>
      <color indexed="52"/>
      <name val="Arial"/>
      <family val="2"/>
    </font>
    <font>
      <sz val="11"/>
      <color rgb="FFFA7D00"/>
      <name val="Arial"/>
      <family val="2"/>
      <scheme val="minor"/>
    </font>
    <font>
      <sz val="12"/>
      <color indexed="60"/>
      <name val="Arial"/>
      <family val="2"/>
    </font>
    <font>
      <sz val="11"/>
      <color rgb="FF9C6500"/>
      <name val="Arial"/>
      <family val="2"/>
      <scheme val="minor"/>
    </font>
    <font>
      <sz val="10"/>
      <color theme="1"/>
      <name val="Arial"/>
      <family val="2"/>
    </font>
    <font>
      <sz val="12"/>
      <color theme="1"/>
      <name val="Arial"/>
      <family val="2"/>
    </font>
    <font>
      <b/>
      <sz val="12"/>
      <color indexed="63"/>
      <name val="Arial"/>
      <family val="2"/>
    </font>
    <font>
      <b/>
      <sz val="11"/>
      <color rgb="FF3F3F3F"/>
      <name val="Arial"/>
      <family val="2"/>
      <scheme val="minor"/>
    </font>
    <font>
      <b/>
      <sz val="18"/>
      <color indexed="56"/>
      <name val="Cambria"/>
      <family val="2"/>
    </font>
    <font>
      <b/>
      <sz val="12"/>
      <color indexed="8"/>
      <name val="Arial"/>
      <family val="2"/>
    </font>
    <font>
      <b/>
      <sz val="11"/>
      <color theme="1"/>
      <name val="Arial"/>
      <family val="2"/>
      <scheme val="minor"/>
    </font>
    <font>
      <sz val="12"/>
      <color indexed="10"/>
      <name val="Arial"/>
      <family val="2"/>
    </font>
    <font>
      <sz val="11"/>
      <color rgb="FFFF0000"/>
      <name val="Arial"/>
      <family val="2"/>
      <scheme val="minor"/>
    </font>
    <font>
      <b/>
      <u/>
      <sz val="11"/>
      <name val="Calibri"/>
      <family val="2"/>
    </font>
    <font>
      <b/>
      <sz val="11"/>
      <name val="Calibri"/>
      <family val="2"/>
    </font>
    <font>
      <u/>
      <sz val="11"/>
      <color theme="10"/>
      <name val="Arial"/>
      <family val="2"/>
      <scheme val="minor"/>
    </font>
    <font>
      <sz val="11"/>
      <color indexed="8"/>
      <name val="Arial"/>
      <family val="2"/>
    </font>
    <font>
      <sz val="1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scheme val="minor"/>
    </font>
    <font>
      <sz val="11"/>
      <color theme="0"/>
      <name val="Arial"/>
      <family val="2"/>
    </font>
    <font>
      <sz val="11"/>
      <color theme="0"/>
      <name val="Calibri"/>
      <family val="2"/>
    </font>
    <font>
      <sz val="28"/>
      <color theme="0"/>
      <name val="Arial"/>
      <family val="2"/>
      <scheme val="minor"/>
    </font>
    <font>
      <sz val="11"/>
      <name val="Calibri"/>
      <family val="2"/>
    </font>
    <font>
      <sz val="10"/>
      <color rgb="FF002664"/>
      <name val="Arial"/>
      <family val="2"/>
    </font>
    <font>
      <sz val="11"/>
      <color rgb="FF9C0006"/>
      <name val="Arial"/>
      <family val="2"/>
    </font>
    <font>
      <sz val="11"/>
      <color rgb="FF9C6500"/>
      <name val="Arial"/>
      <family val="2"/>
    </font>
    <font>
      <sz val="11"/>
      <color rgb="FF006100"/>
      <name val="Arial"/>
      <family val="2"/>
    </font>
    <font>
      <sz val="11"/>
      <color indexed="63"/>
      <name val="Calibri"/>
      <family val="2"/>
    </font>
    <font>
      <b/>
      <sz val="11"/>
      <color theme="0"/>
      <name val="Arial"/>
      <family val="2"/>
    </font>
    <font>
      <i/>
      <sz val="11"/>
      <color rgb="FF7F7F7F"/>
      <name val="Arial"/>
      <family val="2"/>
    </font>
    <font>
      <b/>
      <sz val="15"/>
      <color indexed="26"/>
      <name val="Calibri"/>
      <family val="2"/>
    </font>
    <font>
      <b/>
      <sz val="15"/>
      <color theme="3"/>
      <name val="Arial"/>
      <family val="2"/>
    </font>
    <font>
      <b/>
      <sz val="13"/>
      <color indexed="26"/>
      <name val="Calibri"/>
      <family val="2"/>
    </font>
    <font>
      <b/>
      <sz val="13"/>
      <color theme="3"/>
      <name val="Arial"/>
      <family val="2"/>
    </font>
    <font>
      <b/>
      <sz val="11"/>
      <color theme="3"/>
      <name val="Arial"/>
      <family val="2"/>
    </font>
    <font>
      <b/>
      <sz val="11"/>
      <color indexed="26"/>
      <name val="Calibri"/>
      <family val="2"/>
    </font>
    <font>
      <u/>
      <sz val="11"/>
      <color indexed="12"/>
      <name val="Arial"/>
      <family val="2"/>
    </font>
    <font>
      <sz val="11"/>
      <color rgb="FFFA7D00"/>
      <name val="Arial"/>
      <family val="2"/>
    </font>
    <font>
      <sz val="11"/>
      <color indexed="19"/>
      <name val="Calibri"/>
      <family val="2"/>
    </font>
    <font>
      <sz val="12"/>
      <name val="Arial MT"/>
    </font>
    <font>
      <sz val="11"/>
      <color rgb="FF000000"/>
      <name val="Calibri"/>
      <family val="2"/>
    </font>
    <font>
      <sz val="11"/>
      <name val="Syntax For Biwater"/>
    </font>
    <font>
      <sz val="12"/>
      <color theme="1"/>
      <name val="Arial"/>
      <family val="2"/>
      <scheme val="minor"/>
    </font>
    <font>
      <sz val="11"/>
      <name val="BiText"/>
    </font>
    <font>
      <b/>
      <sz val="18"/>
      <color indexed="26"/>
      <name val="Cambria"/>
      <family val="2"/>
    </font>
    <font>
      <b/>
      <sz val="18"/>
      <color theme="3"/>
      <name val="Arial Rounded MT Bold"/>
      <family val="2"/>
      <scheme val="major"/>
    </font>
    <font>
      <b/>
      <sz val="18"/>
      <color theme="3"/>
      <name val="Arial Rounded MT Bold"/>
      <family val="2"/>
    </font>
    <font>
      <sz val="11"/>
      <color rgb="FFFF0000"/>
      <name val="Arial"/>
      <family val="2"/>
    </font>
    <font>
      <b/>
      <sz val="11"/>
      <name val="Arial"/>
      <family val="2"/>
    </font>
    <font>
      <b/>
      <sz val="11"/>
      <color indexed="8"/>
      <name val="Arial"/>
      <family val="2"/>
    </font>
    <font>
      <sz val="10"/>
      <name val="Times New Roman"/>
      <family val="1"/>
    </font>
    <font>
      <sz val="10"/>
      <color indexed="8"/>
      <name val="MS Sans Serif"/>
      <family val="2"/>
    </font>
    <font>
      <sz val="9"/>
      <name val="Helvetica 45 Light"/>
      <family val="2"/>
    </font>
    <font>
      <b/>
      <sz val="10"/>
      <name val="Tms Rmn"/>
    </font>
    <font>
      <sz val="10"/>
      <name val="Helv"/>
      <charset val="204"/>
    </font>
    <font>
      <sz val="8"/>
      <name val="Times New Roman"/>
      <family val="1"/>
    </font>
    <font>
      <sz val="8"/>
      <name val="Palatino"/>
      <family val="1"/>
    </font>
    <font>
      <sz val="10"/>
      <name val="Helv"/>
      <family val="2"/>
    </font>
    <font>
      <sz val="12"/>
      <name val="Times New Roman"/>
      <family val="1"/>
    </font>
    <font>
      <b/>
      <sz val="10"/>
      <name val="Garamond"/>
      <family val="1"/>
    </font>
    <font>
      <sz val="10"/>
      <color indexed="10"/>
      <name val="Arial"/>
      <family val="2"/>
    </font>
    <font>
      <sz val="10"/>
      <name val="Geneva"/>
      <family val="2"/>
    </font>
    <font>
      <sz val="12"/>
      <name val="바탕체"/>
      <family val="1"/>
      <charset val="129"/>
    </font>
    <font>
      <sz val="11"/>
      <name val="Book Antiqua"/>
      <family val="1"/>
    </font>
    <font>
      <sz val="10"/>
      <name val="Book Antiqua"/>
      <family val="1"/>
    </font>
    <font>
      <sz val="10"/>
      <color indexed="12"/>
      <name val="Arial"/>
      <family val="2"/>
    </font>
    <font>
      <sz val="10"/>
      <name val="Arial Cyr"/>
      <charset val="204"/>
    </font>
    <font>
      <sz val="12"/>
      <color theme="0"/>
      <name val="Arial"/>
      <family val="2"/>
    </font>
    <font>
      <sz val="9"/>
      <color indexed="12"/>
      <name val="Arial"/>
      <family val="2"/>
    </font>
    <font>
      <sz val="8"/>
      <name val="Times"/>
      <family val="1"/>
    </font>
    <font>
      <b/>
      <sz val="14"/>
      <name val="Times New Roman"/>
      <family val="1"/>
    </font>
    <font>
      <sz val="9"/>
      <name val="Times New Roman"/>
      <family val="1"/>
    </font>
    <font>
      <sz val="10"/>
      <name val="Arial MT"/>
      <family val="2"/>
    </font>
    <font>
      <sz val="12"/>
      <name val="Tms Rmn"/>
    </font>
    <font>
      <sz val="8"/>
      <name val="Tahoma"/>
      <family val="2"/>
    </font>
    <font>
      <sz val="9"/>
      <name val="Tahoma"/>
      <family val="2"/>
    </font>
    <font>
      <sz val="11"/>
      <color indexed="16"/>
      <name val="Calibri"/>
      <family val="2"/>
    </font>
    <font>
      <sz val="8"/>
      <color indexed="10"/>
      <name val="Arial"/>
      <family val="2"/>
    </font>
    <font>
      <sz val="8"/>
      <color indexed="12"/>
      <name val="Tms Rmn"/>
    </font>
    <font>
      <b/>
      <sz val="9"/>
      <name val="Times New Roman"/>
      <family val="1"/>
    </font>
    <font>
      <b/>
      <sz val="12"/>
      <name val="Times New Roman"/>
      <family val="1"/>
    </font>
    <font>
      <b/>
      <sz val="8"/>
      <name val="MS Sans Serif"/>
      <family val="2"/>
    </font>
    <font>
      <sz val="11"/>
      <name val="Times New Roman"/>
      <family val="1"/>
    </font>
    <font>
      <b/>
      <sz val="14"/>
      <color indexed="17"/>
      <name val="Arial"/>
      <family val="2"/>
    </font>
    <font>
      <b/>
      <sz val="8"/>
      <color indexed="24"/>
      <name val="Arial"/>
      <family val="2"/>
    </font>
    <font>
      <b/>
      <sz val="9"/>
      <color indexed="24"/>
      <name val="Arial"/>
      <family val="2"/>
    </font>
    <font>
      <b/>
      <sz val="11"/>
      <color indexed="24"/>
      <name val="Arial"/>
      <family val="2"/>
    </font>
    <font>
      <sz val="10"/>
      <color indexed="20"/>
      <name val="Arial"/>
      <family val="2"/>
    </font>
    <font>
      <b/>
      <i/>
      <sz val="9"/>
      <name val="Arial"/>
      <family val="2"/>
    </font>
    <font>
      <sz val="12"/>
      <name val="Arial"/>
      <family val="2"/>
    </font>
    <font>
      <b/>
      <sz val="18"/>
      <color indexed="22"/>
      <name val="Arial"/>
      <family val="2"/>
    </font>
    <font>
      <b/>
      <sz val="12"/>
      <color indexed="22"/>
      <name val="Arial"/>
      <family val="2"/>
    </font>
    <font>
      <sz val="10"/>
      <color indexed="53"/>
      <name val="Arial"/>
      <family val="2"/>
    </font>
    <font>
      <b/>
      <sz val="8"/>
      <color indexed="8"/>
      <name val="Arial"/>
      <family val="2"/>
    </font>
    <font>
      <b/>
      <sz val="10"/>
      <color indexed="12"/>
      <name val="Arial"/>
      <family val="2"/>
    </font>
    <font>
      <b/>
      <i/>
      <sz val="8"/>
      <name val="Arial"/>
      <family val="2"/>
    </font>
    <font>
      <b/>
      <sz val="8"/>
      <name val="Book Antiqua"/>
      <family val="1"/>
    </font>
    <font>
      <sz val="10"/>
      <color indexed="12"/>
      <name val="Times New Roman"/>
      <family val="1"/>
    </font>
    <font>
      <sz val="10"/>
      <color indexed="11"/>
      <name val="Times New Roman"/>
      <family val="1"/>
    </font>
    <font>
      <u/>
      <sz val="10"/>
      <color indexed="36"/>
      <name val="Arial"/>
      <family val="2"/>
    </font>
    <font>
      <sz val="10"/>
      <color indexed="10"/>
      <name val="Times New Roman"/>
      <family val="1"/>
    </font>
    <font>
      <b/>
      <sz val="12"/>
      <color indexed="18"/>
      <name val="Arial"/>
      <family val="2"/>
    </font>
    <font>
      <b/>
      <sz val="8"/>
      <name val="Arial"/>
      <family val="2"/>
    </font>
    <font>
      <sz val="8"/>
      <color indexed="12"/>
      <name val="Times New Roman"/>
      <family val="1"/>
    </font>
    <font>
      <sz val="10"/>
      <name val="Univers (E1)"/>
    </font>
    <font>
      <sz val="11"/>
      <color theme="1"/>
      <name val="Calibri"/>
      <family val="2"/>
    </font>
    <font>
      <sz val="10"/>
      <name val="Helv"/>
    </font>
    <font>
      <b/>
      <sz val="10"/>
      <color indexed="50"/>
      <name val="Arial"/>
      <family val="2"/>
    </font>
    <font>
      <sz val="8"/>
      <color indexed="8"/>
      <name val="Times New Roman"/>
      <family val="1"/>
    </font>
    <font>
      <sz val="10"/>
      <name val="MS Serif"/>
      <family val="1"/>
    </font>
    <font>
      <sz val="10"/>
      <name val="Courier"/>
      <family val="3"/>
    </font>
    <font>
      <sz val="14"/>
      <name val="Palatino"/>
      <family val="1"/>
    </font>
    <font>
      <sz val="28"/>
      <color indexed="8"/>
      <name val="BakerSignet"/>
    </font>
    <font>
      <sz val="16"/>
      <name val="Palatino"/>
      <family val="1"/>
    </font>
    <font>
      <sz val="32"/>
      <name val="Helvetica-Black"/>
    </font>
    <font>
      <b/>
      <sz val="10"/>
      <name val="Times New Roman"/>
      <family val="1"/>
    </font>
    <font>
      <sz val="11"/>
      <color indexed="12"/>
      <name val="Book Antiqua"/>
      <family val="1"/>
    </font>
    <font>
      <sz val="8"/>
      <color indexed="8"/>
      <name val="Arial"/>
      <family val="2"/>
    </font>
    <font>
      <sz val="8"/>
      <name val="Palatino"/>
    </font>
    <font>
      <sz val="8"/>
      <color indexed="17"/>
      <name val="Arial"/>
      <family val="2"/>
    </font>
    <font>
      <b/>
      <sz val="10"/>
      <color indexed="48"/>
      <name val="Arial"/>
      <family val="2"/>
    </font>
    <font>
      <sz val="10"/>
      <name val="MS Sans Serif"/>
      <family val="2"/>
    </font>
    <font>
      <b/>
      <sz val="8"/>
      <name val="Frutiger"/>
    </font>
    <font>
      <sz val="10"/>
      <color indexed="23"/>
      <name val="Arial"/>
      <family val="2"/>
    </font>
    <font>
      <sz val="8"/>
      <color indexed="14"/>
      <name val="Times New Roman"/>
      <family val="1"/>
    </font>
    <font>
      <b/>
      <sz val="10"/>
      <color indexed="10"/>
      <name val="Arial"/>
      <family val="2"/>
    </font>
    <font>
      <b/>
      <sz val="14"/>
      <color indexed="18"/>
      <name val="Arial"/>
      <family val="2"/>
    </font>
    <font>
      <sz val="10"/>
      <color indexed="16"/>
      <name val="MS Serif"/>
      <family val="1"/>
    </font>
    <font>
      <i/>
      <sz val="10"/>
      <color indexed="23"/>
      <name val="Arial"/>
      <family val="2"/>
    </font>
    <font>
      <sz val="10"/>
      <color indexed="22"/>
      <name val="Arial"/>
      <family val="2"/>
    </font>
    <font>
      <sz val="8"/>
      <name val="Book Antiqua"/>
      <family val="1"/>
    </font>
    <font>
      <sz val="12"/>
      <color indexed="12"/>
      <name val="Arial MT"/>
    </font>
    <font>
      <sz val="6"/>
      <color indexed="23"/>
      <name val="Helvetica-Black"/>
    </font>
    <font>
      <sz val="9.5"/>
      <color indexed="23"/>
      <name val="Helvetica-Black"/>
    </font>
    <font>
      <sz val="7"/>
      <name val="Palatino"/>
      <family val="1"/>
    </font>
    <font>
      <sz val="7"/>
      <name val="Arial"/>
      <family val="2"/>
    </font>
    <font>
      <b/>
      <sz val="9"/>
      <color indexed="9"/>
      <name val="Arial"/>
      <family val="2"/>
    </font>
    <font>
      <sz val="6"/>
      <name val="Palatino"/>
      <family val="1"/>
    </font>
    <font>
      <b/>
      <sz val="8"/>
      <name val="Palatino"/>
    </font>
    <font>
      <b/>
      <sz val="15"/>
      <color indexed="56"/>
      <name val="Calibri"/>
      <family val="2"/>
    </font>
    <font>
      <b/>
      <sz val="15"/>
      <color theme="3"/>
      <name val="Calibri"/>
      <family val="2"/>
    </font>
    <font>
      <sz val="10"/>
      <name val="Helvetica-Black"/>
    </font>
    <font>
      <b/>
      <sz val="10"/>
      <name val="Tahoma"/>
      <family val="2"/>
    </font>
    <font>
      <sz val="28"/>
      <name val="Helvetica-Black"/>
    </font>
    <font>
      <b/>
      <sz val="13"/>
      <color indexed="56"/>
      <name val="Calibri"/>
      <family val="2"/>
    </font>
    <font>
      <b/>
      <sz val="13"/>
      <color theme="3"/>
      <name val="Calibri"/>
      <family val="2"/>
    </font>
    <font>
      <sz val="10"/>
      <name val="Palatino"/>
    </font>
    <font>
      <b/>
      <sz val="9"/>
      <name val="Tahoma"/>
      <family val="2"/>
    </font>
    <font>
      <sz val="18"/>
      <name val="Palatino"/>
      <family val="1"/>
    </font>
    <font>
      <b/>
      <sz val="11"/>
      <color indexed="56"/>
      <name val="Calibri"/>
      <family val="2"/>
    </font>
    <font>
      <b/>
      <sz val="8"/>
      <name val="Tahoma"/>
      <family val="2"/>
    </font>
    <font>
      <i/>
      <sz val="14"/>
      <name val="Palatino"/>
      <family val="1"/>
    </font>
    <font>
      <b/>
      <sz val="10"/>
      <color indexed="8"/>
      <name val="Arial"/>
      <family val="2"/>
    </font>
    <font>
      <b/>
      <i/>
      <sz val="14"/>
      <color indexed="8"/>
      <name val="Arial"/>
      <family val="2"/>
    </font>
    <font>
      <b/>
      <sz val="14"/>
      <name val="Arial"/>
      <family val="2"/>
    </font>
    <font>
      <b/>
      <sz val="9"/>
      <name val="Helv"/>
    </font>
    <font>
      <sz val="9"/>
      <name val="Helv"/>
    </font>
    <font>
      <b/>
      <sz val="10"/>
      <color indexed="56"/>
      <name val="Wingdings"/>
      <charset val="2"/>
    </font>
    <font>
      <b/>
      <u/>
      <sz val="8"/>
      <color indexed="56"/>
      <name val="Arial"/>
      <family val="2"/>
    </font>
    <font>
      <b/>
      <u/>
      <sz val="8"/>
      <color indexed="56"/>
      <name val="Tahoma"/>
      <family val="2"/>
    </font>
    <font>
      <b/>
      <u/>
      <sz val="10"/>
      <color indexed="56"/>
      <name val="Tahoma"/>
      <family val="2"/>
    </font>
    <font>
      <b/>
      <u/>
      <sz val="9"/>
      <color indexed="56"/>
      <name val="Tahoma"/>
      <family val="2"/>
    </font>
    <font>
      <sz val="8"/>
      <color indexed="56"/>
      <name val="Tahoma"/>
      <family val="2"/>
    </font>
    <font>
      <b/>
      <sz val="8"/>
      <color indexed="8"/>
      <name val="Frutiger"/>
    </font>
    <font>
      <sz val="10"/>
      <name val="Frutiger"/>
    </font>
    <font>
      <sz val="8"/>
      <color indexed="62"/>
      <name val="Arial"/>
      <family val="2"/>
    </font>
    <font>
      <sz val="11"/>
      <color indexed="12"/>
      <name val="Arial"/>
      <family val="2"/>
    </font>
    <font>
      <b/>
      <sz val="11"/>
      <color indexed="39"/>
      <name val="Arial"/>
      <family val="2"/>
    </font>
    <font>
      <sz val="10"/>
      <color rgb="FF0066B3"/>
      <name val="Arial"/>
      <family val="2"/>
      <scheme val="minor"/>
    </font>
    <font>
      <sz val="12"/>
      <name val="Helv"/>
    </font>
    <font>
      <u/>
      <sz val="8"/>
      <color indexed="8"/>
      <name val="Arial"/>
      <family val="2"/>
    </font>
    <font>
      <sz val="12"/>
      <color indexed="8"/>
      <name val="Arial MT"/>
      <family val="2"/>
    </font>
    <font>
      <sz val="12"/>
      <color indexed="22"/>
      <name val="Helv"/>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b/>
      <sz val="10"/>
      <name val="Palatino"/>
    </font>
    <font>
      <sz val="11"/>
      <color indexed="53"/>
      <name val="Calibri"/>
      <family val="2"/>
    </font>
    <font>
      <sz val="12"/>
      <color indexed="9"/>
      <name val="Helv"/>
    </font>
    <font>
      <b/>
      <sz val="12"/>
      <color indexed="16"/>
      <name val="Times New Roman"/>
      <family val="1"/>
    </font>
    <font>
      <sz val="26"/>
      <name val="Arial"/>
      <family val="2"/>
    </font>
    <font>
      <sz val="48"/>
      <name val="Arial"/>
      <family val="2"/>
    </font>
    <font>
      <b/>
      <sz val="100"/>
      <name val="Arial"/>
      <family val="2"/>
    </font>
    <font>
      <sz val="10"/>
      <name val="Geneva"/>
    </font>
    <font>
      <b/>
      <sz val="12"/>
      <name val="Tahoma"/>
      <family val="2"/>
    </font>
    <font>
      <b/>
      <sz val="10"/>
      <color indexed="10"/>
      <name val="Tms Rmn"/>
    </font>
    <font>
      <i/>
      <sz val="7"/>
      <color indexed="10"/>
      <name val="Arial"/>
      <family val="2"/>
    </font>
    <font>
      <sz val="7"/>
      <name val="Small Fonts"/>
      <family val="2"/>
    </font>
    <font>
      <b/>
      <i/>
      <sz val="16"/>
      <name val="Helv"/>
    </font>
    <font>
      <sz val="10"/>
      <color rgb="FF000000"/>
      <name val="Arial"/>
      <family val="2"/>
    </font>
    <font>
      <sz val="10"/>
      <name val="Tms Rmn"/>
    </font>
    <font>
      <sz val="6"/>
      <name val="Helv"/>
    </font>
    <font>
      <sz val="6"/>
      <color indexed="10"/>
      <name val="Helv"/>
    </font>
    <font>
      <sz val="9"/>
      <name val="Geneva"/>
    </font>
    <font>
      <sz val="10"/>
      <name val="Palatino"/>
      <family val="1"/>
    </font>
    <font>
      <sz val="10"/>
      <name val="Arial CE"/>
      <charset val="238"/>
    </font>
    <font>
      <sz val="12"/>
      <color indexed="8"/>
      <name val="Tms Rmn"/>
    </font>
    <font>
      <sz val="10"/>
      <name val="Arial Narrow"/>
      <family val="2"/>
    </font>
    <font>
      <sz val="10"/>
      <color theme="1"/>
      <name val="Calibri"/>
      <family val="2"/>
    </font>
    <font>
      <sz val="7"/>
      <color indexed="8"/>
      <name val="Arial"/>
      <family val="2"/>
    </font>
    <font>
      <sz val="8"/>
      <color indexed="13"/>
      <name val="MS Sans Serif"/>
      <family val="2"/>
    </font>
    <font>
      <b/>
      <sz val="12"/>
      <name val="Arial MT"/>
    </font>
    <font>
      <sz val="12"/>
      <color indexed="8"/>
      <name val="Arial MT"/>
    </font>
    <font>
      <sz val="8"/>
      <color indexed="13"/>
      <name val="Times New Roman"/>
      <family val="1"/>
    </font>
    <font>
      <sz val="11"/>
      <name val="‚l‚r –¾’©"/>
      <charset val="128"/>
    </font>
    <font>
      <sz val="8"/>
      <color indexed="9"/>
      <name val="Times New Roman"/>
      <family val="1"/>
    </font>
    <font>
      <sz val="10"/>
      <color indexed="14"/>
      <name val="Arial"/>
      <family val="2"/>
    </font>
    <font>
      <b/>
      <sz val="10"/>
      <color indexed="9"/>
      <name val="Calibri"/>
      <family val="2"/>
    </font>
    <font>
      <sz val="10"/>
      <color indexed="16"/>
      <name val="Helvetica-Black"/>
    </font>
    <font>
      <b/>
      <sz val="12"/>
      <color indexed="13"/>
      <name val="Arial MT"/>
    </font>
    <font>
      <sz val="7.5"/>
      <color indexed="0"/>
      <name val="Arial"/>
      <family val="2"/>
    </font>
    <font>
      <b/>
      <sz val="13"/>
      <name val="Tahoma"/>
      <family val="2"/>
    </font>
    <font>
      <b/>
      <sz val="14"/>
      <name val="Tahoma"/>
      <family val="2"/>
    </font>
    <font>
      <i/>
      <sz val="10"/>
      <name val="Times New Roman"/>
      <family val="1"/>
    </font>
    <font>
      <b/>
      <sz val="10"/>
      <name val="MS Sans Serif"/>
      <family val="2"/>
    </font>
    <font>
      <sz val="9"/>
      <color indexed="10"/>
      <name val="Arial"/>
      <family val="2"/>
    </font>
    <font>
      <sz val="8"/>
      <name val="Wingdings"/>
      <charset val="2"/>
    </font>
    <font>
      <sz val="8"/>
      <name val="Helv"/>
    </font>
    <font>
      <i/>
      <sz val="8"/>
      <color indexed="8"/>
      <name val="Arial"/>
      <family val="2"/>
    </font>
    <font>
      <sz val="19"/>
      <color indexed="48"/>
      <name val="Arial"/>
      <family val="2"/>
    </font>
    <font>
      <sz val="19"/>
      <name val="Arial"/>
      <family val="2"/>
    </font>
    <font>
      <sz val="8"/>
      <color indexed="14"/>
      <name val="Arial"/>
      <family val="2"/>
    </font>
    <font>
      <sz val="10"/>
      <name val="Letter Gothic"/>
      <family val="3"/>
    </font>
    <font>
      <b/>
      <u/>
      <sz val="12"/>
      <color indexed="18"/>
      <name val="Arial"/>
      <family val="2"/>
    </font>
    <font>
      <b/>
      <sz val="13"/>
      <name val="Arial"/>
      <family val="2"/>
    </font>
    <font>
      <b/>
      <sz val="18"/>
      <color indexed="18"/>
      <name val="Arial"/>
      <family val="2"/>
    </font>
    <font>
      <b/>
      <u/>
      <sz val="14"/>
      <name val="TimesNewRomanPS"/>
    </font>
    <font>
      <sz val="12"/>
      <name val="TimesNewRomanPS"/>
    </font>
    <font>
      <b/>
      <sz val="12"/>
      <name val="TimesNewRomanPS"/>
    </font>
    <font>
      <sz val="8"/>
      <name val="MS Sans Serif"/>
      <family val="2"/>
    </font>
    <font>
      <b/>
      <sz val="12"/>
      <name val="MS Sans Serif"/>
      <family val="2"/>
    </font>
    <font>
      <b/>
      <i/>
      <u/>
      <sz val="10"/>
      <name val="Arial"/>
      <family val="2"/>
    </font>
    <font>
      <b/>
      <sz val="8"/>
      <name val="Times New Roman"/>
      <family val="1"/>
    </font>
    <font>
      <u/>
      <sz val="7"/>
      <name val="Arial"/>
      <family val="2"/>
    </font>
    <font>
      <b/>
      <sz val="16"/>
      <name val="Times New Roman"/>
      <family val="1"/>
    </font>
    <font>
      <u/>
      <sz val="8"/>
      <name val="Arial"/>
      <family val="2"/>
    </font>
    <font>
      <u/>
      <sz val="8"/>
      <name val="Times New Roman"/>
      <family val="1"/>
    </font>
    <font>
      <i/>
      <u/>
      <sz val="8"/>
      <name val="Times New Roman"/>
      <family val="1"/>
    </font>
    <font>
      <sz val="5"/>
      <name val="Verdana"/>
      <family val="2"/>
    </font>
    <font>
      <b/>
      <i/>
      <u/>
      <sz val="10"/>
      <name val="Times New Roman"/>
      <family val="1"/>
    </font>
    <font>
      <b/>
      <sz val="8"/>
      <color indexed="9"/>
      <name val="Times New Roman"/>
      <family val="1"/>
    </font>
    <font>
      <b/>
      <sz val="8"/>
      <color indexed="9"/>
      <name val="Arial"/>
      <family val="2"/>
    </font>
    <font>
      <b/>
      <sz val="10"/>
      <color indexed="9"/>
      <name val="Times New Roman"/>
      <family val="1"/>
    </font>
    <font>
      <b/>
      <sz val="24"/>
      <name val="Arial"/>
      <family val="2"/>
    </font>
    <font>
      <u/>
      <sz val="12"/>
      <name val="Arial"/>
      <family val="2"/>
    </font>
    <font>
      <b/>
      <u/>
      <sz val="12"/>
      <name val="Arial"/>
      <family val="2"/>
    </font>
    <font>
      <b/>
      <u/>
      <sz val="9"/>
      <name val="Arial"/>
      <family val="2"/>
    </font>
    <font>
      <sz val="18"/>
      <name val="Arial"/>
      <family val="2"/>
    </font>
    <font>
      <b/>
      <i/>
      <sz val="18"/>
      <name val="Arial"/>
      <family val="2"/>
    </font>
    <font>
      <b/>
      <sz val="34"/>
      <name val="Arial"/>
      <family val="2"/>
    </font>
    <font>
      <b/>
      <u/>
      <sz val="24"/>
      <name val="Arial"/>
      <family val="2"/>
    </font>
    <font>
      <i/>
      <sz val="7"/>
      <name val="Arial"/>
      <family val="2"/>
    </font>
    <font>
      <u/>
      <sz val="12"/>
      <color indexed="12"/>
      <name val="Arial"/>
      <family val="2"/>
    </font>
    <font>
      <b/>
      <sz val="8"/>
      <color indexed="8"/>
      <name val="Helv"/>
    </font>
    <font>
      <b/>
      <sz val="11"/>
      <color indexed="12"/>
      <name val="MS Sans Serif"/>
      <family val="2"/>
    </font>
    <font>
      <b/>
      <sz val="12"/>
      <name val="Univers (WN)"/>
    </font>
    <font>
      <b/>
      <sz val="10"/>
      <name val="Univers (WN)"/>
    </font>
    <font>
      <b/>
      <sz val="9"/>
      <name val="Palatino"/>
      <family val="1"/>
    </font>
    <font>
      <sz val="9"/>
      <color indexed="21"/>
      <name val="Helvetica-Black"/>
    </font>
    <font>
      <b/>
      <sz val="10"/>
      <name val="Palatino"/>
      <family val="1"/>
    </font>
    <font>
      <b/>
      <sz val="10"/>
      <name val="Arial"/>
      <family val="2"/>
      <scheme val="minor"/>
    </font>
    <font>
      <sz val="9"/>
      <name val="Helvetica-Black"/>
    </font>
    <font>
      <sz val="8"/>
      <color indexed="17"/>
      <name val="Times New Roman"/>
      <family val="1"/>
    </font>
    <font>
      <sz val="12"/>
      <color indexed="8"/>
      <name val="Palatino"/>
      <family val="1"/>
    </font>
    <font>
      <sz val="12"/>
      <name val="Palatino"/>
      <family val="1"/>
    </font>
    <font>
      <sz val="11"/>
      <color indexed="8"/>
      <name val="Helvetica-Black"/>
    </font>
    <font>
      <sz val="11"/>
      <name val="Helvetica-Black"/>
    </font>
    <font>
      <b/>
      <sz val="10"/>
      <color indexed="10"/>
      <name val="Wingdings 2"/>
      <family val="1"/>
      <charset val="2"/>
    </font>
    <font>
      <sz val="8"/>
      <color indexed="12"/>
      <name val="Helv"/>
    </font>
    <font>
      <b/>
      <sz val="11"/>
      <name val="Times New Roman"/>
      <family val="1"/>
    </font>
    <font>
      <sz val="8"/>
      <color indexed="14"/>
      <name val="Helv"/>
    </font>
    <font>
      <b/>
      <sz val="14"/>
      <color indexed="12"/>
      <name val="Arial"/>
      <family val="2"/>
    </font>
    <font>
      <b/>
      <sz val="14"/>
      <name val="Helv"/>
    </font>
    <font>
      <b/>
      <sz val="14"/>
      <name val="Palatino"/>
    </font>
    <font>
      <b/>
      <sz val="12"/>
      <name val="Helv"/>
    </font>
    <font>
      <b/>
      <sz val="8"/>
      <name val="Helv"/>
    </font>
    <font>
      <b/>
      <sz val="7"/>
      <name val="Arial"/>
      <family val="2"/>
    </font>
    <font>
      <b/>
      <u/>
      <sz val="14"/>
      <color indexed="12"/>
      <name val="Arial Rounded MT Bold"/>
      <family val="2"/>
    </font>
    <font>
      <b/>
      <sz val="10"/>
      <color theme="1"/>
      <name val="Calibri"/>
      <family val="2"/>
    </font>
    <font>
      <sz val="8"/>
      <color indexed="12"/>
      <name val="Arial"/>
      <family val="2"/>
    </font>
    <font>
      <sz val="8"/>
      <color indexed="10"/>
      <name val="Arial Narrow"/>
      <family val="2"/>
    </font>
    <font>
      <i/>
      <sz val="10"/>
      <color indexed="17"/>
      <name val="Arial"/>
      <family val="2"/>
    </font>
    <font>
      <sz val="10"/>
      <color indexed="13"/>
      <name val="Arial"/>
      <family val="2"/>
    </font>
  </fonts>
  <fills count="165">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1"/>
        <bgColor indexed="64"/>
      </patternFill>
    </fill>
    <fill>
      <patternFill patternType="solid">
        <fgColor indexed="55"/>
      </patternFill>
    </fill>
    <fill>
      <patternFill patternType="solid">
        <fgColor indexed="42"/>
      </patternFill>
    </fill>
    <fill>
      <patternFill patternType="solid">
        <fgColor indexed="18"/>
        <bgColor indexed="64"/>
      </patternFill>
    </fill>
    <fill>
      <patternFill patternType="solid">
        <fgColor theme="3"/>
        <bgColor indexed="64"/>
      </patternFill>
    </fill>
    <fill>
      <patternFill patternType="solid">
        <fgColor theme="5" tint="0.79998168889431442"/>
        <bgColor indexed="64"/>
      </patternFill>
    </fill>
    <fill>
      <patternFill patternType="solid">
        <fgColor theme="4"/>
        <bgColor indexed="64"/>
      </patternFill>
    </fill>
    <fill>
      <patternFill patternType="solid">
        <fgColor theme="3" tint="-0.249977111117893"/>
        <bgColor indexed="64"/>
      </patternFill>
    </fill>
    <fill>
      <patternFill patternType="solid">
        <fgColor indexed="9"/>
        <bgColor indexed="64"/>
      </patternFill>
    </fill>
    <fill>
      <patternFill patternType="solid">
        <fgColor rgb="FFDAE9F8"/>
        <bgColor rgb="FF000000"/>
      </patternFill>
    </fill>
    <fill>
      <patternFill patternType="solid">
        <fgColor rgb="FFFFDE93"/>
        <bgColor rgb="FF000000"/>
      </patternFill>
    </fill>
    <fill>
      <patternFill patternType="solid">
        <fgColor rgb="FFFFFF00"/>
        <bgColor indexed="64"/>
      </patternFill>
    </fill>
    <fill>
      <patternFill patternType="solid">
        <fgColor theme="5" tint="0.79998168889431442"/>
        <bgColor rgb="FF000000"/>
      </patternFill>
    </fill>
    <fill>
      <patternFill patternType="solid">
        <fgColor indexed="31"/>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00E2FF"/>
        <bgColor indexed="64"/>
      </patternFill>
    </fill>
    <fill>
      <patternFill patternType="solid">
        <fgColor rgb="FFFFFFFE"/>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4" tint="0.89999084444715716"/>
        <bgColor indexed="64"/>
      </patternFill>
    </fill>
    <fill>
      <patternFill patternType="solid">
        <fgColor theme="4" tint="0.749992370372631"/>
        <bgColor indexed="64"/>
      </patternFill>
    </fill>
    <fill>
      <patternFill patternType="solid">
        <fgColor theme="6" tint="0.59999389629810485"/>
        <bgColor indexed="64"/>
      </patternFill>
    </fill>
    <fill>
      <patternFill patternType="solid">
        <fgColor rgb="FF002060"/>
        <bgColor indexed="64"/>
      </patternFill>
    </fill>
    <fill>
      <patternFill patternType="solid">
        <fgColor indexed="59"/>
      </patternFill>
    </fill>
    <fill>
      <patternFill patternType="solid">
        <fgColor indexed="25"/>
      </patternFill>
    </fill>
    <fill>
      <patternFill patternType="solid">
        <fgColor indexed="60"/>
      </patternFill>
    </fill>
    <fill>
      <patternFill patternType="solid">
        <fgColor indexed="24"/>
      </patternFill>
    </fill>
    <fill>
      <patternFill patternType="solid">
        <fgColor indexed="8"/>
      </patternFill>
    </fill>
    <fill>
      <patternFill patternType="solid">
        <fgColor indexed="15"/>
        <bgColor indexed="64"/>
      </patternFill>
    </fill>
    <fill>
      <patternFill patternType="solid">
        <fgColor theme="6" tint="0.59999389629810485"/>
        <bgColor rgb="FF000000"/>
      </patternFill>
    </fill>
    <fill>
      <patternFill patternType="solid">
        <fgColor theme="0"/>
        <bgColor rgb="FF000000"/>
      </patternFill>
    </fill>
    <fill>
      <patternFill patternType="solid">
        <fgColor indexed="21"/>
        <bgColor indexed="21"/>
      </patternFill>
    </fill>
    <fill>
      <patternFill patternType="solid">
        <fgColor indexed="22"/>
        <bgColor indexed="64"/>
      </patternFill>
    </fill>
    <fill>
      <patternFill patternType="solid">
        <fgColor indexed="31"/>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solid">
        <fgColor indexed="42"/>
        <bgColor indexed="64"/>
      </patternFill>
    </fill>
    <fill>
      <patternFill patternType="solid">
        <fgColor indexed="8"/>
        <bgColor indexed="64"/>
      </patternFill>
    </fill>
    <fill>
      <patternFill patternType="gray125">
        <bgColor indexed="42"/>
      </patternFill>
    </fill>
    <fill>
      <patternFill patternType="solid">
        <fgColor indexed="35"/>
        <bgColor indexed="64"/>
      </patternFill>
    </fill>
    <fill>
      <patternFill patternType="gray125">
        <bgColor indexed="31"/>
      </patternFill>
    </fill>
    <fill>
      <patternFill patternType="solid">
        <fgColor indexed="43"/>
        <bgColor indexed="64"/>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gray0625">
        <bgColor indexed="9"/>
      </patternFill>
    </fill>
    <fill>
      <patternFill patternType="solid">
        <fgColor indexed="42"/>
        <bgColor indexed="42"/>
      </patternFill>
    </fill>
    <fill>
      <patternFill patternType="solid">
        <fgColor indexed="22"/>
        <bgColor indexed="23"/>
      </patternFill>
    </fill>
    <fill>
      <patternFill patternType="solid">
        <fgColor indexed="34"/>
        <bgColor indexed="64"/>
      </patternFill>
    </fill>
    <fill>
      <patternFill patternType="solid">
        <fgColor theme="9" tint="0.59996337778862885"/>
        <bgColor indexed="64"/>
      </patternFill>
    </fill>
    <fill>
      <patternFill patternType="solid">
        <fgColor indexed="15"/>
      </patternFill>
    </fill>
    <fill>
      <patternFill patternType="solid">
        <fgColor indexed="43"/>
        <bgColor indexed="42"/>
      </patternFill>
    </fill>
    <fill>
      <patternFill patternType="solid">
        <fgColor indexed="13"/>
        <bgColor indexed="64"/>
      </patternFill>
    </fill>
    <fill>
      <patternFill patternType="solid">
        <fgColor indexed="14"/>
      </patternFill>
    </fill>
    <fill>
      <patternFill patternType="solid">
        <fgColor indexed="23"/>
        <bgColor indexed="64"/>
      </patternFill>
    </fill>
    <fill>
      <patternFill patternType="solid">
        <fgColor indexed="29"/>
        <bgColor indexed="64"/>
      </patternFill>
    </fill>
    <fill>
      <patternFill patternType="solid">
        <fgColor indexed="47"/>
        <bgColor indexed="64"/>
      </patternFill>
    </fill>
    <fill>
      <patternFill patternType="solid">
        <fgColor indexed="10"/>
        <bgColor indexed="64"/>
      </patternFill>
    </fill>
    <fill>
      <patternFill patternType="solid">
        <fgColor indexed="55"/>
        <bgColor indexed="64"/>
      </patternFill>
    </fill>
    <fill>
      <patternFill patternType="solid">
        <fgColor indexed="18"/>
        <bgColor indexed="18"/>
      </patternFill>
    </fill>
    <fill>
      <patternFill patternType="solid">
        <fgColor indexed="9"/>
        <bgColor indexed="9"/>
      </patternFill>
    </fill>
    <fill>
      <patternFill patternType="solid">
        <fgColor indexed="21"/>
        <bgColor indexed="64"/>
      </patternFill>
    </fill>
    <fill>
      <patternFill patternType="solid">
        <fgColor indexed="53"/>
        <bgColor rgb="FFD5E1FB"/>
      </patternFill>
    </fill>
    <fill>
      <patternFill patternType="solid">
        <fgColor indexed="10"/>
        <bgColor indexed="9"/>
      </patternFill>
    </fill>
    <fill>
      <patternFill patternType="mediumGray">
        <fgColor indexed="22"/>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0"/>
      </patternFill>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38"/>
        <bgColor indexed="64"/>
      </patternFill>
    </fill>
    <fill>
      <patternFill patternType="solid">
        <fgColor indexed="59"/>
        <bgColor indexed="64"/>
      </patternFill>
    </fill>
    <fill>
      <patternFill patternType="solid">
        <fgColor indexed="58"/>
        <bgColor indexed="64"/>
      </patternFill>
    </fill>
    <fill>
      <patternFill patternType="solid">
        <fgColor indexed="57"/>
        <bgColor indexed="64"/>
      </patternFill>
    </fill>
    <fill>
      <patternFill patternType="solid">
        <fgColor indexed="16"/>
        <bgColor indexed="64"/>
      </patternFill>
    </fill>
    <fill>
      <patternFill patternType="solid">
        <fgColor theme="8" tint="0.59996337778862885"/>
        <bgColor indexed="64"/>
      </patternFill>
    </fill>
    <fill>
      <patternFill patternType="lightGray">
        <fgColor indexed="9"/>
      </patternFill>
    </fill>
    <fill>
      <patternFill patternType="gray0625">
        <fgColor indexed="9"/>
      </patternFill>
    </fill>
    <fill>
      <patternFill patternType="solid">
        <fgColor indexed="12"/>
        <bgColor indexed="64"/>
      </patternFill>
    </fill>
  </fills>
  <borders count="127">
    <border>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18"/>
      </right>
      <top/>
      <bottom/>
      <diagonal/>
    </border>
    <border>
      <left/>
      <right/>
      <top style="thin">
        <color indexed="62"/>
      </top>
      <bottom style="thin">
        <color indexed="62"/>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indexed="64"/>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FF0000"/>
      </left>
      <right style="thin">
        <color rgb="FFFF0000"/>
      </right>
      <top style="thin">
        <color rgb="FFFF0000"/>
      </top>
      <bottom style="thin">
        <color rgb="FFFF0000"/>
      </bottom>
      <diagonal/>
    </border>
    <border>
      <left/>
      <right/>
      <top/>
      <bottom style="thick">
        <color indexed="62"/>
      </bottom>
      <diagonal/>
    </border>
    <border>
      <left/>
      <right/>
      <top/>
      <bottom style="thick">
        <color theme="4"/>
      </bottom>
      <diagonal/>
    </border>
    <border>
      <left/>
      <right/>
      <top/>
      <bottom style="thick">
        <color theme="4" tint="0.499984740745262"/>
      </bottom>
      <diagonal/>
    </border>
    <border>
      <left/>
      <right/>
      <top/>
      <bottom style="medium">
        <color indexed="30"/>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ck">
        <color indexed="8"/>
      </bottom>
      <diagonal/>
    </border>
    <border>
      <left/>
      <right/>
      <top/>
      <bottom style="thick">
        <color indexed="25"/>
      </bottom>
      <diagonal/>
    </border>
    <border>
      <left/>
      <right/>
      <top/>
      <bottom style="thick">
        <color indexed="60"/>
      </bottom>
      <diagonal/>
    </border>
    <border>
      <left/>
      <right/>
      <top/>
      <bottom style="medium">
        <color indexed="6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9"/>
      </left>
      <right style="thin">
        <color indexed="29"/>
      </right>
      <top style="thin">
        <color indexed="29"/>
      </top>
      <bottom style="thin">
        <color indexed="29"/>
      </bottom>
      <diagonal/>
    </border>
    <border>
      <left/>
      <right/>
      <top style="thin">
        <color indexed="8"/>
      </top>
      <bottom style="double">
        <color indexed="8"/>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top style="thin">
        <color indexed="64"/>
      </top>
      <bottom style="thin">
        <color indexed="64"/>
      </bottom>
      <diagonal/>
    </border>
    <border>
      <left/>
      <right/>
      <top style="thin">
        <color indexed="62"/>
      </top>
      <bottom style="thin">
        <color indexed="62"/>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auto="1"/>
      </bottom>
      <diagonal/>
    </border>
    <border>
      <left style="double">
        <color indexed="64"/>
      </left>
      <right/>
      <top/>
      <bottom style="hair">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diagonal/>
    </border>
    <border>
      <left style="thin">
        <color indexed="18"/>
      </left>
      <right style="thin">
        <color indexed="18"/>
      </right>
      <top style="thin">
        <color indexed="18"/>
      </top>
      <bottom style="thin">
        <color indexed="18"/>
      </bottom>
      <diagonal/>
    </border>
    <border>
      <left style="medium">
        <color indexed="22"/>
      </left>
      <right style="medium">
        <color indexed="22"/>
      </right>
      <top style="medium">
        <color indexed="22"/>
      </top>
      <bottom style="medium">
        <color indexed="2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44"/>
      </bottom>
      <diagonal/>
    </border>
    <border>
      <left/>
      <right/>
      <top/>
      <bottom style="medium">
        <color indexed="24"/>
      </bottom>
      <diagonal/>
    </border>
    <border>
      <left style="thin">
        <color indexed="64"/>
      </left>
      <right style="thin">
        <color indexed="64"/>
      </right>
      <top/>
      <bottom/>
      <diagonal/>
    </border>
    <border>
      <left/>
      <right style="thick">
        <color indexed="9"/>
      </right>
      <top/>
      <bottom style="thin">
        <color indexed="8"/>
      </bottom>
      <diagonal/>
    </border>
    <border>
      <left/>
      <right/>
      <top/>
      <bottom style="thin">
        <color indexed="8"/>
      </bottom>
      <diagonal/>
    </border>
    <border>
      <left style="thin">
        <color indexed="64"/>
      </left>
      <right style="thin">
        <color indexed="64"/>
      </right>
      <top style="thin">
        <color indexed="64"/>
      </top>
      <bottom/>
      <diagonal/>
    </border>
    <border>
      <left/>
      <right/>
      <top/>
      <bottom style="double">
        <color indexed="8"/>
      </bottom>
      <diagonal/>
    </border>
    <border>
      <left/>
      <right style="thin">
        <color indexed="8"/>
      </right>
      <top style="thin">
        <color indexed="8"/>
      </top>
      <bottom/>
      <diagonal/>
    </border>
    <border>
      <left/>
      <right/>
      <top/>
      <bottom style="thin">
        <color auto="1"/>
      </bottom>
      <diagonal/>
    </border>
    <border>
      <left/>
      <right/>
      <top style="double">
        <color indexed="64"/>
      </top>
      <bottom style="double">
        <color indexed="64"/>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bottom style="thick">
        <color indexed="48"/>
      </bottom>
      <diagonal/>
    </border>
    <border>
      <left style="thin">
        <color theme="2"/>
      </left>
      <right style="thin">
        <color theme="2"/>
      </right>
      <top style="thin">
        <color theme="2"/>
      </top>
      <bottom style="thin">
        <color theme="2"/>
      </bottom>
      <diagonal/>
    </border>
    <border>
      <left style="thin">
        <color auto="1"/>
      </left>
      <right style="thin">
        <color auto="1"/>
      </right>
      <top style="thin">
        <color auto="1"/>
      </top>
      <bottom style="medium">
        <color indexed="64"/>
      </bottom>
      <diagonal/>
    </border>
    <border>
      <left style="thin">
        <color indexed="10"/>
      </left>
      <right style="thin">
        <color indexed="10"/>
      </right>
      <top style="thin">
        <color indexed="10"/>
      </top>
      <bottom style="thin">
        <color indexed="10"/>
      </bottom>
      <diagonal/>
    </border>
    <border>
      <left/>
      <right/>
      <top/>
      <bottom style="double">
        <color indexed="53"/>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right style="double">
        <color indexed="64"/>
      </right>
      <top/>
      <bottom style="thin">
        <color indexed="64"/>
      </bottom>
      <diagonal/>
    </border>
    <border>
      <left/>
      <right/>
      <top/>
      <bottom style="dotted">
        <color indexed="22"/>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double">
        <color indexed="9"/>
      </top>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diagonal/>
    </border>
    <border>
      <left/>
      <right/>
      <top/>
      <bottom style="double">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12"/>
      </top>
      <bottom style="double">
        <color indexed="12"/>
      </bottom>
      <diagonal/>
    </border>
    <border>
      <left/>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diagonalUp="1">
      <left/>
      <right/>
      <top/>
      <bottom/>
      <diagonal style="dashed">
        <color indexed="11"/>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diagonal/>
    </border>
  </borders>
  <cellStyleXfs count="59031">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2" borderId="0" applyNumberFormat="0" applyBorder="0" applyAlignment="0" applyProtection="0"/>
    <xf numFmtId="0" fontId="22" fillId="5"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3"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12" fillId="0" borderId="0" applyNumberFormat="0" applyFont="0" applyFill="0" applyBorder="0" applyAlignment="0" applyProtection="0"/>
    <xf numFmtId="0" fontId="24" fillId="15" borderId="0" applyNumberFormat="0" applyBorder="0" applyAlignment="0" applyProtection="0"/>
    <xf numFmtId="37" fontId="25" fillId="16" borderId="1"/>
    <xf numFmtId="0" fontId="12" fillId="16" borderId="2" applyNumberFormat="0" applyBorder="0"/>
    <xf numFmtId="0" fontId="26" fillId="2" borderId="3" applyNumberFormat="0" applyAlignment="0" applyProtection="0"/>
    <xf numFmtId="0" fontId="27" fillId="17" borderId="4" applyNumberFormat="0" applyAlignment="0" applyProtection="0"/>
    <xf numFmtId="0" fontId="28" fillId="0" borderId="0" applyNumberFormat="0" applyFill="0" applyBorder="0" applyAlignment="0" applyProtection="0"/>
    <xf numFmtId="0" fontId="29" fillId="18" borderId="0" applyNumberFormat="0" applyBorder="0" applyAlignment="0" applyProtection="0"/>
    <xf numFmtId="0" fontId="30" fillId="16" borderId="5"/>
    <xf numFmtId="37" fontId="12" fillId="16" borderId="0">
      <alignment horizontal="right"/>
    </xf>
    <xf numFmtId="0" fontId="31" fillId="0" borderId="6" applyNumberFormat="0" applyFill="0" applyAlignment="0" applyProtection="0"/>
    <xf numFmtId="0" fontId="32" fillId="0" borderId="7" applyNumberFormat="0" applyFill="0" applyAlignment="0" applyProtection="0"/>
    <xf numFmtId="0" fontId="33" fillId="0" borderId="8" applyNumberFormat="0" applyFill="0" applyAlignment="0" applyProtection="0"/>
    <xf numFmtId="0" fontId="33" fillId="0" borderId="0" applyNumberFormat="0" applyFill="0" applyBorder="0" applyAlignment="0" applyProtection="0"/>
    <xf numFmtId="0" fontId="34" fillId="3" borderId="3" applyNumberFormat="0" applyAlignment="0" applyProtection="0"/>
    <xf numFmtId="0" fontId="35" fillId="0" borderId="9" applyNumberFormat="0" applyFill="0" applyAlignment="0" applyProtection="0"/>
    <xf numFmtId="0" fontId="36" fillId="8" borderId="0" applyNumberFormat="0" applyBorder="0" applyAlignment="0" applyProtection="0"/>
    <xf numFmtId="0" fontId="37" fillId="0" borderId="0"/>
    <xf numFmtId="37" fontId="12" fillId="0" borderId="0" applyFill="0" applyBorder="0" applyProtection="0">
      <protection locked="0"/>
    </xf>
    <xf numFmtId="0" fontId="12" fillId="4" borderId="10" applyNumberFormat="0" applyFont="0" applyAlignment="0" applyProtection="0"/>
    <xf numFmtId="0" fontId="38" fillId="2" borderId="11" applyNumberFormat="0" applyAlignment="0" applyProtection="0"/>
    <xf numFmtId="9" fontId="12" fillId="0" borderId="0" applyFont="0" applyFill="0" applyBorder="0" applyAlignment="0" applyProtection="0"/>
    <xf numFmtId="0" fontId="45" fillId="0" borderId="0">
      <alignment vertical="top"/>
    </xf>
    <xf numFmtId="0" fontId="39" fillId="0" borderId="0" applyNumberFormat="0" applyFill="0" applyBorder="0" applyAlignment="0" applyProtection="0"/>
    <xf numFmtId="0" fontId="40" fillId="0" borderId="12" applyNumberFormat="0" applyFill="0" applyAlignment="0" applyProtection="0"/>
    <xf numFmtId="0" fontId="41" fillId="0" borderId="0" applyNumberFormat="0" applyFill="0" applyBorder="0" applyAlignment="0" applyProtection="0"/>
    <xf numFmtId="37" fontId="42" fillId="19" borderId="13"/>
    <xf numFmtId="0" fontId="43" fillId="0" borderId="14">
      <alignment horizontal="right"/>
    </xf>
    <xf numFmtId="0" fontId="12" fillId="0" borderId="0"/>
    <xf numFmtId="0" fontId="48" fillId="0" borderId="0" applyNumberFormat="0" applyFill="0" applyBorder="0" applyAlignment="0" applyProtection="0">
      <alignment vertical="top"/>
      <protection locked="0"/>
    </xf>
    <xf numFmtId="165" fontId="12" fillId="0" borderId="0" applyFont="0" applyFill="0" applyBorder="0" applyAlignment="0" applyProtection="0"/>
    <xf numFmtId="0" fontId="12" fillId="0" borderId="0">
      <alignment vertical="top"/>
    </xf>
    <xf numFmtId="0" fontId="57" fillId="0" borderId="0" applyNumberFormat="0" applyFill="0" applyBorder="0" applyAlignment="0" applyProtection="0"/>
    <xf numFmtId="0" fontId="12" fillId="0" borderId="0">
      <alignment vertical="top"/>
    </xf>
    <xf numFmtId="9" fontId="62" fillId="0" borderId="0" applyFont="0" applyFill="0" applyBorder="0" applyAlignment="0" applyProtection="0"/>
    <xf numFmtId="0" fontId="62" fillId="0" borderId="0">
      <alignment vertical="top"/>
    </xf>
    <xf numFmtId="165" fontId="62" fillId="0" borderId="0" applyFont="0" applyFill="0" applyBorder="0" applyAlignment="0" applyProtection="0"/>
    <xf numFmtId="0" fontId="62" fillId="0" borderId="0">
      <alignment vertical="top"/>
    </xf>
    <xf numFmtId="9" fontId="12" fillId="0" borderId="0" applyFont="0" applyFill="0" applyBorder="0" applyAlignment="0" applyProtection="0"/>
    <xf numFmtId="0" fontId="12" fillId="0" borderId="0">
      <alignment vertical="top"/>
    </xf>
    <xf numFmtId="165" fontId="12" fillId="0" borderId="0" applyFont="0" applyFill="0" applyBorder="0" applyAlignment="0" applyProtection="0"/>
    <xf numFmtId="0" fontId="12" fillId="0" borderId="0">
      <alignment vertical="top"/>
    </xf>
    <xf numFmtId="0" fontId="65" fillId="0" borderId="0"/>
    <xf numFmtId="0" fontId="75"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5" fillId="15"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18"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5" fillId="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5" fillId="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5" fillId="39"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3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9"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5" fillId="4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7" fillId="45" borderId="0" applyNumberFormat="0" applyBorder="0" applyAlignment="0" applyProtection="0"/>
    <xf numFmtId="0" fontId="78" fillId="46" borderId="0" applyNumberFormat="0" applyBorder="0" applyAlignment="0" applyProtection="0"/>
    <xf numFmtId="0" fontId="77" fillId="7" borderId="0" applyNumberFormat="0" applyBorder="0" applyAlignment="0" applyProtection="0"/>
    <xf numFmtId="0" fontId="78" fillId="47" borderId="0" applyNumberFormat="0" applyBorder="0" applyAlignment="0" applyProtection="0"/>
    <xf numFmtId="0" fontId="77" fillId="39" borderId="0" applyNumberFormat="0" applyBorder="0" applyAlignment="0" applyProtection="0"/>
    <xf numFmtId="0" fontId="78" fillId="48" borderId="0" applyNumberFormat="0" applyBorder="0" applyAlignment="0" applyProtection="0"/>
    <xf numFmtId="0" fontId="77" fillId="49" borderId="0" applyNumberFormat="0" applyBorder="0" applyAlignment="0" applyProtection="0"/>
    <xf numFmtId="0" fontId="78" fillId="50" borderId="0" applyNumberFormat="0" applyBorder="0" applyAlignment="0" applyProtection="0"/>
    <xf numFmtId="0" fontId="77" fillId="10" borderId="0" applyNumberFormat="0" applyBorder="0" applyAlignment="0" applyProtection="0"/>
    <xf numFmtId="0" fontId="78" fillId="51" borderId="0" applyNumberFormat="0" applyBorder="0" applyAlignment="0" applyProtection="0"/>
    <xf numFmtId="0" fontId="77" fillId="52" borderId="0" applyNumberFormat="0" applyBorder="0" applyAlignment="0" applyProtection="0"/>
    <xf numFmtId="0" fontId="78" fillId="53" borderId="0" applyNumberFormat="0" applyBorder="0" applyAlignment="0" applyProtection="0"/>
    <xf numFmtId="0" fontId="77" fillId="54" borderId="0" applyNumberFormat="0" applyBorder="0" applyAlignment="0" applyProtection="0"/>
    <xf numFmtId="0" fontId="78" fillId="55" borderId="0" applyNumberFormat="0" applyBorder="0" applyAlignment="0" applyProtection="0"/>
    <xf numFmtId="0" fontId="77" fillId="11" borderId="0" applyNumberFormat="0" applyBorder="0" applyAlignment="0" applyProtection="0"/>
    <xf numFmtId="0" fontId="78" fillId="56" borderId="0" applyNumberFormat="0" applyBorder="0" applyAlignment="0" applyProtection="0"/>
    <xf numFmtId="0" fontId="77" fillId="12" borderId="0" applyNumberFormat="0" applyBorder="0" applyAlignment="0" applyProtection="0"/>
    <xf numFmtId="0" fontId="78" fillId="57" borderId="0" applyNumberFormat="0" applyBorder="0" applyAlignment="0" applyProtection="0"/>
    <xf numFmtId="0" fontId="77" fillId="49" borderId="0" applyNumberFormat="0" applyBorder="0" applyAlignment="0" applyProtection="0"/>
    <xf numFmtId="0" fontId="78" fillId="58" borderId="0" applyNumberFormat="0" applyBorder="0" applyAlignment="0" applyProtection="0"/>
    <xf numFmtId="0" fontId="77" fillId="10" borderId="0" applyNumberFormat="0" applyBorder="0" applyAlignment="0" applyProtection="0"/>
    <xf numFmtId="0" fontId="78" fillId="59" borderId="0" applyNumberFormat="0" applyBorder="0" applyAlignment="0" applyProtection="0"/>
    <xf numFmtId="0" fontId="77" fillId="14" borderId="0" applyNumberFormat="0" applyBorder="0" applyAlignment="0" applyProtection="0"/>
    <xf numFmtId="0" fontId="78" fillId="60" borderId="0" applyNumberFormat="0" applyBorder="0" applyAlignment="0" applyProtection="0"/>
    <xf numFmtId="0" fontId="79" fillId="15" borderId="0" applyNumberFormat="0" applyBorder="0" applyAlignment="0" applyProtection="0"/>
    <xf numFmtId="0" fontId="80" fillId="61" borderId="0" applyNumberFormat="0" applyBorder="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1" fillId="6" borderId="3" applyNumberFormat="0" applyAlignment="0" applyProtection="0"/>
    <xf numFmtId="0" fontId="82" fillId="62" borderId="31" applyNumberFormat="0" applyAlignment="0" applyProtection="0"/>
    <xf numFmtId="0" fontId="83" fillId="17" borderId="4" applyNumberFormat="0" applyAlignment="0" applyProtection="0"/>
    <xf numFmtId="0" fontId="84" fillId="63" borderId="32" applyNumberFormat="0" applyAlignment="0" applyProtection="0"/>
    <xf numFmtId="165" fontId="1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6"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20" fillId="64" borderId="0"/>
    <xf numFmtId="0" fontId="12" fillId="0" borderId="33"/>
    <xf numFmtId="0" fontId="12" fillId="27" borderId="25"/>
    <xf numFmtId="0" fontId="20" fillId="27" borderId="0"/>
    <xf numFmtId="0" fontId="12" fillId="65" borderId="0"/>
    <xf numFmtId="0" fontId="87" fillId="18" borderId="0" applyNumberFormat="0" applyBorder="0" applyAlignment="0" applyProtection="0"/>
    <xf numFmtId="0" fontId="88" fillId="66" borderId="0" applyNumberFormat="0" applyBorder="0" applyAlignment="0" applyProtection="0"/>
    <xf numFmtId="0" fontId="89" fillId="0" borderId="34" applyNumberFormat="0" applyFill="0" applyAlignment="0" applyProtection="0"/>
    <xf numFmtId="0" fontId="90" fillId="0" borderId="35" applyNumberFormat="0" applyFill="0" applyAlignment="0" applyProtection="0"/>
    <xf numFmtId="0" fontId="91" fillId="0" borderId="7"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4" fillId="0" borderId="38"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57" fillId="0" borderId="0" applyNumberFormat="0" applyFill="0" applyBorder="0" applyAlignment="0" applyProtection="0"/>
    <xf numFmtId="0" fontId="96" fillId="0" borderId="0" applyNumberFormat="0" applyFill="0" applyBorder="0" applyAlignment="0" applyProtection="0"/>
    <xf numFmtId="0" fontId="97" fillId="67" borderId="31"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8" fillId="3" borderId="3" applyNumberFormat="0" applyAlignment="0" applyProtection="0"/>
    <xf numFmtId="0" fontId="99" fillId="67" borderId="31" applyNumberFormat="0" applyAlignment="0" applyProtection="0"/>
    <xf numFmtId="0" fontId="100" fillId="0" borderId="9" applyNumberFormat="0" applyFill="0" applyAlignment="0" applyProtection="0"/>
    <xf numFmtId="0" fontId="101" fillId="0" borderId="39" applyNumberFormat="0" applyFill="0" applyAlignment="0" applyProtection="0"/>
    <xf numFmtId="0" fontId="102" fillId="8" borderId="0" applyNumberFormat="0" applyBorder="0" applyAlignment="0" applyProtection="0"/>
    <xf numFmtId="0" fontId="103" fillId="68" borderId="0" applyNumberFormat="0" applyBorder="0" applyAlignment="0" applyProtection="0"/>
    <xf numFmtId="0" fontId="76" fillId="0" borderId="0"/>
    <xf numFmtId="0" fontId="65" fillId="0" borderId="0"/>
    <xf numFmtId="0" fontId="12" fillId="0" borderId="0"/>
    <xf numFmtId="0" fontId="12" fillId="0" borderId="0"/>
    <xf numFmtId="0" fontId="74" fillId="0" borderId="0"/>
    <xf numFmtId="0" fontId="11" fillId="0" borderId="0"/>
    <xf numFmtId="0" fontId="22" fillId="0" borderId="0"/>
    <xf numFmtId="0" fontId="11" fillId="0" borderId="0"/>
    <xf numFmtId="0" fontId="12" fillId="0" borderId="0"/>
    <xf numFmtId="0" fontId="104" fillId="0" borderId="0"/>
    <xf numFmtId="0" fontId="76" fillId="0" borderId="0"/>
    <xf numFmtId="0" fontId="12" fillId="0" borderId="0"/>
    <xf numFmtId="0" fontId="105" fillId="0" borderId="0"/>
    <xf numFmtId="0" fontId="76" fillId="0" borderId="0"/>
    <xf numFmtId="0" fontId="12" fillId="0" borderId="0">
      <alignment vertical="top"/>
    </xf>
    <xf numFmtId="0" fontId="11" fillId="0" borderId="0"/>
    <xf numFmtId="0" fontId="11" fillId="0" borderId="0"/>
    <xf numFmtId="0" fontId="12" fillId="0" borderId="0"/>
    <xf numFmtId="0" fontId="12" fillId="0" borderId="0"/>
    <xf numFmtId="0" fontId="12" fillId="0" borderId="0"/>
    <xf numFmtId="0" fontId="75" fillId="4" borderId="10" applyNumberFormat="0" applyFont="0" applyAlignment="0" applyProtection="0"/>
    <xf numFmtId="0" fontId="75" fillId="4" borderId="10" applyNumberFormat="0" applyFont="0" applyAlignment="0" applyProtection="0"/>
    <xf numFmtId="0" fontId="75" fillId="4" borderId="10" applyNumberFormat="0" applyFont="0" applyAlignment="0" applyProtection="0"/>
    <xf numFmtId="0" fontId="75" fillId="4" borderId="10" applyNumberFormat="0" applyFont="0" applyAlignment="0" applyProtection="0"/>
    <xf numFmtId="0" fontId="76" fillId="69" borderId="40" applyNumberFormat="0" applyFont="0" applyAlignment="0" applyProtection="0"/>
    <xf numFmtId="0" fontId="75" fillId="4" borderId="10" applyNumberFormat="0" applyFont="0" applyAlignment="0" applyProtection="0"/>
    <xf numFmtId="0" fontId="75" fillId="4" borderId="10" applyNumberFormat="0" applyFont="0" applyAlignment="0" applyProtection="0"/>
    <xf numFmtId="0" fontId="75" fillId="4" borderId="10" applyNumberFormat="0" applyFont="0" applyAlignment="0" applyProtection="0"/>
    <xf numFmtId="0" fontId="76" fillId="69" borderId="40" applyNumberFormat="0" applyFont="0" applyAlignment="0" applyProtection="0"/>
    <xf numFmtId="0" fontId="75" fillId="4" borderId="10" applyNumberFormat="0" applyFont="0" applyAlignment="0" applyProtection="0"/>
    <xf numFmtId="0" fontId="75" fillId="4" borderId="10" applyNumberFormat="0" applyFon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6" fillId="6" borderId="11" applyNumberFormat="0" applyAlignment="0" applyProtection="0"/>
    <xf numFmtId="0" fontId="107" fillId="62" borderId="41"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0" fontId="108" fillId="0" borderId="0" applyNumberFormat="0" applyFill="0" applyBorder="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10" fillId="0" borderId="43" applyNumberFormat="0" applyFill="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5" fillId="0" borderId="0" applyNumberFormat="0" applyFill="0" applyBorder="0" applyAlignment="0" applyProtection="0"/>
    <xf numFmtId="9" fontId="65" fillId="0" borderId="0" applyFont="0" applyFill="0" applyBorder="0" applyAlignment="0" applyProtection="0"/>
    <xf numFmtId="0" fontId="10" fillId="0" borderId="0"/>
    <xf numFmtId="9" fontId="10" fillId="0" borderId="0" applyFont="0" applyFill="0" applyBorder="0" applyAlignment="0" applyProtection="0"/>
    <xf numFmtId="0" fontId="12" fillId="0" borderId="0"/>
    <xf numFmtId="0" fontId="9" fillId="0" borderId="0"/>
    <xf numFmtId="0" fontId="12" fillId="0" borderId="0" applyNumberFormat="0" applyFont="0" applyFill="0" applyBorder="0" applyAlignment="0" applyProtection="0"/>
    <xf numFmtId="0" fontId="12" fillId="16" borderId="2" applyNumberFormat="0" applyBorder="0"/>
    <xf numFmtId="37" fontId="12" fillId="16" borderId="0">
      <alignment horizontal="right"/>
    </xf>
    <xf numFmtId="0" fontId="76" fillId="0" borderId="0"/>
    <xf numFmtId="40" fontId="118" fillId="24" borderId="0">
      <alignment horizontal="right"/>
    </xf>
    <xf numFmtId="0" fontId="119" fillId="24" borderId="0">
      <alignment horizontal="right"/>
    </xf>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0" borderId="0" applyBorder="0">
      <alignment horizontal="centerContinuous"/>
    </xf>
    <xf numFmtId="0" fontId="121" fillId="0" borderId="0" applyBorder="0">
      <alignment horizontal="centerContinuous"/>
    </xf>
    <xf numFmtId="0" fontId="8" fillId="0" borderId="0"/>
    <xf numFmtId="0" fontId="7" fillId="0" borderId="0"/>
    <xf numFmtId="0" fontId="128" fillId="61" borderId="0" applyNumberFormat="0" applyBorder="0" applyAlignment="0" applyProtection="0"/>
    <xf numFmtId="0" fontId="129" fillId="68" borderId="0" applyNumberFormat="0" applyBorder="0" applyAlignment="0" applyProtection="0"/>
    <xf numFmtId="0" fontId="130" fillId="66" borderId="0" applyNumberFormat="0" applyBorder="0" applyAlignment="0" applyProtection="0"/>
    <xf numFmtId="0" fontId="6" fillId="0" borderId="0"/>
    <xf numFmtId="165" fontId="12" fillId="0" borderId="0" applyFont="0" applyFill="0" applyBorder="0" applyAlignment="0" applyProtection="0"/>
    <xf numFmtId="0" fontId="12" fillId="0" borderId="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76" fillId="0" borderId="0"/>
    <xf numFmtId="0" fontId="76" fillId="0" borderId="0"/>
    <xf numFmtId="0" fontId="76" fillId="0" borderId="0"/>
    <xf numFmtId="0" fontId="76" fillId="0" borderId="0"/>
    <xf numFmtId="0" fontId="76" fillId="0" borderId="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9" fontId="6" fillId="0" borderId="0" applyFont="0" applyFill="0" applyBorder="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2" fillId="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2" fillId="2"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31" fillId="75"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22" fillId="76"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2" fillId="76"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2" fillId="76"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22" fillId="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31" fillId="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22" fillId="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22" fillId="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22" fillId="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22" fillId="4"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22" fillId="4"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31" fillId="4"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22" fillId="8"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22" fillId="8"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22" fillId="8"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22" fillId="2"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131" fillId="77"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22" fillId="2"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22" fillId="2"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22" fillId="2"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22" fillId="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22" fillId="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31" fillId="7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22" fillId="76"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22" fillId="76"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22" fillId="76"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22"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31"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22"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22"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22" fillId="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2" fillId="6"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2" fillId="6"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31" fillId="7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22" fillId="76"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2" fillId="76"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2" fillId="76"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2" fillId="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2" fillId="7"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131" fillId="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22" fillId="7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2" fillId="7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2" fillId="7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22" fillId="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22" fillId="8"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31" fillId="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22" fillId="5"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22" fillId="5"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22" fillId="5"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2" fillId="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31" fillId="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22" fillId="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2" fillId="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2" fillId="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2" fillId="9"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2" fillId="9"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31" fillId="77"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22" fillId="7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2" fillId="7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2" fillId="7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22"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31"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22"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22"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22"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23" fillId="76" borderId="0" applyNumberFormat="0" applyBorder="0" applyAlignment="0" applyProtection="0"/>
    <xf numFmtId="0" fontId="23" fillId="7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23" fillId="78" borderId="0" applyNumberFormat="0" applyBorder="0" applyAlignment="0" applyProtection="0"/>
    <xf numFmtId="0" fontId="23" fillId="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123" fillId="48" borderId="0" applyNumberFormat="0" applyBorder="0" applyAlignment="0" applyProtection="0"/>
    <xf numFmtId="0" fontId="123" fillId="48"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23" fillId="76" borderId="0" applyNumberFormat="0" applyBorder="0" applyAlignment="0" applyProtection="0"/>
    <xf numFmtId="0" fontId="23" fillId="7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23" fillId="51" borderId="0" applyNumberFormat="0" applyBorder="0" applyAlignment="0" applyProtection="0"/>
    <xf numFmtId="0" fontId="123" fillId="51"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23" fillId="10" borderId="0" applyNumberFormat="0" applyBorder="0" applyAlignment="0" applyProtection="0"/>
    <xf numFmtId="0" fontId="23" fillId="79" borderId="0" applyNumberFormat="0" applyBorder="0" applyAlignment="0" applyProtection="0"/>
    <xf numFmtId="0" fontId="23" fillId="10" borderId="0" applyNumberFormat="0" applyBorder="0" applyAlignment="0" applyProtection="0"/>
    <xf numFmtId="0" fontId="123" fillId="55" borderId="0" applyNumberFormat="0" applyBorder="0" applyAlignment="0" applyProtection="0"/>
    <xf numFmtId="0" fontId="123" fillId="55" borderId="0" applyNumberFormat="0" applyBorder="0" applyAlignment="0" applyProtection="0"/>
    <xf numFmtId="0" fontId="23" fillId="78" borderId="0" applyNumberFormat="0" applyBorder="0" applyAlignment="0" applyProtection="0"/>
    <xf numFmtId="0" fontId="23" fillId="11" borderId="0" applyNumberFormat="0" applyBorder="0" applyAlignment="0" applyProtection="0"/>
    <xf numFmtId="0" fontId="123" fillId="56" borderId="0" applyNumberFormat="0" applyBorder="0" applyAlignment="0" applyProtection="0"/>
    <xf numFmtId="0" fontId="123" fillId="56" borderId="0" applyNumberFormat="0" applyBorder="0" applyAlignment="0" applyProtection="0"/>
    <xf numFmtId="0" fontId="23" fillId="5" borderId="0" applyNumberFormat="0" applyBorder="0" applyAlignment="0" applyProtection="0"/>
    <xf numFmtId="0" fontId="23" fillId="12"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33" borderId="0" applyNumberFormat="0" applyBorder="0" applyAlignment="0" applyProtection="0"/>
    <xf numFmtId="0" fontId="24" fillId="15" borderId="0" applyNumberFormat="0" applyBorder="0" applyAlignment="0" applyProtection="0"/>
    <xf numFmtId="0" fontId="128" fillId="61" borderId="0" applyNumberFormat="0" applyBorder="0" applyAlignment="0" applyProtection="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7" fillId="7" borderId="4" applyNumberFormat="0" applyAlignment="0" applyProtection="0"/>
    <xf numFmtId="0" fontId="27" fillId="17" borderId="4" applyNumberFormat="0" applyAlignment="0" applyProtection="0"/>
    <xf numFmtId="0" fontId="132" fillId="63" borderId="32" applyNumberFormat="0" applyAlignment="0" applyProtection="0"/>
    <xf numFmtId="0" fontId="132" fillId="63" borderId="32" applyNumberFormat="0" applyAlignment="0" applyProtection="0"/>
    <xf numFmtId="165" fontId="76" fillId="0" borderId="0" applyFont="0" applyFill="0" applyBorder="0" applyAlignment="0" applyProtection="0"/>
    <xf numFmtId="37"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37" fontId="12" fillId="0" borderId="0" applyFont="0" applyFill="0" applyBorder="0" applyAlignment="0" applyProtection="0"/>
    <xf numFmtId="165" fontId="12" fillId="0" borderId="0" applyFont="0" applyFill="0" applyBorder="0" applyAlignment="0" applyProtection="0"/>
    <xf numFmtId="37" fontId="12" fillId="0" borderId="0" applyFont="0" applyFill="0" applyBorder="0" applyAlignment="0" applyProtection="0"/>
    <xf numFmtId="165" fontId="22" fillId="0" borderId="0" applyFont="0" applyFill="0" applyBorder="0" applyAlignment="0" applyProtection="0"/>
    <xf numFmtId="37" fontId="12" fillId="0" borderId="0" applyFont="0" applyFill="0" applyBorder="0" applyAlignment="0" applyProtection="0"/>
    <xf numFmtId="165" fontId="2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37" fontId="1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37" fontId="1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12"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16" fillId="0" borderId="0" applyFont="0" applyFill="0" applyBorder="0" applyAlignment="0" applyProtection="0"/>
    <xf numFmtId="165" fontId="22" fillId="0" borderId="0" applyFont="0" applyFill="0" applyBorder="0" applyAlignment="0" applyProtection="0"/>
    <xf numFmtId="165" fontId="76"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0" fontId="12" fillId="0" borderId="0" applyFon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2" fillId="27" borderId="44">
      <alignment vertical="top"/>
    </xf>
    <xf numFmtId="0" fontId="130" fillId="66" borderId="0" applyNumberFormat="0" applyBorder="0" applyAlignment="0" applyProtection="0"/>
    <xf numFmtId="37" fontId="12" fillId="16" borderId="0">
      <alignment horizontal="right"/>
    </xf>
    <xf numFmtId="37" fontId="12" fillId="16" borderId="0">
      <alignment horizontal="right"/>
    </xf>
    <xf numFmtId="0" fontId="61" fillId="80" borderId="45" applyNumberFormat="0" applyAlignment="0">
      <alignment horizontal="right"/>
    </xf>
    <xf numFmtId="0" fontId="134" fillId="0" borderId="6" applyNumberFormat="0" applyFill="0" applyAlignment="0" applyProtection="0"/>
    <xf numFmtId="0" fontId="31" fillId="0" borderId="4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136" fillId="0" borderId="47" applyNumberFormat="0" applyFill="0" applyAlignment="0" applyProtection="0"/>
    <xf numFmtId="0" fontId="32" fillId="0" borderId="48" applyNumberFormat="0" applyFill="0" applyAlignment="0" applyProtection="0"/>
    <xf numFmtId="0" fontId="32" fillId="0" borderId="7" applyNumberFormat="0" applyFill="0" applyAlignment="0" applyProtection="0"/>
    <xf numFmtId="0" fontId="32" fillId="0" borderId="7"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33" fillId="0" borderId="49"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138" fillId="0" borderId="38" applyNumberFormat="0" applyFill="0" applyAlignment="0" applyProtection="0"/>
    <xf numFmtId="0" fontId="139" fillId="0" borderId="0" applyNumberFormat="0" applyFill="0" applyBorder="0" applyAlignment="0" applyProtection="0"/>
    <xf numFmtId="0" fontId="33"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61" fillId="80" borderId="45" applyNumberFormat="0" applyAlignment="0">
      <alignment horizontal="right"/>
    </xf>
    <xf numFmtId="0" fontId="140" fillId="0" borderId="0" applyNumberFormat="0" applyFill="0" applyBorder="0" applyAlignment="0" applyProtection="0"/>
    <xf numFmtId="0" fontId="96" fillId="0" borderId="0" applyNumberFormat="0" applyFill="0" applyBorder="0" applyAlignment="0" applyProtection="0"/>
    <xf numFmtId="0" fontId="48" fillId="0" borderId="0" applyNumberFormat="0" applyFill="0" applyBorder="0" applyAlignment="0" applyProtection="0">
      <alignment vertical="top"/>
      <protection locked="0"/>
    </xf>
    <xf numFmtId="0" fontId="95" fillId="0" borderId="0" applyNumberFormat="0" applyFill="0" applyBorder="0" applyAlignment="0" applyProtection="0"/>
    <xf numFmtId="0" fontId="96" fillId="0" borderId="0" applyNumberFormat="0" applyFill="0" applyBorder="0" applyAlignment="0" applyProtection="0"/>
    <xf numFmtId="0" fontId="115" fillId="0" borderId="0" applyNumberFormat="0" applyFill="0" applyBorder="0" applyAlignment="0" applyProtection="0"/>
    <xf numFmtId="0" fontId="57" fillId="0" borderId="0" applyNumberFormat="0" applyFill="0" applyBorder="0" applyAlignment="0" applyProtection="0"/>
    <xf numFmtId="0" fontId="95" fillId="0" borderId="0" applyNumberFormat="0" applyFill="0" applyBorder="0" applyAlignment="0" applyProtection="0">
      <alignment vertical="top"/>
      <protection locked="0"/>
    </xf>
    <xf numFmtId="0" fontId="115" fillId="0" borderId="0" applyNumberFormat="0" applyFill="0" applyBorder="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34" fillId="3" borderId="50" applyNumberFormat="0" applyAlignment="0" applyProtection="0"/>
    <xf numFmtId="0" fontId="141" fillId="0" borderId="39" applyNumberFormat="0" applyFill="0" applyAlignment="0" applyProtection="0"/>
    <xf numFmtId="0" fontId="141" fillId="0" borderId="39" applyNumberFormat="0" applyFill="0" applyAlignment="0" applyProtection="0"/>
    <xf numFmtId="0" fontId="36" fillId="8" borderId="0" applyNumberFormat="0" applyBorder="0" applyAlignment="0" applyProtection="0"/>
    <xf numFmtId="0" fontId="142" fillId="8" borderId="0" applyNumberFormat="0" applyBorder="0" applyAlignment="0" applyProtection="0"/>
    <xf numFmtId="0" fontId="36" fillId="8" borderId="0" applyNumberFormat="0" applyBorder="0" applyAlignment="0" applyProtection="0"/>
    <xf numFmtId="0" fontId="129" fillId="68" borderId="0" applyNumberFormat="0" applyBorder="0" applyAlignment="0" applyProtection="0"/>
    <xf numFmtId="0" fontId="12"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12" fillId="0" borderId="0"/>
    <xf numFmtId="0" fontId="76" fillId="0" borderId="0"/>
    <xf numFmtId="0" fontId="76" fillId="0" borderId="0"/>
    <xf numFmtId="0" fontId="12" fillId="0" borderId="0"/>
    <xf numFmtId="0" fontId="12" fillId="0" borderId="0"/>
    <xf numFmtId="0" fontId="76" fillId="0" borderId="0"/>
    <xf numFmtId="0" fontId="12" fillId="0" borderId="0"/>
    <xf numFmtId="0" fontId="76" fillId="0" borderId="0"/>
    <xf numFmtId="0" fontId="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6" fillId="0" borderId="0"/>
    <xf numFmtId="0" fontId="76" fillId="0" borderId="0"/>
    <xf numFmtId="0" fontId="76" fillId="0" borderId="0"/>
    <xf numFmtId="0" fontId="76" fillId="0" borderId="0"/>
    <xf numFmtId="0" fontId="12" fillId="0" borderId="0"/>
    <xf numFmtId="0" fontId="12" fillId="0" borderId="0"/>
    <xf numFmtId="0" fontId="12"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12" fillId="0" borderId="0"/>
    <xf numFmtId="0" fontId="12" fillId="0" borderId="0"/>
    <xf numFmtId="0" fontId="6" fillId="0" borderId="0"/>
    <xf numFmtId="0" fontId="12" fillId="0" borderId="0"/>
    <xf numFmtId="0" fontId="76" fillId="0" borderId="0"/>
    <xf numFmtId="0" fontId="6" fillId="0" borderId="0"/>
    <xf numFmtId="0" fontId="12" fillId="0" borderId="0"/>
    <xf numFmtId="0" fontId="12" fillId="0" borderId="0"/>
    <xf numFmtId="0" fontId="76" fillId="0" borderId="0"/>
    <xf numFmtId="0" fontId="76" fillId="0" borderId="0"/>
    <xf numFmtId="0" fontId="12" fillId="0" borderId="0"/>
    <xf numFmtId="0" fontId="12" fillId="0" borderId="0"/>
    <xf numFmtId="0" fontId="76" fillId="0" borderId="0"/>
    <xf numFmtId="0" fontId="76" fillId="0" borderId="0"/>
    <xf numFmtId="0" fontId="12" fillId="0" borderId="0"/>
    <xf numFmtId="0" fontId="76" fillId="0" borderId="0"/>
    <xf numFmtId="0" fontId="12" fillId="0" borderId="0"/>
    <xf numFmtId="0" fontId="76" fillId="0" borderId="0"/>
    <xf numFmtId="0" fontId="12" fillId="0" borderId="0"/>
    <xf numFmtId="0" fontId="12" fillId="0" borderId="0"/>
    <xf numFmtId="0" fontId="12" fillId="0" borderId="0"/>
    <xf numFmtId="0" fontId="12" fillId="0" borderId="0"/>
    <xf numFmtId="0" fontId="76" fillId="0" borderId="0"/>
    <xf numFmtId="0" fontId="12" fillId="0" borderId="0"/>
    <xf numFmtId="0" fontId="12" fillId="0" borderId="0"/>
    <xf numFmtId="0" fontId="76" fillId="0" borderId="0"/>
    <xf numFmtId="0" fontId="12" fillId="0" borderId="0"/>
    <xf numFmtId="0" fontId="12" fillId="0" borderId="0"/>
    <xf numFmtId="0" fontId="116" fillId="0" borderId="0"/>
    <xf numFmtId="0" fontId="116" fillId="0" borderId="0"/>
    <xf numFmtId="0" fontId="12" fillId="0" borderId="0"/>
    <xf numFmtId="0" fontId="116" fillId="0" borderId="0"/>
    <xf numFmtId="0" fontId="12" fillId="0" borderId="0">
      <alignment vertical="top"/>
    </xf>
    <xf numFmtId="0" fontId="12" fillId="0" borderId="0"/>
    <xf numFmtId="0" fontId="143" fillId="0" borderId="0"/>
    <xf numFmtId="0" fontId="12" fillId="0" borderId="0"/>
    <xf numFmtId="0" fontId="12" fillId="0" borderId="0">
      <alignment vertical="top"/>
    </xf>
    <xf numFmtId="0" fontId="144" fillId="0" borderId="0"/>
    <xf numFmtId="0" fontId="116" fillId="0" borderId="0"/>
    <xf numFmtId="0" fontId="116" fillId="0" borderId="0"/>
    <xf numFmtId="0" fontId="116" fillId="0" borderId="0"/>
    <xf numFmtId="0" fontId="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45" fillId="0" borderId="0"/>
    <xf numFmtId="0" fontId="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46" fillId="0" borderId="0"/>
    <xf numFmtId="0" fontId="147" fillId="0" borderId="0"/>
    <xf numFmtId="0" fontId="14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46" fillId="0" borderId="0"/>
    <xf numFmtId="0" fontId="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22" fillId="69" borderId="40" applyNumberFormat="0" applyFont="0" applyAlignment="0" applyProtection="0"/>
    <xf numFmtId="0" fontId="22"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1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76" fillId="69" borderId="40"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8" borderId="52"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12" fillId="4" borderId="51"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22"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1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0" fontId="120" fillId="24" borderId="30"/>
    <xf numFmtId="9" fontId="116"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14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8" fillId="0" borderId="0" applyNumberFormat="0" applyFill="0" applyBorder="0" applyAlignment="0" applyProtection="0"/>
    <xf numFmtId="0" fontId="39"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38" fillId="0" borderId="53"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5" fillId="0" borderId="0"/>
    <xf numFmtId="0" fontId="4" fillId="0" borderId="0"/>
    <xf numFmtId="0" fontId="12" fillId="0" borderId="0"/>
    <xf numFmtId="9" fontId="12" fillId="0" borderId="0" applyFont="0" applyFill="0" applyBorder="0" applyAlignment="0" applyProtection="0"/>
    <xf numFmtId="0" fontId="12" fillId="0" borderId="0"/>
    <xf numFmtId="0" fontId="154" fillId="0" borderId="0" applyNumberFormat="0" applyFill="0" applyBorder="0" applyAlignment="0" applyProtection="0"/>
    <xf numFmtId="171" fontId="154" fillId="0" borderId="0" applyNumberFormat="0" applyFill="0" applyBorder="0" applyAlignment="0" applyProtection="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55" fillId="0" borderId="0"/>
    <xf numFmtId="0" fontId="12" fillId="0" borderId="0"/>
    <xf numFmtId="0" fontId="12" fillId="0" borderId="0"/>
    <xf numFmtId="0" fontId="12" fillId="0" borderId="0"/>
    <xf numFmtId="0" fontId="12" fillId="0" borderId="0"/>
    <xf numFmtId="172" fontId="12" fillId="0" borderId="0"/>
    <xf numFmtId="0" fontId="12" fillId="0" borderId="0"/>
    <xf numFmtId="171" fontId="155" fillId="0" borderId="0"/>
    <xf numFmtId="171" fontId="155" fillId="0" borderId="0"/>
    <xf numFmtId="0" fontId="47" fillId="0" borderId="0"/>
    <xf numFmtId="0" fontId="47" fillId="0" borderId="0"/>
    <xf numFmtId="0" fontId="156" fillId="0" borderId="0"/>
    <xf numFmtId="0" fontId="156" fillId="0" borderId="0"/>
    <xf numFmtId="0" fontId="47" fillId="0" borderId="0"/>
    <xf numFmtId="0" fontId="47" fillId="0" borderId="0"/>
    <xf numFmtId="167" fontId="47" fillId="0" borderId="0"/>
    <xf numFmtId="173" fontId="47" fillId="0" borderId="0">
      <alignment vertical="top"/>
    </xf>
    <xf numFmtId="173" fontId="47" fillId="0" borderId="0">
      <alignment vertical="top"/>
    </xf>
    <xf numFmtId="16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67" fontId="47" fillId="0" borderId="0"/>
    <xf numFmtId="167" fontId="47" fillId="0" borderId="0"/>
    <xf numFmtId="16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67" fontId="47" fillId="0" borderId="0"/>
    <xf numFmtId="174" fontId="157" fillId="83" borderId="64">
      <alignment horizontal="center"/>
      <protection locked="0"/>
    </xf>
    <xf numFmtId="175" fontId="154" fillId="0" borderId="0" applyFont="0" applyFill="0" applyBorder="0" applyAlignment="0" applyProtection="0">
      <protection locked="0"/>
    </xf>
    <xf numFmtId="0" fontId="117" fillId="0" borderId="0" applyNumberFormat="0" applyFill="0" applyBorder="0" applyAlignment="0" applyProtection="0"/>
    <xf numFmtId="0" fontId="12" fillId="0" borderId="0"/>
    <xf numFmtId="0" fontId="12" fillId="0" borderId="0"/>
    <xf numFmtId="0" fontId="12" fillId="0" borderId="0"/>
    <xf numFmtId="171" fontId="117" fillId="0" borderId="0" applyNumberFormat="0" applyFill="0" applyBorder="0" applyAlignment="0" applyProtection="0"/>
    <xf numFmtId="0" fontId="12" fillId="0" borderId="0"/>
    <xf numFmtId="2" fontId="12" fillId="0" borderId="0"/>
    <xf numFmtId="2" fontId="12" fillId="0" borderId="0"/>
    <xf numFmtId="0" fontId="12" fillId="0" borderId="0"/>
    <xf numFmtId="0" fontId="12" fillId="0" borderId="0"/>
    <xf numFmtId="2" fontId="12" fillId="0" borderId="0"/>
    <xf numFmtId="0" fontId="12" fillId="0" borderId="0"/>
    <xf numFmtId="0" fontId="12" fillId="0" borderId="0"/>
    <xf numFmtId="171" fontId="12" fillId="0" borderId="0"/>
    <xf numFmtId="0" fontId="158" fillId="0" borderId="0"/>
    <xf numFmtId="171" fontId="158" fillId="0" borderId="0"/>
    <xf numFmtId="0" fontId="12" fillId="0" borderId="0"/>
    <xf numFmtId="0" fontId="12" fillId="0" borderId="0"/>
    <xf numFmtId="0" fontId="12" fillId="0" borderId="0"/>
    <xf numFmtId="0" fontId="12" fillId="0" borderId="0"/>
    <xf numFmtId="171" fontId="12" fillId="0" borderId="0"/>
    <xf numFmtId="0" fontId="117" fillId="0" borderId="0" applyNumberFormat="0" applyFill="0" applyBorder="0" applyAlignment="0" applyProtection="0"/>
    <xf numFmtId="171" fontId="117" fillId="0" borderId="0" applyNumberFormat="0" applyFill="0" applyBorder="0" applyAlignment="0" applyProtection="0"/>
    <xf numFmtId="0" fontId="12" fillId="0" borderId="0"/>
    <xf numFmtId="2" fontId="12" fillId="0" borderId="0"/>
    <xf numFmtId="176" fontId="159" fillId="0" borderId="0">
      <alignment horizontal="right"/>
    </xf>
    <xf numFmtId="2"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2" fontId="12" fillId="0" borderId="0"/>
    <xf numFmtId="2" fontId="12" fillId="0" borderId="0"/>
    <xf numFmtId="0" fontId="117" fillId="0" borderId="0" applyNumberFormat="0" applyFill="0" applyBorder="0" applyAlignment="0" applyProtection="0"/>
    <xf numFmtId="171" fontId="117" fillId="0" borderId="0" applyNumberFormat="0" applyFill="0" applyBorder="0" applyAlignment="0" applyProtection="0"/>
    <xf numFmtId="0" fontId="12" fillId="0" borderId="0"/>
    <xf numFmtId="2" fontId="12" fillId="0" borderId="0"/>
    <xf numFmtId="0" fontId="117" fillId="0" borderId="0" applyNumberFormat="0" applyFill="0" applyBorder="0" applyAlignment="0" applyProtection="0"/>
    <xf numFmtId="171" fontId="117" fillId="0" borderId="0" applyNumberFormat="0" applyFill="0" applyBorder="0" applyAlignment="0" applyProtection="0"/>
    <xf numFmtId="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7" fontId="160" fillId="0" borderId="0" applyFont="0" applyFill="0" applyBorder="0" applyAlignment="0"/>
    <xf numFmtId="0" fontId="12" fillId="0" borderId="0"/>
    <xf numFmtId="171" fontId="12" fillId="0" borderId="0"/>
    <xf numFmtId="0" fontId="12" fillId="0" borderId="0"/>
    <xf numFmtId="172" fontId="12" fillId="0" borderId="0"/>
    <xf numFmtId="0" fontId="12" fillId="0" borderId="0">
      <alignment vertical="top"/>
    </xf>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172" fontId="12" fillId="0" borderId="0"/>
    <xf numFmtId="0" fontId="12" fillId="0" borderId="0"/>
    <xf numFmtId="0" fontId="12" fillId="0" borderId="0"/>
    <xf numFmtId="0" fontId="12" fillId="0" borderId="0">
      <alignment vertical="top"/>
    </xf>
    <xf numFmtId="0" fontId="12" fillId="0" borderId="0"/>
    <xf numFmtId="0" fontId="161" fillId="0" borderId="0"/>
    <xf numFmtId="171" fontId="161"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58" fillId="0" borderId="0"/>
    <xf numFmtId="171" fontId="158" fillId="0" borderId="0"/>
    <xf numFmtId="0" fontId="12" fillId="0" borderId="0"/>
    <xf numFmtId="0" fontId="12" fillId="0" borderId="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172"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62" fillId="0" borderId="0"/>
    <xf numFmtId="171" fontId="16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61" fillId="0" borderId="0"/>
    <xf numFmtId="171" fontId="161" fillId="0" borderId="0"/>
    <xf numFmtId="0" fontId="16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58" fillId="0" borderId="0"/>
    <xf numFmtId="171" fontId="158" fillId="0" borderId="0"/>
    <xf numFmtId="0" fontId="158" fillId="0" borderId="0"/>
    <xf numFmtId="171" fontId="158" fillId="0" borderId="0"/>
    <xf numFmtId="0" fontId="161" fillId="0" borderId="0"/>
    <xf numFmtId="171" fontId="161"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2" fillId="0" borderId="0"/>
    <xf numFmtId="171" fontId="16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61" fillId="0" borderId="0"/>
    <xf numFmtId="171" fontId="161" fillId="0" borderId="0"/>
    <xf numFmtId="0" fontId="161" fillId="0" borderId="0"/>
    <xf numFmtId="171" fontId="161" fillId="0" borderId="0"/>
    <xf numFmtId="0" fontId="161" fillId="0" borderId="0"/>
    <xf numFmtId="171" fontId="161" fillId="0" borderId="0"/>
    <xf numFmtId="0" fontId="161" fillId="0" borderId="0"/>
    <xf numFmtId="171" fontId="161" fillId="0" borderId="0"/>
    <xf numFmtId="0" fontId="161" fillId="0" borderId="0"/>
    <xf numFmtId="171"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171" fontId="161" fillId="0" borderId="0"/>
    <xf numFmtId="0" fontId="161" fillId="0" borderId="0"/>
    <xf numFmtId="171"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62" fillId="0" borderId="0"/>
    <xf numFmtId="171" fontId="162" fillId="0" borderId="0"/>
    <xf numFmtId="0" fontId="12" fillId="0" borderId="0"/>
    <xf numFmtId="0" fontId="12" fillId="0" borderId="0"/>
    <xf numFmtId="171" fontId="12" fillId="0" borderId="0"/>
    <xf numFmtId="0"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1" fillId="0" borderId="0"/>
    <xf numFmtId="171" fontId="161" fillId="0" borderId="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171" fontId="161"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8" fillId="0" borderId="0"/>
    <xf numFmtId="171" fontId="158" fillId="0" borderId="0"/>
    <xf numFmtId="0" fontId="12" fillId="0" borderId="0"/>
    <xf numFmtId="0" fontId="12" fillId="0" borderId="0"/>
    <xf numFmtId="0" fontId="161" fillId="0" borderId="0"/>
    <xf numFmtId="171" fontId="161" fillId="0" borderId="0"/>
    <xf numFmtId="171" fontId="12" fillId="0" borderId="0"/>
    <xf numFmtId="0" fontId="12" fillId="0" borderId="0"/>
    <xf numFmtId="0" fontId="12" fillId="0" borderId="0"/>
    <xf numFmtId="0" fontId="12" fillId="0" borderId="0"/>
    <xf numFmtId="0" fontId="12" fillId="0" borderId="0"/>
    <xf numFmtId="172" fontId="12" fillId="0" borderId="0"/>
    <xf numFmtId="0" fontId="158" fillId="0" borderId="0"/>
    <xf numFmtId="171" fontId="158" fillId="0" borderId="0"/>
    <xf numFmtId="0" fontId="12" fillId="0" borderId="0"/>
    <xf numFmtId="0" fontId="12" fillId="0" borderId="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xf numFmtId="0" fontId="12" fillId="0" borderId="0"/>
    <xf numFmtId="0" fontId="12" fillId="0" borderId="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1" fillId="0" borderId="0"/>
    <xf numFmtId="171" fontId="161"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0" fontId="161" fillId="0" borderId="0"/>
    <xf numFmtId="0" fontId="12" fillId="0" borderId="0"/>
    <xf numFmtId="0" fontId="12" fillId="0" borderId="0"/>
    <xf numFmtId="0" fontId="12" fillId="0" borderId="0"/>
    <xf numFmtId="0" fontId="161"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171" fontId="162" fillId="0" borderId="0" applyNumberFormat="0" applyFill="0" applyBorder="0" applyAlignment="0" applyProtection="0"/>
    <xf numFmtId="0" fontId="161" fillId="0" borderId="0"/>
    <xf numFmtId="0" fontId="161" fillId="0" borderId="0"/>
    <xf numFmtId="171" fontId="161" fillId="0" borderId="0"/>
    <xf numFmtId="0" fontId="12" fillId="0" borderId="0"/>
    <xf numFmtId="0" fontId="12" fillId="0" borderId="0"/>
    <xf numFmtId="171" fontId="12" fillId="0" borderId="0"/>
    <xf numFmtId="0" fontId="158" fillId="0" borderId="0"/>
    <xf numFmtId="171" fontId="158"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61" fillId="0" borderId="0"/>
    <xf numFmtId="171" fontId="161"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58" fillId="0" borderId="0"/>
    <xf numFmtId="171" fontId="158"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17" fillId="0" borderId="0" applyNumberFormat="0" applyFill="0" applyBorder="0" applyAlignment="0" applyProtection="0"/>
    <xf numFmtId="172"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62" fillId="0" borderId="0" applyNumberFormat="0" applyFill="0" applyBorder="0" applyAlignment="0" applyProtection="0"/>
    <xf numFmtId="171" fontId="16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171" fontId="161" fillId="0" borderId="0"/>
    <xf numFmtId="0" fontId="12" fillId="0" borderId="0"/>
    <xf numFmtId="0"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61" fillId="0" borderId="0"/>
    <xf numFmtId="171" fontId="161" fillId="0" borderId="0"/>
    <xf numFmtId="0" fontId="161" fillId="0" borderId="0"/>
    <xf numFmtId="171" fontId="161" fillId="0" borderId="0"/>
    <xf numFmtId="0" fontId="161" fillId="0" borderId="0"/>
    <xf numFmtId="0" fontId="161" fillId="0" borderId="0"/>
    <xf numFmtId="0" fontId="161" fillId="0" borderId="0"/>
    <xf numFmtId="0" fontId="12" fillId="0" borderId="0"/>
    <xf numFmtId="0" fontId="12" fillId="0" borderId="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1" fillId="0" borderId="0"/>
    <xf numFmtId="171" fontId="161" fillId="0" borderId="0"/>
    <xf numFmtId="0" fontId="161" fillId="0" borderId="0"/>
    <xf numFmtId="0" fontId="161" fillId="0" borderId="0"/>
    <xf numFmtId="171" fontId="161"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61"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2" fillId="0" borderId="0"/>
    <xf numFmtId="171" fontId="16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1"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8" fillId="0" borderId="0"/>
    <xf numFmtId="171" fontId="158"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2" fillId="0" borderId="0"/>
    <xf numFmtId="171" fontId="16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58" fillId="0" borderId="0"/>
    <xf numFmtId="171" fontId="158" fillId="0" borderId="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0" fontId="161" fillId="0" borderId="0"/>
    <xf numFmtId="171" fontId="161"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58" fillId="0" borderId="0"/>
    <xf numFmtId="171" fontId="158" fillId="0" borderId="0"/>
    <xf numFmtId="0" fontId="158" fillId="0" borderId="0"/>
    <xf numFmtId="171" fontId="158" fillId="0" borderId="0"/>
    <xf numFmtId="0" fontId="161" fillId="0" borderId="0"/>
    <xf numFmtId="171" fontId="161" fillId="0" borderId="0"/>
    <xf numFmtId="172"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58" fillId="0" borderId="0"/>
    <xf numFmtId="171" fontId="158" fillId="0" borderId="0"/>
    <xf numFmtId="0" fontId="158" fillId="0" borderId="0"/>
    <xf numFmtId="171" fontId="158" fillId="0" borderId="0"/>
    <xf numFmtId="0" fontId="158" fillId="0" borderId="0"/>
    <xf numFmtId="171" fontId="158"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2" fillId="0" borderId="0"/>
    <xf numFmtId="171" fontId="162" fillId="0" borderId="0"/>
    <xf numFmtId="0" fontId="162" fillId="0" borderId="0"/>
    <xf numFmtId="0" fontId="162" fillId="0" borderId="0"/>
    <xf numFmtId="171" fontId="162" fillId="0" borderId="0"/>
    <xf numFmtId="171" fontId="162" fillId="0" borderId="0"/>
    <xf numFmtId="0" fontId="161" fillId="0" borderId="0"/>
    <xf numFmtId="171" fontId="161" fillId="0" borderId="0"/>
    <xf numFmtId="0" fontId="158" fillId="0" borderId="0"/>
    <xf numFmtId="171" fontId="158" fillId="0" borderId="0"/>
    <xf numFmtId="0" fontId="158" fillId="0" borderId="0"/>
    <xf numFmtId="171" fontId="158"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2" fontId="12" fillId="0" borderId="0" applyFont="0" applyFill="0" applyBorder="0" applyAlignment="0" applyProtection="0"/>
    <xf numFmtId="0" fontId="161" fillId="0" borderId="0"/>
    <xf numFmtId="171" fontId="161"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62" fillId="0" borderId="0"/>
    <xf numFmtId="171" fontId="162" fillId="0" borderId="0"/>
    <xf numFmtId="0" fontId="162" fillId="0" borderId="0"/>
    <xf numFmtId="171" fontId="16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2" fillId="0" borderId="0"/>
    <xf numFmtId="171" fontId="1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63" fillId="0" borderId="0" applyNumberFormat="0" applyFill="0" applyBorder="0" applyAlignment="0" applyProtection="0"/>
    <xf numFmtId="171" fontId="163" fillId="0" borderId="0" applyNumberFormat="0" applyFill="0" applyBorder="0" applyAlignment="0" applyProtection="0"/>
    <xf numFmtId="0" fontId="161" fillId="0" borderId="0"/>
    <xf numFmtId="171" fontId="161"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55" fillId="0" borderId="0"/>
    <xf numFmtId="171" fontId="155" fillId="0" borderId="0"/>
    <xf numFmtId="0" fontId="161" fillId="0" borderId="0"/>
    <xf numFmtId="171" fontId="161"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0" fontId="161" fillId="0" borderId="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58" fillId="0" borderId="0"/>
    <xf numFmtId="171" fontId="158" fillId="0" borderId="0"/>
    <xf numFmtId="0" fontId="12" fillId="0" borderId="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8" fillId="0" borderId="0"/>
    <xf numFmtId="171" fontId="158" fillId="0" borderId="0"/>
    <xf numFmtId="0" fontId="12" fillId="0" borderId="0"/>
    <xf numFmtId="0" fontId="12" fillId="0" borderId="0"/>
    <xf numFmtId="171" fontId="12" fillId="0" borderId="0"/>
    <xf numFmtId="0" fontId="12"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2" fontId="12" fillId="0" borderId="0"/>
    <xf numFmtId="172" fontId="12" fillId="0" borderId="0"/>
    <xf numFmtId="172"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61" fillId="0" borderId="0"/>
    <xf numFmtId="171"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1"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45" fillId="0" borderId="0">
      <alignment vertical="top"/>
    </xf>
    <xf numFmtId="171" fontId="45" fillId="0" borderId="0">
      <alignment vertical="top"/>
    </xf>
    <xf numFmtId="0" fontId="45" fillId="0" borderId="0">
      <alignment vertical="top"/>
    </xf>
    <xf numFmtId="171" fontId="45" fillId="0" borderId="0">
      <alignment vertical="top"/>
    </xf>
    <xf numFmtId="0" fontId="45" fillId="0" borderId="0">
      <alignment vertical="top"/>
    </xf>
    <xf numFmtId="171" fontId="45" fillId="0" borderId="0">
      <alignment vertical="top"/>
    </xf>
    <xf numFmtId="0" fontId="45" fillId="0" borderId="0">
      <alignment vertical="top"/>
    </xf>
    <xf numFmtId="171" fontId="45" fillId="0" borderId="0">
      <alignment vertical="top"/>
    </xf>
    <xf numFmtId="0" fontId="45" fillId="0" borderId="0">
      <alignment vertical="top"/>
    </xf>
    <xf numFmtId="171" fontId="45" fillId="0" borderId="0">
      <alignment vertical="top"/>
    </xf>
    <xf numFmtId="0" fontId="45" fillId="0" borderId="0">
      <alignment vertical="top"/>
    </xf>
    <xf numFmtId="171" fontId="45" fillId="0" borderId="0">
      <alignment vertical="top"/>
    </xf>
    <xf numFmtId="178" fontId="12" fillId="0" borderId="0" applyNumberFormat="0" applyFont="0"/>
    <xf numFmtId="178" fontId="12" fillId="0" borderId="0" applyNumberFormat="0" applyFont="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alignment vertical="top"/>
    </xf>
    <xf numFmtId="171" fontId="45" fillId="0" borderId="0">
      <alignment vertical="top"/>
    </xf>
    <xf numFmtId="0" fontId="45" fillId="0" borderId="0">
      <alignment vertical="top"/>
    </xf>
    <xf numFmtId="171" fontId="45" fillId="0" borderId="0">
      <alignment vertical="top"/>
    </xf>
    <xf numFmtId="0" fontId="161" fillId="0" borderId="0"/>
    <xf numFmtId="171"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64" fillId="0" borderId="0">
      <alignment vertical="top"/>
    </xf>
    <xf numFmtId="171" fontId="164" fillId="0" borderId="0">
      <alignment vertical="top"/>
    </xf>
    <xf numFmtId="0" fontId="164" fillId="0" borderId="0">
      <alignment vertical="top"/>
    </xf>
    <xf numFmtId="171" fontId="164" fillId="0" borderId="0">
      <alignment vertical="top"/>
    </xf>
    <xf numFmtId="0" fontId="164" fillId="0" borderId="0">
      <alignment vertical="top"/>
    </xf>
    <xf numFmtId="171" fontId="164" fillId="0" borderId="0">
      <alignment vertical="top"/>
    </xf>
    <xf numFmtId="0" fontId="164" fillId="0" borderId="0">
      <alignment vertical="top"/>
    </xf>
    <xf numFmtId="171" fontId="164" fillId="0" borderId="0">
      <alignment vertical="top"/>
    </xf>
    <xf numFmtId="0" fontId="164" fillId="0" borderId="0">
      <alignment vertical="top"/>
    </xf>
    <xf numFmtId="171" fontId="164" fillId="0" borderId="0">
      <alignment vertical="top"/>
    </xf>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2" fillId="0" borderId="0" applyNumberFormat="0" applyFill="0" applyBorder="0" applyAlignment="0" applyProtection="0"/>
    <xf numFmtId="171" fontId="162" fillId="0" borderId="0" applyNumberFormat="0" applyFill="0" applyBorder="0" applyAlignment="0" applyProtection="0"/>
    <xf numFmtId="0" fontId="162" fillId="0" borderId="0"/>
    <xf numFmtId="171" fontId="162" fillId="0" borderId="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2" fillId="0" borderId="0" applyNumberFormat="0" applyFill="0" applyBorder="0" applyAlignment="0" applyProtection="0"/>
    <xf numFmtId="171" fontId="162" fillId="0" borderId="0" applyNumberFormat="0" applyFill="0" applyBorder="0" applyAlignment="0" applyProtection="0"/>
    <xf numFmtId="0" fontId="12" fillId="0" borderId="0"/>
    <xf numFmtId="0" fontId="12" fillId="0" borderId="0"/>
    <xf numFmtId="0" fontId="12" fillId="0" borderId="0"/>
    <xf numFmtId="0" fontId="12" fillId="0" borderId="0"/>
    <xf numFmtId="0" fontId="161" fillId="0" borderId="0"/>
    <xf numFmtId="171" fontId="161" fillId="0" borderId="0"/>
    <xf numFmtId="0" fontId="162" fillId="0" borderId="0" applyNumberFormat="0" applyFill="0" applyBorder="0" applyAlignment="0" applyProtection="0"/>
    <xf numFmtId="0" fontId="12" fillId="0" borderId="0"/>
    <xf numFmtId="0" fontId="12" fillId="0" borderId="0"/>
    <xf numFmtId="171" fontId="12" fillId="0" borderId="0"/>
    <xf numFmtId="171" fontId="162" fillId="0" borderId="0" applyNumberFormat="0" applyFill="0" applyBorder="0" applyAlignment="0" applyProtection="0"/>
    <xf numFmtId="0" fontId="12" fillId="0" borderId="0"/>
    <xf numFmtId="0" fontId="12" fillId="0" borderId="0"/>
    <xf numFmtId="171" fontId="12" fillId="0" borderId="0"/>
    <xf numFmtId="0" fontId="158" fillId="0" borderId="0"/>
    <xf numFmtId="171" fontId="158" fillId="0" borderId="0"/>
    <xf numFmtId="0" fontId="158" fillId="0" borderId="0"/>
    <xf numFmtId="171" fontId="158" fillId="0" borderId="0"/>
    <xf numFmtId="0"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58" fillId="0" borderId="0"/>
    <xf numFmtId="171" fontId="158"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1" fillId="0" borderId="0"/>
    <xf numFmtId="171"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1" fillId="0" borderId="0"/>
    <xf numFmtId="0" fontId="12" fillId="0" borderId="0" applyFont="0" applyFill="0" applyBorder="0" applyAlignment="0" applyProtection="0"/>
    <xf numFmtId="0" fontId="12" fillId="0" borderId="0" applyFont="0" applyFill="0" applyBorder="0" applyAlignment="0" applyProtection="0"/>
    <xf numFmtId="0" fontId="161" fillId="0" borderId="0"/>
    <xf numFmtId="171"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5" fillId="0" borderId="0"/>
    <xf numFmtId="0" fontId="165"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171" fontId="12" fillId="0" borderId="0"/>
    <xf numFmtId="0" fontId="12" fillId="0" borderId="0"/>
    <xf numFmtId="0" fontId="12" fillId="0" borderId="0"/>
    <xf numFmtId="0" fontId="12" fillId="0" borderId="0"/>
    <xf numFmtId="0" fontId="12" fillId="0" borderId="0"/>
    <xf numFmtId="172"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61" fillId="0" borderId="0"/>
    <xf numFmtId="171" fontId="161" fillId="0" borderId="0"/>
    <xf numFmtId="0" fontId="161" fillId="0" borderId="0"/>
    <xf numFmtId="171" fontId="161" fillId="0" borderId="0"/>
    <xf numFmtId="0" fontId="12" fillId="0" borderId="0"/>
    <xf numFmtId="0" fontId="158" fillId="0" borderId="0"/>
    <xf numFmtId="171" fontId="158"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5" fillId="0" borderId="0"/>
    <xf numFmtId="0" fontId="165" fillId="0" borderId="0"/>
    <xf numFmtId="0" fontId="161" fillId="0" borderId="0"/>
    <xf numFmtId="171" fontId="161" fillId="0" borderId="0"/>
    <xf numFmtId="0" fontId="12" fillId="0" borderId="0"/>
    <xf numFmtId="0" fontId="12" fillId="0" borderId="0"/>
    <xf numFmtId="171" fontId="12" fillId="0" borderId="0"/>
    <xf numFmtId="0" fontId="161"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58" fillId="0" borderId="0"/>
    <xf numFmtId="171" fontId="158" fillId="0" borderId="0"/>
    <xf numFmtId="0" fontId="161" fillId="0" borderId="0"/>
    <xf numFmtId="171" fontId="161" fillId="0" borderId="0"/>
    <xf numFmtId="0" fontId="158" fillId="0" borderId="0"/>
    <xf numFmtId="171" fontId="158"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6" fillId="0" borderId="0"/>
    <xf numFmtId="171" fontId="166" fillId="0" borderId="0"/>
    <xf numFmtId="0" fontId="12" fillId="0" borderId="0"/>
    <xf numFmtId="0" fontId="12" fillId="0" borderId="0"/>
    <xf numFmtId="0" fontId="158" fillId="0" borderId="0"/>
    <xf numFmtId="171" fontId="158"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171" fontId="162" fillId="0" borderId="0"/>
    <xf numFmtId="0" fontId="158" fillId="0" borderId="0"/>
    <xf numFmtId="171" fontId="158" fillId="0" borderId="0"/>
    <xf numFmtId="0" fontId="158" fillId="0" borderId="0"/>
    <xf numFmtId="171" fontId="158"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58" fillId="0" borderId="0"/>
    <xf numFmtId="171" fontId="158" fillId="0" borderId="0"/>
    <xf numFmtId="0" fontId="161" fillId="0" borderId="0"/>
    <xf numFmtId="171" fontId="161" fillId="0" borderId="0"/>
    <xf numFmtId="0" fontId="12" fillId="0" borderId="0" applyFont="0" applyFill="0" applyBorder="0" applyAlignment="0" applyProtection="0"/>
    <xf numFmtId="0" fontId="12" fillId="0" borderId="0" applyFont="0" applyFill="0" applyBorder="0" applyAlignment="0" applyProtection="0"/>
    <xf numFmtId="0" fontId="161" fillId="0" borderId="0"/>
    <xf numFmtId="171" fontId="161" fillId="0" borderId="0"/>
    <xf numFmtId="0" fontId="161" fillId="0" borderId="0"/>
    <xf numFmtId="171" fontId="161" fillId="0" borderId="0"/>
    <xf numFmtId="0" fontId="158" fillId="0" borderId="0"/>
    <xf numFmtId="171" fontId="158" fillId="0" borderId="0"/>
    <xf numFmtId="0" fontId="158" fillId="0" borderId="0"/>
    <xf numFmtId="171" fontId="158" fillId="0" borderId="0"/>
    <xf numFmtId="0" fontId="161" fillId="0" borderId="0"/>
    <xf numFmtId="171" fontId="161" fillId="0" borderId="0"/>
    <xf numFmtId="0" fontId="158" fillId="0" borderId="0"/>
    <xf numFmtId="171" fontId="158" fillId="0" borderId="0"/>
    <xf numFmtId="0" fontId="161" fillId="0" borderId="0"/>
    <xf numFmtId="171" fontId="161" fillId="0" borderId="0"/>
    <xf numFmtId="0" fontId="161" fillId="0" borderId="0"/>
    <xf numFmtId="171" fontId="161" fillId="0" borderId="0"/>
    <xf numFmtId="0" fontId="161" fillId="0" borderId="0"/>
    <xf numFmtId="171" fontId="161" fillId="0" borderId="0"/>
    <xf numFmtId="0" fontId="12" fillId="0" borderId="0"/>
    <xf numFmtId="0" fontId="12" fillId="0" borderId="0" applyFont="0" applyFill="0" applyBorder="0" applyAlignment="0" applyProtection="0"/>
    <xf numFmtId="0" fontId="162" fillId="0" borderId="0"/>
    <xf numFmtId="171" fontId="162" fillId="0" borderId="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58" fillId="0" borderId="0"/>
    <xf numFmtId="171" fontId="158" fillId="0" borderId="0"/>
    <xf numFmtId="0" fontId="166" fillId="0" borderId="0"/>
    <xf numFmtId="171" fontId="166" fillId="0" borderId="0"/>
    <xf numFmtId="0" fontId="158" fillId="0" borderId="0"/>
    <xf numFmtId="171" fontId="158"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0" fontId="158" fillId="0" borderId="0"/>
    <xf numFmtId="171" fontId="158"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62" fillId="0" borderId="0"/>
    <xf numFmtId="171" fontId="162" fillId="0" borderId="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55" fillId="0" borderId="0" applyNumberFormat="0" applyFill="0" applyBorder="0" applyAlignment="0" applyProtection="0"/>
    <xf numFmtId="171" fontId="155"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171" fontId="12" fillId="0" borderId="0"/>
    <xf numFmtId="0" fontId="162" fillId="0" borderId="0"/>
    <xf numFmtId="171" fontId="162" fillId="0" borderId="0"/>
    <xf numFmtId="0" fontId="162" fillId="0" borderId="0"/>
    <xf numFmtId="171" fontId="162" fillId="0" borderId="0"/>
    <xf numFmtId="0" fontId="158" fillId="0" borderId="0"/>
    <xf numFmtId="171" fontId="158" fillId="0" borderId="0"/>
    <xf numFmtId="0" fontId="162" fillId="0" borderId="0"/>
    <xf numFmtId="171" fontId="162" fillId="0" borderId="0"/>
    <xf numFmtId="0" fontId="162" fillId="0" borderId="0" applyNumberFormat="0" applyFill="0" applyBorder="0" applyAlignment="0" applyProtection="0"/>
    <xf numFmtId="171" fontId="162" fillId="0" borderId="0" applyNumberForma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171" fontId="161" fillId="0" borderId="0"/>
    <xf numFmtId="172" fontId="161" fillId="0" borderId="0"/>
    <xf numFmtId="0" fontId="161" fillId="0" borderId="0"/>
    <xf numFmtId="171" fontId="161" fillId="0" borderId="0"/>
    <xf numFmtId="172" fontId="161"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2" fillId="0" borderId="0"/>
    <xf numFmtId="171" fontId="16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172"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xf numFmtId="0" fontId="12" fillId="0" borderId="0"/>
    <xf numFmtId="0" fontId="12" fillId="0" borderId="0"/>
    <xf numFmtId="171" fontId="12" fillId="0" borderId="0"/>
    <xf numFmtId="0" fontId="12" fillId="0" borderId="0"/>
    <xf numFmtId="171" fontId="12" fillId="0" borderId="0"/>
    <xf numFmtId="0" fontId="12" fillId="0" borderId="0"/>
    <xf numFmtId="172" fontId="12" fillId="0" borderId="0"/>
    <xf numFmtId="0"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171" fontId="117" fillId="0" borderId="0" applyNumberFormat="0" applyFill="0" applyBorder="0" applyAlignment="0" applyProtection="0"/>
    <xf numFmtId="0" fontId="117" fillId="0" borderId="0" applyNumberFormat="0" applyFill="0" applyBorder="0" applyAlignment="0" applyProtection="0"/>
    <xf numFmtId="171" fontId="117" fillId="0" borderId="0" applyNumberFormat="0" applyFill="0" applyBorder="0" applyAlignment="0" applyProtection="0"/>
    <xf numFmtId="0" fontId="161" fillId="0" borderId="0"/>
    <xf numFmtId="171" fontId="161"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1" fillId="0" borderId="0"/>
    <xf numFmtId="0" fontId="12" fillId="0" borderId="0"/>
    <xf numFmtId="171" fontId="12" fillId="0" borderId="0"/>
    <xf numFmtId="0" fontId="12" fillId="0" borderId="0"/>
    <xf numFmtId="172" fontId="12" fillId="0" borderId="0"/>
    <xf numFmtId="0" fontId="12" fillId="0" borderId="0"/>
    <xf numFmtId="171" fontId="12" fillId="0" borderId="0"/>
    <xf numFmtId="0" fontId="12" fillId="0" borderId="0"/>
    <xf numFmtId="172"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8" fillId="0" borderId="0"/>
    <xf numFmtId="171" fontId="158" fillId="0" borderId="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63" fillId="0" borderId="0" applyNumberFormat="0" applyFill="0" applyBorder="0" applyAlignment="0" applyProtection="0"/>
    <xf numFmtId="171" fontId="163" fillId="0" borderId="0" applyNumberFormat="0" applyFill="0" applyBorder="0" applyAlignment="0" applyProtection="0"/>
    <xf numFmtId="0" fontId="12" fillId="0" borderId="0"/>
    <xf numFmtId="0" fontId="12" fillId="0" borderId="0"/>
    <xf numFmtId="171" fontId="12" fillId="0" borderId="0"/>
    <xf numFmtId="0" fontId="167" fillId="0" borderId="0" applyFont="0" applyFill="0" applyBorder="0" applyAlignment="0" applyProtection="0"/>
    <xf numFmtId="42" fontId="167" fillId="0" borderId="0" applyFont="0" applyFill="0" applyBorder="0" applyAlignment="0" applyProtection="0"/>
    <xf numFmtId="179" fontId="162" fillId="0" borderId="0" applyFont="0" applyFill="0" applyBorder="0" applyAlignment="0" applyProtection="0"/>
    <xf numFmtId="179" fontId="162" fillId="0" borderId="0" applyFont="0" applyFill="0" applyBorder="0" applyAlignment="0" applyProtection="0"/>
    <xf numFmtId="180" fontId="162" fillId="0" borderId="0" applyFont="0" applyFill="0" applyBorder="0" applyAlignment="0" applyProtection="0"/>
    <xf numFmtId="180" fontId="162" fillId="0" borderId="0" applyFont="0" applyFill="0" applyBorder="0" applyAlignment="0" applyProtection="0"/>
    <xf numFmtId="0" fontId="12" fillId="0" borderId="0"/>
    <xf numFmtId="0" fontId="22" fillId="0" borderId="0"/>
    <xf numFmtId="171" fontId="22" fillId="0" borderId="0"/>
    <xf numFmtId="0" fontId="12" fillId="0" borderId="0"/>
    <xf numFmtId="171" fontId="12" fillId="0" borderId="0"/>
    <xf numFmtId="0" fontId="12" fillId="0" borderId="0"/>
    <xf numFmtId="0"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172" fontId="12" fillId="0" borderId="0"/>
    <xf numFmtId="171" fontId="12" fillId="0" borderId="0"/>
    <xf numFmtId="17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2" fontId="12" fillId="0" borderId="0"/>
    <xf numFmtId="0" fontId="12" fillId="0" borderId="0"/>
    <xf numFmtId="0" fontId="12" fillId="0" borderId="0"/>
    <xf numFmtId="2" fontId="12" fillId="0" borderId="0"/>
    <xf numFmtId="171" fontId="12" fillId="0" borderId="0"/>
    <xf numFmtId="0" fontId="12" fillId="0" borderId="0"/>
    <xf numFmtId="2" fontId="12" fillId="0" borderId="0"/>
    <xf numFmtId="2" fontId="12" fillId="0" borderId="0"/>
    <xf numFmtId="2" fontId="12" fillId="0" borderId="0"/>
    <xf numFmtId="2" fontId="12" fillId="0" borderId="0"/>
    <xf numFmtId="2" fontId="12" fillId="0" borderId="0"/>
    <xf numFmtId="2" fontId="12" fillId="0" borderId="0"/>
    <xf numFmtId="0" fontId="12" fillId="0" borderId="0"/>
    <xf numFmtId="0" fontId="167" fillId="0" borderId="0"/>
    <xf numFmtId="0" fontId="167" fillId="0" borderId="0"/>
    <xf numFmtId="0" fontId="12" fillId="0" borderId="0"/>
    <xf numFmtId="0" fontId="12" fillId="0" borderId="0"/>
    <xf numFmtId="171" fontId="12" fillId="0" borderId="0"/>
    <xf numFmtId="0" fontId="12" fillId="0" borderId="0"/>
    <xf numFmtId="172" fontId="12" fillId="0" borderId="0"/>
    <xf numFmtId="171" fontId="12" fillId="0" borderId="0"/>
    <xf numFmtId="172" fontId="12" fillId="0" borderId="0"/>
    <xf numFmtId="171" fontId="12" fillId="0" borderId="0"/>
    <xf numFmtId="0" fontId="12" fillId="0" borderId="0"/>
    <xf numFmtId="181" fontId="154" fillId="0" borderId="0" applyFont="0" applyFill="0" applyBorder="0" applyAlignment="0" applyProtection="0">
      <protection locked="0"/>
    </xf>
    <xf numFmtId="0" fontId="168" fillId="0" borderId="2" applyNumberFormat="0" applyFont="0" applyFill="0" applyBorder="0" applyAlignment="0"/>
    <xf numFmtId="171" fontId="168" fillId="0" borderId="2" applyNumberFormat="0" applyFont="0" applyFill="0" applyBorder="0" applyAlignment="0"/>
    <xf numFmtId="0" fontId="22" fillId="29" borderId="0" applyNumberFormat="0" applyBorder="0" applyAlignment="0" applyProtection="0"/>
    <xf numFmtId="0" fontId="22" fillId="2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9" borderId="0" applyNumberFormat="0" applyBorder="0" applyAlignment="0" applyProtection="0"/>
    <xf numFmtId="171" fontId="22" fillId="29" borderId="0" applyNumberFormat="0" applyBorder="0" applyAlignment="0" applyProtection="0"/>
    <xf numFmtId="0" fontId="22" fillId="15" borderId="0" applyNumberFormat="0" applyBorder="0" applyAlignment="0" applyProtection="0"/>
    <xf numFmtId="171" fontId="22" fillId="15" borderId="0" applyNumberFormat="0" applyBorder="0" applyAlignment="0" applyProtection="0"/>
    <xf numFmtId="0" fontId="22" fillId="18" borderId="0" applyNumberFormat="0" applyBorder="0" applyAlignment="0" applyProtection="0"/>
    <xf numFmtId="171" fontId="22" fillId="18" borderId="0" applyNumberFormat="0" applyBorder="0" applyAlignment="0" applyProtection="0"/>
    <xf numFmtId="0" fontId="22" fillId="33" borderId="0" applyNumberFormat="0" applyBorder="0" applyAlignment="0" applyProtection="0"/>
    <xf numFmtId="171" fontId="22" fillId="33" borderId="0" applyNumberFormat="0" applyBorder="0" applyAlignment="0" applyProtection="0"/>
    <xf numFmtId="0" fontId="22" fillId="5" borderId="0" applyNumberFormat="0" applyBorder="0" applyAlignment="0" applyProtection="0"/>
    <xf numFmtId="171" fontId="22" fillId="5" borderId="0" applyNumberFormat="0" applyBorder="0" applyAlignment="0" applyProtection="0"/>
    <xf numFmtId="0" fontId="22" fillId="3" borderId="0" applyNumberFormat="0" applyBorder="0" applyAlignment="0" applyProtection="0"/>
    <xf numFmtId="171" fontId="22" fillId="3" borderId="0" applyNumberFormat="0" applyBorder="0" applyAlignment="0" applyProtection="0"/>
    <xf numFmtId="182" fontId="12" fillId="0" borderId="0" applyProtection="0">
      <protection locked="0"/>
    </xf>
    <xf numFmtId="182" fontId="12" fillId="0" borderId="0" applyProtection="0">
      <protection locked="0"/>
    </xf>
    <xf numFmtId="167" fontId="12" fillId="84" borderId="65" applyNumberFormat="0" applyFill="0" applyBorder="0">
      <alignment vertical="top" wrapText="1"/>
    </xf>
    <xf numFmtId="167" fontId="12" fillId="84" borderId="65" applyNumberFormat="0" applyFill="0" applyBorder="0">
      <alignment vertical="top" wrapText="1"/>
    </xf>
    <xf numFmtId="167" fontId="12" fillId="84" borderId="65" applyNumberFormat="0" applyFill="0" applyBorder="0">
      <alignment vertical="top" wrapText="1"/>
    </xf>
    <xf numFmtId="167" fontId="12" fillId="84" borderId="65" applyNumberFormat="0" applyFill="0" applyBorder="0">
      <alignment vertical="top" wrapText="1"/>
    </xf>
    <xf numFmtId="167" fontId="12" fillId="84" borderId="65" applyNumberFormat="0" applyFill="0" applyBorder="0">
      <alignment vertical="top" wrapText="1"/>
    </xf>
    <xf numFmtId="167" fontId="12" fillId="84" borderId="65" applyNumberFormat="0" applyFill="0" applyBorder="0">
      <alignment vertical="top" wrapText="1"/>
    </xf>
    <xf numFmtId="183" fontId="45" fillId="0" borderId="0" applyFont="0" applyFill="0" applyBorder="0" applyAlignment="0" applyProtection="0"/>
    <xf numFmtId="184" fontId="169" fillId="85" borderId="25" applyNumberFormat="0" applyAlignment="0" applyProtection="0"/>
    <xf numFmtId="0" fontId="22" fillId="9" borderId="0" applyNumberFormat="0" applyBorder="0" applyAlignment="0" applyProtection="0"/>
    <xf numFmtId="0" fontId="22" fillId="9"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9" borderId="0" applyNumberFormat="0" applyBorder="0" applyAlignment="0" applyProtection="0"/>
    <xf numFmtId="171" fontId="22" fillId="9" borderId="0" applyNumberFormat="0" applyBorder="0" applyAlignment="0" applyProtection="0"/>
    <xf numFmtId="0" fontId="22" fillId="7" borderId="0" applyNumberFormat="0" applyBorder="0" applyAlignment="0" applyProtection="0"/>
    <xf numFmtId="171" fontId="22" fillId="7" borderId="0" applyNumberFormat="0" applyBorder="0" applyAlignment="0" applyProtection="0"/>
    <xf numFmtId="0" fontId="22" fillId="39" borderId="0" applyNumberFormat="0" applyBorder="0" applyAlignment="0" applyProtection="0"/>
    <xf numFmtId="171" fontId="22" fillId="39" borderId="0" applyNumberFormat="0" applyBorder="0" applyAlignment="0" applyProtection="0"/>
    <xf numFmtId="0" fontId="22" fillId="33" borderId="0" applyNumberFormat="0" applyBorder="0" applyAlignment="0" applyProtection="0"/>
    <xf numFmtId="171" fontId="22" fillId="33" borderId="0" applyNumberFormat="0" applyBorder="0" applyAlignment="0" applyProtection="0"/>
    <xf numFmtId="0" fontId="22" fillId="9" borderId="0" applyNumberFormat="0" applyBorder="0" applyAlignment="0" applyProtection="0"/>
    <xf numFmtId="171" fontId="22" fillId="9" borderId="0" applyNumberFormat="0" applyBorder="0" applyAlignment="0" applyProtection="0"/>
    <xf numFmtId="0" fontId="22" fillId="43" borderId="0" applyNumberFormat="0" applyBorder="0" applyAlignment="0" applyProtection="0"/>
    <xf numFmtId="171" fontId="22" fillId="43" borderId="0" applyNumberFormat="0" applyBorder="0" applyAlignment="0" applyProtection="0"/>
    <xf numFmtId="0" fontId="170" fillId="0" borderId="0" applyNumberFormat="0" applyFont="0" applyFill="0" applyBorder="0" applyProtection="0">
      <alignment horizontal="left" vertical="center" indent="5"/>
    </xf>
    <xf numFmtId="0" fontId="23" fillId="45"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49" borderId="0" applyNumberFormat="0" applyBorder="0" applyAlignment="0" applyProtection="0"/>
    <xf numFmtId="0" fontId="23" fillId="10" borderId="0" applyNumberFormat="0" applyBorder="0" applyAlignment="0" applyProtection="0"/>
    <xf numFmtId="0" fontId="23" fillId="52"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14" fillId="13" borderId="0" applyNumberFormat="0" applyBorder="0" applyAlignment="0" applyProtection="0"/>
    <xf numFmtId="171" fontId="78" fillId="46" borderId="0" applyNumberFormat="0" applyBorder="0" applyAlignment="0" applyProtection="0"/>
    <xf numFmtId="172" fontId="78" fillId="46" borderId="0" applyNumberFormat="0" applyBorder="0" applyAlignment="0" applyProtection="0"/>
    <xf numFmtId="171" fontId="23" fillId="45"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14" fillId="7" borderId="0" applyNumberFormat="0" applyBorder="0" applyAlignment="0" applyProtection="0"/>
    <xf numFmtId="0" fontId="23" fillId="7" borderId="0" applyNumberFormat="0" applyBorder="0" applyAlignment="0" applyProtection="0"/>
    <xf numFmtId="171" fontId="78" fillId="47" borderId="0" applyNumberFormat="0" applyBorder="0" applyAlignment="0" applyProtection="0"/>
    <xf numFmtId="172" fontId="78" fillId="47" borderId="0" applyNumberFormat="0" applyBorder="0" applyAlignment="0" applyProtection="0"/>
    <xf numFmtId="171" fontId="23" fillId="7"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8" borderId="0" applyNumberFormat="0" applyBorder="0" applyAlignment="0" applyProtection="0"/>
    <xf numFmtId="0" fontId="14" fillId="12" borderId="0" applyNumberFormat="0" applyBorder="0" applyAlignment="0" applyProtection="0"/>
    <xf numFmtId="0" fontId="23" fillId="39" borderId="0" applyNumberFormat="0" applyBorder="0" applyAlignment="0" applyProtection="0"/>
    <xf numFmtId="171" fontId="78" fillId="48" borderId="0" applyNumberFormat="0" applyBorder="0" applyAlignment="0" applyProtection="0"/>
    <xf numFmtId="172" fontId="78" fillId="48" borderId="0" applyNumberFormat="0" applyBorder="0" applyAlignment="0" applyProtection="0"/>
    <xf numFmtId="171" fontId="23" fillId="39"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49" borderId="0" applyNumberFormat="0" applyBorder="0" applyAlignment="0" applyProtection="0"/>
    <xf numFmtId="171" fontId="14" fillId="6" borderId="0" applyNumberFormat="0" applyBorder="0" applyAlignment="0" applyProtection="0"/>
    <xf numFmtId="0" fontId="23" fillId="6" borderId="0" applyNumberFormat="0" applyBorder="0" applyAlignment="0" applyProtection="0"/>
    <xf numFmtId="0" fontId="14" fillId="6" borderId="0" applyNumberFormat="0" applyBorder="0" applyAlignment="0" applyProtection="0"/>
    <xf numFmtId="0" fontId="23" fillId="49" borderId="0" applyNumberFormat="0" applyBorder="0" applyAlignment="0" applyProtection="0"/>
    <xf numFmtId="171" fontId="78" fillId="50" borderId="0" applyNumberFormat="0" applyBorder="0" applyAlignment="0" applyProtection="0"/>
    <xf numFmtId="172" fontId="78" fillId="50" borderId="0" applyNumberFormat="0" applyBorder="0" applyAlignment="0" applyProtection="0"/>
    <xf numFmtId="171" fontId="23" fillId="4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171" fontId="78" fillId="51" borderId="0" applyNumberFormat="0" applyBorder="0" applyAlignment="0" applyProtection="0"/>
    <xf numFmtId="172" fontId="78" fillId="51" borderId="0" applyNumberFormat="0" applyBorder="0" applyAlignment="0" applyProtection="0"/>
    <xf numFmtId="171" fontId="23" fillId="10"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23" fillId="52" borderId="0" applyNumberFormat="0" applyBorder="0" applyAlignment="0" applyProtection="0"/>
    <xf numFmtId="171" fontId="14" fillId="3" borderId="0" applyNumberFormat="0" applyBorder="0" applyAlignment="0" applyProtection="0"/>
    <xf numFmtId="0" fontId="23" fillId="3" borderId="0" applyNumberFormat="0" applyBorder="0" applyAlignment="0" applyProtection="0"/>
    <xf numFmtId="0" fontId="14" fillId="3" borderId="0" applyNumberFormat="0" applyBorder="0" applyAlignment="0" applyProtection="0"/>
    <xf numFmtId="0" fontId="23" fillId="52" borderId="0" applyNumberFormat="0" applyBorder="0" applyAlignment="0" applyProtection="0"/>
    <xf numFmtId="171" fontId="78" fillId="53" borderId="0" applyNumberFormat="0" applyBorder="0" applyAlignment="0" applyProtection="0"/>
    <xf numFmtId="172" fontId="78" fillId="53" borderId="0" applyNumberFormat="0" applyBorder="0" applyAlignment="0" applyProtection="0"/>
    <xf numFmtId="171" fontId="23" fillId="52"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23" fillId="45" borderId="0" applyNumberFormat="0" applyBorder="0" applyAlignment="0" applyProtection="0"/>
    <xf numFmtId="171" fontId="23" fillId="45" borderId="0" applyNumberFormat="0" applyBorder="0" applyAlignment="0" applyProtection="0"/>
    <xf numFmtId="0" fontId="23" fillId="7" borderId="0" applyNumberFormat="0" applyBorder="0" applyAlignment="0" applyProtection="0"/>
    <xf numFmtId="171" fontId="23" fillId="7" borderId="0" applyNumberFormat="0" applyBorder="0" applyAlignment="0" applyProtection="0"/>
    <xf numFmtId="0" fontId="23" fillId="39" borderId="0" applyNumberFormat="0" applyBorder="0" applyAlignment="0" applyProtection="0"/>
    <xf numFmtId="171" fontId="23" fillId="39"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52" borderId="0" applyNumberFormat="0" applyBorder="0" applyAlignment="0" applyProtection="0"/>
    <xf numFmtId="171" fontId="23" fillId="52" borderId="0" applyNumberFormat="0" applyBorder="0" applyAlignment="0" applyProtection="0"/>
    <xf numFmtId="0" fontId="165" fillId="0" borderId="0"/>
    <xf numFmtId="171" fontId="165" fillId="0" borderId="0"/>
    <xf numFmtId="0" fontId="22" fillId="86" borderId="0" applyNumberFormat="0" applyBorder="0" applyAlignment="0" applyProtection="0"/>
    <xf numFmtId="0" fontId="22" fillId="86" borderId="0" applyNumberFormat="0" applyBorder="0" applyAlignment="0" applyProtection="0"/>
    <xf numFmtId="0" fontId="22" fillId="87"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9" borderId="0" applyNumberFormat="0" applyBorder="0" applyAlignment="0" applyProtection="0"/>
    <xf numFmtId="0" fontId="23" fillId="90" borderId="0" applyNumberFormat="0" applyBorder="0" applyAlignment="0" applyProtection="0"/>
    <xf numFmtId="0" fontId="23" fillId="91" borderId="0" applyNumberFormat="0" applyBorder="0" applyAlignment="0" applyProtection="0"/>
    <xf numFmtId="0" fontId="23" fillId="54" borderId="0" applyNumberFormat="0" applyBorder="0" applyAlignment="0" applyProtection="0"/>
    <xf numFmtId="171" fontId="23" fillId="54"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3" fillId="10" borderId="0" applyNumberFormat="0" applyBorder="0" applyAlignment="0" applyProtection="0"/>
    <xf numFmtId="0" fontId="23" fillId="9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171" fontId="23" fillId="92" borderId="0" applyNumberFormat="0" applyBorder="0" applyAlignment="0" applyProtection="0"/>
    <xf numFmtId="0" fontId="23" fillId="9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3" fillId="9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3" fillId="92" borderId="0" applyNumberFormat="0" applyBorder="0" applyAlignment="0" applyProtection="0"/>
    <xf numFmtId="0" fontId="78" fillId="55" borderId="0" applyNumberFormat="0" applyBorder="0" applyAlignment="0" applyProtection="0"/>
    <xf numFmtId="0" fontId="171" fillId="55" borderId="0" applyNumberFormat="0" applyBorder="0" applyAlignment="0" applyProtection="0"/>
    <xf numFmtId="172" fontId="171" fillId="55" borderId="0" applyNumberFormat="0" applyBorder="0" applyAlignment="0" applyProtection="0"/>
    <xf numFmtId="0" fontId="78" fillId="55" borderId="0" applyNumberFormat="0" applyBorder="0" applyAlignment="0" applyProtection="0"/>
    <xf numFmtId="172" fontId="78" fillId="55" borderId="0" applyNumberFormat="0" applyBorder="0" applyAlignment="0" applyProtection="0"/>
    <xf numFmtId="0" fontId="78" fillId="55" borderId="0" applyNumberFormat="0" applyBorder="0" applyAlignment="0" applyProtection="0"/>
    <xf numFmtId="172" fontId="78" fillId="55" borderId="0" applyNumberFormat="0" applyBorder="0" applyAlignment="0" applyProtection="0"/>
    <xf numFmtId="172" fontId="23" fillId="93"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95"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7" borderId="0" applyNumberFormat="0" applyBorder="0" applyAlignment="0" applyProtection="0"/>
    <xf numFmtId="0" fontId="23" fillId="98" borderId="0" applyNumberFormat="0" applyBorder="0" applyAlignment="0" applyProtection="0"/>
    <xf numFmtId="0" fontId="23" fillId="96" borderId="0" applyNumberFormat="0" applyBorder="0" applyAlignment="0" applyProtection="0"/>
    <xf numFmtId="0" fontId="23" fillId="11" borderId="0" applyNumberFormat="0" applyBorder="0" applyAlignment="0" applyProtection="0"/>
    <xf numFmtId="171" fontId="23" fillId="1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3" fillId="9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3" fillId="11" borderId="0" applyNumberFormat="0" applyBorder="0" applyAlignment="0" applyProtection="0"/>
    <xf numFmtId="171" fontId="23" fillId="99" borderId="0" applyNumberFormat="0" applyBorder="0" applyAlignment="0" applyProtection="0"/>
    <xf numFmtId="0" fontId="23" fillId="9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3" fillId="9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3" fillId="99" borderId="0" applyNumberFormat="0" applyBorder="0" applyAlignment="0" applyProtection="0"/>
    <xf numFmtId="0" fontId="78" fillId="56" borderId="0" applyNumberFormat="0" applyBorder="0" applyAlignment="0" applyProtection="0"/>
    <xf numFmtId="0" fontId="171" fillId="56" borderId="0" applyNumberFormat="0" applyBorder="0" applyAlignment="0" applyProtection="0"/>
    <xf numFmtId="172" fontId="171" fillId="56" borderId="0" applyNumberFormat="0" applyBorder="0" applyAlignment="0" applyProtection="0"/>
    <xf numFmtId="0" fontId="78" fillId="56" borderId="0" applyNumberFormat="0" applyBorder="0" applyAlignment="0" applyProtection="0"/>
    <xf numFmtId="172" fontId="78" fillId="56" borderId="0" applyNumberFormat="0" applyBorder="0" applyAlignment="0" applyProtection="0"/>
    <xf numFmtId="0" fontId="78" fillId="56" borderId="0" applyNumberFormat="0" applyBorder="0" applyAlignment="0" applyProtection="0"/>
    <xf numFmtId="172" fontId="78" fillId="56" borderId="0" applyNumberFormat="0" applyBorder="0" applyAlignment="0" applyProtection="0"/>
    <xf numFmtId="172" fontId="23" fillId="11" borderId="0" applyNumberFormat="0" applyBorder="0" applyAlignment="0" applyProtection="0"/>
    <xf numFmtId="0" fontId="22" fillId="100" borderId="0" applyNumberFormat="0" applyBorder="0" applyAlignment="0" applyProtection="0"/>
    <xf numFmtId="0" fontId="22" fillId="100" borderId="0" applyNumberFormat="0" applyBorder="0" applyAlignment="0" applyProtection="0"/>
    <xf numFmtId="0" fontId="22" fillId="101"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102" borderId="0" applyNumberFormat="0" applyBorder="0" applyAlignment="0" applyProtection="0"/>
    <xf numFmtId="0" fontId="23" fillId="89" borderId="0" applyNumberFormat="0" applyBorder="0" applyAlignment="0" applyProtection="0"/>
    <xf numFmtId="0" fontId="23" fillId="103" borderId="0" applyNumberFormat="0" applyBorder="0" applyAlignment="0" applyProtection="0"/>
    <xf numFmtId="0" fontId="23" fillId="12" borderId="0" applyNumberFormat="0" applyBorder="0" applyAlignment="0" applyProtection="0"/>
    <xf numFmtId="171" fontId="23" fillId="12"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3" fillId="98"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3" fillId="12" borderId="0" applyNumberFormat="0" applyBorder="0" applyAlignment="0" applyProtection="0"/>
    <xf numFmtId="171" fontId="23" fillId="98" borderId="0" applyNumberFormat="0" applyBorder="0" applyAlignment="0" applyProtection="0"/>
    <xf numFmtId="0" fontId="23" fillId="98"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3" fillId="98"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3" fillId="98" borderId="0" applyNumberFormat="0" applyBorder="0" applyAlignment="0" applyProtection="0"/>
    <xf numFmtId="0" fontId="78" fillId="57" borderId="0" applyNumberFormat="0" applyBorder="0" applyAlignment="0" applyProtection="0"/>
    <xf numFmtId="0" fontId="171" fillId="57" borderId="0" applyNumberFormat="0" applyBorder="0" applyAlignment="0" applyProtection="0"/>
    <xf numFmtId="172" fontId="171" fillId="57" borderId="0" applyNumberFormat="0" applyBorder="0" applyAlignment="0" applyProtection="0"/>
    <xf numFmtId="0" fontId="78" fillId="57" borderId="0" applyNumberFormat="0" applyBorder="0" applyAlignment="0" applyProtection="0"/>
    <xf numFmtId="172" fontId="78" fillId="57" borderId="0" applyNumberFormat="0" applyBorder="0" applyAlignment="0" applyProtection="0"/>
    <xf numFmtId="0" fontId="78" fillId="57" borderId="0" applyNumberFormat="0" applyBorder="0" applyAlignment="0" applyProtection="0"/>
    <xf numFmtId="172" fontId="78" fillId="57" borderId="0" applyNumberFormat="0" applyBorder="0" applyAlignment="0" applyProtection="0"/>
    <xf numFmtId="172" fontId="23" fillId="12"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5" borderId="0" applyNumberFormat="0" applyBorder="0" applyAlignment="0" applyProtection="0"/>
    <xf numFmtId="0" fontId="22" fillId="89" borderId="0" applyNumberFormat="0" applyBorder="0" applyAlignment="0" applyProtection="0"/>
    <xf numFmtId="0" fontId="22" fillId="89" borderId="0" applyNumberFormat="0" applyBorder="0" applyAlignment="0" applyProtection="0"/>
    <xf numFmtId="0" fontId="22" fillId="98" borderId="0" applyNumberFormat="0" applyBorder="0" applyAlignment="0" applyProtection="0"/>
    <xf numFmtId="0" fontId="23" fillId="89" borderId="0" applyNumberFormat="0" applyBorder="0" applyAlignment="0" applyProtection="0"/>
    <xf numFmtId="0" fontId="23" fillId="97"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3" fillId="49" borderId="0" applyNumberFormat="0" applyBorder="0" applyAlignment="0" applyProtection="0"/>
    <xf numFmtId="171" fontId="23" fillId="104" borderId="0" applyNumberFormat="0" applyBorder="0" applyAlignment="0" applyProtection="0"/>
    <xf numFmtId="0" fontId="23" fillId="13" borderId="0" applyNumberFormat="0" applyBorder="0" applyAlignment="0" applyProtection="0"/>
    <xf numFmtId="0" fontId="23" fillId="10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3" fillId="49" borderId="0" applyNumberFormat="0" applyBorder="0" applyAlignment="0" applyProtection="0"/>
    <xf numFmtId="171" fontId="23" fillId="104" borderId="0" applyNumberFormat="0" applyBorder="0" applyAlignment="0" applyProtection="0"/>
    <xf numFmtId="0" fontId="23" fillId="10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3" fillId="10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3" fillId="104" borderId="0" applyNumberFormat="0" applyBorder="0" applyAlignment="0" applyProtection="0"/>
    <xf numFmtId="0" fontId="78" fillId="58" borderId="0" applyNumberFormat="0" applyBorder="0" applyAlignment="0" applyProtection="0"/>
    <xf numFmtId="0" fontId="171" fillId="58" borderId="0" applyNumberFormat="0" applyBorder="0" applyAlignment="0" applyProtection="0"/>
    <xf numFmtId="172" fontId="171" fillId="58" borderId="0" applyNumberFormat="0" applyBorder="0" applyAlignment="0" applyProtection="0"/>
    <xf numFmtId="0" fontId="78" fillId="58" borderId="0" applyNumberFormat="0" applyBorder="0" applyAlignment="0" applyProtection="0"/>
    <xf numFmtId="172" fontId="78" fillId="58" borderId="0" applyNumberFormat="0" applyBorder="0" applyAlignment="0" applyProtection="0"/>
    <xf numFmtId="0" fontId="78" fillId="58" borderId="0" applyNumberFormat="0" applyBorder="0" applyAlignment="0" applyProtection="0"/>
    <xf numFmtId="172" fontId="78" fillId="58" borderId="0" applyNumberFormat="0" applyBorder="0" applyAlignment="0" applyProtection="0"/>
    <xf numFmtId="172" fontId="23" fillId="13"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100"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3" fillId="88" borderId="0" applyNumberFormat="0" applyBorder="0" applyAlignment="0" applyProtection="0"/>
    <xf numFmtId="0" fontId="23" fillId="91"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3" fillId="10" borderId="0" applyNumberFormat="0" applyBorder="0" applyAlignment="0" applyProtection="0"/>
    <xf numFmtId="171" fontId="23" fillId="105" borderId="0" applyNumberFormat="0" applyBorder="0" applyAlignment="0" applyProtection="0"/>
    <xf numFmtId="0" fontId="23" fillId="10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3" fillId="10" borderId="0" applyNumberFormat="0" applyBorder="0" applyAlignment="0" applyProtection="0"/>
    <xf numFmtId="171" fontId="23" fillId="105" borderId="0" applyNumberFormat="0" applyBorder="0" applyAlignment="0" applyProtection="0"/>
    <xf numFmtId="0" fontId="23" fillId="10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3" fillId="10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3" fillId="105" borderId="0" applyNumberFormat="0" applyBorder="0" applyAlignment="0" applyProtection="0"/>
    <xf numFmtId="0" fontId="78" fillId="59" borderId="0" applyNumberFormat="0" applyBorder="0" applyAlignment="0" applyProtection="0"/>
    <xf numFmtId="0" fontId="171" fillId="59" borderId="0" applyNumberFormat="0" applyBorder="0" applyAlignment="0" applyProtection="0"/>
    <xf numFmtId="172" fontId="171" fillId="59" borderId="0" applyNumberFormat="0" applyBorder="0" applyAlignment="0" applyProtection="0"/>
    <xf numFmtId="0" fontId="78" fillId="59" borderId="0" applyNumberFormat="0" applyBorder="0" applyAlignment="0" applyProtection="0"/>
    <xf numFmtId="172" fontId="78" fillId="59" borderId="0" applyNumberFormat="0" applyBorder="0" applyAlignment="0" applyProtection="0"/>
    <xf numFmtId="0" fontId="78" fillId="59" borderId="0" applyNumberFormat="0" applyBorder="0" applyAlignment="0" applyProtection="0"/>
    <xf numFmtId="172" fontId="78" fillId="59" borderId="0" applyNumberFormat="0" applyBorder="0" applyAlignment="0" applyProtection="0"/>
    <xf numFmtId="172" fontId="23" fillId="10" borderId="0" applyNumberFormat="0" applyBorder="0" applyAlignment="0" applyProtection="0"/>
    <xf numFmtId="0" fontId="22" fillId="106" borderId="0" applyNumberFormat="0" applyBorder="0" applyAlignment="0" applyProtection="0"/>
    <xf numFmtId="0" fontId="22" fillId="106" borderId="0" applyNumberFormat="0" applyBorder="0" applyAlignment="0" applyProtection="0"/>
    <xf numFmtId="0" fontId="22" fillId="10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107" borderId="0" applyNumberFormat="0" applyBorder="0" applyAlignment="0" applyProtection="0"/>
    <xf numFmtId="0" fontId="23" fillId="107" borderId="0" applyNumberFormat="0" applyBorder="0" applyAlignment="0" applyProtection="0"/>
    <xf numFmtId="0" fontId="23" fillId="108" borderId="0" applyNumberFormat="0" applyBorder="0" applyAlignment="0" applyProtection="0"/>
    <xf numFmtId="0" fontId="23" fillId="14" borderId="0" applyNumberFormat="0" applyBorder="0" applyAlignment="0" applyProtection="0"/>
    <xf numFmtId="171" fontId="23" fillId="14"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3" fillId="14" borderId="0" applyNumberFormat="0" applyBorder="0" applyAlignment="0" applyProtection="0"/>
    <xf numFmtId="171" fontId="23" fillId="109" borderId="0" applyNumberFormat="0" applyBorder="0" applyAlignment="0" applyProtection="0"/>
    <xf numFmtId="0" fontId="23" fillId="10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3" fillId="14" borderId="0" applyNumberFormat="0" applyBorder="0" applyAlignment="0" applyProtection="0"/>
    <xf numFmtId="171" fontId="23" fillId="109" borderId="0" applyNumberFormat="0" applyBorder="0" applyAlignment="0" applyProtection="0"/>
    <xf numFmtId="0" fontId="23" fillId="10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3" fillId="10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3" fillId="109" borderId="0" applyNumberFormat="0" applyBorder="0" applyAlignment="0" applyProtection="0"/>
    <xf numFmtId="0" fontId="78" fillId="60" borderId="0" applyNumberFormat="0" applyBorder="0" applyAlignment="0" applyProtection="0"/>
    <xf numFmtId="0" fontId="171" fillId="60" borderId="0" applyNumberFormat="0" applyBorder="0" applyAlignment="0" applyProtection="0"/>
    <xf numFmtId="172" fontId="171" fillId="60" borderId="0" applyNumberFormat="0" applyBorder="0" applyAlignment="0" applyProtection="0"/>
    <xf numFmtId="0" fontId="78" fillId="60" borderId="0" applyNumberFormat="0" applyBorder="0" applyAlignment="0" applyProtection="0"/>
    <xf numFmtId="172" fontId="78" fillId="60" borderId="0" applyNumberFormat="0" applyBorder="0" applyAlignment="0" applyProtection="0"/>
    <xf numFmtId="0" fontId="78" fillId="60" borderId="0" applyNumberFormat="0" applyBorder="0" applyAlignment="0" applyProtection="0"/>
    <xf numFmtId="172" fontId="78" fillId="60" borderId="0" applyNumberFormat="0" applyBorder="0" applyAlignment="0" applyProtection="0"/>
    <xf numFmtId="172" fontId="23" fillId="14" borderId="0" applyNumberFormat="0" applyBorder="0" applyAlignment="0" applyProtection="0"/>
    <xf numFmtId="185" fontId="12" fillId="0" borderId="0" applyFont="0" applyFill="0" applyBorder="0" applyAlignment="0"/>
    <xf numFmtId="185" fontId="12" fillId="0" borderId="0" applyFont="0" applyFill="0" applyBorder="0" applyAlignment="0"/>
    <xf numFmtId="186" fontId="172" fillId="110" borderId="0"/>
    <xf numFmtId="187" fontId="167" fillId="111" borderId="66">
      <alignment horizontal="center" vertical="center"/>
    </xf>
    <xf numFmtId="0" fontId="173" fillId="0" borderId="0"/>
    <xf numFmtId="188" fontId="76" fillId="0" borderId="0" applyFill="0" applyBorder="0"/>
    <xf numFmtId="188" fontId="76" fillId="0" borderId="0" applyFill="0" applyBorder="0"/>
    <xf numFmtId="37" fontId="174" fillId="0" borderId="0" applyFont="0" applyAlignment="0">
      <alignment horizontal="centerContinuous" vertical="top"/>
    </xf>
    <xf numFmtId="4" fontId="175" fillId="112" borderId="44">
      <alignment horizontal="right" vertical="center"/>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2" fontId="176" fillId="111" borderId="67"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167" fontId="176" fillId="113" borderId="68" applyNumberFormat="0" applyProtection="0">
      <alignment horizontal="right"/>
    </xf>
    <xf numFmtId="3" fontId="177" fillId="0" borderId="0">
      <alignment horizontal="center"/>
    </xf>
    <xf numFmtId="189" fontId="154" fillId="0" borderId="44" applyFill="0" applyBorder="0" applyAlignment="0"/>
    <xf numFmtId="190" fontId="154" fillId="0" borderId="69" applyFont="0" applyFill="0" applyBorder="0"/>
    <xf numFmtId="189" fontId="154" fillId="0" borderId="44" applyFill="0" applyBorder="0" applyAlignment="0"/>
    <xf numFmtId="191" fontId="154" fillId="0" borderId="69" applyFont="0" applyFill="0" applyBorder="0" applyAlignment="0"/>
    <xf numFmtId="189" fontId="154" fillId="0" borderId="44" applyFill="0" applyBorder="0" applyAlignment="0"/>
    <xf numFmtId="189" fontId="154" fillId="0" borderId="44" applyFill="0" applyBorder="0" applyAlignment="0"/>
    <xf numFmtId="189" fontId="154" fillId="0" borderId="44" applyFill="0" applyBorder="0" applyAlignment="0"/>
    <xf numFmtId="189" fontId="154" fillId="0" borderId="44" applyFill="0" applyBorder="0" applyAlignment="0"/>
    <xf numFmtId="189" fontId="154" fillId="0" borderId="0" applyFill="0" applyBorder="0" applyAlignment="0">
      <protection locked="0"/>
    </xf>
    <xf numFmtId="0" fontId="159" fillId="0" borderId="0">
      <alignment horizontal="center" wrapText="1"/>
      <protection locked="0"/>
    </xf>
    <xf numFmtId="171" fontId="159" fillId="0" borderId="0">
      <alignment horizontal="center" wrapText="1"/>
      <protection locked="0"/>
    </xf>
    <xf numFmtId="192" fontId="12" fillId="0" borderId="0" applyFont="0" applyFill="0" applyBorder="0" applyAlignment="0"/>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3"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194"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0"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5"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6"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7"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8" fontId="178" fillId="0" borderId="70">
      <alignment vertical="center"/>
      <protection locked="0"/>
    </xf>
    <xf numFmtId="199" fontId="21" fillId="0" borderId="71">
      <alignment horizontal="center" vertical="center"/>
      <protection locked="0"/>
    </xf>
    <xf numFmtId="199" fontId="21" fillId="0" borderId="71">
      <alignment horizontal="center" vertical="center"/>
      <protection locked="0"/>
    </xf>
    <xf numFmtId="199" fontId="21" fillId="0" borderId="71">
      <alignment horizontal="center" vertical="center"/>
      <protection locked="0"/>
    </xf>
    <xf numFmtId="200" fontId="21" fillId="0" borderId="71">
      <alignment horizontal="center" vertical="center"/>
      <protection locked="0"/>
    </xf>
    <xf numFmtId="200" fontId="21" fillId="0" borderId="71">
      <alignment horizontal="center" vertical="center"/>
      <protection locked="0"/>
    </xf>
    <xf numFmtId="200" fontId="21" fillId="0" borderId="71">
      <alignment horizontal="center" vertical="center"/>
      <protection locked="0"/>
    </xf>
    <xf numFmtId="201" fontId="21" fillId="0" borderId="71">
      <alignment horizontal="center" vertical="center"/>
      <protection locked="0"/>
    </xf>
    <xf numFmtId="201" fontId="21" fillId="0" borderId="71">
      <alignment horizontal="center" vertical="center"/>
      <protection locked="0"/>
    </xf>
    <xf numFmtId="201" fontId="21" fillId="0" borderId="71">
      <alignment horizontal="center" vertical="center"/>
      <protection locked="0"/>
    </xf>
    <xf numFmtId="202" fontId="21" fillId="0" borderId="71">
      <alignment horizontal="center" vertical="center"/>
      <protection locked="0"/>
    </xf>
    <xf numFmtId="202" fontId="21" fillId="0" borderId="71">
      <alignment horizontal="center" vertical="center"/>
      <protection locked="0"/>
    </xf>
    <xf numFmtId="202" fontId="21" fillId="0" borderId="71">
      <alignment horizontal="center" vertical="center"/>
      <protection locked="0"/>
    </xf>
    <xf numFmtId="203" fontId="21" fillId="0" borderId="71">
      <alignment horizontal="center" vertical="center"/>
      <protection locked="0"/>
    </xf>
    <xf numFmtId="203" fontId="21" fillId="0" borderId="71">
      <alignment horizontal="center" vertical="center"/>
      <protection locked="0"/>
    </xf>
    <xf numFmtId="203" fontId="21" fillId="0" borderId="71">
      <alignment horizontal="center" vertical="center"/>
      <protection locked="0"/>
    </xf>
    <xf numFmtId="204" fontId="21" fillId="0" borderId="71">
      <alignment horizontal="center" vertical="center"/>
      <protection locked="0"/>
    </xf>
    <xf numFmtId="204" fontId="21" fillId="0" borderId="71">
      <alignment horizontal="center" vertical="center"/>
      <protection locked="0"/>
    </xf>
    <xf numFmtId="204" fontId="21" fillId="0" borderId="71">
      <alignment horizontal="center" vertical="center"/>
      <protection locked="0"/>
    </xf>
    <xf numFmtId="0" fontId="21" fillId="0" borderId="71" applyAlignment="0">
      <protection locked="0"/>
    </xf>
    <xf numFmtId="172" fontId="21" fillId="0" borderId="71" applyAlignment="0">
      <protection locked="0"/>
    </xf>
    <xf numFmtId="171" fontId="21" fillId="0" borderId="71" applyAlignment="0">
      <protection locked="0"/>
    </xf>
    <xf numFmtId="0" fontId="21" fillId="0" borderId="71" applyAlignment="0">
      <protection locked="0"/>
    </xf>
    <xf numFmtId="0" fontId="21" fillId="0" borderId="71" applyAlignment="0">
      <protection locked="0"/>
    </xf>
    <xf numFmtId="199" fontId="21" fillId="0" borderId="71">
      <alignment vertical="center"/>
      <protection locked="0"/>
    </xf>
    <xf numFmtId="199" fontId="21" fillId="0" borderId="71">
      <alignment vertical="center"/>
      <protection locked="0"/>
    </xf>
    <xf numFmtId="199" fontId="21" fillId="0" borderId="71">
      <alignment vertical="center"/>
      <protection locked="0"/>
    </xf>
    <xf numFmtId="205" fontId="21" fillId="0" borderId="71">
      <alignment horizontal="right" vertical="center"/>
      <protection locked="0"/>
    </xf>
    <xf numFmtId="205" fontId="21" fillId="0" borderId="71">
      <alignment horizontal="right" vertical="center"/>
      <protection locked="0"/>
    </xf>
    <xf numFmtId="205" fontId="21" fillId="0" borderId="71">
      <alignment horizontal="right" vertical="center"/>
      <protection locked="0"/>
    </xf>
    <xf numFmtId="201" fontId="21" fillId="0" borderId="71">
      <alignment vertical="center"/>
      <protection locked="0"/>
    </xf>
    <xf numFmtId="201" fontId="21" fillId="0" borderId="71">
      <alignment vertical="center"/>
      <protection locked="0"/>
    </xf>
    <xf numFmtId="201" fontId="21" fillId="0" borderId="71">
      <alignment vertical="center"/>
      <protection locked="0"/>
    </xf>
    <xf numFmtId="202" fontId="21" fillId="0" borderId="71">
      <alignment vertical="center"/>
      <protection locked="0"/>
    </xf>
    <xf numFmtId="202" fontId="21" fillId="0" borderId="71">
      <alignment vertical="center"/>
      <protection locked="0"/>
    </xf>
    <xf numFmtId="202" fontId="21" fillId="0" borderId="71">
      <alignment vertical="center"/>
      <protection locked="0"/>
    </xf>
    <xf numFmtId="203" fontId="21" fillId="0" borderId="71">
      <alignment vertical="center"/>
      <protection locked="0"/>
    </xf>
    <xf numFmtId="203" fontId="21" fillId="0" borderId="71">
      <alignment vertical="center"/>
      <protection locked="0"/>
    </xf>
    <xf numFmtId="203" fontId="21" fillId="0" borderId="71">
      <alignment vertical="center"/>
      <protection locked="0"/>
    </xf>
    <xf numFmtId="204" fontId="21" fillId="0" borderId="71">
      <alignment horizontal="right" vertical="center"/>
      <protection locked="0"/>
    </xf>
    <xf numFmtId="204" fontId="21" fillId="0" borderId="71">
      <alignment horizontal="right" vertical="center"/>
      <protection locked="0"/>
    </xf>
    <xf numFmtId="204" fontId="21" fillId="0" borderId="71">
      <alignment horizontal="right" vertical="center"/>
      <protection locked="0"/>
    </xf>
    <xf numFmtId="171"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9"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4" fillId="15" borderId="0" applyNumberFormat="0" applyBorder="0" applyAlignment="0" applyProtection="0"/>
    <xf numFmtId="171" fontId="24" fillId="15" borderId="0" applyNumberFormat="0" applyBorder="0" applyAlignment="0" applyProtection="0"/>
    <xf numFmtId="0" fontId="180" fillId="96" borderId="0" applyNumberFormat="0" applyBorder="0" applyAlignment="0" applyProtection="0"/>
    <xf numFmtId="0" fontId="24" fillId="15" borderId="0" applyNumberFormat="0" applyBorder="0" applyAlignment="0" applyProtection="0"/>
    <xf numFmtId="171" fontId="80" fillId="61" borderId="0" applyNumberFormat="0" applyBorder="0" applyAlignment="0" applyProtection="0"/>
    <xf numFmtId="172" fontId="80" fillId="61" borderId="0" applyNumberFormat="0" applyBorder="0" applyAlignment="0" applyProtection="0"/>
    <xf numFmtId="171" fontId="24" fillId="15" borderId="0" applyNumberFormat="0" applyBorder="0" applyAlignment="0" applyProtection="0"/>
    <xf numFmtId="0" fontId="24" fillId="15" borderId="0" applyNumberFormat="0" applyBorder="0" applyAlignment="0" applyProtection="0"/>
    <xf numFmtId="171" fontId="24" fillId="15" borderId="0" applyNumberFormat="0" applyBorder="0" applyAlignment="0" applyProtection="0"/>
    <xf numFmtId="0" fontId="24" fillId="15" borderId="0" applyNumberFormat="0" applyBorder="0" applyAlignment="0" applyProtection="0"/>
    <xf numFmtId="171" fontId="24" fillId="15" borderId="0" applyNumberFormat="0" applyBorder="0" applyAlignment="0" applyProtection="0"/>
    <xf numFmtId="0" fontId="24" fillId="15" borderId="0" applyNumberFormat="0" applyBorder="0" applyAlignment="0" applyProtection="0"/>
    <xf numFmtId="171" fontId="24" fillId="15" borderId="0" applyNumberFormat="0" applyBorder="0" applyAlignment="0" applyProtection="0"/>
    <xf numFmtId="0" fontId="24" fillId="15" borderId="0" applyNumberFormat="0" applyBorder="0" applyAlignment="0" applyProtection="0"/>
    <xf numFmtId="171" fontId="24" fillId="15" borderId="0" applyNumberFormat="0" applyBorder="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2" fontId="181" fillId="24" borderId="0" applyAlignment="0">
      <alignment horizontal="right"/>
    </xf>
    <xf numFmtId="206" fontId="21" fillId="0" borderId="25" applyFont="0" applyFill="0" applyBorder="0" applyAlignment="0"/>
    <xf numFmtId="206" fontId="21" fillId="0" borderId="25" applyFont="0" applyFill="0" applyBorder="0" applyAlignment="0"/>
    <xf numFmtId="206" fontId="21" fillId="0" borderId="25" applyFont="0" applyFill="0" applyBorder="0" applyAlignment="0"/>
    <xf numFmtId="206" fontId="21" fillId="0" borderId="25" applyFont="0" applyFill="0" applyBorder="0" applyAlignment="0"/>
    <xf numFmtId="206" fontId="21" fillId="0" borderId="25" applyFont="0" applyFill="0" applyBorder="0" applyAlignment="0"/>
    <xf numFmtId="206" fontId="21" fillId="0" borderId="25" applyFont="0" applyFill="0" applyBorder="0" applyAlignment="0"/>
    <xf numFmtId="0" fontId="19" fillId="114" borderId="0" applyNumberFormat="0" applyBorder="0" applyAlignment="0"/>
    <xf numFmtId="171" fontId="19" fillId="114" borderId="0" applyNumberFormat="0" applyBorder="0" applyAlignment="0"/>
    <xf numFmtId="0" fontId="47" fillId="115" borderId="0"/>
    <xf numFmtId="0" fontId="47" fillId="115" borderId="0"/>
    <xf numFmtId="0" fontId="182" fillId="0" borderId="0" applyNumberFormat="0" applyFill="0" applyBorder="0" applyAlignment="0" applyProtection="0"/>
    <xf numFmtId="0" fontId="182" fillId="0" borderId="0" applyNumberFormat="0" applyFill="0" applyBorder="0" applyAlignment="0" applyProtection="0"/>
    <xf numFmtId="0" fontId="177" fillId="0" borderId="0" applyNumberFormat="0" applyFill="0" applyBorder="0" applyAlignment="0" applyProtection="0"/>
    <xf numFmtId="171" fontId="177" fillId="0" borderId="0" applyNumberFormat="0" applyFill="0" applyBorder="0" applyAlignment="0" applyProtection="0"/>
    <xf numFmtId="0" fontId="154" fillId="0" borderId="0"/>
    <xf numFmtId="4" fontId="183" fillId="0" borderId="72" applyFill="0" applyBorder="0" applyProtection="0">
      <alignment horizontal="right" vertical="center"/>
    </xf>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171" fontId="184" fillId="0" borderId="22" applyNumberFormat="0" applyFill="0" applyAlignment="0" applyProtection="0"/>
    <xf numFmtId="171" fontId="184" fillId="0" borderId="22" applyNumberFormat="0" applyFill="0" applyAlignment="0" applyProtection="0"/>
    <xf numFmtId="171" fontId="184" fillId="0" borderId="22" applyNumberFormat="0" applyFill="0" applyAlignment="0" applyProtection="0"/>
    <xf numFmtId="171"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4" fillId="0" borderId="22" applyNumberFormat="0" applyFill="0" applyAlignment="0" applyProtection="0"/>
    <xf numFmtId="0" fontId="185" fillId="0" borderId="0"/>
    <xf numFmtId="14" fontId="47" fillId="0" borderId="60">
      <alignment horizontal="center"/>
    </xf>
    <xf numFmtId="14" fontId="47" fillId="0" borderId="60">
      <alignment horizontal="center"/>
    </xf>
    <xf numFmtId="14" fontId="47" fillId="0" borderId="60">
      <alignment horizontal="center"/>
    </xf>
    <xf numFmtId="14" fontId="47" fillId="0" borderId="60">
      <alignment horizontal="center"/>
    </xf>
    <xf numFmtId="14" fontId="47" fillId="0" borderId="60">
      <alignment horizontal="center"/>
    </xf>
    <xf numFmtId="14" fontId="47" fillId="0" borderId="60">
      <alignment horizontal="center"/>
    </xf>
    <xf numFmtId="0" fontId="159" fillId="0" borderId="73" applyNumberFormat="0" applyFont="0" applyFill="0" applyAlignment="0" applyProtection="0"/>
    <xf numFmtId="0" fontId="159" fillId="0" borderId="73"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171" fontId="159" fillId="0" borderId="74" applyNumberFormat="0" applyFont="0" applyFill="0" applyAlignment="0" applyProtection="0"/>
    <xf numFmtId="171" fontId="159" fillId="0" borderId="74" applyNumberFormat="0" applyFont="0" applyFill="0" applyAlignment="0" applyProtection="0"/>
    <xf numFmtId="171"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0" fontId="159" fillId="0" borderId="74" applyNumberFormat="0" applyFont="0" applyFill="0" applyAlignment="0" applyProtection="0"/>
    <xf numFmtId="207" fontId="186" fillId="0" borderId="73" applyNumberFormat="0"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208" fontId="186" fillId="0" borderId="22" applyFill="0" applyAlignment="0" applyProtection="0">
      <alignment horizontal="center"/>
    </xf>
    <xf numFmtId="171"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0" fontId="12" fillId="16" borderId="2" applyNumberFormat="0" applyBorder="0"/>
    <xf numFmtId="192" fontId="12" fillId="0" borderId="0" applyFont="0" applyFill="0"/>
    <xf numFmtId="0" fontId="187" fillId="0" borderId="0" applyFill="0" applyBorder="0" applyAlignment="0" applyProtection="0"/>
    <xf numFmtId="0" fontId="187" fillId="0" borderId="0" applyFill="0" applyBorder="0" applyAlignment="0" applyProtection="0"/>
    <xf numFmtId="49" fontId="188" fillId="0" borderId="0" applyFont="0" applyFill="0" applyBorder="0" applyAlignment="0" applyProtection="0">
      <alignment horizontal="left"/>
    </xf>
    <xf numFmtId="209" fontId="47" fillId="0" borderId="0" applyAlignment="0" applyProtection="0"/>
    <xf numFmtId="9" fontId="21" fillId="0" borderId="0" applyFill="0" applyBorder="0" applyAlignment="0" applyProtection="0"/>
    <xf numFmtId="49" fontId="21" fillId="0" borderId="0" applyNumberFormat="0" applyAlignment="0" applyProtection="0">
      <alignment horizontal="left"/>
    </xf>
    <xf numFmtId="49" fontId="189" fillId="0" borderId="75" applyNumberFormat="0" applyAlignment="0" applyProtection="0">
      <alignment horizontal="left" wrapText="1"/>
    </xf>
    <xf numFmtId="49" fontId="189" fillId="0" borderId="0" applyNumberFormat="0" applyAlignment="0" applyProtection="0">
      <alignment horizontal="left" wrapText="1"/>
    </xf>
    <xf numFmtId="49" fontId="190" fillId="0" borderId="0" applyAlignment="0" applyProtection="0">
      <alignment horizontal="left"/>
    </xf>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171" fontId="12" fillId="116" borderId="21" applyFont="0" applyFill="0" applyBorder="0" applyAlignment="0" applyProtection="0"/>
    <xf numFmtId="171"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0" fontId="12" fillId="116" borderId="21" applyFont="0" applyFill="0" applyBorder="0" applyAlignment="0" applyProtection="0"/>
    <xf numFmtId="211" fontId="191" fillId="0" borderId="0"/>
    <xf numFmtId="212" fontId="159" fillId="0" borderId="76" applyFill="0" applyBorder="0" applyAlignment="0" applyProtection="0"/>
    <xf numFmtId="213" fontId="162" fillId="0" borderId="0" applyFont="0" applyFill="0" applyBorder="0" applyAlignment="0" applyProtection="0"/>
    <xf numFmtId="213" fontId="162"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71" fontId="192" fillId="0" borderId="0" applyNumberFormat="0" applyFill="0" applyBorder="0" applyAlignment="0" applyProtection="0"/>
    <xf numFmtId="171" fontId="192" fillId="0" borderId="0" applyNumberFormat="0" applyFill="0" applyBorder="0" applyAlignment="0" applyProtection="0"/>
    <xf numFmtId="0" fontId="193" fillId="2" borderId="0"/>
    <xf numFmtId="0" fontId="194" fillId="0" borderId="0" applyNumberFormat="0" applyFill="0" applyBorder="0" applyAlignment="0" applyProtection="0"/>
    <xf numFmtId="171" fontId="194" fillId="0" borderId="0" applyNumberFormat="0" applyFill="0" applyBorder="0" applyAlignment="0" applyProtection="0"/>
    <xf numFmtId="0" fontId="195" fillId="0" borderId="0" applyNumberFormat="0" applyFill="0" applyBorder="0" applyAlignment="0" applyProtection="0"/>
    <xf numFmtId="171" fontId="195" fillId="0" borderId="0" applyNumberFormat="0" applyFill="0" applyBorder="0" applyAlignment="0" applyProtection="0"/>
    <xf numFmtId="214" fontId="45" fillId="0" borderId="0" applyFill="0" applyBorder="0" applyAlignment="0"/>
    <xf numFmtId="214" fontId="45" fillId="0" borderId="0" applyFill="0" applyBorder="0" applyAlignment="0"/>
    <xf numFmtId="215" fontId="12" fillId="0" borderId="0" applyFill="0" applyBorder="0" applyAlignment="0"/>
    <xf numFmtId="215" fontId="12" fillId="0" borderId="0" applyFill="0" applyBorder="0" applyAlignment="0"/>
    <xf numFmtId="216" fontId="12" fillId="0" borderId="0" applyFill="0" applyBorder="0" applyAlignment="0"/>
    <xf numFmtId="216"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0" fontId="26" fillId="6" borderId="3" applyNumberFormat="0" applyAlignment="0" applyProtection="0"/>
    <xf numFmtId="3" fontId="21" fillId="0" borderId="0" applyNumberFormat="0" applyFill="0" applyBorder="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2"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2" fontId="82" fillId="62" borderId="31" applyNumberFormat="0" applyAlignment="0" applyProtection="0"/>
    <xf numFmtId="0" fontId="26" fillId="6"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172" fontId="26" fillId="2"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0" fontId="26" fillId="6" borderId="3" applyNumberFormat="0" applyAlignment="0" applyProtection="0"/>
    <xf numFmtId="171" fontId="26" fillId="6" borderId="3" applyNumberFormat="0" applyAlignment="0" applyProtection="0"/>
    <xf numFmtId="211" fontId="196" fillId="0" borderId="0"/>
    <xf numFmtId="217" fontId="12" fillId="0" borderId="0" applyFill="0" applyBorder="0" applyProtection="0"/>
    <xf numFmtId="217" fontId="12" fillId="0" borderId="0" applyFill="0" applyBorder="0" applyProtection="0"/>
    <xf numFmtId="217" fontId="12" fillId="0" borderId="0" applyFill="0" applyBorder="0" applyProtection="0"/>
    <xf numFmtId="217" fontId="12" fillId="0" borderId="0" applyFill="0" applyBorder="0" applyProtection="0"/>
    <xf numFmtId="0" fontId="197" fillId="0" borderId="77">
      <alignment horizontal="right" vertical="center"/>
    </xf>
    <xf numFmtId="218" fontId="159" fillId="0" borderId="0"/>
    <xf numFmtId="0" fontId="198" fillId="117" borderId="0"/>
    <xf numFmtId="171" fontId="198" fillId="117" borderId="0"/>
    <xf numFmtId="0" fontId="21" fillId="0" borderId="0" applyNumberFormat="0" applyFont="0" applyFill="0" applyBorder="0">
      <alignment horizontal="center" vertical="center"/>
      <protection locked="0"/>
    </xf>
    <xf numFmtId="172" fontId="21" fillId="0" borderId="0" applyNumberFormat="0" applyFont="0" applyFill="0" applyBorder="0">
      <alignment horizontal="center" vertical="center"/>
      <protection locked="0"/>
    </xf>
    <xf numFmtId="171" fontId="21" fillId="0" borderId="0" applyNumberFormat="0" applyFont="0" applyFill="0" applyBorder="0">
      <alignment horizontal="center" vertical="center"/>
      <protection locked="0"/>
    </xf>
    <xf numFmtId="0" fontId="21" fillId="0" borderId="0" applyNumberFormat="0" applyFont="0" applyFill="0" applyBorder="0">
      <alignment horizontal="center" vertical="center"/>
      <protection locked="0"/>
    </xf>
    <xf numFmtId="0" fontId="178" fillId="0" borderId="0" applyNumberFormat="0" applyFont="0" applyFill="0" applyBorder="0">
      <alignment horizontal="center" vertical="center"/>
      <protection locked="0"/>
    </xf>
    <xf numFmtId="0" fontId="35" fillId="0" borderId="9" applyNumberFormat="0" applyFill="0" applyAlignment="0" applyProtection="0"/>
    <xf numFmtId="38" fontId="12" fillId="0" borderId="0" applyNumberFormat="0" applyFont="0" applyFill="0" applyBorder="0" applyProtection="0">
      <alignment horizontal="centerContinuous"/>
    </xf>
    <xf numFmtId="38" fontId="12" fillId="0" borderId="0" applyNumberFormat="0" applyFont="0" applyFill="0" applyBorder="0" applyProtection="0">
      <alignment horizontal="centerContinuous"/>
    </xf>
    <xf numFmtId="199" fontId="21" fillId="0" borderId="0" applyFill="0" applyBorder="0">
      <alignment horizontal="center" vertical="center"/>
    </xf>
    <xf numFmtId="199" fontId="21" fillId="0" borderId="0" applyFill="0" applyBorder="0">
      <alignment horizontal="center" vertical="center"/>
    </xf>
    <xf numFmtId="200" fontId="21" fillId="0" borderId="0" applyFill="0" applyBorder="0">
      <alignment horizontal="center" vertical="center"/>
    </xf>
    <xf numFmtId="200" fontId="21" fillId="0" borderId="0" applyFill="0" applyBorder="0">
      <alignment horizontal="center" vertical="center"/>
    </xf>
    <xf numFmtId="201" fontId="21" fillId="0" borderId="0" applyFill="0" applyBorder="0">
      <alignment horizontal="center" vertical="center"/>
    </xf>
    <xf numFmtId="201" fontId="21" fillId="0" borderId="0" applyFill="0" applyBorder="0">
      <alignment horizontal="center" vertical="center"/>
    </xf>
    <xf numFmtId="202" fontId="21" fillId="0" borderId="0" applyFill="0" applyBorder="0">
      <alignment horizontal="center" vertical="center"/>
    </xf>
    <xf numFmtId="202" fontId="21" fillId="0" borderId="0" applyFill="0" applyBorder="0">
      <alignment horizontal="center" vertical="center"/>
    </xf>
    <xf numFmtId="203" fontId="21" fillId="0" borderId="0" applyFill="0" applyBorder="0">
      <alignment horizontal="center" vertical="center"/>
    </xf>
    <xf numFmtId="203" fontId="21" fillId="0" borderId="0" applyFill="0" applyBorder="0">
      <alignment horizontal="center" vertical="center"/>
    </xf>
    <xf numFmtId="204" fontId="21" fillId="0" borderId="0" applyFill="0" applyBorder="0">
      <alignment horizontal="center" vertical="center"/>
    </xf>
    <xf numFmtId="204" fontId="21" fillId="0" borderId="0" applyFill="0" applyBorder="0">
      <alignment horizontal="center" vertical="center"/>
    </xf>
    <xf numFmtId="0" fontId="27" fillId="17" borderId="4" applyNumberFormat="0" applyAlignment="0" applyProtection="0"/>
    <xf numFmtId="171" fontId="27" fillId="17" borderId="4" applyNumberFormat="0" applyAlignment="0" applyProtection="0"/>
    <xf numFmtId="0" fontId="27" fillId="98" borderId="4" applyNumberFormat="0" applyAlignment="0" applyProtection="0"/>
    <xf numFmtId="0" fontId="27" fillId="17" borderId="4" applyNumberFormat="0" applyAlignment="0" applyProtection="0"/>
    <xf numFmtId="0" fontId="27" fillId="17" borderId="4" applyNumberFormat="0" applyAlignment="0" applyProtection="0"/>
    <xf numFmtId="171" fontId="84" fillId="63" borderId="32" applyNumberFormat="0" applyAlignment="0" applyProtection="0"/>
    <xf numFmtId="172" fontId="84" fillId="63" borderId="32" applyNumberFormat="0" applyAlignment="0" applyProtection="0"/>
    <xf numFmtId="0" fontId="27" fillId="17" borderId="4" applyNumberFormat="0" applyAlignment="0" applyProtection="0"/>
    <xf numFmtId="171" fontId="27" fillId="17" borderId="4" applyNumberFormat="0" applyAlignment="0" applyProtection="0"/>
    <xf numFmtId="0" fontId="27" fillId="17" borderId="4" applyNumberFormat="0" applyAlignment="0" applyProtection="0"/>
    <xf numFmtId="171" fontId="27" fillId="17" borderId="4" applyNumberFormat="0" applyAlignment="0" applyProtection="0"/>
    <xf numFmtId="0" fontId="27" fillId="17" borderId="4" applyNumberFormat="0" applyAlignment="0" applyProtection="0"/>
    <xf numFmtId="171" fontId="27" fillId="17" borderId="4" applyNumberFormat="0" applyAlignment="0" applyProtection="0"/>
    <xf numFmtId="0" fontId="27" fillId="17" borderId="4" applyNumberFormat="0" applyAlignment="0" applyProtection="0"/>
    <xf numFmtId="171" fontId="27" fillId="17" borderId="4" applyNumberFormat="0" applyAlignment="0" applyProtection="0"/>
    <xf numFmtId="0" fontId="27" fillId="17" borderId="4" applyNumberFormat="0" applyAlignment="0" applyProtection="0"/>
    <xf numFmtId="171" fontId="27" fillId="17" borderId="4" applyNumberFormat="0" applyAlignment="0" applyProtection="0"/>
    <xf numFmtId="0" fontId="2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1"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0" fontId="21" fillId="0" borderId="0" applyNumberFormat="0" applyFill="0" applyBorder="0" applyAlignment="0" applyProtection="0"/>
    <xf numFmtId="219" fontId="20" fillId="0" borderId="18" applyFont="0" applyFill="0" applyBorder="0" applyAlignment="0" applyProtection="0"/>
    <xf numFmtId="219" fontId="20" fillId="0" borderId="18" applyFont="0" applyFill="0" applyBorder="0" applyAlignment="0" applyProtection="0"/>
    <xf numFmtId="219" fontId="20" fillId="0" borderId="18" applyFont="0" applyFill="0" applyBorder="0" applyAlignment="0" applyProtection="0"/>
    <xf numFmtId="219" fontId="20" fillId="0" borderId="18" applyFont="0" applyFill="0" applyBorder="0" applyAlignment="0" applyProtection="0"/>
    <xf numFmtId="219" fontId="20" fillId="0" borderId="18" applyFont="0" applyFill="0" applyBorder="0" applyAlignment="0" applyProtection="0"/>
    <xf numFmtId="220" fontId="169" fillId="0" borderId="0" applyFont="0" applyFill="0" applyBorder="0" applyAlignment="0" applyProtection="0">
      <alignment horizontal="right"/>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171"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0" fontId="200" fillId="0" borderId="22" applyNumberFormat="0" applyFill="0" applyBorder="0" applyAlignment="0" applyProtection="0">
      <alignment horizontal="center"/>
    </xf>
    <xf numFmtId="3" fontId="197" fillId="0" borderId="78">
      <alignment horizontal="right" vertical="center"/>
    </xf>
    <xf numFmtId="221" fontId="197" fillId="0" borderId="78">
      <alignment horizontal="right" vertical="center"/>
    </xf>
    <xf numFmtId="17" fontId="197" fillId="0" borderId="78">
      <alignment horizontal="right" vertical="center"/>
    </xf>
    <xf numFmtId="222" fontId="197" fillId="0" borderId="78">
      <alignment horizontal="right" vertical="center"/>
    </xf>
    <xf numFmtId="223" fontId="197" fillId="0" borderId="78">
      <alignment horizontal="right" vertical="center"/>
    </xf>
    <xf numFmtId="224" fontId="197" fillId="0" borderId="78">
      <alignment horizontal="right" vertical="center"/>
    </xf>
    <xf numFmtId="3" fontId="197" fillId="0" borderId="78">
      <alignment horizontal="right" vertical="center"/>
    </xf>
    <xf numFmtId="38" fontId="201" fillId="0" borderId="0" applyNumberFormat="0" applyFill="0" applyBorder="0" applyAlignment="0" applyProtection="0">
      <protection locked="0"/>
    </xf>
    <xf numFmtId="38" fontId="202" fillId="0" borderId="0" applyNumberFormat="0" applyFill="0" applyBorder="0" applyAlignment="0" applyProtection="0">
      <protection locked="0"/>
    </xf>
    <xf numFmtId="0" fontId="95" fillId="0" borderId="0" applyNumberFormat="0" applyFill="0" applyBorder="0" applyAlignment="0" applyProtection="0">
      <alignment vertical="top"/>
      <protection locked="0"/>
    </xf>
    <xf numFmtId="171" fontId="95"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171" fontId="203" fillId="0" borderId="0" applyNumberFormat="0" applyFill="0" applyBorder="0" applyAlignment="0" applyProtection="0">
      <alignment vertical="top"/>
      <protection locked="0"/>
    </xf>
    <xf numFmtId="38" fontId="204" fillId="0" borderId="0" applyNumberFormat="0" applyFill="0" applyBorder="0" applyAlignment="0" applyProtection="0">
      <protection locked="0"/>
    </xf>
    <xf numFmtId="0" fontId="205" fillId="0" borderId="73" applyFill="0"/>
    <xf numFmtId="171" fontId="205" fillId="0" borderId="73" applyFill="0"/>
    <xf numFmtId="0" fontId="206" fillId="0" borderId="79">
      <alignment horizontal="center"/>
    </xf>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225" fontId="12" fillId="0" borderId="0"/>
    <xf numFmtId="176" fontId="154" fillId="0" borderId="0" applyFont="0" applyFill="0" applyBorder="0" applyAlignment="0" applyProtection="0">
      <protection locked="0"/>
    </xf>
    <xf numFmtId="40" fontId="154" fillId="0" borderId="0" applyFont="0" applyFill="0" applyBorder="0" applyAlignment="0" applyProtection="0">
      <protection locked="0"/>
    </xf>
    <xf numFmtId="215" fontId="12" fillId="0" borderId="0" applyFont="0" applyFill="0" applyBorder="0" applyAlignment="0" applyProtection="0"/>
    <xf numFmtId="215" fontId="12" fillId="0" borderId="0" applyFont="0" applyFill="0" applyBorder="0" applyAlignment="0" applyProtection="0"/>
    <xf numFmtId="182" fontId="207" fillId="0" borderId="0" applyFont="0" applyFill="0" applyBorder="0" applyAlignment="0" applyProtection="0"/>
    <xf numFmtId="38" fontId="208" fillId="0" borderId="0" applyFont="0" applyFill="0" applyBorder="0" applyAlignment="0" applyProtection="0"/>
    <xf numFmtId="0" fontId="160" fillId="0" borderId="0" applyFont="0" applyFill="0" applyBorder="0" applyAlignment="0" applyProtection="0"/>
    <xf numFmtId="226" fontId="160" fillId="0" borderId="0" applyFont="0" applyFill="0" applyBorder="0" applyAlignment="0" applyProtection="0">
      <alignment horizontal="right"/>
    </xf>
    <xf numFmtId="176" fontId="20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0" fontId="160" fillId="0" borderId="0" applyFont="0" applyFill="0" applyBorder="0" applyAlignment="0" applyProtection="0"/>
    <xf numFmtId="227" fontId="160"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09" fillId="0" borderId="0" applyFont="0" applyFill="0" applyBorder="0" applyAlignment="0" applyProtection="0"/>
    <xf numFmtId="43" fontId="12"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228" fontId="1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0" fontId="1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60" fillId="0" borderId="0" applyFont="0" applyFill="0" applyBorder="0" applyAlignment="0" applyProtection="0"/>
    <xf numFmtId="3" fontId="12" fillId="0" borderId="0" applyFont="0" applyFill="0" applyBorder="0" applyAlignment="0" applyProtection="0"/>
    <xf numFmtId="0" fontId="210" fillId="0" borderId="0"/>
    <xf numFmtId="171" fontId="210" fillId="0" borderId="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229" fontId="12" fillId="0" borderId="0">
      <protection locked="0"/>
    </xf>
    <xf numFmtId="43" fontId="186" fillId="0" borderId="0" applyFont="0" applyFill="0" applyBorder="0" applyAlignment="0" applyProtection="0"/>
    <xf numFmtId="0" fontId="12" fillId="4" borderId="10" applyNumberFormat="0" applyFont="0" applyAlignment="0" applyProtection="0"/>
    <xf numFmtId="230" fontId="211" fillId="0" borderId="25" applyBorder="0"/>
    <xf numFmtId="230" fontId="211" fillId="0" borderId="25" applyBorder="0"/>
    <xf numFmtId="230" fontId="211" fillId="0" borderId="25" applyBorder="0"/>
    <xf numFmtId="230" fontId="211" fillId="0" borderId="25" applyBorder="0"/>
    <xf numFmtId="230" fontId="211" fillId="0" borderId="25" applyBorder="0"/>
    <xf numFmtId="230" fontId="211" fillId="0" borderId="25" applyBorder="0"/>
    <xf numFmtId="1" fontId="212" fillId="0" borderId="0" applyNumberFormat="0" applyBorder="0" applyAlignment="0" applyProtection="0">
      <alignment horizontal="right"/>
    </xf>
    <xf numFmtId="0" fontId="213" fillId="0" borderId="0" applyNumberFormat="0" applyAlignment="0">
      <alignment horizontal="left"/>
    </xf>
    <xf numFmtId="0" fontId="213" fillId="0" borderId="0" applyNumberFormat="0" applyAlignment="0">
      <alignment horizontal="left"/>
    </xf>
    <xf numFmtId="171" fontId="213" fillId="0" borderId="0" applyNumberFormat="0" applyAlignment="0">
      <alignment horizontal="left"/>
    </xf>
    <xf numFmtId="171" fontId="213" fillId="0" borderId="0" applyNumberFormat="0" applyAlignment="0">
      <alignment horizontal="left"/>
    </xf>
    <xf numFmtId="0" fontId="214" fillId="0" borderId="0" applyNumberFormat="0" applyAlignment="0"/>
    <xf numFmtId="171" fontId="214" fillId="0" borderId="0" applyNumberFormat="0" applyAlignment="0"/>
    <xf numFmtId="0" fontId="12" fillId="118" borderId="0" applyNumberFormat="0" applyFont="0" applyBorder="0" applyAlignment="0"/>
    <xf numFmtId="0" fontId="215" fillId="0" borderId="0">
      <alignment horizontal="left"/>
    </xf>
    <xf numFmtId="0" fontId="216" fillId="0" borderId="0">
      <alignment horizontal="left" vertical="center" indent="2"/>
    </xf>
    <xf numFmtId="0" fontId="217" fillId="0" borderId="0"/>
    <xf numFmtId="0" fontId="218" fillId="0" borderId="0">
      <alignment horizontal="left"/>
    </xf>
    <xf numFmtId="231" fontId="12" fillId="0" borderId="0" applyFont="0" applyFill="0" applyBorder="0" applyAlignment="0" applyProtection="0"/>
    <xf numFmtId="210" fontId="154" fillId="0" borderId="0" applyFont="0" applyFill="0" applyBorder="0" applyAlignment="0" applyProtection="0">
      <protection locked="0"/>
    </xf>
    <xf numFmtId="174" fontId="154" fillId="0" borderId="0" applyFont="0" applyFill="0" applyBorder="0" applyAlignment="0" applyProtection="0">
      <protection locked="0"/>
    </xf>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0" fontId="12" fillId="0" borderId="0" applyFont="0" applyFill="0" applyBorder="0" applyAlignment="0" applyProtection="0"/>
    <xf numFmtId="232" fontId="167" fillId="0" borderId="0" applyFont="0" applyFill="0" applyBorder="0" applyAlignment="0" applyProtection="0"/>
    <xf numFmtId="232" fontId="167" fillId="0" borderId="0" applyFont="0" applyFill="0" applyBorder="0" applyAlignment="0" applyProtection="0"/>
    <xf numFmtId="233" fontId="219" fillId="0" borderId="80" applyBorder="0"/>
    <xf numFmtId="215" fontId="12" fillId="0" borderId="0" applyFont="0" applyFill="0" applyBorder="0" applyAlignment="0" applyProtection="0"/>
    <xf numFmtId="215" fontId="12" fillId="0" borderId="0" applyFont="0" applyFill="0" applyBorder="0" applyAlignment="0" applyProtection="0"/>
    <xf numFmtId="234" fontId="177" fillId="0" borderId="0" applyFont="0" applyFill="0" applyBorder="0" applyAlignment="0" applyProtection="0"/>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171"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0" fontId="220" fillId="0" borderId="81">
      <protection locked="0"/>
    </xf>
    <xf numFmtId="235" fontId="154" fillId="0" borderId="69" applyFont="0" applyFill="0" applyBorder="0" applyAlignment="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190" fontId="2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9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37" fontId="160" fillId="0" borderId="0" applyFont="0" applyFill="0" applyBorder="0" applyAlignment="0" applyProtection="0"/>
    <xf numFmtId="0" fontId="160" fillId="0" borderId="0" applyFont="0" applyFill="0" applyBorder="0" applyAlignment="0" applyProtection="0">
      <alignment horizontal="right"/>
    </xf>
    <xf numFmtId="44" fontId="76" fillId="0" borderId="0" applyFont="0" applyFill="0" applyBorder="0" applyAlignment="0" applyProtection="0"/>
    <xf numFmtId="44" fontId="76" fillId="0" borderId="0" applyFont="0" applyFill="0" applyBorder="0" applyAlignment="0" applyProtection="0"/>
    <xf numFmtId="238" fontId="160" fillId="0" borderId="0" applyFont="0" applyFill="0" applyBorder="0" applyAlignment="0" applyProtection="0"/>
    <xf numFmtId="239" fontId="221" fillId="0" borderId="0" applyFont="0" applyFill="0" applyBorder="0" applyAlignment="0" applyProtection="0">
      <alignment vertical="center"/>
    </xf>
    <xf numFmtId="190" fontId="12" fillId="0" borderId="0" applyFont="0" applyFill="0" applyBorder="0" applyAlignment="0" applyProtection="0"/>
    <xf numFmtId="19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2" fontId="210" fillId="0" borderId="0">
      <protection locked="0"/>
    </xf>
    <xf numFmtId="0" fontId="160" fillId="0" borderId="0" applyFont="0" applyFill="0" applyBorder="0" applyAlignment="0" applyProtection="0"/>
    <xf numFmtId="193" fontId="178" fillId="0" borderId="0" applyFill="0" applyBorder="0">
      <alignment vertical="center"/>
    </xf>
    <xf numFmtId="243" fontId="12" fillId="0" borderId="0" applyFont="0" applyFill="0" applyBorder="0" applyAlignment="0" applyProtection="0"/>
    <xf numFmtId="243" fontId="12" fillId="0" borderId="0" applyFont="0" applyFill="0" applyBorder="0" applyAlignment="0" applyProtection="0"/>
    <xf numFmtId="244" fontId="12" fillId="0" borderId="0" applyFont="0" applyFill="0" applyBorder="0" applyAlignment="0" applyProtection="0"/>
    <xf numFmtId="244" fontId="12" fillId="0" borderId="0" applyFont="0" applyFill="0" applyBorder="0" applyAlignment="0" applyProtection="0"/>
    <xf numFmtId="218" fontId="159" fillId="0" borderId="0" applyFill="0" applyBorder="0"/>
    <xf numFmtId="0" fontId="167" fillId="0" borderId="0"/>
    <xf numFmtId="0" fontId="24" fillId="15" borderId="0" applyNumberFormat="0" applyBorder="0" applyAlignment="0" applyProtection="0"/>
    <xf numFmtId="171" fontId="24" fillId="15" borderId="0" applyNumberFormat="0" applyBorder="0" applyAlignment="0" applyProtection="0"/>
    <xf numFmtId="245" fontId="162" fillId="0" borderId="0" applyFont="0" applyFill="0" applyBorder="0" applyAlignment="0" applyProtection="0"/>
    <xf numFmtId="245" fontId="162" fillId="0" borderId="0" applyFont="0" applyFill="0" applyBorder="0" applyAlignment="0" applyProtection="0"/>
    <xf numFmtId="0" fontId="222" fillId="0" borderId="0" applyNumberFormat="0">
      <alignment horizontal="right"/>
    </xf>
    <xf numFmtId="0" fontId="222" fillId="0" borderId="0" applyNumberFormat="0">
      <alignment horizontal="right"/>
    </xf>
    <xf numFmtId="246" fontId="223" fillId="0" borderId="0" applyNumberFormat="0" applyFill="0" applyBorder="0" applyAlignment="0">
      <protection locked="0"/>
    </xf>
    <xf numFmtId="230" fontId="224" fillId="0" borderId="0">
      <protection locked="0"/>
    </xf>
    <xf numFmtId="15" fontId="169" fillId="0" borderId="0" applyFont="0" applyFill="0" applyBorder="0" applyAlignment="0" applyProtection="0">
      <protection locked="0"/>
    </xf>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9" fontId="206" fillId="0" borderId="82"/>
    <xf numFmtId="249" fontId="206" fillId="0" borderId="82"/>
    <xf numFmtId="249" fontId="206" fillId="0" borderId="82"/>
    <xf numFmtId="249" fontId="206" fillId="0" borderId="82"/>
    <xf numFmtId="249" fontId="206" fillId="0" borderId="82"/>
    <xf numFmtId="249" fontId="206" fillId="0" borderId="82"/>
    <xf numFmtId="249" fontId="206" fillId="0" borderId="82"/>
    <xf numFmtId="249" fontId="206" fillId="0" borderId="82"/>
    <xf numFmtId="249" fontId="206" fillId="0" borderId="82"/>
    <xf numFmtId="0" fontId="160" fillId="0" borderId="0" applyFont="0" applyFill="0" applyBorder="0" applyAlignment="0" applyProtection="0"/>
    <xf numFmtId="0" fontId="160" fillId="0" borderId="0" applyFont="0" applyFill="0" applyBorder="0" applyAlignment="0" applyProtection="0"/>
    <xf numFmtId="250" fontId="160" fillId="0" borderId="0" applyFont="0" applyFill="0" applyBorder="0" applyAlignment="0" applyProtection="0"/>
    <xf numFmtId="14" fontId="45" fillId="0" borderId="0" applyFill="0" applyBorder="0" applyAlignment="0"/>
    <xf numFmtId="194" fontId="178" fillId="0" borderId="0" applyFill="0" applyBorder="0">
      <alignment vertical="center"/>
    </xf>
    <xf numFmtId="251" fontId="12" fillId="0" borderId="0" applyFont="0" applyFill="0" applyBorder="0" applyAlignment="0" applyProtection="0"/>
    <xf numFmtId="15" fontId="221" fillId="0" borderId="0">
      <alignment horizontal="right" vertical="center"/>
    </xf>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252" fontId="12" fillId="0" borderId="0" applyFont="0" applyFill="0" applyBorder="0" applyAlignment="0" applyProtection="0"/>
    <xf numFmtId="25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43" fillId="0" borderId="0"/>
    <xf numFmtId="171" fontId="143" fillId="0" borderId="0"/>
    <xf numFmtId="253" fontId="12"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53" fontId="12" fillId="0" borderId="0" applyFont="0" applyFill="0" applyBorder="0" applyAlignment="0" applyProtection="0"/>
    <xf numFmtId="254" fontId="21" fillId="119" borderId="0">
      <alignment horizontal="right"/>
    </xf>
    <xf numFmtId="38" fontId="225" fillId="0" borderId="83">
      <alignment vertical="center"/>
    </xf>
    <xf numFmtId="49" fontId="212" fillId="24" borderId="0" applyNumberFormat="0" applyFill="0" applyBorder="0">
      <alignment horizontal="left"/>
    </xf>
    <xf numFmtId="41" fontId="12" fillId="0" borderId="0" applyFont="0" applyFill="0" applyBorder="0" applyAlignment="0" applyProtection="0"/>
    <xf numFmtId="40" fontId="226" fillId="0" borderId="0" applyFont="0" applyFill="0" applyBorder="0" applyAlignment="0" applyProtection="0"/>
    <xf numFmtId="43" fontId="12" fillId="0" borderId="0" applyFont="0" applyFill="0" applyBorder="0" applyAlignment="0" applyProtection="0"/>
    <xf numFmtId="255" fontId="12" fillId="0" borderId="76"/>
    <xf numFmtId="49" fontId="227" fillId="0" borderId="0"/>
    <xf numFmtId="256" fontId="228" fillId="0" borderId="0" applyFont="0" applyFill="0" applyBorder="0" applyAlignment="0" applyProtection="0"/>
    <xf numFmtId="0" fontId="160" fillId="0" borderId="84" applyNumberFormat="0" applyFont="0" applyFill="0" applyAlignment="0" applyProtection="0"/>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230" fontId="229" fillId="0" borderId="15"/>
    <xf numFmtId="0" fontId="12" fillId="0" borderId="85"/>
    <xf numFmtId="0" fontId="40" fillId="120" borderId="0" applyNumberFormat="0" applyBorder="0" applyAlignment="0" applyProtection="0"/>
    <xf numFmtId="0" fontId="40" fillId="121" borderId="0" applyNumberFormat="0" applyBorder="0" applyAlignment="0" applyProtection="0"/>
    <xf numFmtId="0" fontId="40" fillId="122" borderId="0" applyNumberFormat="0" applyBorder="0" applyAlignment="0" applyProtection="0"/>
    <xf numFmtId="0" fontId="40" fillId="123" borderId="0" applyNumberFormat="0" applyBorder="0" applyAlignment="0" applyProtection="0"/>
    <xf numFmtId="0" fontId="40" fillId="124" borderId="0" applyNumberFormat="0" applyBorder="0" applyAlignment="0" applyProtection="0"/>
    <xf numFmtId="0" fontId="40" fillId="124" borderId="0" applyNumberFormat="0" applyBorder="0" applyAlignment="0" applyProtection="0"/>
    <xf numFmtId="257" fontId="230" fillId="0" borderId="86"/>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0" fontId="231" fillId="0" borderId="0" applyNumberFormat="0" applyAlignment="0">
      <alignment horizontal="left"/>
    </xf>
    <xf numFmtId="0" fontId="231" fillId="0" borderId="0" applyNumberFormat="0" applyAlignment="0">
      <alignment horizontal="left"/>
    </xf>
    <xf numFmtId="171" fontId="231" fillId="0" borderId="0" applyNumberFormat="0" applyAlignment="0">
      <alignment horizontal="left"/>
    </xf>
    <xf numFmtId="171" fontId="231" fillId="0" borderId="0" applyNumberFormat="0" applyAlignment="0">
      <alignment horizontal="left"/>
    </xf>
    <xf numFmtId="0" fontId="34" fillId="3" borderId="3" applyNumberFormat="0" applyAlignment="0" applyProtection="0"/>
    <xf numFmtId="258" fontId="21" fillId="0" borderId="0" applyFill="0" applyBorder="0" applyAlignment="0" applyProtection="0"/>
    <xf numFmtId="259" fontId="12" fillId="0" borderId="0" applyFont="0" applyFill="0" applyBorder="0" applyAlignment="0" applyProtection="0"/>
    <xf numFmtId="259" fontId="12" fillId="0" borderId="0" applyFont="0" applyFill="0" applyBorder="0" applyAlignment="0" applyProtection="0"/>
    <xf numFmtId="17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1" fontId="12" fillId="0" borderId="0" applyFont="0" applyFill="0" applyBorder="0" applyAlignment="0" applyProtection="0"/>
    <xf numFmtId="172" fontId="12" fillId="0" borderId="0" applyFont="0" applyFill="0" applyBorder="0" applyAlignment="0" applyProtection="0"/>
    <xf numFmtId="0" fontId="28" fillId="0" borderId="0" applyNumberFormat="0" applyFill="0" applyBorder="0" applyAlignment="0" applyProtection="0"/>
    <xf numFmtId="171" fontId="28" fillId="0" borderId="0" applyNumberFormat="0" applyFill="0" applyBorder="0" applyAlignment="0" applyProtection="0"/>
    <xf numFmtId="0" fontId="28" fillId="0" borderId="0" applyNumberFormat="0" applyFill="0" applyBorder="0" applyAlignment="0" applyProtection="0"/>
    <xf numFmtId="171" fontId="232" fillId="0" borderId="0" applyNumberFormat="0" applyFill="0" applyBorder="0" applyAlignment="0" applyProtection="0"/>
    <xf numFmtId="0" fontId="232" fillId="0" borderId="0" applyNumberFormat="0" applyFill="0" applyBorder="0" applyAlignment="0" applyProtection="0"/>
    <xf numFmtId="0" fontId="28" fillId="0" borderId="0" applyNumberFormat="0" applyFill="0" applyBorder="0" applyAlignment="0" applyProtection="0"/>
    <xf numFmtId="171" fontId="86" fillId="0" borderId="0" applyNumberFormat="0" applyFill="0" applyBorder="0" applyAlignment="0" applyProtection="0"/>
    <xf numFmtId="172" fontId="86" fillId="0" borderId="0" applyNumberFormat="0" applyFill="0" applyBorder="0" applyAlignment="0" applyProtection="0"/>
    <xf numFmtId="171" fontId="28" fillId="0" borderId="0" applyNumberFormat="0" applyFill="0" applyBorder="0" applyAlignment="0" applyProtection="0"/>
    <xf numFmtId="0" fontId="28" fillId="0" borderId="0" applyNumberFormat="0" applyFill="0" applyBorder="0" applyAlignment="0" applyProtection="0"/>
    <xf numFmtId="171" fontId="28" fillId="0" borderId="0" applyNumberFormat="0" applyFill="0" applyBorder="0" applyAlignment="0" applyProtection="0"/>
    <xf numFmtId="0" fontId="28" fillId="0" borderId="0" applyNumberFormat="0" applyFill="0" applyBorder="0" applyAlignment="0" applyProtection="0"/>
    <xf numFmtId="171" fontId="28" fillId="0" borderId="0" applyNumberFormat="0" applyFill="0" applyBorder="0" applyAlignment="0" applyProtection="0"/>
    <xf numFmtId="0" fontId="28" fillId="0" borderId="0" applyNumberFormat="0" applyFill="0" applyBorder="0" applyAlignment="0" applyProtection="0"/>
    <xf numFmtId="171" fontId="28" fillId="0" borderId="0" applyNumberFormat="0" applyFill="0" applyBorder="0" applyAlignment="0" applyProtection="0"/>
    <xf numFmtId="0" fontId="28" fillId="0" borderId="0" applyNumberFormat="0" applyFill="0" applyBorder="0" applyAlignment="0" applyProtection="0"/>
    <xf numFmtId="171" fontId="28" fillId="0" borderId="0" applyNumberFormat="0" applyFill="0" applyBorder="0" applyAlignment="0" applyProtection="0"/>
    <xf numFmtId="176" fontId="212" fillId="84" borderId="0" applyFill="0" applyBorder="0">
      <alignment horizontal="center"/>
    </xf>
    <xf numFmtId="0" fontId="233" fillId="0" borderId="0" applyFont="0" applyFill="0" applyBorder="0" applyAlignment="0" applyProtection="0"/>
    <xf numFmtId="171" fontId="233" fillId="0" borderId="0" applyFont="0" applyFill="0" applyBorder="0" applyAlignment="0" applyProtection="0"/>
    <xf numFmtId="40" fontId="234" fillId="0" borderId="76" applyBorder="0"/>
    <xf numFmtId="2" fontId="233" fillId="0" borderId="0" applyFont="0" applyFill="0" applyBorder="0" applyAlignment="0" applyProtection="0"/>
    <xf numFmtId="219" fontId="12" fillId="0" borderId="0">
      <protection locked="0"/>
    </xf>
    <xf numFmtId="219" fontId="12" fillId="0" borderId="0">
      <protection locked="0"/>
    </xf>
    <xf numFmtId="169" fontId="235" fillId="0" borderId="0" applyFont="0" applyFill="0" applyBorder="0">
      <alignment horizontal="right"/>
      <protection locked="0"/>
    </xf>
    <xf numFmtId="0" fontId="236" fillId="0" borderId="0">
      <alignment horizontal="left"/>
    </xf>
    <xf numFmtId="0" fontId="237" fillId="0" borderId="0">
      <alignment horizontal="left"/>
    </xf>
    <xf numFmtId="0" fontId="238" fillId="0" borderId="0" applyFill="0" applyBorder="0" applyProtection="0">
      <alignment horizontal="left"/>
    </xf>
    <xf numFmtId="0" fontId="238" fillId="0" borderId="0" applyNumberFormat="0" applyFill="0" applyBorder="0" applyProtection="0">
      <alignment horizontal="left"/>
    </xf>
    <xf numFmtId="0" fontId="238" fillId="0" borderId="0">
      <alignment horizontal="left"/>
    </xf>
    <xf numFmtId="0" fontId="239" fillId="0" borderId="0" applyNumberFormat="0" applyFill="0" applyBorder="0" applyAlignment="0" applyProtection="0"/>
    <xf numFmtId="0" fontId="239" fillId="0" borderId="0" applyNumberFormat="0" applyFill="0" applyBorder="0" applyAlignment="0" applyProtection="0"/>
    <xf numFmtId="171" fontId="239" fillId="0" borderId="0" applyNumberFormat="0" applyFill="0" applyBorder="0" applyAlignment="0" applyProtection="0"/>
    <xf numFmtId="171" fontId="239" fillId="0" borderId="0" applyNumberFormat="0" applyFill="0" applyBorder="0" applyAlignment="0" applyProtection="0"/>
    <xf numFmtId="0" fontId="240" fillId="125" borderId="0">
      <alignment horizontal="right" vertical="center"/>
    </xf>
    <xf numFmtId="171" fontId="240" fillId="125" borderId="0">
      <alignment horizontal="right" vertical="center"/>
    </xf>
    <xf numFmtId="0" fontId="28" fillId="0" borderId="0" applyNumberFormat="0" applyFill="0" applyBorder="0" applyAlignment="0" applyProtection="0"/>
    <xf numFmtId="171" fontId="28" fillId="0" borderId="0" applyNumberFormat="0" applyFill="0" applyBorder="0" applyAlignment="0" applyProtection="0"/>
    <xf numFmtId="0" fontId="12" fillId="0" borderId="33">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27" borderId="25">
      <alignment vertical="top"/>
    </xf>
    <xf numFmtId="0" fontId="12" fillId="65" borderId="0">
      <alignment vertical="top"/>
    </xf>
    <xf numFmtId="260" fontId="167" fillId="0" borderId="0" applyFont="0" applyFill="0" applyBorder="0" applyAlignment="0" applyProtection="0"/>
    <xf numFmtId="260" fontId="167" fillId="0" borderId="0" applyFont="0" applyFill="0" applyBorder="0" applyAlignment="0" applyProtection="0"/>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24" fontId="12" fillId="0" borderId="0" applyFont="0" applyFill="0" applyBorder="0" applyAlignment="0" applyProtection="0">
      <alignment horizontal="center"/>
    </xf>
    <xf numFmtId="261" fontId="168" fillId="126" borderId="30" applyBorder="0" applyAlignment="0" applyProtection="0"/>
    <xf numFmtId="261" fontId="168" fillId="126" borderId="30" applyBorder="0" applyAlignment="0" applyProtection="0"/>
    <xf numFmtId="261" fontId="168" fillId="126" borderId="3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9" fillId="18"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27" borderId="0" applyNumberFormat="0" applyBorder="0" applyAlignment="0" applyProtection="0"/>
    <xf numFmtId="0" fontId="29" fillId="127" borderId="0" applyNumberFormat="0" applyBorder="0" applyAlignment="0" applyProtection="0"/>
    <xf numFmtId="0" fontId="29" fillId="18" borderId="0" applyNumberFormat="0" applyBorder="0" applyAlignment="0" applyProtection="0"/>
    <xf numFmtId="171" fontId="88" fillId="66" borderId="0" applyNumberFormat="0" applyBorder="0" applyAlignment="0" applyProtection="0"/>
    <xf numFmtId="172" fontId="88" fillId="66"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8" borderId="0" applyNumberFormat="0" applyBorder="0" applyAlignment="0" applyProtection="0"/>
    <xf numFmtId="0" fontId="29" fillId="18" borderId="0" applyNumberFormat="0" applyBorder="0" applyAlignment="0" applyProtection="0"/>
    <xf numFmtId="171" fontId="29" fillId="18" borderId="0" applyNumberFormat="0" applyBorder="0" applyAlignment="0" applyProtection="0"/>
    <xf numFmtId="262" fontId="159" fillId="128" borderId="0" applyNumberFormat="0" applyBorder="0" applyAlignment="0" applyProtection="0">
      <alignment horizontal="right"/>
    </xf>
    <xf numFmtId="38" fontId="21" fillId="84" borderId="0" applyNumberFormat="0" applyBorder="0" applyAlignment="0" applyProtection="0"/>
    <xf numFmtId="38" fontId="21" fillId="84" borderId="0" applyNumberFormat="0" applyBorder="0" applyAlignment="0" applyProtection="0"/>
    <xf numFmtId="0" fontId="160" fillId="0" borderId="0" applyFont="0" applyFill="0" applyBorder="0" applyAlignment="0" applyProtection="0">
      <alignment horizontal="right"/>
    </xf>
    <xf numFmtId="263" fontId="159" fillId="0" borderId="0">
      <alignment horizontal="right"/>
    </xf>
    <xf numFmtId="0" fontId="30" fillId="16" borderId="5"/>
    <xf numFmtId="0" fontId="241" fillId="0" borderId="0">
      <alignment horizontal="left"/>
    </xf>
    <xf numFmtId="0" fontId="30" fillId="16" borderId="5"/>
    <xf numFmtId="0" fontId="63" fillId="0" borderId="86" applyNumberFormat="0" applyAlignment="0" applyProtection="0">
      <alignment horizontal="left" vertical="center"/>
    </xf>
    <xf numFmtId="0" fontId="63" fillId="0" borderId="86" applyNumberFormat="0" applyAlignment="0" applyProtection="0">
      <alignment horizontal="left" vertical="center"/>
    </xf>
    <xf numFmtId="171" fontId="63" fillId="0" borderId="86" applyNumberFormat="0" applyAlignment="0" applyProtection="0">
      <alignment horizontal="left" vertical="center"/>
    </xf>
    <xf numFmtId="0" fontId="63" fillId="0" borderId="86" applyNumberFormat="0" applyAlignment="0" applyProtection="0">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171" fontId="63" fillId="0" borderId="17">
      <alignment horizontal="left" vertical="center"/>
    </xf>
    <xf numFmtId="171" fontId="63" fillId="0" borderId="17">
      <alignment horizontal="left" vertical="center"/>
    </xf>
    <xf numFmtId="171" fontId="63" fillId="0" borderId="17">
      <alignment horizontal="left" vertical="center"/>
    </xf>
    <xf numFmtId="171"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0" fontId="63" fillId="0" borderId="17">
      <alignment horizontal="left" vertical="center"/>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37" fontId="12" fillId="16" borderId="0">
      <alignment horizontal="right"/>
    </xf>
    <xf numFmtId="0" fontId="242" fillId="0" borderId="0">
      <alignment horizontal="center"/>
    </xf>
    <xf numFmtId="0" fontId="242" fillId="0" borderId="0">
      <alignment horizontal="center"/>
    </xf>
    <xf numFmtId="0" fontId="243" fillId="0" borderId="34" applyNumberFormat="0" applyFill="0" applyAlignment="0" applyProtection="0"/>
    <xf numFmtId="171" fontId="243" fillId="0" borderId="34" applyNumberFormat="0" applyFill="0" applyAlignment="0" applyProtection="0"/>
    <xf numFmtId="0" fontId="244" fillId="0" borderId="35" applyNumberFormat="0" applyFill="0" applyAlignment="0" applyProtection="0"/>
    <xf numFmtId="171" fontId="244" fillId="0" borderId="35" applyNumberFormat="0" applyFill="0" applyAlignment="0" applyProtection="0"/>
    <xf numFmtId="0" fontId="31" fillId="0" borderId="87" applyNumberFormat="0" applyFill="0" applyAlignment="0" applyProtection="0"/>
    <xf numFmtId="0" fontId="243" fillId="0" borderId="34" applyNumberFormat="0" applyFill="0" applyAlignment="0" applyProtection="0"/>
    <xf numFmtId="171" fontId="90" fillId="0" borderId="35" applyNumberFormat="0" applyFill="0" applyAlignment="0" applyProtection="0"/>
    <xf numFmtId="172" fontId="90" fillId="0" borderId="35" applyNumberFormat="0" applyFill="0" applyAlignment="0" applyProtection="0"/>
    <xf numFmtId="0" fontId="243" fillId="0" borderId="34" applyNumberFormat="0" applyFill="0" applyAlignment="0" applyProtection="0"/>
    <xf numFmtId="171" fontId="243" fillId="0" borderId="34" applyNumberFormat="0" applyFill="0" applyAlignment="0" applyProtection="0"/>
    <xf numFmtId="0" fontId="243" fillId="0" borderId="34" applyNumberFormat="0" applyFill="0" applyAlignment="0" applyProtection="0"/>
    <xf numFmtId="171" fontId="243" fillId="0" borderId="34" applyNumberFormat="0" applyFill="0" applyAlignment="0" applyProtection="0"/>
    <xf numFmtId="0" fontId="243" fillId="0" borderId="34" applyNumberFormat="0" applyFill="0" applyAlignment="0" applyProtection="0"/>
    <xf numFmtId="171" fontId="243" fillId="0" borderId="34" applyNumberFormat="0" applyFill="0" applyAlignment="0" applyProtection="0"/>
    <xf numFmtId="0" fontId="243" fillId="0" borderId="34" applyNumberFormat="0" applyFill="0" applyAlignment="0" applyProtection="0"/>
    <xf numFmtId="171" fontId="243" fillId="0" borderId="34" applyNumberFormat="0" applyFill="0" applyAlignment="0" applyProtection="0"/>
    <xf numFmtId="0" fontId="243" fillId="0" borderId="34" applyNumberFormat="0" applyFill="0" applyAlignment="0" applyProtection="0"/>
    <xf numFmtId="171" fontId="243" fillId="0" borderId="34" applyNumberFormat="0" applyFill="0" applyAlignment="0" applyProtection="0"/>
    <xf numFmtId="0" fontId="245" fillId="0" borderId="0">
      <alignment horizontal="left"/>
    </xf>
    <xf numFmtId="0" fontId="246" fillId="0" borderId="0" applyFill="0" applyBorder="0">
      <alignment vertical="center"/>
    </xf>
    <xf numFmtId="0" fontId="247" fillId="0" borderId="20">
      <alignment horizontal="left" vertical="top"/>
    </xf>
    <xf numFmtId="0" fontId="248" fillId="0" borderId="7" applyNumberFormat="0" applyFill="0" applyAlignment="0" applyProtection="0"/>
    <xf numFmtId="171" fontId="248" fillId="0" borderId="7" applyNumberFormat="0" applyFill="0" applyAlignment="0" applyProtection="0"/>
    <xf numFmtId="0" fontId="249" fillId="0" borderId="36" applyNumberFormat="0" applyFill="0" applyAlignment="0" applyProtection="0"/>
    <xf numFmtId="171" fontId="249" fillId="0" borderId="36" applyNumberFormat="0" applyFill="0" applyAlignment="0" applyProtection="0"/>
    <xf numFmtId="171" fontId="32" fillId="0" borderId="7" applyNumberFormat="0" applyFill="0" applyAlignment="0" applyProtection="0"/>
    <xf numFmtId="0" fontId="248" fillId="0" borderId="7" applyNumberFormat="0" applyFill="0" applyAlignment="0" applyProtection="0"/>
    <xf numFmtId="171" fontId="92" fillId="0" borderId="36" applyNumberFormat="0" applyFill="0" applyAlignment="0" applyProtection="0"/>
    <xf numFmtId="172" fontId="92" fillId="0" borderId="36"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50" fillId="0" borderId="0">
      <alignment horizontal="left"/>
    </xf>
    <xf numFmtId="0" fontId="251" fillId="0" borderId="0" applyFill="0" applyBorder="0">
      <alignment vertical="center"/>
    </xf>
    <xf numFmtId="0" fontId="252" fillId="0" borderId="20">
      <alignment horizontal="left" vertical="top"/>
    </xf>
    <xf numFmtId="0" fontId="253" fillId="0" borderId="37" applyNumberFormat="0" applyFill="0" applyAlignment="0" applyProtection="0"/>
    <xf numFmtId="171" fontId="253" fillId="0" borderId="37" applyNumberFormat="0" applyFill="0" applyAlignment="0" applyProtection="0"/>
    <xf numFmtId="0" fontId="33" fillId="0" borderId="75" applyNumberFormat="0" applyFill="0" applyAlignment="0" applyProtection="0"/>
    <xf numFmtId="0" fontId="253" fillId="0" borderId="37" applyNumberFormat="0" applyFill="0" applyAlignment="0" applyProtection="0"/>
    <xf numFmtId="171" fontId="94" fillId="0" borderId="38" applyNumberFormat="0" applyFill="0" applyAlignment="0" applyProtection="0"/>
    <xf numFmtId="172" fontId="94" fillId="0" borderId="38"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4" fillId="0" borderId="0" applyFill="0" applyBorder="0">
      <alignment vertical="center"/>
    </xf>
    <xf numFmtId="0" fontId="255" fillId="0" borderId="0">
      <alignment horizontal="left"/>
    </xf>
    <xf numFmtId="0" fontId="253" fillId="0" borderId="0" applyNumberFormat="0" applyFill="0" applyBorder="0" applyAlignment="0" applyProtection="0"/>
    <xf numFmtId="171" fontId="253" fillId="0" borderId="0" applyNumberFormat="0" applyFill="0" applyBorder="0" applyAlignment="0" applyProtection="0"/>
    <xf numFmtId="0" fontId="33" fillId="0" borderId="0" applyNumberFormat="0" applyFill="0" applyBorder="0" applyAlignment="0" applyProtection="0"/>
    <xf numFmtId="0" fontId="253" fillId="0" borderId="0" applyNumberFormat="0" applyFill="0" applyBorder="0" applyAlignment="0" applyProtection="0"/>
    <xf numFmtId="171" fontId="94" fillId="0" borderId="0" applyNumberFormat="0" applyFill="0" applyBorder="0" applyAlignment="0" applyProtection="0"/>
    <xf numFmtId="172" fontId="94" fillId="0" borderId="0" applyNumberFormat="0" applyFill="0" applyBorder="0" applyAlignment="0" applyProtection="0"/>
    <xf numFmtId="171" fontId="253" fillId="0" borderId="0" applyNumberFormat="0" applyFill="0" applyBorder="0" applyAlignment="0" applyProtection="0"/>
    <xf numFmtId="171" fontId="253" fillId="0" borderId="0" applyNumberFormat="0" applyFill="0" applyBorder="0" applyAlignment="0" applyProtection="0"/>
    <xf numFmtId="0" fontId="253" fillId="0" borderId="0" applyNumberFormat="0" applyFill="0" applyBorder="0" applyAlignment="0" applyProtection="0"/>
    <xf numFmtId="171" fontId="253" fillId="0" borderId="0" applyNumberFormat="0" applyFill="0" applyBorder="0" applyAlignment="0" applyProtection="0"/>
    <xf numFmtId="0" fontId="253" fillId="0" borderId="0" applyNumberFormat="0" applyFill="0" applyBorder="0" applyAlignment="0" applyProtection="0"/>
    <xf numFmtId="171" fontId="253" fillId="0" borderId="0" applyNumberFormat="0" applyFill="0" applyBorder="0" applyAlignment="0" applyProtection="0"/>
    <xf numFmtId="0" fontId="253" fillId="0" borderId="0" applyNumberFormat="0" applyFill="0" applyBorder="0" applyAlignment="0" applyProtection="0"/>
    <xf numFmtId="171" fontId="253" fillId="0" borderId="0" applyNumberFormat="0" applyFill="0" applyBorder="0" applyAlignment="0" applyProtection="0"/>
    <xf numFmtId="0" fontId="253" fillId="0" borderId="0" applyNumberFormat="0" applyFill="0" applyBorder="0" applyAlignment="0" applyProtection="0"/>
    <xf numFmtId="171" fontId="253" fillId="0" borderId="0" applyNumberFormat="0" applyFill="0" applyBorder="0" applyAlignment="0" applyProtection="0"/>
    <xf numFmtId="0" fontId="178" fillId="0" borderId="0" applyFill="0" applyBorder="0">
      <alignment vertical="center"/>
    </xf>
    <xf numFmtId="0" fontId="256" fillId="129" borderId="0">
      <alignment vertical="center"/>
    </xf>
    <xf numFmtId="0" fontId="257" fillId="129" borderId="0">
      <alignment horizontal="left" vertical="center"/>
    </xf>
    <xf numFmtId="264" fontId="45" fillId="0" borderId="0">
      <alignment horizontal="left"/>
    </xf>
    <xf numFmtId="264" fontId="45" fillId="0" borderId="0">
      <alignment horizontal="left"/>
    </xf>
    <xf numFmtId="0" fontId="256" fillId="0" borderId="0"/>
    <xf numFmtId="0" fontId="256" fillId="0" borderId="0"/>
    <xf numFmtId="0" fontId="109" fillId="0" borderId="0"/>
    <xf numFmtId="172" fontId="109" fillId="0" borderId="0"/>
    <xf numFmtId="0" fontId="109" fillId="0" borderId="0"/>
    <xf numFmtId="0" fontId="258" fillId="0" borderId="0">
      <alignment horizontal="left"/>
    </xf>
    <xf numFmtId="0" fontId="258" fillId="0" borderId="0">
      <alignment horizontal="left"/>
    </xf>
    <xf numFmtId="246" fontId="20" fillId="0" borderId="0" applyProtection="0"/>
    <xf numFmtId="246" fontId="20" fillId="0" borderId="0" applyProtection="0"/>
    <xf numFmtId="246" fontId="20" fillId="0" borderId="0" applyProtection="0"/>
    <xf numFmtId="246" fontId="20" fillId="0" borderId="0" applyProtection="0"/>
    <xf numFmtId="246" fontId="20" fillId="0" borderId="0" applyProtection="0"/>
    <xf numFmtId="246" fontId="20" fillId="0" borderId="0" applyProtection="0"/>
    <xf numFmtId="246" fontId="20" fillId="0" borderId="0" applyProtection="0"/>
    <xf numFmtId="0" fontId="185" fillId="0" borderId="0">
      <alignment horizontal="center"/>
    </xf>
    <xf numFmtId="171" fontId="185" fillId="0" borderId="0">
      <alignment horizontal="center"/>
    </xf>
    <xf numFmtId="0" fontId="259" fillId="0" borderId="0">
      <alignment vertical="center"/>
    </xf>
    <xf numFmtId="171" fontId="259" fillId="0" borderId="0">
      <alignment vertical="center"/>
    </xf>
    <xf numFmtId="0" fontId="260" fillId="0" borderId="0"/>
    <xf numFmtId="171" fontId="260" fillId="0" borderId="0"/>
    <xf numFmtId="265" fontId="14" fillId="0" borderId="0" applyAlignment="0">
      <alignment horizontal="right"/>
      <protection hidden="1"/>
    </xf>
    <xf numFmtId="266" fontId="172" fillId="118" borderId="0"/>
    <xf numFmtId="0" fontId="261" fillId="0" borderId="0" applyFill="0" applyBorder="0" applyAlignment="0">
      <protection locked="0"/>
    </xf>
    <xf numFmtId="0" fontId="261" fillId="0" borderId="0" applyFill="0" applyBorder="0" applyAlignment="0">
      <protection locked="0"/>
    </xf>
    <xf numFmtId="0" fontId="261" fillId="0" borderId="0" applyFill="0" applyBorder="0">
      <alignment horizontal="center" vertical="center"/>
    </xf>
    <xf numFmtId="0" fontId="261" fillId="0" borderId="0" applyFill="0" applyBorder="0">
      <alignment horizontal="center" vertical="center"/>
    </xf>
    <xf numFmtId="0" fontId="262" fillId="0" borderId="0" applyFill="0" applyBorder="0" applyAlignment="0">
      <protection locked="0"/>
    </xf>
    <xf numFmtId="0" fontId="262" fillId="0" borderId="0" applyFill="0" applyBorder="0" applyAlignment="0">
      <protection locked="0"/>
    </xf>
    <xf numFmtId="0" fontId="263" fillId="0" borderId="0" applyFill="0" applyBorder="0">
      <alignment vertical="center"/>
    </xf>
    <xf numFmtId="0" fontId="264" fillId="0" borderId="0" applyFill="0" applyBorder="0">
      <alignment vertical="center"/>
    </xf>
    <xf numFmtId="0" fontId="265" fillId="0" borderId="0" applyFill="0" applyBorder="0">
      <alignment vertical="center"/>
    </xf>
    <xf numFmtId="0" fontId="266" fillId="0" borderId="0" applyFill="0" applyBorder="0">
      <alignment vertical="center"/>
    </xf>
    <xf numFmtId="0" fontId="266" fillId="0" borderId="0" applyFill="0" applyBorder="0">
      <alignment vertical="center"/>
    </xf>
    <xf numFmtId="0" fontId="225" fillId="11" borderId="0"/>
    <xf numFmtId="171" fontId="225" fillId="11" borderId="0"/>
    <xf numFmtId="267" fontId="267" fillId="0" borderId="0" applyFont="0" applyBorder="0" applyAlignment="0" applyProtection="0"/>
    <xf numFmtId="268" fontId="268" fillId="0" borderId="0" applyFont="0" applyFill="0" applyBorder="0" applyAlignment="0" applyProtection="0"/>
    <xf numFmtId="0" fontId="214" fillId="0" borderId="0"/>
    <xf numFmtId="171" fontId="214" fillId="0" borderId="0"/>
    <xf numFmtId="0" fontId="269" fillId="0" borderId="0">
      <alignment horizontal="center" vertical="center"/>
    </xf>
    <xf numFmtId="0" fontId="269" fillId="0" borderId="0">
      <alignment horizontal="center" vertical="center"/>
    </xf>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10" fontId="21" fillId="110" borderId="25" applyNumberFormat="0" applyBorder="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269" fontId="270" fillId="0" borderId="0" applyNumberFormat="0" applyFill="0" applyBorder="0" applyAlignment="0">
      <protection locked="0"/>
    </xf>
    <xf numFmtId="0" fontId="271" fillId="0" borderId="0" applyNumberFormat="0" applyFill="0" applyBorder="0" applyAlignment="0">
      <protection locked="0"/>
    </xf>
    <xf numFmtId="171" fontId="271" fillId="0" borderId="0" applyNumberFormat="0" applyFill="0" applyBorder="0" applyAlignment="0">
      <protection locked="0"/>
    </xf>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272" fillId="130" borderId="88" applyNumberFormat="0" applyAlignment="0">
      <alignment vertical="center"/>
    </xf>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2" fontId="99" fillId="67" borderId="31" applyNumberFormat="0" applyAlignment="0" applyProtection="0"/>
    <xf numFmtId="0" fontId="34" fillId="3" borderId="3"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172"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99" fillId="67" borderId="31"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0" fontId="34" fillId="3" borderId="3" applyNumberFormat="0" applyAlignment="0" applyProtection="0"/>
    <xf numFmtId="171" fontId="34" fillId="3" borderId="3" applyNumberFormat="0" applyAlignment="0" applyProtection="0"/>
    <xf numFmtId="246" fontId="273" fillId="131" borderId="0"/>
    <xf numFmtId="15" fontId="274" fillId="118" borderId="0">
      <alignment horizontal="right" vertical="center"/>
      <protection locked="0"/>
    </xf>
    <xf numFmtId="270" fontId="274" fillId="118" borderId="0">
      <alignment horizontal="right" vertical="center"/>
      <protection locked="0"/>
    </xf>
    <xf numFmtId="271" fontId="274" fillId="118" borderId="0" applyProtection="0">
      <alignment horizontal="right" vertical="center"/>
      <protection locked="0"/>
    </xf>
    <xf numFmtId="223" fontId="274" fillId="118" borderId="0">
      <alignment horizontal="right" vertical="center"/>
      <protection locked="0"/>
    </xf>
    <xf numFmtId="272" fontId="274" fillId="118" borderId="0">
      <alignment horizontal="right" vertical="center"/>
      <protection locked="0"/>
    </xf>
    <xf numFmtId="4" fontId="175" fillId="0" borderId="89">
      <alignment horizontal="right" vertical="center"/>
    </xf>
    <xf numFmtId="10" fontId="275" fillId="132" borderId="0">
      <alignment horizontal="right"/>
      <protection locked="0"/>
    </xf>
    <xf numFmtId="211" fontId="169" fillId="133" borderId="0"/>
    <xf numFmtId="169" fontId="275" fillId="132" borderId="0">
      <alignment horizontal="right"/>
      <protection locked="0"/>
    </xf>
    <xf numFmtId="0" fontId="24" fillId="15" borderId="0" applyNumberFormat="0" applyBorder="0" applyAlignment="0" applyProtection="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0" fontId="276" fillId="84" borderId="0" applyNumberFormat="0" applyBorder="0" applyAlignment="0" applyProtection="0"/>
    <xf numFmtId="273" fontId="172" fillId="0" borderId="0" applyBorder="0">
      <alignment vertical="center"/>
      <protection locked="0"/>
    </xf>
    <xf numFmtId="0" fontId="12" fillId="134" borderId="0"/>
    <xf numFmtId="0" fontId="12" fillId="134" borderId="0"/>
    <xf numFmtId="171" fontId="12" fillId="134" borderId="0"/>
    <xf numFmtId="0" fontId="35" fillId="0" borderId="9" applyNumberFormat="0" applyFill="0" applyAlignment="0" applyProtection="0"/>
    <xf numFmtId="171" fontId="35" fillId="0" borderId="9" applyNumberFormat="0" applyFill="0" applyAlignment="0" applyProtection="0"/>
    <xf numFmtId="0" fontId="27" fillId="17" borderId="4" applyNumberFormat="0" applyAlignment="0" applyProtection="0"/>
    <xf numFmtId="171" fontId="27" fillId="17" borderId="4" applyNumberFormat="0" applyAlignment="0" applyProtection="0"/>
    <xf numFmtId="38" fontId="277" fillId="0" borderId="0"/>
    <xf numFmtId="38" fontId="278" fillId="0" borderId="0"/>
    <xf numFmtId="38" fontId="279" fillId="0" borderId="0"/>
    <xf numFmtId="38" fontId="280" fillId="0" borderId="0"/>
    <xf numFmtId="0" fontId="186" fillId="0" borderId="0"/>
    <xf numFmtId="0" fontId="186" fillId="0" borderId="0"/>
    <xf numFmtId="0" fontId="186" fillId="0" borderId="0"/>
    <xf numFmtId="0" fontId="186" fillId="0" borderId="0"/>
    <xf numFmtId="274" fontId="159" fillId="135" borderId="0" applyFill="0" applyProtection="0">
      <alignment horizontal="left"/>
    </xf>
    <xf numFmtId="0" fontId="281" fillId="0" borderId="0"/>
    <xf numFmtId="171" fontId="281" fillId="0" borderId="0"/>
    <xf numFmtId="0" fontId="159" fillId="0" borderId="0" applyNumberFormat="0" applyFill="0" applyBorder="0">
      <alignment horizontal="left"/>
    </xf>
    <xf numFmtId="171" fontId="159" fillId="0" borderId="0" applyNumberFormat="0" applyFill="0" applyBorder="0">
      <alignment horizontal="left"/>
    </xf>
    <xf numFmtId="0" fontId="154" fillId="0" borderId="0" applyNumberFormat="0" applyFont="0" applyFill="0" applyBorder="0" applyProtection="0">
      <alignment horizontal="left" vertical="center"/>
    </xf>
    <xf numFmtId="171" fontId="154" fillId="0" borderId="0" applyNumberFormat="0" applyFont="0" applyFill="0" applyBorder="0" applyProtection="0">
      <alignment horizontal="left" vertical="center"/>
    </xf>
    <xf numFmtId="0" fontId="152" fillId="0" borderId="44">
      <alignment horizontal="centerContinuous"/>
    </xf>
    <xf numFmtId="0" fontId="152" fillId="0" borderId="44">
      <alignment horizontal="centerContinuous"/>
    </xf>
    <xf numFmtId="0" fontId="152" fillId="0" borderId="44">
      <alignment horizontal="centerContinuous"/>
    </xf>
    <xf numFmtId="0" fontId="152" fillId="0" borderId="44">
      <alignment horizontal="centerContinuous"/>
    </xf>
    <xf numFmtId="0" fontId="152" fillId="0" borderId="44">
      <alignment horizontal="centerContinuous"/>
    </xf>
    <xf numFmtId="171" fontId="152" fillId="0" borderId="44">
      <alignment horizontal="centerContinuous"/>
    </xf>
    <xf numFmtId="0" fontId="258" fillId="1" borderId="44">
      <alignment horizontal="centerContinuous" vertical="center"/>
    </xf>
    <xf numFmtId="0" fontId="258" fillId="1" borderId="44">
      <alignment horizontal="centerContinuous" vertical="center"/>
    </xf>
    <xf numFmtId="0" fontId="258" fillId="1" borderId="44">
      <alignment horizontal="centerContinuous" vertical="center"/>
    </xf>
    <xf numFmtId="0" fontId="258" fillId="1" borderId="44">
      <alignment horizontal="centerContinuous" vertical="center"/>
    </xf>
    <xf numFmtId="0" fontId="258" fillId="1" borderId="44">
      <alignment horizontal="centerContinuous" vertical="center"/>
    </xf>
    <xf numFmtId="171" fontId="258" fillId="1" borderId="44">
      <alignment horizontal="centerContinuous" vertical="center"/>
    </xf>
    <xf numFmtId="0" fontId="282" fillId="0" borderId="0"/>
    <xf numFmtId="0" fontId="282" fillId="0" borderId="0"/>
    <xf numFmtId="0" fontId="21" fillId="84" borderId="0"/>
    <xf numFmtId="172" fontId="21" fillId="84" borderId="0"/>
    <xf numFmtId="171" fontId="21" fillId="84" borderId="0"/>
    <xf numFmtId="0" fontId="21" fillId="84" borderId="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10" fontId="14" fillId="136" borderId="90" applyNumberForma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10" fontId="14" fillId="136" borderId="90" applyNumberFormat="0"/>
    <xf numFmtId="0" fontId="35" fillId="0" borderId="9" applyNumberFormat="0" applyFill="0" applyAlignment="0" applyProtection="0"/>
    <xf numFmtId="171" fontId="35" fillId="0" borderId="9" applyNumberFormat="0" applyFill="0" applyAlignment="0" applyProtection="0"/>
    <xf numFmtId="0" fontId="35" fillId="0" borderId="9" applyNumberFormat="0" applyFill="0" applyAlignment="0" applyProtection="0"/>
    <xf numFmtId="171" fontId="283" fillId="0" borderId="91" applyNumberFormat="0" applyFill="0" applyAlignment="0" applyProtection="0"/>
    <xf numFmtId="0" fontId="283" fillId="0" borderId="91"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171" fontId="101" fillId="0" borderId="39" applyNumberFormat="0" applyFill="0" applyAlignment="0" applyProtection="0"/>
    <xf numFmtId="172" fontId="101" fillId="0" borderId="39" applyNumberFormat="0" applyFill="0" applyAlignment="0" applyProtection="0"/>
    <xf numFmtId="0" fontId="35" fillId="0" borderId="9" applyNumberFormat="0" applyFill="0" applyAlignment="0" applyProtection="0"/>
    <xf numFmtId="171" fontId="35" fillId="0" borderId="9" applyNumberFormat="0" applyFill="0" applyAlignment="0" applyProtection="0"/>
    <xf numFmtId="0" fontId="35" fillId="0" borderId="9" applyNumberFormat="0" applyFill="0" applyAlignment="0" applyProtection="0"/>
    <xf numFmtId="171" fontId="35" fillId="0" borderId="9" applyNumberFormat="0" applyFill="0" applyAlignment="0" applyProtection="0"/>
    <xf numFmtId="0" fontId="35" fillId="0" borderId="9" applyNumberFormat="0" applyFill="0" applyAlignment="0" applyProtection="0"/>
    <xf numFmtId="171" fontId="35" fillId="0" borderId="9" applyNumberFormat="0" applyFill="0" applyAlignment="0" applyProtection="0"/>
    <xf numFmtId="0" fontId="35" fillId="0" borderId="9" applyNumberFormat="0" applyFill="0" applyAlignment="0" applyProtection="0"/>
    <xf numFmtId="171" fontId="35" fillId="0" borderId="9" applyNumberFormat="0" applyFill="0" applyAlignment="0" applyProtection="0"/>
    <xf numFmtId="0" fontId="35" fillId="0" borderId="9" applyNumberFormat="0" applyFill="0" applyAlignment="0" applyProtection="0"/>
    <xf numFmtId="171" fontId="35" fillId="0" borderId="9" applyNumberFormat="0" applyFill="0" applyAlignment="0" applyProtection="0"/>
    <xf numFmtId="246" fontId="284" fillId="93" borderId="0"/>
    <xf numFmtId="15" fontId="210" fillId="0" borderId="0" applyFill="0" applyBorder="0">
      <alignment horizontal="right"/>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171"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06" fillId="0" borderId="68" applyFill="0">
      <alignment horizontal="center" vertical="center"/>
    </xf>
    <xf numFmtId="0" fontId="254" fillId="0" borderId="25" applyFill="0">
      <alignment horizontal="center" vertical="center"/>
    </xf>
    <xf numFmtId="0" fontId="254" fillId="0" borderId="25" applyFill="0">
      <alignment horizontal="center" vertical="center"/>
    </xf>
    <xf numFmtId="0" fontId="254" fillId="0" borderId="25" applyFill="0">
      <alignment horizontal="center" vertical="center"/>
    </xf>
    <xf numFmtId="0" fontId="254" fillId="0" borderId="25" applyFill="0">
      <alignment horizontal="center" vertical="center"/>
    </xf>
    <xf numFmtId="0" fontId="254" fillId="0" borderId="25" applyFill="0">
      <alignment horizontal="center" vertical="center"/>
    </xf>
    <xf numFmtId="0" fontId="254" fillId="0" borderId="25" applyFill="0">
      <alignment horizontal="center" vertical="center"/>
    </xf>
    <xf numFmtId="0" fontId="206" fillId="0" borderId="68" applyFill="0">
      <alignment horizontal="center" vertical="center"/>
    </xf>
    <xf numFmtId="0" fontId="21" fillId="0" borderId="68" applyFill="0">
      <alignment horizontal="center" vertical="center"/>
    </xf>
    <xf numFmtId="172"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1"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172"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21" fillId="0" borderId="68" applyFill="0">
      <alignment horizontal="center" vertical="center"/>
    </xf>
    <xf numFmtId="0" fontId="178" fillId="0" borderId="25" applyFill="0">
      <alignment horizontal="center" vertical="center"/>
    </xf>
    <xf numFmtId="0" fontId="178" fillId="0" borderId="25" applyFill="0">
      <alignment horizontal="center" vertical="center"/>
    </xf>
    <xf numFmtId="0" fontId="178" fillId="0" borderId="25" applyFill="0">
      <alignment horizontal="center" vertical="center"/>
    </xf>
    <xf numFmtId="0" fontId="178" fillId="0" borderId="25" applyFill="0">
      <alignment horizontal="center" vertical="center"/>
    </xf>
    <xf numFmtId="0" fontId="178" fillId="0" borderId="25" applyFill="0">
      <alignment horizontal="center" vertical="center"/>
    </xf>
    <xf numFmtId="0" fontId="178" fillId="0" borderId="25" applyFill="0">
      <alignment horizontal="center" vertical="center"/>
    </xf>
    <xf numFmtId="0"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21" fillId="0" borderId="68" applyFill="0">
      <alignment horizontal="center" vertical="center"/>
    </xf>
    <xf numFmtId="275" fontId="178" fillId="0" borderId="25" applyFill="0">
      <alignment horizontal="center" vertical="center"/>
    </xf>
    <xf numFmtId="275" fontId="178" fillId="0" borderId="25" applyFill="0">
      <alignment horizontal="center" vertical="center"/>
    </xf>
    <xf numFmtId="275" fontId="178" fillId="0" borderId="25" applyFill="0">
      <alignment horizontal="center" vertical="center"/>
    </xf>
    <xf numFmtId="275" fontId="178" fillId="0" borderId="25" applyFill="0">
      <alignment horizontal="center" vertical="center"/>
    </xf>
    <xf numFmtId="275" fontId="178" fillId="0" borderId="25" applyFill="0">
      <alignment horizontal="center" vertical="center"/>
    </xf>
    <xf numFmtId="275" fontId="178" fillId="0" borderId="25" applyFill="0">
      <alignment horizontal="center" vertical="center"/>
    </xf>
    <xf numFmtId="275" fontId="21" fillId="0" borderId="68" applyFill="0">
      <alignment horizontal="center" vertical="center"/>
    </xf>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14" fontId="206" fillId="0" borderId="82" applyFont="0" applyFill="0" applyBorder="0" applyAlignment="0" applyProtection="0"/>
    <xf numFmtId="0" fontId="285" fillId="0" borderId="0"/>
    <xf numFmtId="171" fontId="285" fillId="0" borderId="0"/>
    <xf numFmtId="0" fontId="286" fillId="0" borderId="0" applyNumberFormat="0" applyFill="0" applyBorder="0" applyAlignment="0" applyProtection="0"/>
    <xf numFmtId="171" fontId="286" fillId="0" borderId="0" applyNumberFormat="0" applyFill="0" applyBorder="0" applyAlignment="0" applyProtection="0"/>
    <xf numFmtId="0" fontId="287" fillId="0" borderId="0" applyNumberFormat="0" applyFill="0" applyBorder="0" applyAlignment="0" applyProtection="0"/>
    <xf numFmtId="171" fontId="287" fillId="0" borderId="0" applyNumberFormat="0" applyFill="0" applyBorder="0" applyAlignment="0" applyProtection="0"/>
    <xf numFmtId="0" fontId="288" fillId="0" borderId="0" applyNumberFormat="0" applyFill="0" applyBorder="0" applyAlignment="0" applyProtection="0"/>
    <xf numFmtId="171" fontId="288" fillId="0" borderId="0" applyNumberFormat="0" applyFill="0" applyBorder="0" applyAlignment="0" applyProtection="0"/>
    <xf numFmtId="0" fontId="12" fillId="137" borderId="0" applyNumberFormat="0" applyFont="0" applyBorder="0" applyAlignment="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0" fontId="22" fillId="4" borderId="10" applyNumberFormat="0" applyFont="0" applyAlignment="0" applyProtection="0"/>
    <xf numFmtId="171" fontId="22" fillId="4" borderId="10" applyNumberFormat="0" applyFont="0" applyAlignment="0" applyProtection="0"/>
    <xf numFmtId="0" fontId="289" fillId="0" borderId="0"/>
    <xf numFmtId="171" fontId="289" fillId="0" borderId="0"/>
    <xf numFmtId="7" fontId="12" fillId="0" borderId="0" applyFont="0" applyFill="0" applyBorder="0" applyAlignment="0" applyProtection="0"/>
    <xf numFmtId="43" fontId="12" fillId="0" borderId="0" applyFont="0" applyFill="0" applyBorder="0" applyAlignment="0" applyProtection="0"/>
    <xf numFmtId="276" fontId="12" fillId="0" borderId="0" applyFont="0" applyFill="0" applyBorder="0" applyAlignment="0" applyProtection="0"/>
    <xf numFmtId="165" fontId="12" fillId="0" borderId="0" applyFont="0" applyFill="0" applyBorder="0" applyAlignment="0" applyProtection="0"/>
    <xf numFmtId="215"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278" fontId="12" fillId="0" borderId="0" applyFont="0" applyFill="0" applyBorder="0" applyAlignment="0" applyProtection="0"/>
    <xf numFmtId="0" fontId="21" fillId="0" borderId="25" applyNumberFormat="0" applyFont="0" applyBorder="0">
      <alignment horizontal="left" vertical="top" wrapText="1"/>
    </xf>
    <xf numFmtId="0" fontId="21" fillId="0" borderId="25" applyNumberFormat="0" applyFont="0" applyBorder="0">
      <alignment horizontal="left" vertical="top" wrapText="1"/>
    </xf>
    <xf numFmtId="0" fontId="21" fillId="0" borderId="25" applyNumberFormat="0" applyFont="0" applyBorder="0">
      <alignment horizontal="left" vertical="top" wrapText="1"/>
    </xf>
    <xf numFmtId="0" fontId="21" fillId="0" borderId="25" applyNumberFormat="0" applyFont="0" applyBorder="0">
      <alignment horizontal="left" vertical="top" wrapText="1"/>
    </xf>
    <xf numFmtId="0" fontId="21" fillId="0" borderId="25" applyNumberFormat="0" applyFont="0" applyBorder="0">
      <alignment horizontal="left" vertical="top" wrapText="1"/>
    </xf>
    <xf numFmtId="171" fontId="21" fillId="0" borderId="25" applyNumberFormat="0" applyFont="0" applyBorder="0">
      <alignment horizontal="left" vertical="top" wrapText="1"/>
    </xf>
    <xf numFmtId="37" fontId="12" fillId="0" borderId="0" applyFont="0" applyFill="0" applyBorder="0" applyAlignment="0" applyProtection="0"/>
    <xf numFmtId="0" fontId="63" fillId="0" borderId="0" applyFill="0" applyBorder="0" applyAlignment="0"/>
    <xf numFmtId="0" fontId="63" fillId="0" borderId="0" applyFill="0" applyBorder="0" applyAlignment="0"/>
    <xf numFmtId="0" fontId="290" fillId="0" borderId="0" applyFill="0" applyBorder="0">
      <alignment vertical="center"/>
    </xf>
    <xf numFmtId="280" fontId="162" fillId="0" borderId="0" applyFont="0" applyFill="0" applyBorder="0" applyAlignment="0" applyProtection="0"/>
    <xf numFmtId="281" fontId="162" fillId="0" borderId="0" applyFont="0" applyFill="0" applyBorder="0" applyAlignment="0" applyProtection="0"/>
    <xf numFmtId="233" fontId="12" fillId="0" borderId="0" applyFont="0" applyFill="0" applyBorder="0" applyAlignment="0" applyProtection="0"/>
    <xf numFmtId="190" fontId="12" fillId="0" borderId="0" applyFont="0" applyFill="0" applyBorder="0" applyAlignment="0" applyProtection="0"/>
    <xf numFmtId="216" fontId="12" fillId="0" borderId="0" applyFont="0" applyFill="0" applyBorder="0" applyAlignment="0" applyProtection="0"/>
    <xf numFmtId="282" fontId="12" fillId="0" borderId="0" applyFont="0" applyFill="0" applyBorder="0" applyAlignment="0" applyProtection="0"/>
    <xf numFmtId="243" fontId="233"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4" fontId="12" fillId="0" borderId="0" applyFont="0" applyFill="0" applyBorder="0" applyAlignment="0" applyProtection="0"/>
    <xf numFmtId="284" fontId="12" fillId="0" borderId="0" applyFont="0" applyFill="0" applyBorder="0" applyAlignment="0" applyProtection="0"/>
    <xf numFmtId="0" fontId="20" fillId="0" borderId="0" applyNumberFormat="0" applyFill="0" applyBorder="0" applyAlignment="0" applyProtection="0"/>
    <xf numFmtId="0" fontId="160" fillId="0" borderId="0" applyFont="0" applyFill="0" applyBorder="0" applyAlignment="0" applyProtection="0">
      <alignment horizontal="right"/>
    </xf>
    <xf numFmtId="0" fontId="160" fillId="0" borderId="0" applyFont="0" applyFill="0" applyBorder="0" applyAlignment="0" applyProtection="0"/>
    <xf numFmtId="256" fontId="177" fillId="0" borderId="0" applyFont="0" applyFill="0" applyBorder="0" applyAlignment="0" applyProtection="0"/>
    <xf numFmtId="195" fontId="178" fillId="0" borderId="0" applyFill="0" applyBorder="0">
      <alignment vertical="center"/>
    </xf>
    <xf numFmtId="222" fontId="221" fillId="0" borderId="0">
      <alignment horizontal="right" vertical="center"/>
    </xf>
    <xf numFmtId="0" fontId="160" fillId="0" borderId="0" applyFont="0" applyFill="0" applyBorder="0" applyAlignment="0" applyProtection="0">
      <alignment horizontal="right"/>
    </xf>
    <xf numFmtId="285" fontId="291" fillId="0" borderId="0" applyFill="0" applyBorder="0" applyAlignment="0"/>
    <xf numFmtId="271" fontId="292" fillId="0" borderId="0">
      <alignment horizontal="left" vertical="center"/>
    </xf>
    <xf numFmtId="0" fontId="12" fillId="0" borderId="0"/>
    <xf numFmtId="0" fontId="12" fillId="0" borderId="0"/>
    <xf numFmtId="171" fontId="12" fillId="0" borderId="0"/>
    <xf numFmtId="190" fontId="19" fillId="138" borderId="0">
      <alignment vertical="top"/>
    </xf>
    <xf numFmtId="286" fontId="21" fillId="0" borderId="0"/>
    <xf numFmtId="0" fontId="36" fillId="8" borderId="0" applyNumberFormat="0" applyBorder="0" applyAlignment="0" applyProtection="0"/>
    <xf numFmtId="171" fontId="36" fillId="8" borderId="0" applyNumberFormat="0" applyBorder="0" applyAlignment="0" applyProtection="0"/>
    <xf numFmtId="0" fontId="36" fillId="107" borderId="0" applyNumberFormat="0" applyBorder="0" applyAlignment="0" applyProtection="0"/>
    <xf numFmtId="171" fontId="103" fillId="68" borderId="0" applyNumberFormat="0" applyBorder="0" applyAlignment="0" applyProtection="0"/>
    <xf numFmtId="172" fontId="103" fillId="68" borderId="0" applyNumberFormat="0" applyBorder="0" applyAlignment="0" applyProtection="0"/>
    <xf numFmtId="171" fontId="36" fillId="8" borderId="0" applyNumberFormat="0" applyBorder="0" applyAlignment="0" applyProtection="0"/>
    <xf numFmtId="0" fontId="36" fillId="8" borderId="0" applyNumberFormat="0" applyBorder="0" applyAlignment="0" applyProtection="0"/>
    <xf numFmtId="171" fontId="36" fillId="8" borderId="0" applyNumberFormat="0" applyBorder="0" applyAlignment="0" applyProtection="0"/>
    <xf numFmtId="0" fontId="36" fillId="8" borderId="0" applyNumberFormat="0" applyBorder="0" applyAlignment="0" applyProtection="0"/>
    <xf numFmtId="171" fontId="36" fillId="8" borderId="0" applyNumberFormat="0" applyBorder="0" applyAlignment="0" applyProtection="0"/>
    <xf numFmtId="0" fontId="36" fillId="8" borderId="0" applyNumberFormat="0" applyBorder="0" applyAlignment="0" applyProtection="0"/>
    <xf numFmtId="171" fontId="36" fillId="8" borderId="0" applyNumberFormat="0" applyBorder="0" applyAlignment="0" applyProtection="0"/>
    <xf numFmtId="0" fontId="36" fillId="8" borderId="0" applyNumberFormat="0" applyBorder="0" applyAlignment="0" applyProtection="0"/>
    <xf numFmtId="171" fontId="36" fillId="8" borderId="0" applyNumberFormat="0" applyBorder="0" applyAlignment="0" applyProtection="0"/>
    <xf numFmtId="0" fontId="36" fillId="8" borderId="0" applyNumberFormat="0" applyBorder="0" applyAlignment="0" applyProtection="0"/>
    <xf numFmtId="287" fontId="12" fillId="0" borderId="0" applyFont="0" applyFill="0" applyBorder="0" applyAlignment="0" applyProtection="0"/>
    <xf numFmtId="287" fontId="12" fillId="0" borderId="0" applyFont="0" applyFill="0" applyBorder="0" applyAlignment="0" applyProtection="0"/>
    <xf numFmtId="0" fontId="154" fillId="0" borderId="0"/>
    <xf numFmtId="171" fontId="154" fillId="0" borderId="0"/>
    <xf numFmtId="0" fontId="37" fillId="0" borderId="0"/>
    <xf numFmtId="0" fontId="186" fillId="0" borderId="0" applyNumberFormat="0" applyFill="0" applyAlignment="0" applyProtection="0"/>
    <xf numFmtId="0" fontId="186" fillId="0" borderId="0" applyNumberFormat="0" applyFill="0" applyAlignment="0" applyProtection="0"/>
    <xf numFmtId="37" fontId="293" fillId="0" borderId="0"/>
    <xf numFmtId="0" fontId="12" fillId="0" borderId="0"/>
    <xf numFmtId="0" fontId="12" fillId="0" borderId="0"/>
    <xf numFmtId="171" fontId="12" fillId="0" borderId="0"/>
    <xf numFmtId="0" fontId="12" fillId="0" borderId="0"/>
    <xf numFmtId="0" fontId="12" fillId="0" borderId="0"/>
    <xf numFmtId="288" fontId="294" fillId="0" borderId="0"/>
    <xf numFmtId="0" fontId="273" fillId="0" borderId="0"/>
    <xf numFmtId="171" fontId="273" fillId="0" borderId="0"/>
    <xf numFmtId="0" fontId="273" fillId="0" borderId="0"/>
    <xf numFmtId="171" fontId="273" fillId="0" borderId="0"/>
    <xf numFmtId="0" fontId="273" fillId="0" borderId="0"/>
    <xf numFmtId="171" fontId="273" fillId="0" borderId="0"/>
    <xf numFmtId="0" fontId="273" fillId="0" borderId="0"/>
    <xf numFmtId="171" fontId="273" fillId="0" borderId="0"/>
    <xf numFmtId="0" fontId="273" fillId="0" borderId="0"/>
    <xf numFmtId="171" fontId="273" fillId="0" borderId="0"/>
    <xf numFmtId="0" fontId="273" fillId="0" borderId="0"/>
    <xf numFmtId="171" fontId="273" fillId="0" borderId="0"/>
    <xf numFmtId="0" fontId="273" fillId="0" borderId="0"/>
    <xf numFmtId="171" fontId="273" fillId="0" borderId="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38" fontId="21" fillId="0" borderId="25" applyFont="0" applyFill="0" applyBorder="0" applyAlignment="0" applyProtection="0"/>
    <xf numFmtId="289" fontId="21" fillId="0" borderId="0" applyFont="0" applyFill="0" applyBorder="0" applyAlignment="0"/>
    <xf numFmtId="289" fontId="21" fillId="0" borderId="0" applyFont="0" applyFill="0" applyBorder="0" applyAlignment="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171"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0" fontId="209" fillId="0" borderId="0"/>
    <xf numFmtId="171" fontId="20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295" fillId="0" borderId="0" applyNumberFormat="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3" fillId="0" borderId="0"/>
    <xf numFmtId="0" fontId="22" fillId="0" borderId="0"/>
    <xf numFmtId="0" fontId="12" fillId="0" borderId="0"/>
    <xf numFmtId="172" fontId="12" fillId="0" borderId="0"/>
    <xf numFmtId="0" fontId="209" fillId="0" borderId="0"/>
    <xf numFmtId="171" fontId="209" fillId="0" borderId="0"/>
    <xf numFmtId="0" fontId="12" fillId="0" borderId="0"/>
    <xf numFmtId="172" fontId="76" fillId="0" borderId="0"/>
    <xf numFmtId="172" fontId="76" fillId="0" borderId="0"/>
    <xf numFmtId="0" fontId="12" fillId="0" borderId="0"/>
    <xf numFmtId="0" fontId="12" fillId="0" borderId="0"/>
    <xf numFmtId="0" fontId="12" fillId="0" borderId="0"/>
    <xf numFmtId="0" fontId="76" fillId="0" borderId="0"/>
    <xf numFmtId="0" fontId="76" fillId="0" borderId="0"/>
    <xf numFmtId="171" fontId="76" fillId="0" borderId="0"/>
    <xf numFmtId="0" fontId="76" fillId="0" borderId="0"/>
    <xf numFmtId="0" fontId="76" fillId="0" borderId="0"/>
    <xf numFmtId="171" fontId="76" fillId="0" borderId="0"/>
    <xf numFmtId="171" fontId="76" fillId="0" borderId="0"/>
    <xf numFmtId="171" fontId="76" fillId="0" borderId="0"/>
    <xf numFmtId="171" fontId="76" fillId="0" borderId="0"/>
    <xf numFmtId="0" fontId="76" fillId="0" borderId="0"/>
    <xf numFmtId="0" fontId="76" fillId="0" borderId="0"/>
    <xf numFmtId="172" fontId="12" fillId="0" borderId="0"/>
    <xf numFmtId="0" fontId="209" fillId="0" borderId="0"/>
    <xf numFmtId="171" fontId="209" fillId="0" borderId="0"/>
    <xf numFmtId="0" fontId="76" fillId="0" borderId="0"/>
    <xf numFmtId="0" fontId="12" fillId="0" borderId="0" applyNumberFormat="0" applyFont="0" applyFill="0" applyBorder="0" applyAlignment="0" applyProtection="0"/>
    <xf numFmtId="0" fontId="76" fillId="0" borderId="0"/>
    <xf numFmtId="0" fontId="76" fillId="0" borderId="0"/>
    <xf numFmtId="0" fontId="76" fillId="0" borderId="0"/>
    <xf numFmtId="171" fontId="12" fillId="0" borderId="0"/>
    <xf numFmtId="171" fontId="209" fillId="0" borderId="0"/>
    <xf numFmtId="0" fontId="76" fillId="0" borderId="0"/>
    <xf numFmtId="171" fontId="76" fillId="0" borderId="0"/>
    <xf numFmtId="172" fontId="12" fillId="0" borderId="0"/>
    <xf numFmtId="172" fontId="12" fillId="0" borderId="0"/>
    <xf numFmtId="0" fontId="76" fillId="0" borderId="0"/>
    <xf numFmtId="171" fontId="76" fillId="0" borderId="0"/>
    <xf numFmtId="0" fontId="76" fillId="0" borderId="0"/>
    <xf numFmtId="0" fontId="76" fillId="0" borderId="0"/>
    <xf numFmtId="171" fontId="76" fillId="0" borderId="0"/>
    <xf numFmtId="0" fontId="12" fillId="0" borderId="0" applyNumberFormat="0" applyFont="0" applyFill="0" applyBorder="0" applyAlignment="0" applyProtection="0"/>
    <xf numFmtId="0" fontId="76" fillId="0" borderId="0"/>
    <xf numFmtId="0" fontId="76" fillId="0" borderId="0"/>
    <xf numFmtId="0" fontId="12"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171" fontId="12" fillId="0" borderId="0"/>
    <xf numFmtId="171" fontId="12" fillId="0" borderId="0"/>
    <xf numFmtId="0" fontId="76" fillId="0" borderId="0"/>
    <xf numFmtId="0" fontId="12" fillId="0" borderId="0"/>
    <xf numFmtId="171" fontId="12" fillId="0" borderId="0"/>
    <xf numFmtId="0" fontId="3"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3" fillId="0" borderId="0"/>
    <xf numFmtId="0" fontId="76" fillId="0" borderId="0"/>
    <xf numFmtId="0" fontId="76" fillId="0" borderId="0"/>
    <xf numFmtId="171" fontId="12" fillId="0" borderId="0"/>
    <xf numFmtId="171" fontId="12" fillId="0" borderId="0"/>
    <xf numFmtId="171" fontId="12" fillId="0" borderId="0"/>
    <xf numFmtId="171"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xf numFmtId="171" fontId="12" fillId="0" borderId="0"/>
    <xf numFmtId="0" fontId="12" fillId="0" borderId="0"/>
    <xf numFmtId="0" fontId="12" fillId="0" borderId="0"/>
    <xf numFmtId="171" fontId="12" fillId="0" borderId="0"/>
    <xf numFmtId="0" fontId="76" fillId="0" borderId="0"/>
    <xf numFmtId="0" fontId="76" fillId="0" borderId="0"/>
    <xf numFmtId="171" fontId="76" fillId="0" borderId="0"/>
    <xf numFmtId="171"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6" fillId="0" borderId="0"/>
    <xf numFmtId="171" fontId="12" fillId="0" borderId="0"/>
    <xf numFmtId="171" fontId="12" fillId="0" borderId="0"/>
    <xf numFmtId="0" fontId="76" fillId="0" borderId="0"/>
    <xf numFmtId="0" fontId="76" fillId="0" borderId="0"/>
    <xf numFmtId="0" fontId="7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76" fillId="0" borderId="0"/>
    <xf numFmtId="0" fontId="76" fillId="0" borderId="0"/>
    <xf numFmtId="171" fontId="76" fillId="0" borderId="0"/>
    <xf numFmtId="0" fontId="76" fillId="0" borderId="0"/>
    <xf numFmtId="0" fontId="76" fillId="0" borderId="0"/>
    <xf numFmtId="0" fontId="76" fillId="0" borderId="0"/>
    <xf numFmtId="0" fontId="76" fillId="0" borderId="0"/>
    <xf numFmtId="0" fontId="12" fillId="0" borderId="0">
      <alignment vertical="top"/>
    </xf>
    <xf numFmtId="172" fontId="12" fillId="0" borderId="0"/>
    <xf numFmtId="0" fontId="143" fillId="0" borderId="0"/>
    <xf numFmtId="0" fontId="12" fillId="0" borderId="0"/>
    <xf numFmtId="0" fontId="76" fillId="0" borderId="0"/>
    <xf numFmtId="0" fontId="76" fillId="0" borderId="0"/>
    <xf numFmtId="0" fontId="76" fillId="0" borderId="0"/>
    <xf numFmtId="0" fontId="76" fillId="0" borderId="0"/>
    <xf numFmtId="172" fontId="12" fillId="0" borderId="0"/>
    <xf numFmtId="172" fontId="12" fillId="0" borderId="0"/>
    <xf numFmtId="172" fontId="12" fillId="0" borderId="0"/>
    <xf numFmtId="172" fontId="12" fillId="0" borderId="0"/>
    <xf numFmtId="0" fontId="76" fillId="0" borderId="0"/>
    <xf numFmtId="0" fontId="76" fillId="0" borderId="0"/>
    <xf numFmtId="0" fontId="12" fillId="0" borderId="0"/>
    <xf numFmtId="0" fontId="12" fillId="0" borderId="0"/>
    <xf numFmtId="171" fontId="12" fillId="0" borderId="0"/>
    <xf numFmtId="0" fontId="12" fillId="0" borderId="0"/>
    <xf numFmtId="0" fontId="12" fillId="0" borderId="0"/>
    <xf numFmtId="171"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2" fontId="12" fillId="0" borderId="0"/>
    <xf numFmtId="0" fontId="76" fillId="0" borderId="0"/>
    <xf numFmtId="0" fontId="76" fillId="0" borderId="0"/>
    <xf numFmtId="0" fontId="76" fillId="0" borderId="0"/>
    <xf numFmtId="0" fontId="7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76" fillId="0" borderId="0"/>
    <xf numFmtId="0" fontId="76"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12" fillId="0" borderId="0" applyNumberFormat="0" applyFont="0" applyFill="0" applyBorder="0" applyAlignment="0" applyProtection="0"/>
    <xf numFmtId="172" fontId="12" fillId="0" borderId="0"/>
    <xf numFmtId="0" fontId="76" fillId="0" borderId="0"/>
    <xf numFmtId="0" fontId="76"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0" fillId="139" borderId="0" applyNumberFormat="0" applyFont="0" applyBorder="0" applyAlignment="0" applyProtection="0"/>
    <xf numFmtId="40" fontId="296" fillId="0" borderId="0"/>
    <xf numFmtId="16" fontId="297" fillId="0" borderId="92" applyNumberFormat="0" applyBorder="0" applyAlignment="0">
      <alignment horizontal="center"/>
    </xf>
    <xf numFmtId="0" fontId="298" fillId="0" borderId="93" applyBorder="0">
      <alignment horizontal="center"/>
    </xf>
    <xf numFmtId="171" fontId="298" fillId="0" borderId="93" applyBorder="0">
      <alignment horizontal="center"/>
    </xf>
    <xf numFmtId="0" fontId="299" fillId="0" borderId="0"/>
    <xf numFmtId="0" fontId="300" fillId="0" borderId="0"/>
    <xf numFmtId="0" fontId="301" fillId="0" borderId="0"/>
    <xf numFmtId="167" fontId="302" fillId="0" borderId="94" applyNumberFormat="0" applyBorder="0" applyAlignment="0" applyProtection="0">
      <alignment horizontal="center" vertical="center"/>
    </xf>
    <xf numFmtId="1" fontId="303" fillId="0" borderId="0" applyNumberFormat="0" applyFill="0" applyBorder="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4" borderId="10" applyNumberFormat="0" applyFont="0" applyAlignment="0" applyProtection="0"/>
    <xf numFmtId="0" fontId="304" fillId="69" borderId="40" applyNumberFormat="0" applyFont="0" applyAlignment="0" applyProtection="0"/>
    <xf numFmtId="171" fontId="304" fillId="69" borderId="4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171" fontId="2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171" fontId="12" fillId="106" borderId="10" applyNumberFormat="0" applyFont="0" applyAlignment="0" applyProtection="0"/>
    <xf numFmtId="0" fontId="76" fillId="69" borderId="40" applyNumberFormat="0" applyFont="0" applyAlignment="0" applyProtection="0"/>
    <xf numFmtId="0" fontId="12" fillId="106"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2" fontId="76" fillId="69" borderId="40" applyNumberFormat="0" applyFont="0" applyAlignment="0" applyProtection="0"/>
    <xf numFmtId="172" fontId="76" fillId="69" borderId="40" applyNumberFormat="0" applyFont="0" applyAlignment="0" applyProtection="0"/>
    <xf numFmtId="0" fontId="76" fillId="69" borderId="4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172" fontId="12" fillId="4" borderId="10" applyNumberFormat="0" applyFont="0" applyAlignment="0" applyProtection="0"/>
    <xf numFmtId="0" fontId="12" fillId="4" borderId="1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4" borderId="10" applyNumberFormat="0" applyFont="0" applyAlignment="0" applyProtection="0"/>
    <xf numFmtId="0" fontId="12" fillId="4" borderId="10" applyNumberFormat="0" applyFont="0" applyAlignment="0" applyProtection="0"/>
    <xf numFmtId="0" fontId="76" fillId="69" borderId="40" applyNumberFormat="0" applyFont="0" applyAlignment="0" applyProtection="0"/>
    <xf numFmtId="0" fontId="76" fillId="69" borderId="4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4" borderId="10" applyNumberFormat="0" applyFont="0" applyAlignment="0" applyProtection="0"/>
    <xf numFmtId="0" fontId="12" fillId="4" borderId="10" applyNumberFormat="0" applyFont="0" applyAlignment="0" applyProtection="0"/>
    <xf numFmtId="0" fontId="3" fillId="69" borderId="4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0" fontId="12" fillId="4" borderId="10" applyNumberFormat="0" applyFont="0" applyAlignment="0" applyProtection="0"/>
    <xf numFmtId="171" fontId="12" fillId="4" borderId="10" applyNumberFormat="0" applyFont="0" applyAlignment="0" applyProtection="0"/>
    <xf numFmtId="271" fontId="305" fillId="0" borderId="0">
      <alignment vertical="center"/>
    </xf>
    <xf numFmtId="0" fontId="36" fillId="8" borderId="0" applyNumberFormat="0" applyBorder="0" applyAlignment="0" applyProtection="0"/>
    <xf numFmtId="171" fontId="36" fillId="8" borderId="0" applyNumberFormat="0" applyBorder="0" applyAlignment="0" applyProtection="0"/>
    <xf numFmtId="290" fontId="159" fillId="0" borderId="0" applyNumberFormat="0">
      <alignment horizontal="right"/>
    </xf>
    <xf numFmtId="291" fontId="212" fillId="89" borderId="0" applyNumberFormat="0" applyBorder="0" applyAlignment="0" applyProtection="0"/>
    <xf numFmtId="292" fontId="306" fillId="140" borderId="0">
      <alignment horizontal="right"/>
    </xf>
    <xf numFmtId="218" fontId="159" fillId="84" borderId="0" applyFill="0" applyBorder="0"/>
    <xf numFmtId="293" fontId="154" fillId="0" borderId="0" applyNumberFormat="0"/>
    <xf numFmtId="294" fontId="212" fillId="84" borderId="30">
      <alignment horizontal="left" vertical="center"/>
    </xf>
    <xf numFmtId="294" fontId="212" fillId="84" borderId="30">
      <alignment horizontal="left" vertical="center"/>
    </xf>
    <xf numFmtId="294" fontId="212" fillId="84" borderId="30">
      <alignment horizontal="left" vertical="center"/>
    </xf>
    <xf numFmtId="262" fontId="159" fillId="84" borderId="0" applyNumberFormat="0" applyBorder="0" applyAlignment="0">
      <alignment horizontal="right"/>
    </xf>
    <xf numFmtId="262" fontId="159" fillId="24" borderId="0" applyFill="0" applyBorder="0" applyAlignment="0">
      <alignment horizontal="right"/>
    </xf>
    <xf numFmtId="0" fontId="154" fillId="0" borderId="0">
      <alignment horizontal="center"/>
    </xf>
    <xf numFmtId="218" fontId="159" fillId="0" borderId="0">
      <alignment horizontal="right"/>
    </xf>
    <xf numFmtId="295" fontId="159" fillId="0" borderId="0">
      <alignment horizontal="right"/>
    </xf>
    <xf numFmtId="296" fontId="186" fillId="0" borderId="0" applyFill="0" applyBorder="0" applyAlignment="0" applyProtection="0"/>
    <xf numFmtId="1" fontId="12" fillId="0" borderId="0" applyFont="0" applyBorder="0" applyAlignment="0" applyProtection="0">
      <alignment horizontal="center"/>
    </xf>
    <xf numFmtId="1" fontId="12" fillId="0" borderId="0" applyFont="0" applyBorder="0" applyAlignment="0" applyProtection="0">
      <alignment horizontal="center"/>
    </xf>
    <xf numFmtId="255" fontId="12" fillId="0" borderId="0" applyFont="0" applyFill="0" applyBorder="0" applyAlignment="0" applyProtection="0"/>
    <xf numFmtId="25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97" fontId="12" fillId="0" borderId="0" applyFont="0" applyFill="0" applyBorder="0" applyAlignment="0" applyProtection="0"/>
    <xf numFmtId="297" fontId="12" fillId="0" borderId="0" applyFont="0" applyFill="0" applyBorder="0" applyAlignment="0" applyProtection="0"/>
    <xf numFmtId="0" fontId="157" fillId="83" borderId="64">
      <alignment horizontal="center"/>
      <protection locked="0"/>
    </xf>
    <xf numFmtId="171" fontId="157" fillId="83" borderId="64">
      <alignment horizontal="center"/>
      <protection locked="0"/>
    </xf>
    <xf numFmtId="196" fontId="178" fillId="0" borderId="0" applyFill="0" applyBorder="0">
      <alignment vertical="center"/>
    </xf>
    <xf numFmtId="169" fontId="307" fillId="0" borderId="0" applyFill="0" applyBorder="0">
      <alignment horizontal="right" vertical="top"/>
    </xf>
    <xf numFmtId="298" fontId="63" fillId="0" borderId="0">
      <alignment horizontal="left"/>
    </xf>
    <xf numFmtId="1" fontId="143" fillId="0" borderId="0" applyFont="0" applyFill="0" applyBorder="0" applyAlignment="0"/>
    <xf numFmtId="9" fontId="308" fillId="141" borderId="0" applyFont="0" applyFill="0" applyBorder="0"/>
    <xf numFmtId="0" fontId="21" fillId="0" borderId="0" applyNumberFormat="0" applyFill="0" applyBorder="0" applyAlignment="0" applyProtection="0"/>
    <xf numFmtId="0" fontId="206" fillId="0" borderId="0" applyNumberFormat="0" applyFill="0" applyBorder="0" applyAlignment="0" applyProtection="0"/>
    <xf numFmtId="299" fontId="160" fillId="0" borderId="0" applyNumberFormat="0" applyFill="0" applyBorder="0" applyAlignment="0" applyProtection="0"/>
    <xf numFmtId="0" fontId="206" fillId="0" borderId="0" applyNumberFormat="0" applyFill="0" applyBorder="0" applyAlignment="0" applyProtection="0"/>
    <xf numFmtId="0" fontId="12"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9" fontId="308" fillId="141" borderId="0" applyFont="0" applyFill="0" applyBorder="0"/>
    <xf numFmtId="218" fontId="309" fillId="135" borderId="0" applyBorder="0" applyAlignment="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0" fontId="12" fillId="0" borderId="0"/>
    <xf numFmtId="301" fontId="159" fillId="0" borderId="0">
      <alignment horizontal="right"/>
    </xf>
    <xf numFmtId="43" fontId="12" fillId="0" borderId="0" applyFont="0" applyFill="0" applyBorder="0" applyAlignment="0" applyProtection="0"/>
    <xf numFmtId="41" fontId="12" fillId="0" borderId="0" applyFont="0" applyFill="0" applyBorder="0" applyAlignment="0" applyProtection="0"/>
    <xf numFmtId="40" fontId="310" fillId="0" borderId="0" applyFont="0" applyFill="0" applyBorder="0" applyAlignment="0" applyProtection="0"/>
    <xf numFmtId="38" fontId="310" fillId="0" borderId="0" applyFont="0" applyFill="0" applyBorder="0" applyAlignment="0" applyProtection="0"/>
    <xf numFmtId="302" fontId="154" fillId="0" borderId="0"/>
    <xf numFmtId="37" fontId="311" fillId="142" borderId="0">
      <alignment horizontal="right"/>
    </xf>
    <xf numFmtId="1" fontId="12" fillId="131" borderId="0"/>
    <xf numFmtId="1" fontId="12" fillId="131" borderId="0"/>
    <xf numFmtId="9" fontId="12" fillId="131" borderId="0"/>
    <xf numFmtId="9" fontId="12" fillId="131" borderId="0"/>
    <xf numFmtId="0" fontId="312" fillId="0" borderId="0">
      <alignment horizontal="left"/>
    </xf>
    <xf numFmtId="0" fontId="312" fillId="0" borderId="0">
      <alignment horizontal="left"/>
    </xf>
    <xf numFmtId="44" fontId="313" fillId="143" borderId="0">
      <alignment vertical="center"/>
    </xf>
    <xf numFmtId="0" fontId="296" fillId="83" borderId="64">
      <alignment horizontal="left" wrapText="1"/>
      <protection locked="0"/>
    </xf>
    <xf numFmtId="171" fontId="296" fillId="83" borderId="64">
      <alignment horizontal="left" wrapText="1"/>
      <protection locked="0"/>
    </xf>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2"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172" fontId="38" fillId="2"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0" fontId="38" fillId="6" borderId="11" applyNumberFormat="0" applyAlignment="0" applyProtection="0"/>
    <xf numFmtId="171" fontId="38" fillId="6" borderId="11" applyNumberFormat="0" applyAlignment="0" applyProtection="0"/>
    <xf numFmtId="171" fontId="119" fillId="24" borderId="0">
      <alignment horizontal="right"/>
    </xf>
    <xf numFmtId="0" fontId="120" fillId="24" borderId="30"/>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303" fontId="12" fillId="0" borderId="0" applyFill="0" applyBorder="0">
      <alignment horizontal="center"/>
    </xf>
    <xf numFmtId="171" fontId="120" fillId="0" borderId="0" applyBorder="0">
      <alignment horizontal="centerContinuous"/>
    </xf>
    <xf numFmtId="171" fontId="121" fillId="0" borderId="0" applyBorder="0">
      <alignment horizontal="centerContinuous"/>
    </xf>
    <xf numFmtId="0" fontId="243" fillId="0" borderId="34" applyNumberFormat="0" applyFill="0" applyAlignment="0" applyProtection="0"/>
    <xf numFmtId="171" fontId="243" fillId="0" borderId="34" applyNumberFormat="0" applyFill="0" applyAlignment="0" applyProtection="0"/>
    <xf numFmtId="0" fontId="248" fillId="0" borderId="7" applyNumberFormat="0" applyFill="0" applyAlignment="0" applyProtection="0"/>
    <xf numFmtId="171" fontId="248" fillId="0" borderId="7" applyNumberFormat="0" applyFill="0" applyAlignment="0" applyProtection="0"/>
    <xf numFmtId="0" fontId="253" fillId="0" borderId="37" applyNumberFormat="0" applyFill="0" applyAlignment="0" applyProtection="0"/>
    <xf numFmtId="171" fontId="253" fillId="0" borderId="37" applyNumberFormat="0" applyFill="0" applyAlignment="0" applyProtection="0"/>
    <xf numFmtId="0" fontId="253" fillId="0" borderId="0" applyNumberFormat="0" applyFill="0" applyBorder="0" applyAlignment="0" applyProtection="0"/>
    <xf numFmtId="171" fontId="253" fillId="0" borderId="0" applyNumberFormat="0" applyFill="0" applyBorder="0" applyAlignment="0" applyProtection="0"/>
    <xf numFmtId="1" fontId="314" fillId="0" borderId="0" applyProtection="0">
      <alignment horizontal="right" vertical="center"/>
    </xf>
    <xf numFmtId="288" fontId="315" fillId="144" borderId="64"/>
    <xf numFmtId="304"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5"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304" fontId="12" fillId="0" borderId="0" applyFont="0" applyFill="0" applyBorder="0" applyAlignment="0" applyProtection="0"/>
    <xf numFmtId="14" fontId="159" fillId="0" borderId="0">
      <alignment horizontal="center" wrapText="1"/>
      <protection locked="0"/>
    </xf>
    <xf numFmtId="236" fontId="12" fillId="0" borderId="0" applyFont="0" applyFill="0" applyBorder="0" applyAlignment="0" applyProtection="0"/>
    <xf numFmtId="236" fontId="12" fillId="0" borderId="0" applyFont="0" applyFill="0" applyBorder="0" applyAlignment="0" applyProtection="0"/>
    <xf numFmtId="236" fontId="154" fillId="0" borderId="0" applyFont="0" applyFill="0" applyBorder="0" applyAlignment="0" applyProtection="0">
      <protection locked="0"/>
    </xf>
    <xf numFmtId="10" fontId="154" fillId="0" borderId="0" applyFont="0" applyFill="0" applyBorder="0" applyAlignment="0" applyProtection="0">
      <protection locked="0"/>
    </xf>
    <xf numFmtId="215" fontId="12" fillId="0" borderId="0" applyFont="0" applyFill="0" applyBorder="0" applyAlignment="0" applyProtection="0"/>
    <xf numFmtId="215" fontId="12" fillId="0" borderId="0" applyFont="0" applyFill="0" applyBorder="0" applyAlignment="0" applyProtection="0"/>
    <xf numFmtId="306" fontId="12" fillId="0" borderId="0" applyFont="0" applyFill="0" applyBorder="0" applyAlignment="0" applyProtection="0"/>
    <xf numFmtId="306"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7"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308" fontId="12" fillId="0" borderId="0" applyFont="0" applyFill="0" applyBorder="0" applyAlignment="0" applyProtection="0"/>
    <xf numFmtId="10" fontId="20" fillId="0" borderId="0" applyFont="0" applyFill="0" applyBorder="0" applyAlignment="0" applyProtection="0">
      <alignment horizontal="center"/>
    </xf>
    <xf numFmtId="309" fontId="12" fillId="0" borderId="0" applyFont="0" applyFill="0" applyBorder="0" applyAlignment="0" applyProtection="0"/>
    <xf numFmtId="309" fontId="12" fillId="0" borderId="0" applyFont="0" applyFill="0" applyBorder="0" applyAlignment="0" applyProtection="0"/>
    <xf numFmtId="310" fontId="20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76" fontId="159" fillId="0" borderId="0">
      <alignment horizontal="right"/>
    </xf>
    <xf numFmtId="167" fontId="159" fillId="0" borderId="0">
      <alignment horizontal="right"/>
    </xf>
    <xf numFmtId="0" fontId="160" fillId="0" borderId="0" applyFont="0" applyFill="0" applyBorder="0" applyAlignment="0" applyProtection="0"/>
    <xf numFmtId="236" fontId="154" fillId="0" borderId="0" applyFont="0" applyFill="0" applyBorder="0" applyAlignment="0" applyProtection="0"/>
    <xf numFmtId="0" fontId="143" fillId="0" borderId="0"/>
    <xf numFmtId="0" fontId="143" fillId="0" borderId="0"/>
    <xf numFmtId="197" fontId="178" fillId="0" borderId="0" applyFill="0" applyBorder="0">
      <alignment vertical="center"/>
    </xf>
    <xf numFmtId="0" fontId="12" fillId="0" borderId="0" applyNumberFormat="0" applyFill="0" applyBorder="0" applyAlignment="0" applyProtection="0"/>
    <xf numFmtId="0" fontId="206" fillId="0" borderId="0" applyFill="0" applyBorder="0">
      <alignment horizontal="right" vertical="center"/>
    </xf>
    <xf numFmtId="0" fontId="206" fillId="0" borderId="0" applyFill="0" applyBorder="0">
      <alignment horizontal="right" vertical="center"/>
    </xf>
    <xf numFmtId="0" fontId="254" fillId="0" borderId="0" applyFill="0" applyBorder="0">
      <alignment vertical="center"/>
    </xf>
    <xf numFmtId="311" fontId="212" fillId="0" borderId="95" applyFont="0" applyFill="0" applyBorder="0" applyAlignment="0" applyProtection="0">
      <alignment horizontal="right"/>
    </xf>
    <xf numFmtId="0" fontId="316" fillId="0" borderId="0" applyFont="0" applyFill="0" applyBorder="0" applyAlignment="0" applyProtection="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193" fontId="178" fillId="0" borderId="0" applyFill="0" applyBorder="0">
      <alignment vertical="center"/>
    </xf>
    <xf numFmtId="194" fontId="178" fillId="0" borderId="0" applyFill="0" applyBorder="0">
      <alignment vertical="center"/>
    </xf>
    <xf numFmtId="0" fontId="246" fillId="0" borderId="0" applyFill="0" applyBorder="0">
      <alignment vertical="center"/>
    </xf>
    <xf numFmtId="0" fontId="251" fillId="0" borderId="0" applyFill="0" applyBorder="0">
      <alignment vertical="center"/>
    </xf>
    <xf numFmtId="0" fontId="254" fillId="0" borderId="0" applyFill="0" applyBorder="0">
      <alignment vertical="center"/>
    </xf>
    <xf numFmtId="0" fontId="178" fillId="0" borderId="0" applyFill="0" applyBorder="0">
      <alignment vertical="center"/>
    </xf>
    <xf numFmtId="0" fontId="261" fillId="0" borderId="0" applyFill="0" applyBorder="0">
      <alignment horizontal="center" vertical="center"/>
    </xf>
    <xf numFmtId="0" fontId="261" fillId="0" borderId="0" applyFill="0" applyBorder="0">
      <alignment horizontal="center" vertical="center"/>
    </xf>
    <xf numFmtId="0" fontId="263" fillId="0" borderId="0" applyFill="0" applyBorder="0">
      <alignment vertical="center"/>
    </xf>
    <xf numFmtId="0" fontId="290" fillId="0" borderId="0" applyFill="0" applyBorder="0">
      <alignment vertical="center"/>
    </xf>
    <xf numFmtId="195" fontId="178" fillId="0" borderId="0" applyFill="0" applyBorder="0">
      <alignment vertical="center"/>
    </xf>
    <xf numFmtId="0" fontId="178" fillId="0" borderId="0" applyFill="0" applyBorder="0">
      <alignment vertical="center"/>
    </xf>
    <xf numFmtId="196" fontId="178" fillId="0" borderId="0" applyFill="0" applyBorder="0">
      <alignment vertical="center"/>
    </xf>
    <xf numFmtId="197" fontId="178" fillId="0" borderId="0" applyFill="0" applyBorder="0">
      <alignment vertical="center"/>
    </xf>
    <xf numFmtId="0" fontId="254" fillId="0" borderId="0" applyFill="0" applyBorder="0">
      <alignment vertical="center"/>
    </xf>
    <xf numFmtId="0" fontId="317" fillId="0" borderId="0" applyFill="0" applyBorder="0">
      <alignment vertical="center"/>
    </xf>
    <xf numFmtId="0" fontId="318" fillId="0" borderId="0" applyFill="0" applyBorder="0">
      <alignment vertical="center"/>
    </xf>
    <xf numFmtId="0" fontId="178" fillId="0" borderId="0" applyFill="0" applyBorder="0">
      <alignment vertical="center"/>
      <protection locked="0"/>
    </xf>
    <xf numFmtId="0" fontId="264" fillId="0" borderId="0" applyFill="0" applyBorder="0">
      <alignment vertical="center"/>
    </xf>
    <xf numFmtId="0" fontId="265" fillId="0" borderId="0" applyFill="0" applyBorder="0">
      <alignment vertical="center"/>
    </xf>
    <xf numFmtId="0" fontId="266" fillId="0" borderId="0" applyFill="0" applyBorder="0">
      <alignment vertical="center"/>
    </xf>
    <xf numFmtId="0" fontId="266" fillId="0" borderId="0" applyFill="0" applyBorder="0">
      <alignment vertical="center"/>
    </xf>
    <xf numFmtId="198" fontId="178" fillId="0" borderId="0" applyFill="0" applyBorder="0">
      <alignment vertical="center"/>
    </xf>
    <xf numFmtId="302" fontId="250" fillId="0" borderId="0" applyFont="0" applyFill="0" applyBorder="0" applyAlignment="0" applyProtection="0"/>
    <xf numFmtId="0" fontId="12" fillId="0" borderId="0" applyFill="0" applyBorder="0">
      <alignment vertical="top"/>
    </xf>
    <xf numFmtId="0" fontId="12" fillId="0" borderId="0" applyFill="0" applyBorder="0">
      <alignment vertical="top"/>
    </xf>
    <xf numFmtId="171" fontId="12" fillId="0" borderId="0" applyFill="0" applyBorder="0">
      <alignment vertical="top"/>
    </xf>
    <xf numFmtId="302" fontId="250" fillId="0" borderId="0" applyFont="0" applyFill="0" applyBorder="0" applyAlignment="0" applyProtection="0"/>
    <xf numFmtId="0" fontId="225" fillId="0" borderId="0" applyFill="0" applyBorder="0">
      <alignment vertical="top"/>
    </xf>
    <xf numFmtId="312" fontId="296" fillId="0" borderId="0"/>
    <xf numFmtId="9" fontId="154" fillId="0" borderId="0"/>
    <xf numFmtId="37" fontId="319" fillId="0" borderId="0"/>
    <xf numFmtId="38" fontId="154" fillId="0" borderId="0" applyNumberFormat="0"/>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171"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0" fontId="225" fillId="0" borderId="0" applyNumberFormat="0" applyFont="0" applyFill="0" applyBorder="0" applyAlignment="0" applyProtection="0">
      <alignment horizontal="left"/>
    </xf>
    <xf numFmtId="171" fontId="225" fillId="0" borderId="0" applyNumberFormat="0" applyFont="0" applyFill="0" applyBorder="0" applyAlignment="0" applyProtection="0">
      <alignment horizontal="left"/>
    </xf>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15"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4" fontId="225" fillId="0" borderId="0" applyFont="0" applyFill="0" applyBorder="0" applyAlignment="0" applyProtection="0"/>
    <xf numFmtId="0" fontId="320" fillId="0" borderId="73">
      <alignment horizontal="center"/>
    </xf>
    <xf numFmtId="172" fontId="320" fillId="0" borderId="73">
      <alignment horizontal="center"/>
    </xf>
    <xf numFmtId="171"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0" fontId="320" fillId="0" borderId="73">
      <alignment horizontal="center"/>
    </xf>
    <xf numFmtId="171" fontId="320" fillId="0" borderId="73">
      <alignment horizontal="center"/>
    </xf>
    <xf numFmtId="0" fontId="320" fillId="0" borderId="73">
      <alignment horizontal="center"/>
    </xf>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3" fontId="225" fillId="0" borderId="0" applyFont="0" applyFill="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171"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0" fontId="225" fillId="145" borderId="0" applyNumberFormat="0" applyFont="0" applyBorder="0" applyAlignment="0" applyProtection="0"/>
    <xf numFmtId="171" fontId="225" fillId="145" borderId="0" applyNumberFormat="0" applyFont="0" applyBorder="0" applyAlignment="0" applyProtection="0"/>
    <xf numFmtId="313" fontId="154" fillId="0" borderId="0" applyFill="0" applyBorder="0" applyAlignment="0" applyProtection="0"/>
    <xf numFmtId="3" fontId="233" fillId="0" borderId="0" applyFont="0" applyFill="0" applyBorder="0" applyAlignment="0" applyProtection="0"/>
    <xf numFmtId="38" fontId="12" fillId="0" borderId="0" applyFill="0" applyBorder="0">
      <alignment horizontal="center" vertical="top"/>
    </xf>
    <xf numFmtId="38" fontId="12" fillId="0" borderId="0" applyFill="0" applyBorder="0">
      <alignment horizontal="center" vertical="top"/>
    </xf>
    <xf numFmtId="314" fontId="12" fillId="0" borderId="76"/>
    <xf numFmtId="0" fontId="154" fillId="0" borderId="0">
      <alignment vertical="top"/>
    </xf>
    <xf numFmtId="246" fontId="154" fillId="0" borderId="0">
      <alignment vertical="top"/>
    </xf>
    <xf numFmtId="246" fontId="154" fillId="0" borderId="0">
      <alignment vertical="top"/>
    </xf>
    <xf numFmtId="246" fontId="154" fillId="0" borderId="0">
      <alignment vertical="top"/>
    </xf>
    <xf numFmtId="246" fontId="154" fillId="0" borderId="0">
      <alignment vertical="top"/>
    </xf>
    <xf numFmtId="246" fontId="154" fillId="0" borderId="0">
      <alignment vertical="top"/>
    </xf>
    <xf numFmtId="246" fontId="154" fillId="0" borderId="0">
      <alignment vertical="top"/>
    </xf>
    <xf numFmtId="246" fontId="154" fillId="0" borderId="0">
      <alignment vertical="top"/>
    </xf>
    <xf numFmtId="0" fontId="154" fillId="0" borderId="0">
      <alignment vertical="top"/>
    </xf>
    <xf numFmtId="0" fontId="154" fillId="0" borderId="0">
      <alignment vertical="top"/>
    </xf>
    <xf numFmtId="0" fontId="154" fillId="0" borderId="0">
      <alignment vertical="top"/>
    </xf>
    <xf numFmtId="0" fontId="154" fillId="0" borderId="0">
      <alignment vertical="top"/>
    </xf>
    <xf numFmtId="0" fontId="154" fillId="0" borderId="0">
      <alignment vertical="top"/>
    </xf>
    <xf numFmtId="246" fontId="154" fillId="0" borderId="0">
      <alignment vertical="top"/>
    </xf>
    <xf numFmtId="315" fontId="159" fillId="0" borderId="0" applyProtection="0">
      <alignment horizontal="right"/>
    </xf>
    <xf numFmtId="40" fontId="12" fillId="0" borderId="76"/>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316" fontId="12" fillId="0" borderId="0"/>
    <xf numFmtId="192" fontId="12" fillId="0" borderId="0"/>
    <xf numFmtId="317" fontId="321" fillId="0" borderId="0"/>
    <xf numFmtId="0" fontId="12" fillId="0" borderId="0"/>
    <xf numFmtId="0" fontId="322" fillId="146" borderId="0" applyNumberFormat="0" applyFont="0" applyBorder="0" applyAlignment="0">
      <alignment horizontal="center"/>
    </xf>
    <xf numFmtId="171" fontId="322" fillId="146" borderId="0" applyNumberFormat="0" applyFont="0" applyBorder="0" applyAlignment="0">
      <alignment horizontal="center"/>
    </xf>
    <xf numFmtId="218" fontId="159" fillId="0" borderId="0"/>
    <xf numFmtId="14" fontId="323" fillId="0" borderId="0" applyNumberFormat="0" applyFill="0" applyBorder="0" applyAlignment="0" applyProtection="0">
      <alignment horizontal="left"/>
    </xf>
    <xf numFmtId="199" fontId="21" fillId="0" borderId="0" applyFill="0" applyBorder="0">
      <alignment horizontal="right" vertical="center"/>
    </xf>
    <xf numFmtId="199" fontId="21" fillId="0" borderId="0" applyFill="0" applyBorder="0">
      <alignment horizontal="right" vertical="center"/>
    </xf>
    <xf numFmtId="205" fontId="21" fillId="0" borderId="0" applyFill="0" applyBorder="0">
      <alignment horizontal="right" vertical="center"/>
    </xf>
    <xf numFmtId="205" fontId="21" fillId="0" borderId="0" applyFill="0" applyBorder="0">
      <alignment horizontal="right" vertical="center"/>
    </xf>
    <xf numFmtId="201" fontId="21" fillId="0" borderId="0" applyFill="0" applyBorder="0">
      <alignment horizontal="right" vertical="center"/>
    </xf>
    <xf numFmtId="201" fontId="21" fillId="0" borderId="0" applyFill="0" applyBorder="0">
      <alignment horizontal="right" vertical="center"/>
    </xf>
    <xf numFmtId="202" fontId="21" fillId="0" borderId="0" applyFill="0" applyBorder="0">
      <alignment horizontal="right" vertical="center"/>
    </xf>
    <xf numFmtId="202" fontId="21" fillId="0" borderId="0" applyFill="0" applyBorder="0">
      <alignment horizontal="right" vertical="center"/>
    </xf>
    <xf numFmtId="203" fontId="21" fillId="0" borderId="0" applyFill="0" applyBorder="0">
      <alignment horizontal="right" vertical="center"/>
    </xf>
    <xf numFmtId="203" fontId="21" fillId="0" borderId="0" applyFill="0" applyBorder="0">
      <alignment horizontal="right" vertical="center"/>
    </xf>
    <xf numFmtId="204" fontId="21" fillId="0" borderId="0" applyFill="0" applyBorder="0">
      <alignment horizontal="right" vertical="center"/>
    </xf>
    <xf numFmtId="204" fontId="21" fillId="0" borderId="0" applyFill="0" applyBorder="0">
      <alignment horizontal="right" vertical="center"/>
    </xf>
    <xf numFmtId="0" fontId="159" fillId="0" borderId="0" applyNumberFormat="0" applyFill="0" applyAlignment="0" applyProtection="0"/>
    <xf numFmtId="171" fontId="159" fillId="0" borderId="0" applyNumberFormat="0" applyFill="0" applyAlignment="0" applyProtection="0"/>
    <xf numFmtId="0" fontId="162" fillId="0" borderId="0"/>
    <xf numFmtId="318" fontId="197" fillId="0" borderId="0">
      <alignment horizontal="left" vertical="center"/>
    </xf>
    <xf numFmtId="271" fontId="324" fillId="0" borderId="0">
      <alignment horizontal="left" vertical="center" indent="1"/>
    </xf>
    <xf numFmtId="0" fontId="21" fillId="0" borderId="25"/>
    <xf numFmtId="0" fontId="21" fillId="0" borderId="25"/>
    <xf numFmtId="0" fontId="21" fillId="0" borderId="25"/>
    <xf numFmtId="0" fontId="21" fillId="0" borderId="25"/>
    <xf numFmtId="0" fontId="21" fillId="0" borderId="25"/>
    <xf numFmtId="171" fontId="21" fillId="0" borderId="25"/>
    <xf numFmtId="0" fontId="237" fillId="0" borderId="96">
      <alignment vertical="center"/>
    </xf>
    <xf numFmtId="0" fontId="12" fillId="0" borderId="0"/>
    <xf numFmtId="0" fontId="12" fillId="0" borderId="0"/>
    <xf numFmtId="171" fontId="12" fillId="0" borderId="0"/>
    <xf numFmtId="0" fontId="12" fillId="0" borderId="0"/>
    <xf numFmtId="171" fontId="12" fillId="0" borderId="0"/>
    <xf numFmtId="0" fontId="12" fillId="0" borderId="0"/>
    <xf numFmtId="4" fontId="21" fillId="8" borderId="70" applyNumberFormat="0" applyProtection="0">
      <alignment vertical="center"/>
    </xf>
    <xf numFmtId="4" fontId="256" fillId="8" borderId="97" applyNumberFormat="0" applyProtection="0">
      <alignmen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69" fillId="118" borderId="70" applyNumberFormat="0" applyProtection="0">
      <alignment vertical="center"/>
    </xf>
    <xf numFmtId="0" fontId="12" fillId="0" borderId="0"/>
    <xf numFmtId="0" fontId="12" fillId="0" borderId="0"/>
    <xf numFmtId="171" fontId="12" fillId="0" borderId="0"/>
    <xf numFmtId="0" fontId="12" fillId="0" borderId="0"/>
    <xf numFmtId="171" fontId="12" fillId="0" borderId="0"/>
    <xf numFmtId="0" fontId="12" fillId="0" borderId="0"/>
    <xf numFmtId="4" fontId="21" fillId="118" borderId="70" applyNumberFormat="0" applyProtection="0">
      <alignment horizontal="left" vertical="center" indent="1"/>
    </xf>
    <xf numFmtId="4" fontId="256" fillId="8" borderId="97"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0" fontId="197" fillId="8" borderId="97" applyNumberFormat="0" applyProtection="0">
      <alignment horizontal="left" vertical="top"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56" fillId="125" borderId="0"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4" fontId="21" fillId="15"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93"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11" borderId="68"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43"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52"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14"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12"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147"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39" borderId="70"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1" fillId="148" borderId="68"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4" fontId="12" fillId="13" borderId="68" applyNumberFormat="0" applyProtection="0">
      <alignment horizontal="left" vertical="center" indent="1"/>
    </xf>
    <xf numFmtId="0" fontId="12" fillId="0" borderId="0"/>
    <xf numFmtId="4" fontId="109" fillId="13" borderId="0" applyNumberFormat="0" applyProtection="0">
      <alignment horizontal="left" vertical="center" indent="1"/>
    </xf>
    <xf numFmtId="171" fontId="12" fillId="0" borderId="0"/>
    <xf numFmtId="0" fontId="12" fillId="0" borderId="0"/>
    <xf numFmtId="4" fontId="12" fillId="13" borderId="68"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4" fontId="21" fillId="125" borderId="70" applyNumberFormat="0" applyProtection="0">
      <alignment horizontal="right" vertical="center"/>
    </xf>
    <xf numFmtId="0" fontId="12" fillId="0" borderId="0"/>
    <xf numFmtId="4" fontId="45" fillId="149" borderId="0"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4" fontId="21" fillId="149" borderId="68" applyNumberFormat="0" applyProtection="0">
      <alignment horizontal="left" vertical="center" indent="1"/>
    </xf>
    <xf numFmtId="0" fontId="12" fillId="0" borderId="0"/>
    <xf numFmtId="4" fontId="21" fillId="149" borderId="68" applyNumberFormat="0" applyProtection="0">
      <alignment horizontal="left" vertical="center" indent="1"/>
    </xf>
    <xf numFmtId="0" fontId="12" fillId="0" borderId="0"/>
    <xf numFmtId="4" fontId="45" fillId="125" borderId="0"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4" fontId="21" fillId="125" borderId="68" applyNumberFormat="0" applyProtection="0">
      <alignment horizontal="left" vertical="center" indent="1"/>
    </xf>
    <xf numFmtId="0" fontId="12" fillId="0" borderId="0"/>
    <xf numFmtId="4" fontId="21" fillId="125" borderId="68" applyNumberFormat="0" applyProtection="0">
      <alignment horizontal="left" vertical="center" indent="1"/>
    </xf>
    <xf numFmtId="0" fontId="12" fillId="0" borderId="0"/>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0" fontId="12" fillId="13" borderId="97" applyNumberFormat="0" applyProtection="0">
      <alignment horizontal="left" vertical="center" indent="1"/>
    </xf>
    <xf numFmtId="171" fontId="12" fillId="13" borderId="97" applyNumberFormat="0" applyProtection="0">
      <alignment horizontal="left" vertical="center" indent="1"/>
    </xf>
    <xf numFmtId="171" fontId="12" fillId="0" borderId="0"/>
    <xf numFmtId="0" fontId="12" fillId="0" borderId="0"/>
    <xf numFmtId="0" fontId="21" fillId="6" borderId="70" applyNumberFormat="0" applyProtection="0">
      <alignment horizontal="left" vertical="center" indent="1"/>
    </xf>
    <xf numFmtId="0" fontId="12" fillId="0" borderId="0"/>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0" fontId="12" fillId="13" borderId="97" applyNumberFormat="0" applyProtection="0">
      <alignment horizontal="left" vertical="top" indent="1"/>
    </xf>
    <xf numFmtId="171" fontId="12" fillId="13" borderId="97" applyNumberFormat="0" applyProtection="0">
      <alignment horizontal="left" vertical="top" indent="1"/>
    </xf>
    <xf numFmtId="171" fontId="12" fillId="0" borderId="0"/>
    <xf numFmtId="0" fontId="12" fillId="0" borderId="0"/>
    <xf numFmtId="0" fontId="21" fillId="13" borderId="97" applyNumberFormat="0" applyProtection="0">
      <alignment horizontal="left" vertical="top" indent="1"/>
    </xf>
    <xf numFmtId="0" fontId="12" fillId="0" borderId="0"/>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171"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171"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171" fontId="12" fillId="0" borderId="0"/>
    <xf numFmtId="0" fontId="12" fillId="0" borderId="0"/>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21" fillId="119" borderId="70" applyNumberFormat="0" applyProtection="0">
      <alignment horizontal="left" vertical="center" indent="1"/>
    </xf>
    <xf numFmtId="0" fontId="12" fillId="0" borderId="0"/>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0" fontId="12" fillId="125" borderId="97" applyNumberFormat="0" applyProtection="0">
      <alignment horizontal="left" vertical="top" indent="1"/>
    </xf>
    <xf numFmtId="171" fontId="12" fillId="125" borderId="97" applyNumberFormat="0" applyProtection="0">
      <alignment horizontal="left" vertical="top" indent="1"/>
    </xf>
    <xf numFmtId="171" fontId="12" fillId="0" borderId="0"/>
    <xf numFmtId="0" fontId="12" fillId="0" borderId="0"/>
    <xf numFmtId="0" fontId="21" fillId="125" borderId="97" applyNumberFormat="0" applyProtection="0">
      <alignment horizontal="left" vertical="top" indent="1"/>
    </xf>
    <xf numFmtId="0" fontId="12" fillId="0" borderId="0"/>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0" fontId="12" fillId="9" borderId="97" applyNumberFormat="0" applyProtection="0">
      <alignment horizontal="left" vertical="center" indent="1"/>
    </xf>
    <xf numFmtId="171" fontId="12" fillId="9" borderId="97" applyNumberFormat="0" applyProtection="0">
      <alignment horizontal="left" vertical="center" indent="1"/>
    </xf>
    <xf numFmtId="171" fontId="12" fillId="0" borderId="0"/>
    <xf numFmtId="0" fontId="12" fillId="0" borderId="0"/>
    <xf numFmtId="0" fontId="21" fillId="9" borderId="70" applyNumberFormat="0" applyProtection="0">
      <alignment horizontal="left" vertical="center" indent="1"/>
    </xf>
    <xf numFmtId="0" fontId="12" fillId="0" borderId="0"/>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0" fontId="12" fillId="9" borderId="97" applyNumberFormat="0" applyProtection="0">
      <alignment horizontal="left" vertical="top" indent="1"/>
    </xf>
    <xf numFmtId="171" fontId="12" fillId="9" borderId="97" applyNumberFormat="0" applyProtection="0">
      <alignment horizontal="left" vertical="top" indent="1"/>
    </xf>
    <xf numFmtId="171" fontId="12" fillId="0" borderId="0"/>
    <xf numFmtId="0" fontId="12" fillId="0" borderId="0"/>
    <xf numFmtId="0" fontId="21" fillId="9" borderId="97" applyNumberFormat="0" applyProtection="0">
      <alignment horizontal="left" vertical="top" indent="1"/>
    </xf>
    <xf numFmtId="0" fontId="12" fillId="0" borderId="0"/>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0" fontId="12" fillId="149" borderId="97" applyNumberFormat="0" applyProtection="0">
      <alignment horizontal="left" vertical="center" indent="1"/>
    </xf>
    <xf numFmtId="171" fontId="12" fillId="149" borderId="97" applyNumberFormat="0" applyProtection="0">
      <alignment horizontal="left" vertical="center" indent="1"/>
    </xf>
    <xf numFmtId="171" fontId="12" fillId="0" borderId="0"/>
    <xf numFmtId="0" fontId="12" fillId="0" borderId="0"/>
    <xf numFmtId="0" fontId="21" fillId="149" borderId="70" applyNumberFormat="0" applyProtection="0">
      <alignment horizontal="left" vertical="center" indent="1"/>
    </xf>
    <xf numFmtId="0" fontId="12" fillId="0" borderId="0"/>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0" fontId="12" fillId="149" borderId="97" applyNumberFormat="0" applyProtection="0">
      <alignment horizontal="left" vertical="top" indent="1"/>
    </xf>
    <xf numFmtId="171" fontId="12" fillId="149" borderId="97" applyNumberFormat="0" applyProtection="0">
      <alignment horizontal="left" vertical="top" indent="1"/>
    </xf>
    <xf numFmtId="171" fontId="12" fillId="0" borderId="0"/>
    <xf numFmtId="0" fontId="12" fillId="0" borderId="0"/>
    <xf numFmtId="0" fontId="21" fillId="149" borderId="97" applyNumberFormat="0" applyProtection="0">
      <alignment horizontal="left" vertical="top" indent="1"/>
    </xf>
    <xf numFmtId="0" fontId="21" fillId="2" borderId="98" applyNumberFormat="0">
      <protection locked="0"/>
    </xf>
    <xf numFmtId="0" fontId="12" fillId="2" borderId="25" applyNumberFormat="0">
      <protection locked="0"/>
    </xf>
    <xf numFmtId="0" fontId="12" fillId="2" borderId="25" applyNumberFormat="0">
      <protection locked="0"/>
    </xf>
    <xf numFmtId="0" fontId="12" fillId="2" borderId="25" applyNumberFormat="0">
      <protection locked="0"/>
    </xf>
    <xf numFmtId="0" fontId="12" fillId="2" borderId="25" applyNumberFormat="0">
      <protection locked="0"/>
    </xf>
    <xf numFmtId="0" fontId="12" fillId="2" borderId="25" applyNumberFormat="0">
      <protection locked="0"/>
    </xf>
    <xf numFmtId="171" fontId="12" fillId="2" borderId="25" applyNumberFormat="0">
      <protection locked="0"/>
    </xf>
    <xf numFmtId="171" fontId="21" fillId="2" borderId="98" applyNumberFormat="0">
      <protection locked="0"/>
    </xf>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206" fillId="13" borderId="99" applyBorder="0"/>
    <xf numFmtId="0" fontId="12" fillId="0" borderId="0"/>
    <xf numFmtId="0" fontId="12" fillId="0" borderId="0"/>
    <xf numFmtId="0" fontId="12" fillId="0" borderId="0"/>
    <xf numFmtId="171" fontId="12" fillId="0" borderId="0"/>
    <xf numFmtId="171" fontId="12" fillId="0" borderId="0"/>
    <xf numFmtId="0" fontId="12" fillId="0" borderId="0"/>
    <xf numFmtId="4" fontId="221" fillId="4" borderId="97" applyNumberFormat="0" applyProtection="0">
      <alignmen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69" fillId="110" borderId="44" applyNumberFormat="0" applyProtection="0">
      <alignmen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21" fillId="6" borderId="97"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0" fontId="221" fillId="4" borderId="97" applyNumberFormat="0" applyProtection="0">
      <alignment horizontal="left" vertical="top" indent="1"/>
    </xf>
    <xf numFmtId="0" fontId="12" fillId="0" borderId="0"/>
    <xf numFmtId="0" fontId="12" fillId="0" borderId="0"/>
    <xf numFmtId="171" fontId="12" fillId="0" borderId="0"/>
    <xf numFmtId="0" fontId="12" fillId="0" borderId="0"/>
    <xf numFmtId="171" fontId="12" fillId="0" borderId="0"/>
    <xf numFmtId="0" fontId="12" fillId="0" borderId="0"/>
    <xf numFmtId="4" fontId="21" fillId="0" borderId="70" applyNumberFormat="0" applyProtection="0">
      <alignment horizontal="right" vertical="center"/>
    </xf>
    <xf numFmtId="4" fontId="45" fillId="149" borderId="97" applyNumberFormat="0" applyProtection="0">
      <alignment horizontal="right" vertical="center"/>
    </xf>
    <xf numFmtId="0" fontId="12" fillId="0" borderId="0"/>
    <xf numFmtId="0" fontId="12" fillId="0" borderId="0"/>
    <xf numFmtId="0" fontId="12" fillId="0" borderId="0"/>
    <xf numFmtId="171" fontId="12" fillId="0" borderId="0"/>
    <xf numFmtId="171" fontId="12" fillId="0" borderId="0"/>
    <xf numFmtId="0" fontId="12" fillId="0" borderId="0"/>
    <xf numFmtId="4" fontId="269" fillId="24" borderId="70" applyNumberFormat="0" applyProtection="0">
      <alignment horizontal="right" vertical="center"/>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21" fillId="10" borderId="70" applyNumberFormat="0" applyProtection="0">
      <alignment horizontal="left" vertical="center" indent="1"/>
    </xf>
    <xf numFmtId="4" fontId="45" fillId="125" borderId="97" applyNumberFormat="0" applyProtection="0">
      <alignment horizontal="left" vertical="center" indent="1"/>
    </xf>
    <xf numFmtId="0" fontId="12" fillId="0" borderId="0"/>
    <xf numFmtId="0" fontId="12" fillId="0" borderId="0"/>
    <xf numFmtId="0" fontId="12" fillId="0" borderId="0"/>
    <xf numFmtId="171" fontId="12" fillId="0" borderId="0"/>
    <xf numFmtId="171" fontId="12" fillId="0" borderId="0"/>
    <xf numFmtId="0" fontId="12" fillId="0" borderId="0"/>
    <xf numFmtId="0" fontId="221" fillId="125" borderId="97" applyNumberFormat="0" applyProtection="0">
      <alignment horizontal="left" vertical="top" indent="1"/>
    </xf>
    <xf numFmtId="0" fontId="12" fillId="0" borderId="0"/>
    <xf numFmtId="4" fontId="325" fillId="131" borderId="0" applyNumberFormat="0" applyProtection="0">
      <alignment horizontal="left" vertical="center" indent="1"/>
    </xf>
    <xf numFmtId="171" fontId="12" fillId="0" borderId="0"/>
    <xf numFmtId="0" fontId="12" fillId="0" borderId="0"/>
    <xf numFmtId="4" fontId="326" fillId="131" borderId="68" applyNumberFormat="0" applyProtection="0">
      <alignment horizontal="left" vertical="center" indent="1"/>
    </xf>
    <xf numFmtId="0" fontId="21" fillId="150" borderId="25"/>
    <xf numFmtId="172" fontId="21" fillId="150" borderId="25"/>
    <xf numFmtId="172" fontId="21" fillId="150" borderId="25"/>
    <xf numFmtId="172" fontId="21" fillId="150" borderId="25"/>
    <xf numFmtId="172" fontId="21" fillId="150" borderId="25"/>
    <xf numFmtId="172" fontId="21" fillId="150" borderId="25"/>
    <xf numFmtId="172"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21" fillId="150" borderId="25"/>
    <xf numFmtId="0" fontId="12" fillId="0" borderId="0"/>
    <xf numFmtId="0" fontId="12" fillId="0" borderId="0"/>
    <xf numFmtId="0" fontId="12" fillId="0" borderId="0"/>
    <xf numFmtId="171" fontId="12" fillId="0" borderId="0"/>
    <xf numFmtId="171" fontId="12" fillId="0" borderId="0"/>
    <xf numFmtId="0" fontId="12" fillId="0" borderId="0"/>
    <xf numFmtId="4" fontId="327" fillId="2" borderId="70" applyNumberFormat="0" applyProtection="0">
      <alignment horizontal="right" vertical="center"/>
    </xf>
    <xf numFmtId="0" fontId="29" fillId="18" borderId="0" applyNumberFormat="0" applyBorder="0" applyAlignment="0" applyProtection="0"/>
    <xf numFmtId="319" fontId="328" fillId="0" borderId="0" applyFont="0" applyFill="0" applyBorder="0" applyAlignment="0" applyProtection="0"/>
    <xf numFmtId="257" fontId="329" fillId="0" borderId="0"/>
    <xf numFmtId="0" fontId="330" fillId="0" borderId="0" applyFill="0" applyBorder="0" applyAlignment="0"/>
    <xf numFmtId="0" fontId="330" fillId="0" borderId="0" applyFill="0" applyBorder="0" applyAlignment="0"/>
    <xf numFmtId="0" fontId="317" fillId="0" borderId="0" applyFill="0" applyBorder="0">
      <alignment vertical="center"/>
    </xf>
    <xf numFmtId="276" fontId="12" fillId="0" borderId="0" applyFont="0" applyFill="0" applyBorder="0" applyAlignment="0" applyProtection="0"/>
    <xf numFmtId="165" fontId="12" fillId="0" borderId="0" applyFont="0" applyFill="0" applyBorder="0" applyAlignment="0" applyProtection="0"/>
    <xf numFmtId="0" fontId="175" fillId="139" borderId="25"/>
    <xf numFmtId="0" fontId="322" fillId="1" borderId="17" applyNumberFormat="0" applyFont="0" applyAlignment="0">
      <alignment horizontal="center"/>
    </xf>
    <xf numFmtId="0" fontId="322" fillId="1" borderId="17" applyNumberFormat="0" applyFont="0" applyAlignment="0">
      <alignment horizontal="center"/>
    </xf>
    <xf numFmtId="0" fontId="322" fillId="1" borderId="17" applyNumberFormat="0" applyFont="0" applyAlignment="0">
      <alignment horizontal="center"/>
    </xf>
    <xf numFmtId="0" fontId="322" fillId="1" borderId="17" applyNumberFormat="0" applyFont="0" applyAlignment="0">
      <alignment horizontal="center"/>
    </xf>
    <xf numFmtId="0" fontId="322" fillId="1" borderId="17" applyNumberFormat="0" applyFont="0" applyAlignment="0">
      <alignment horizontal="center"/>
    </xf>
    <xf numFmtId="171" fontId="322" fillId="1" borderId="17" applyNumberFormat="0" applyFont="0" applyAlignment="0">
      <alignment horizontal="center"/>
    </xf>
    <xf numFmtId="257" fontId="331" fillId="0" borderId="100"/>
    <xf numFmtId="0" fontId="39" fillId="0" borderId="0" applyNumberFormat="0" applyFill="0" applyBorder="0" applyAlignment="0" applyProtection="0"/>
    <xf numFmtId="0" fontId="258" fillId="0" borderId="0" applyFill="0" applyBorder="0" applyAlignment="0"/>
    <xf numFmtId="0" fontId="318" fillId="0" borderId="0" applyFill="0" applyBorder="0">
      <alignment vertical="center"/>
    </xf>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171" fontId="186" fillId="0" borderId="82" applyNumberFormat="0" applyFill="0" applyAlignment="0" applyProtection="0"/>
    <xf numFmtId="171" fontId="186" fillId="0" borderId="82" applyNumberFormat="0" applyFill="0" applyAlignment="0" applyProtection="0"/>
    <xf numFmtId="171" fontId="186" fillId="0" borderId="82" applyNumberFormat="0" applyFill="0" applyAlignment="0" applyProtection="0"/>
    <xf numFmtId="171"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0" fontId="186" fillId="0" borderId="82" applyNumberFormat="0" applyFill="0" applyAlignment="0" applyProtection="0"/>
    <xf numFmtId="38" fontId="206" fillId="0" borderId="20" applyNumberFormat="0" applyFill="0" applyBorder="0" applyAlignment="0">
      <alignment horizontal="right"/>
    </xf>
    <xf numFmtId="0" fontId="332" fillId="0" borderId="0" applyProtection="0">
      <alignment vertical="center"/>
    </xf>
    <xf numFmtId="171" fontId="332" fillId="0" borderId="0" applyProtection="0">
      <alignment vertical="center"/>
    </xf>
    <xf numFmtId="0" fontId="333" fillId="0" borderId="0" applyProtection="0">
      <alignment vertical="center"/>
    </xf>
    <xf numFmtId="171" fontId="333" fillId="0" borderId="0" applyProtection="0">
      <alignment vertical="center"/>
    </xf>
    <xf numFmtId="0" fontId="334" fillId="0" borderId="0"/>
    <xf numFmtId="171" fontId="334" fillId="0" borderId="0"/>
    <xf numFmtId="0" fontId="38" fillId="6" borderId="11" applyNumberFormat="0" applyAlignment="0" applyProtection="0"/>
    <xf numFmtId="0" fontId="280" fillId="0" borderId="0"/>
    <xf numFmtId="320" fontId="305" fillId="0" borderId="0">
      <alignment horizontal="left" vertical="center"/>
    </xf>
    <xf numFmtId="0" fontId="323" fillId="0" borderId="0">
      <alignment horizontal="right"/>
    </xf>
    <xf numFmtId="0" fontId="323" fillId="0" borderId="0">
      <alignment horizontal="left"/>
    </xf>
    <xf numFmtId="0" fontId="335" fillId="0" borderId="0" applyNumberFormat="0" applyFill="0" applyBorder="0" applyAlignment="0">
      <alignment horizontal="center"/>
    </xf>
    <xf numFmtId="171" fontId="335" fillId="0" borderId="0" applyNumberFormat="0" applyFill="0" applyBorder="0" applyAlignment="0">
      <alignment horizontal="center"/>
    </xf>
    <xf numFmtId="0" fontId="14" fillId="151" borderId="0" applyNumberFormat="0" applyBorder="0" applyAlignment="0" applyProtection="0"/>
    <xf numFmtId="171" fontId="14" fillId="151" borderId="0" applyNumberFormat="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12" fillId="0" borderId="0" applyNumberFormat="0" applyFont="0" applyFill="0" applyBorder="0" applyAlignment="0" applyProtection="0"/>
    <xf numFmtId="0" fontId="14" fillId="151" borderId="0" applyNumberFormat="0" applyBorder="0" applyAlignment="0" applyProtection="0"/>
    <xf numFmtId="171" fontId="14" fillId="151" borderId="0" applyNumberFormat="0" applyBorder="0" applyAlignment="0" applyProtection="0"/>
    <xf numFmtId="0" fontId="12" fillId="110" borderId="0" applyNumberFormat="0" applyAlignment="0" applyProtection="0"/>
    <xf numFmtId="0" fontId="12" fillId="110" borderId="0" applyNumberFormat="0" applyAlignment="0" applyProtection="0"/>
    <xf numFmtId="171" fontId="12" fillId="110" borderId="0" applyNumberFormat="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0" fontId="14" fillId="151" borderId="0" applyNumberFormat="0" applyBorder="0" applyAlignment="0" applyProtection="0"/>
    <xf numFmtId="171" fontId="14" fillId="151" borderId="0" applyNumberFormat="0" applyBorder="0" applyAlignment="0" applyProtection="0"/>
    <xf numFmtId="0" fontId="12" fillId="110" borderId="0" applyNumberFormat="0" applyBorder="0" applyAlignment="0" applyProtection="0"/>
    <xf numFmtId="0" fontId="12" fillId="110" borderId="0" applyNumberFormat="0" applyBorder="0" applyAlignment="0" applyProtection="0"/>
    <xf numFmtId="171" fontId="12" fillId="110" borderId="0" applyNumberFormat="0" applyBorder="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0" fontId="12" fillId="152" borderId="0" applyNumberFormat="0" applyBorder="0" applyAlignment="0" applyProtection="0"/>
    <xf numFmtId="0" fontId="12" fillId="152" borderId="0" applyNumberFormat="0" applyBorder="0" applyAlignment="0" applyProtection="0"/>
    <xf numFmtId="171" fontId="12" fillId="152" borderId="0" applyNumberFormat="0" applyBorder="0" applyAlignment="0" applyProtection="0"/>
    <xf numFmtId="0" fontId="14" fillId="152" borderId="0" applyNumberFormat="0" applyBorder="0" applyAlignment="0" applyProtection="0"/>
    <xf numFmtId="171" fontId="14" fillId="152" borderId="0" applyNumberFormat="0" applyBorder="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3" fontId="14" fillId="153" borderId="0" applyNumberFormat="0" applyBorder="0" applyAlignment="0" applyProtection="0"/>
    <xf numFmtId="3" fontId="14" fillId="153" borderId="0" applyNumberFormat="0" applyBorder="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3" fontId="14" fillId="136" borderId="0" applyNumberFormat="0" applyBorder="0" applyAlignment="0" applyProtection="0"/>
    <xf numFmtId="3" fontId="14" fillId="136" borderId="0" applyNumberFormat="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3" fontId="12" fillId="84" borderId="0" applyFont="0" applyBorder="0" applyAlignment="0" applyProtection="0"/>
    <xf numFmtId="3" fontId="12" fillId="84" borderId="0" applyFont="0" applyBorder="0" applyAlignment="0" applyProtection="0"/>
    <xf numFmtId="0" fontId="12" fillId="136" borderId="0" applyNumberFormat="0" applyFont="0" applyBorder="0" applyAlignment="0" applyProtection="0"/>
    <xf numFmtId="0" fontId="12" fillId="136" borderId="0" applyNumberFormat="0" applyFont="0" applyBorder="0" applyAlignment="0" applyProtection="0"/>
    <xf numFmtId="171" fontId="12" fillId="136" borderId="0" applyNumberFormat="0" applyFont="0" applyBorder="0" applyAlignment="0" applyProtection="0"/>
    <xf numFmtId="4" fontId="12" fillId="84" borderId="0" applyFont="0" applyBorder="0" applyAlignment="0" applyProtection="0"/>
    <xf numFmtId="4" fontId="12" fillId="84" borderId="0" applyFont="0" applyBorder="0" applyAlignment="0" applyProtection="0"/>
    <xf numFmtId="177" fontId="21" fillId="0" borderId="0" applyAlignment="0" applyProtection="0"/>
    <xf numFmtId="177" fontId="21" fillId="0" borderId="0" applyAlignment="0" applyProtection="0"/>
    <xf numFmtId="0" fontId="45" fillId="24" borderId="0" applyNumberFormat="0" applyFont="0" applyFill="0" applyAlignment="0" applyProtection="0">
      <alignment horizontal="left"/>
      <protection locked="0"/>
    </xf>
    <xf numFmtId="171" fontId="45" fillId="24" borderId="0" applyNumberFormat="0" applyFont="0" applyFill="0" applyAlignment="0" applyProtection="0">
      <alignment horizontal="left"/>
      <protection locked="0"/>
    </xf>
    <xf numFmtId="321" fontId="12" fillId="0" borderId="0">
      <alignment horizontal="center"/>
    </xf>
    <xf numFmtId="322" fontId="47" fillId="0" borderId="0" applyFill="0" applyBorder="0" applyProtection="0"/>
    <xf numFmtId="0" fontId="336" fillId="0" borderId="44">
      <alignment horizontal="center"/>
    </xf>
    <xf numFmtId="0" fontId="12" fillId="0" borderId="0" applyFont="0" applyFill="0" applyBorder="0" applyAlignment="0" applyProtection="0"/>
    <xf numFmtId="0" fontId="12" fillId="0" borderId="0" applyFont="0" applyFill="0" applyBorder="0" applyAlignment="0" applyProtection="0"/>
    <xf numFmtId="0" fontId="12" fillId="0" borderId="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alignment vertical="top"/>
    </xf>
    <xf numFmtId="0" fontId="12" fillId="0" borderId="0"/>
    <xf numFmtId="0" fontId="12" fillId="0" borderId="0"/>
    <xf numFmtId="0" fontId="336" fillId="0" borderId="44">
      <alignment horizontal="center"/>
    </xf>
    <xf numFmtId="0" fontId="21" fillId="154" borderId="0" applyNumberFormat="0" applyBorder="0">
      <alignment vertical="top" wrapText="1"/>
      <protection locked="0"/>
    </xf>
    <xf numFmtId="171" fontId="21" fillId="154" borderId="0" applyNumberFormat="0" applyBorder="0">
      <alignment vertical="top" wrapText="1"/>
      <protection locked="0"/>
    </xf>
    <xf numFmtId="0" fontId="21" fillId="0" borderId="0" applyNumberFormat="0" applyFill="0" applyBorder="0">
      <alignment vertical="top" wrapText="1"/>
      <protection locked="0"/>
    </xf>
    <xf numFmtId="171" fontId="21" fillId="0" borderId="0" applyNumberFormat="0" applyFill="0" applyBorder="0">
      <alignment vertical="top" wrapText="1"/>
      <protection locked="0"/>
    </xf>
    <xf numFmtId="0" fontId="159" fillId="0" borderId="0" applyNumberFormat="0" applyFill="0" applyBorder="0">
      <alignment vertical="top" wrapText="1"/>
      <protection locked="0"/>
    </xf>
    <xf numFmtId="171" fontId="159" fillId="0" borderId="0" applyNumberFormat="0" applyFill="0" applyBorder="0">
      <alignment vertical="top" wrapText="1"/>
      <protection locked="0"/>
    </xf>
    <xf numFmtId="0" fontId="159" fillId="0" borderId="101" applyNumberFormat="0" applyFill="0">
      <alignment vertical="top" wrapText="1"/>
      <protection locked="0"/>
    </xf>
    <xf numFmtId="171" fontId="159" fillId="0" borderId="101" applyNumberFormat="0" applyFill="0">
      <alignment vertical="top" wrapText="1"/>
      <protection locked="0"/>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171" fontId="336" fillId="0" borderId="44">
      <alignment horizontal="center"/>
    </xf>
    <xf numFmtId="323" fontId="21" fillId="0" borderId="0" applyFill="0" applyBorder="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44" applyFill="0" applyProtection="0">
      <alignment vertical="top" wrapText="1"/>
    </xf>
    <xf numFmtId="323" fontId="21" fillId="0" borderId="61" applyFill="0" applyProtection="0">
      <alignment vertical="top"/>
    </xf>
    <xf numFmtId="323" fontId="21" fillId="0" borderId="61" applyFill="0" applyProtection="0">
      <alignment vertical="top"/>
    </xf>
    <xf numFmtId="323" fontId="21" fillId="0" borderId="61" applyFill="0" applyProtection="0">
      <alignment vertical="top"/>
    </xf>
    <xf numFmtId="323" fontId="21" fillId="0" borderId="61" applyFill="0" applyProtection="0">
      <alignment vertical="top"/>
    </xf>
    <xf numFmtId="323" fontId="21" fillId="0" borderId="61" applyFill="0" applyProtection="0">
      <alignment vertical="top"/>
    </xf>
    <xf numFmtId="323"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5" fontId="21" fillId="0" borderId="61" applyFill="0" applyProtection="0">
      <alignment vertical="top"/>
    </xf>
    <xf numFmtId="325" fontId="21" fillId="0" borderId="61" applyFill="0" applyProtection="0">
      <alignment vertical="top"/>
    </xf>
    <xf numFmtId="325" fontId="21" fillId="0" borderId="61" applyFill="0" applyProtection="0">
      <alignment vertical="top"/>
    </xf>
    <xf numFmtId="325" fontId="21" fillId="0" borderId="61" applyFill="0" applyProtection="0">
      <alignment vertical="top"/>
    </xf>
    <xf numFmtId="325" fontId="21" fillId="0" borderId="61" applyFill="0" applyProtection="0">
      <alignment vertical="top"/>
    </xf>
    <xf numFmtId="171" fontId="21" fillId="0" borderId="61" applyFill="0" applyProtection="0">
      <alignment vertical="top"/>
    </xf>
    <xf numFmtId="326" fontId="21" fillId="0" borderId="61" applyFill="0" applyProtection="0">
      <alignment vertical="top"/>
    </xf>
    <xf numFmtId="326" fontId="21" fillId="0" borderId="61" applyFill="0" applyProtection="0">
      <alignment vertical="top"/>
    </xf>
    <xf numFmtId="326" fontId="21" fillId="0" borderId="61" applyFill="0" applyProtection="0">
      <alignment vertical="top"/>
    </xf>
    <xf numFmtId="326" fontId="21" fillId="0" borderId="61" applyFill="0" applyProtection="0">
      <alignment vertical="top"/>
    </xf>
    <xf numFmtId="326"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171" fontId="21" fillId="0" borderId="61" applyFill="0" applyProtection="0">
      <alignment vertical="top"/>
    </xf>
    <xf numFmtId="325" fontId="21" fillId="0" borderId="44" applyFill="0" applyProtection="0">
      <alignment vertical="top"/>
    </xf>
    <xf numFmtId="325" fontId="21" fillId="0" borderId="44" applyFill="0" applyProtection="0">
      <alignment vertical="top"/>
    </xf>
    <xf numFmtId="325" fontId="21" fillId="0" borderId="44" applyFill="0" applyProtection="0">
      <alignment vertical="top"/>
    </xf>
    <xf numFmtId="325" fontId="21" fillId="0" borderId="44" applyFill="0" applyProtection="0">
      <alignment vertical="top"/>
    </xf>
    <xf numFmtId="325" fontId="21" fillId="0" borderId="44" applyFill="0" applyProtection="0">
      <alignment vertical="top"/>
    </xf>
    <xf numFmtId="171" fontId="21" fillId="0" borderId="44" applyFill="0" applyProtection="0">
      <alignment vertical="top"/>
    </xf>
    <xf numFmtId="326" fontId="21" fillId="0" borderId="44" applyFill="0" applyProtection="0">
      <alignment vertical="top"/>
    </xf>
    <xf numFmtId="326" fontId="21" fillId="0" borderId="44" applyFill="0" applyProtection="0">
      <alignment vertical="top"/>
    </xf>
    <xf numFmtId="326" fontId="21" fillId="0" borderId="44" applyFill="0" applyProtection="0">
      <alignment vertical="top"/>
    </xf>
    <xf numFmtId="326" fontId="21" fillId="0" borderId="44" applyFill="0" applyProtection="0">
      <alignment vertical="top"/>
    </xf>
    <xf numFmtId="326"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171" fontId="21" fillId="0" borderId="44"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4" fontId="21" fillId="0" borderId="61" applyFill="0" applyProtection="0">
      <alignment vertical="top"/>
    </xf>
    <xf numFmtId="323" fontId="21" fillId="0" borderId="101" applyFill="0" applyProtection="0">
      <alignment vertical="top" wrapText="1"/>
    </xf>
    <xf numFmtId="323" fontId="206" fillId="0" borderId="44" applyFill="0" applyProtection="0">
      <alignment vertical="top" wrapText="1"/>
    </xf>
    <xf numFmtId="323" fontId="206" fillId="0" borderId="44" applyFill="0" applyProtection="0">
      <alignment vertical="top" wrapText="1"/>
    </xf>
    <xf numFmtId="323" fontId="206" fillId="0" borderId="44" applyFill="0" applyProtection="0">
      <alignment vertical="top" wrapText="1"/>
    </xf>
    <xf numFmtId="323" fontId="206" fillId="0" borderId="44" applyFill="0" applyProtection="0">
      <alignment vertical="top" wrapText="1"/>
    </xf>
    <xf numFmtId="323" fontId="206" fillId="0" borderId="44" applyFill="0" applyProtection="0">
      <alignment vertical="top" wrapText="1"/>
    </xf>
    <xf numFmtId="323" fontId="206" fillId="0" borderId="44" applyFill="0" applyProtection="0">
      <alignment vertical="top" wrapText="1"/>
    </xf>
    <xf numFmtId="323" fontId="206" fillId="0" borderId="101" applyFill="0" applyProtection="0">
      <alignment vertical="top" wrapText="1"/>
    </xf>
    <xf numFmtId="0" fontId="21" fillId="0" borderId="0" applyNumberFormat="0" applyBorder="0">
      <alignment vertical="top" wrapText="1"/>
    </xf>
    <xf numFmtId="171" fontId="21" fillId="0" borderId="0" applyNumberFormat="0" applyBorder="0">
      <alignment vertical="top" wrapText="1"/>
    </xf>
    <xf numFmtId="323" fontId="21" fillId="154" borderId="0" applyBorder="0" applyProtection="0">
      <alignment vertical="top" wrapText="1"/>
    </xf>
    <xf numFmtId="324" fontId="21" fillId="0" borderId="0" applyFill="0" applyBorder="0" applyProtection="0">
      <alignment vertical="top" wrapText="1"/>
    </xf>
    <xf numFmtId="324" fontId="21" fillId="154" borderId="0" applyBorder="0" applyProtection="0">
      <alignment vertical="top" wrapText="1"/>
    </xf>
    <xf numFmtId="325" fontId="21" fillId="0" borderId="0" applyFill="0" applyBorder="0" applyProtection="0">
      <alignment vertical="top" wrapText="1"/>
    </xf>
    <xf numFmtId="171" fontId="21" fillId="0" borderId="0" applyFill="0" applyBorder="0" applyProtection="0">
      <alignment vertical="top" wrapText="1"/>
    </xf>
    <xf numFmtId="325" fontId="21" fillId="154" borderId="0" applyBorder="0" applyProtection="0">
      <alignment vertical="top" wrapText="1"/>
    </xf>
    <xf numFmtId="171" fontId="21" fillId="154" borderId="0" applyBorder="0" applyProtection="0">
      <alignment vertical="top" wrapText="1"/>
    </xf>
    <xf numFmtId="326" fontId="21" fillId="0" borderId="0" applyFill="0" applyBorder="0" applyProtection="0">
      <alignment vertical="top" wrapText="1"/>
    </xf>
    <xf numFmtId="171" fontId="21" fillId="0" borderId="0" applyFill="0" applyBorder="0" applyProtection="0">
      <alignment vertical="top" wrapText="1"/>
    </xf>
    <xf numFmtId="326" fontId="21" fillId="154" borderId="0" applyBorder="0" applyProtection="0">
      <alignment vertical="top" wrapText="1"/>
    </xf>
    <xf numFmtId="171" fontId="21" fillId="154" borderId="0" applyBorder="0" applyProtection="0">
      <alignment vertical="top" wrapText="1"/>
    </xf>
    <xf numFmtId="0" fontId="337" fillId="0" borderId="0" applyNumberFormat="0" applyBorder="0">
      <alignment vertical="top"/>
    </xf>
    <xf numFmtId="171" fontId="337" fillId="0" borderId="0" applyNumberFormat="0" applyBorder="0">
      <alignment vertical="top"/>
    </xf>
    <xf numFmtId="171" fontId="21" fillId="154" borderId="0" applyBorder="0" applyProtection="0">
      <alignment vertical="top" wrapText="1"/>
    </xf>
    <xf numFmtId="323" fontId="21" fillId="154" borderId="44" applyProtection="0">
      <alignment vertical="top" wrapText="1"/>
    </xf>
    <xf numFmtId="323" fontId="21" fillId="154" borderId="44" applyProtection="0">
      <alignment vertical="top" wrapText="1"/>
    </xf>
    <xf numFmtId="323" fontId="21" fillId="154" borderId="44" applyProtection="0">
      <alignment vertical="top" wrapText="1"/>
    </xf>
    <xf numFmtId="323" fontId="21" fillId="154" borderId="44" applyProtection="0">
      <alignment vertical="top" wrapText="1"/>
    </xf>
    <xf numFmtId="323" fontId="21" fillId="154" borderId="44" applyProtection="0">
      <alignment vertical="top" wrapText="1"/>
    </xf>
    <xf numFmtId="323" fontId="21" fillId="154" borderId="44" applyProtection="0">
      <alignment vertical="top" wrapText="1"/>
    </xf>
    <xf numFmtId="323" fontId="206" fillId="154" borderId="101" applyProtection="0">
      <alignment vertical="top" wrapText="1"/>
    </xf>
    <xf numFmtId="327" fontId="21" fillId="0" borderId="0" applyFill="0" applyBorder="0" applyProtection="0">
      <alignment horizontal="right" vertical="top" wrapText="1"/>
    </xf>
    <xf numFmtId="327" fontId="21" fillId="0" borderId="44" applyFill="0" applyProtection="0">
      <alignment vertical="top" wrapText="1"/>
    </xf>
    <xf numFmtId="327" fontId="21" fillId="0" borderId="44" applyFill="0" applyProtection="0">
      <alignment vertical="top" wrapText="1"/>
    </xf>
    <xf numFmtId="327" fontId="21" fillId="0" borderId="44" applyFill="0" applyProtection="0">
      <alignment vertical="top" wrapText="1"/>
    </xf>
    <xf numFmtId="327" fontId="21" fillId="0" borderId="44" applyFill="0" applyProtection="0">
      <alignment vertical="top" wrapText="1"/>
    </xf>
    <xf numFmtId="327" fontId="21" fillId="0" borderId="44" applyFill="0" applyProtection="0">
      <alignment vertical="top" wrapText="1"/>
    </xf>
    <xf numFmtId="327" fontId="21" fillId="0" borderId="44" applyFill="0" applyProtection="0">
      <alignment vertical="top" wrapText="1"/>
    </xf>
    <xf numFmtId="327" fontId="21" fillId="0" borderId="101" applyFill="0" applyProtection="0">
      <alignment vertical="top" wrapText="1"/>
    </xf>
    <xf numFmtId="327" fontId="206" fillId="0" borderId="44" applyFill="0" applyProtection="0">
      <alignment vertical="top" wrapText="1"/>
    </xf>
    <xf numFmtId="327" fontId="206" fillId="0" borderId="44" applyFill="0" applyProtection="0">
      <alignment vertical="top" wrapText="1"/>
    </xf>
    <xf numFmtId="327" fontId="206" fillId="0" borderId="44" applyFill="0" applyProtection="0">
      <alignment vertical="top" wrapText="1"/>
    </xf>
    <xf numFmtId="327" fontId="206" fillId="0" borderId="44" applyFill="0" applyProtection="0">
      <alignment vertical="top" wrapText="1"/>
    </xf>
    <xf numFmtId="327" fontId="206" fillId="0" borderId="44" applyFill="0" applyProtection="0">
      <alignment vertical="top" wrapText="1"/>
    </xf>
    <xf numFmtId="327" fontId="206" fillId="0" borderId="44" applyFill="0" applyProtection="0">
      <alignment vertical="top" wrapText="1"/>
    </xf>
    <xf numFmtId="327" fontId="206" fillId="0" borderId="101" applyFill="0" applyProtection="0">
      <alignment vertical="top" wrapText="1"/>
    </xf>
    <xf numFmtId="327" fontId="21" fillId="0" borderId="102" applyFill="0" applyProtection="0">
      <alignment vertical="top" wrapText="1"/>
    </xf>
    <xf numFmtId="327" fontId="21" fillId="0" borderId="102" applyFill="0" applyProtection="0">
      <alignment vertical="top" wrapText="1"/>
    </xf>
    <xf numFmtId="327" fontId="21" fillId="0" borderId="102" applyFill="0" applyProtection="0">
      <alignment vertical="top" wrapText="1"/>
    </xf>
    <xf numFmtId="327" fontId="21" fillId="0" borderId="102" applyFill="0" applyProtection="0">
      <alignment vertical="top" wrapText="1"/>
    </xf>
    <xf numFmtId="327" fontId="21" fillId="0" borderId="102" applyFill="0" applyProtection="0">
      <alignment vertical="top" wrapText="1"/>
    </xf>
    <xf numFmtId="327" fontId="21" fillId="154" borderId="0" applyBorder="0" applyProtection="0">
      <alignment vertical="top" wrapText="1"/>
    </xf>
    <xf numFmtId="327" fontId="21" fillId="154" borderId="101" applyProtection="0">
      <alignment vertical="top" wrapText="1"/>
    </xf>
    <xf numFmtId="327" fontId="206" fillId="154" borderId="101" applyProtection="0">
      <alignment vertical="top" wrapText="1"/>
    </xf>
    <xf numFmtId="328" fontId="21" fillId="0" borderId="0" applyFill="0" applyBorder="0" applyProtection="0">
      <alignment vertical="top" wrapText="1"/>
    </xf>
    <xf numFmtId="329" fontId="21" fillId="0" borderId="0" applyFill="0" applyBorder="0">
      <alignment horizontal="right" vertical="top" wrapText="1"/>
      <protection locked="0"/>
    </xf>
    <xf numFmtId="329" fontId="21" fillId="154" borderId="0" applyBorder="0">
      <alignment horizontal="right" vertical="top" wrapText="1"/>
      <protection locked="0"/>
    </xf>
    <xf numFmtId="329" fontId="21" fillId="0" borderId="0" applyFill="0" applyBorder="0" applyProtection="0">
      <alignment horizontal="right" vertical="top" wrapText="1"/>
    </xf>
    <xf numFmtId="329" fontId="21" fillId="0" borderId="44" applyFill="0" applyProtection="0">
      <alignment horizontal="right" vertical="top" wrapText="1"/>
    </xf>
    <xf numFmtId="329" fontId="21" fillId="0" borderId="44" applyFill="0" applyProtection="0">
      <alignment horizontal="right" vertical="top" wrapText="1"/>
    </xf>
    <xf numFmtId="329" fontId="21" fillId="0" borderId="44" applyFill="0" applyProtection="0">
      <alignment horizontal="right" vertical="top" wrapText="1"/>
    </xf>
    <xf numFmtId="329" fontId="21" fillId="0" borderId="44" applyFill="0" applyProtection="0">
      <alignment horizontal="right" vertical="top" wrapText="1"/>
    </xf>
    <xf numFmtId="329" fontId="21" fillId="0" borderId="44" applyFill="0" applyProtection="0">
      <alignment horizontal="right" vertical="top" wrapText="1"/>
    </xf>
    <xf numFmtId="329" fontId="21" fillId="0" borderId="44" applyFill="0" applyProtection="0">
      <alignment horizontal="right" vertical="top" wrapText="1"/>
    </xf>
    <xf numFmtId="329" fontId="21" fillId="154" borderId="0" applyBorder="0" applyProtection="0">
      <alignment horizontal="right" vertical="top" wrapText="1"/>
    </xf>
    <xf numFmtId="328" fontId="21" fillId="0" borderId="44" applyFill="0" applyProtection="0">
      <alignment vertical="top" wrapText="1"/>
    </xf>
    <xf numFmtId="328" fontId="21" fillId="0" borderId="44" applyFill="0" applyProtection="0">
      <alignment vertical="top" wrapText="1"/>
    </xf>
    <xf numFmtId="328" fontId="21" fillId="0" borderId="44" applyFill="0" applyProtection="0">
      <alignment vertical="top" wrapText="1"/>
    </xf>
    <xf numFmtId="328" fontId="21" fillId="0" borderId="44" applyFill="0" applyProtection="0">
      <alignment vertical="top" wrapText="1"/>
    </xf>
    <xf numFmtId="328" fontId="21" fillId="0" borderId="44" applyFill="0" applyProtection="0">
      <alignment vertical="top" wrapText="1"/>
    </xf>
    <xf numFmtId="328" fontId="21" fillId="0" borderId="44" applyFill="0" applyProtection="0">
      <alignment vertical="top" wrapText="1"/>
    </xf>
    <xf numFmtId="328" fontId="21" fillId="0" borderId="101" applyFill="0" applyProtection="0">
      <alignment vertical="top" wrapText="1"/>
    </xf>
    <xf numFmtId="328" fontId="206" fillId="0" borderId="44" applyFill="0" applyProtection="0">
      <alignment vertical="top" wrapText="1"/>
    </xf>
    <xf numFmtId="328" fontId="206" fillId="0" borderId="44" applyFill="0" applyProtection="0">
      <alignment vertical="top" wrapText="1"/>
    </xf>
    <xf numFmtId="328" fontId="206" fillId="0" borderId="44" applyFill="0" applyProtection="0">
      <alignment vertical="top" wrapText="1"/>
    </xf>
    <xf numFmtId="328" fontId="206" fillId="0" borderId="44" applyFill="0" applyProtection="0">
      <alignment vertical="top" wrapText="1"/>
    </xf>
    <xf numFmtId="328" fontId="206" fillId="0" borderId="44" applyFill="0" applyProtection="0">
      <alignment vertical="top" wrapText="1"/>
    </xf>
    <xf numFmtId="328" fontId="206" fillId="0" borderId="44" applyFill="0" applyProtection="0">
      <alignment vertical="top" wrapText="1"/>
    </xf>
    <xf numFmtId="330" fontId="206" fillId="0" borderId="101" applyFill="0" applyProtection="0">
      <alignment vertical="top" wrapText="1"/>
    </xf>
    <xf numFmtId="330" fontId="21" fillId="154" borderId="0" applyBorder="0" applyProtection="0">
      <alignment vertical="top" wrapText="1"/>
    </xf>
    <xf numFmtId="330" fontId="21" fillId="154" borderId="101" applyProtection="0">
      <alignment vertical="top" wrapText="1"/>
    </xf>
    <xf numFmtId="330" fontId="206" fillId="154" borderId="101" applyProtection="0">
      <alignment vertical="top" wrapText="1"/>
    </xf>
    <xf numFmtId="323" fontId="159" fillId="0" borderId="0" applyFill="0" applyBorder="0" applyProtection="0">
      <alignment vertical="top" wrapText="1"/>
    </xf>
    <xf numFmtId="323" fontId="159" fillId="0" borderId="44" applyFill="0" applyProtection="0">
      <alignment vertical="top" wrapText="1"/>
    </xf>
    <xf numFmtId="323" fontId="159" fillId="0" borderId="44" applyFill="0" applyProtection="0">
      <alignment vertical="top" wrapText="1"/>
    </xf>
    <xf numFmtId="323" fontId="159" fillId="0" borderId="44" applyFill="0" applyProtection="0">
      <alignment vertical="top" wrapText="1"/>
    </xf>
    <xf numFmtId="323" fontId="159" fillId="0" borderId="44" applyFill="0" applyProtection="0">
      <alignment vertical="top" wrapText="1"/>
    </xf>
    <xf numFmtId="323" fontId="159" fillId="0" borderId="44" applyFill="0" applyProtection="0">
      <alignment vertical="top" wrapText="1"/>
    </xf>
    <xf numFmtId="323" fontId="159" fillId="0" borderId="44" applyFill="0" applyProtection="0">
      <alignment vertical="top" wrapText="1"/>
    </xf>
    <xf numFmtId="323" fontId="159" fillId="0" borderId="101" applyFill="0" applyProtection="0">
      <alignment vertical="top" wrapText="1"/>
    </xf>
    <xf numFmtId="323" fontId="338" fillId="0" borderId="44" applyFill="0" applyProtection="0">
      <alignment vertical="top" wrapText="1"/>
    </xf>
    <xf numFmtId="323" fontId="338" fillId="0" borderId="44" applyFill="0" applyProtection="0">
      <alignment vertical="top" wrapText="1"/>
    </xf>
    <xf numFmtId="323" fontId="338" fillId="0" borderId="44" applyFill="0" applyProtection="0">
      <alignment vertical="top" wrapText="1"/>
    </xf>
    <xf numFmtId="323" fontId="338" fillId="0" borderId="44" applyFill="0" applyProtection="0">
      <alignment vertical="top" wrapText="1"/>
    </xf>
    <xf numFmtId="323" fontId="338" fillId="0" borderId="44" applyFill="0" applyProtection="0">
      <alignment vertical="top" wrapText="1"/>
    </xf>
    <xf numFmtId="323" fontId="338" fillId="0" borderId="44" applyFill="0" applyProtection="0">
      <alignment vertical="top" wrapText="1"/>
    </xf>
    <xf numFmtId="323" fontId="338" fillId="0" borderId="101" applyFill="0" applyProtection="0">
      <alignment vertical="top" wrapText="1"/>
    </xf>
    <xf numFmtId="323" fontId="159" fillId="0" borderId="102" applyFill="0" applyProtection="0">
      <alignment vertical="top" wrapText="1"/>
    </xf>
    <xf numFmtId="323" fontId="159" fillId="0" borderId="102" applyFill="0" applyProtection="0">
      <alignment vertical="top" wrapText="1"/>
    </xf>
    <xf numFmtId="323" fontId="159" fillId="0" borderId="102" applyFill="0" applyProtection="0">
      <alignment vertical="top" wrapText="1"/>
    </xf>
    <xf numFmtId="323" fontId="159" fillId="0" borderId="102" applyFill="0" applyProtection="0">
      <alignment vertical="top" wrapText="1"/>
    </xf>
    <xf numFmtId="323" fontId="159" fillId="0" borderId="102" applyFill="0" applyProtection="0">
      <alignment vertical="top" wrapText="1"/>
    </xf>
    <xf numFmtId="323" fontId="159" fillId="154" borderId="0" applyBorder="0" applyProtection="0">
      <alignment vertical="top" wrapText="1"/>
    </xf>
    <xf numFmtId="323" fontId="159" fillId="154" borderId="44" applyProtection="0">
      <alignment vertical="top" wrapText="1"/>
    </xf>
    <xf numFmtId="323" fontId="159" fillId="154" borderId="44" applyProtection="0">
      <alignment vertical="top" wrapText="1"/>
    </xf>
    <xf numFmtId="323" fontId="159" fillId="154" borderId="44" applyProtection="0">
      <alignment vertical="top" wrapText="1"/>
    </xf>
    <xf numFmtId="323" fontId="159" fillId="154" borderId="44" applyProtection="0">
      <alignment vertical="top" wrapText="1"/>
    </xf>
    <xf numFmtId="323" fontId="159" fillId="154" borderId="44" applyProtection="0">
      <alignment vertical="top" wrapText="1"/>
    </xf>
    <xf numFmtId="323" fontId="159" fillId="154" borderId="44" applyProtection="0">
      <alignment vertical="top" wrapText="1"/>
    </xf>
    <xf numFmtId="323" fontId="338" fillId="154" borderId="101" applyProtection="0">
      <alignment vertical="top" wrapText="1"/>
    </xf>
    <xf numFmtId="327" fontId="159" fillId="0" borderId="0" applyFill="0" applyBorder="0" applyProtection="0">
      <alignment vertical="top" wrapText="1"/>
    </xf>
    <xf numFmtId="327" fontId="159" fillId="0" borderId="44" applyFill="0" applyProtection="0">
      <alignment vertical="top" wrapText="1"/>
    </xf>
    <xf numFmtId="327" fontId="159" fillId="0" borderId="44" applyFill="0" applyProtection="0">
      <alignment vertical="top" wrapText="1"/>
    </xf>
    <xf numFmtId="327" fontId="159" fillId="0" borderId="44" applyFill="0" applyProtection="0">
      <alignment vertical="top" wrapText="1"/>
    </xf>
    <xf numFmtId="327" fontId="159" fillId="0" borderId="44" applyFill="0" applyProtection="0">
      <alignment vertical="top" wrapText="1"/>
    </xf>
    <xf numFmtId="327" fontId="159" fillId="0" borderId="44" applyFill="0" applyProtection="0">
      <alignment vertical="top" wrapText="1"/>
    </xf>
    <xf numFmtId="327" fontId="159" fillId="0" borderId="44" applyFill="0" applyProtection="0">
      <alignment vertical="top" wrapText="1"/>
    </xf>
    <xf numFmtId="327" fontId="159" fillId="0" borderId="101" applyFill="0" applyProtection="0">
      <alignment vertical="top" wrapText="1"/>
    </xf>
    <xf numFmtId="327" fontId="338" fillId="0" borderId="44" applyFill="0" applyProtection="0">
      <alignment vertical="top" wrapText="1"/>
    </xf>
    <xf numFmtId="327" fontId="338" fillId="0" borderId="44" applyFill="0" applyProtection="0">
      <alignment vertical="top" wrapText="1"/>
    </xf>
    <xf numFmtId="327" fontId="338" fillId="0" borderId="44" applyFill="0" applyProtection="0">
      <alignment vertical="top" wrapText="1"/>
    </xf>
    <xf numFmtId="327" fontId="338" fillId="0" borderId="44" applyFill="0" applyProtection="0">
      <alignment vertical="top" wrapText="1"/>
    </xf>
    <xf numFmtId="327" fontId="338" fillId="0" borderId="44" applyFill="0" applyProtection="0">
      <alignment vertical="top" wrapText="1"/>
    </xf>
    <xf numFmtId="327" fontId="338" fillId="0" borderId="44" applyFill="0" applyProtection="0">
      <alignment vertical="top" wrapText="1"/>
    </xf>
    <xf numFmtId="327" fontId="338" fillId="0" borderId="101" applyFill="0" applyProtection="0">
      <alignment vertical="top" wrapText="1"/>
    </xf>
    <xf numFmtId="327" fontId="159" fillId="0" borderId="102" applyFill="0" applyProtection="0">
      <alignment vertical="top" wrapText="1"/>
    </xf>
    <xf numFmtId="327" fontId="159" fillId="0" borderId="102" applyFill="0" applyProtection="0">
      <alignment vertical="top" wrapText="1"/>
    </xf>
    <xf numFmtId="327" fontId="159" fillId="0" borderId="102" applyFill="0" applyProtection="0">
      <alignment vertical="top" wrapText="1"/>
    </xf>
    <xf numFmtId="327" fontId="159" fillId="0" borderId="102" applyFill="0" applyProtection="0">
      <alignment vertical="top" wrapText="1"/>
    </xf>
    <xf numFmtId="327" fontId="159" fillId="0" borderId="102" applyFill="0" applyProtection="0">
      <alignment vertical="top" wrapText="1"/>
    </xf>
    <xf numFmtId="327" fontId="159" fillId="154" borderId="0" applyBorder="0" applyProtection="0">
      <alignment vertical="top" wrapText="1"/>
    </xf>
    <xf numFmtId="327" fontId="159" fillId="154" borderId="101" applyProtection="0">
      <alignment vertical="top" wrapText="1"/>
    </xf>
    <xf numFmtId="327" fontId="338" fillId="154" borderId="101" applyProtection="0">
      <alignment vertical="top" wrapText="1"/>
    </xf>
    <xf numFmtId="328" fontId="159" fillId="0" borderId="0" applyFill="0" applyBorder="0" applyProtection="0">
      <alignment vertical="top" wrapText="1"/>
    </xf>
    <xf numFmtId="330" fontId="159" fillId="0" borderId="44" applyFill="0" applyProtection="0">
      <alignment vertical="top" wrapText="1"/>
    </xf>
    <xf numFmtId="330" fontId="159" fillId="0" borderId="44" applyFill="0" applyProtection="0">
      <alignment vertical="top" wrapText="1"/>
    </xf>
    <xf numFmtId="330" fontId="159" fillId="0" borderId="44" applyFill="0" applyProtection="0">
      <alignment vertical="top" wrapText="1"/>
    </xf>
    <xf numFmtId="330" fontId="159" fillId="0" borderId="44" applyFill="0" applyProtection="0">
      <alignment vertical="top" wrapText="1"/>
    </xf>
    <xf numFmtId="330" fontId="159" fillId="0" borderId="44" applyFill="0" applyProtection="0">
      <alignment vertical="top" wrapText="1"/>
    </xf>
    <xf numFmtId="330" fontId="159" fillId="0" borderId="44" applyFill="0" applyProtection="0">
      <alignment vertical="top" wrapText="1"/>
    </xf>
    <xf numFmtId="330" fontId="159" fillId="0" borderId="101" applyFill="0" applyProtection="0">
      <alignment vertical="top" wrapText="1"/>
    </xf>
    <xf numFmtId="330" fontId="338" fillId="0" borderId="44" applyFill="0" applyProtection="0">
      <alignment vertical="top" wrapText="1"/>
    </xf>
    <xf numFmtId="330" fontId="338" fillId="0" borderId="44" applyFill="0" applyProtection="0">
      <alignment vertical="top" wrapText="1"/>
    </xf>
    <xf numFmtId="330" fontId="338" fillId="0" borderId="44" applyFill="0" applyProtection="0">
      <alignment vertical="top" wrapText="1"/>
    </xf>
    <xf numFmtId="330" fontId="338" fillId="0" borderId="44" applyFill="0" applyProtection="0">
      <alignment vertical="top" wrapText="1"/>
    </xf>
    <xf numFmtId="330" fontId="338" fillId="0" borderId="44" applyFill="0" applyProtection="0">
      <alignment vertical="top" wrapText="1"/>
    </xf>
    <xf numFmtId="330" fontId="338" fillId="0" borderId="44" applyFill="0" applyProtection="0">
      <alignment vertical="top" wrapText="1"/>
    </xf>
    <xf numFmtId="330" fontId="338" fillId="0" borderId="101" applyFill="0" applyProtection="0">
      <alignment vertical="top" wrapText="1"/>
    </xf>
    <xf numFmtId="330" fontId="159" fillId="154" borderId="0" applyBorder="0" applyProtection="0">
      <alignment vertical="top" wrapText="1"/>
    </xf>
    <xf numFmtId="330" fontId="159" fillId="154" borderId="101" applyProtection="0">
      <alignment vertical="top" wrapText="1"/>
    </xf>
    <xf numFmtId="330" fontId="338" fillId="154" borderId="101" applyProtection="0">
      <alignment vertical="top" wrapText="1"/>
    </xf>
    <xf numFmtId="0" fontId="239" fillId="0" borderId="0" applyNumberFormat="0" applyFill="0" applyBorder="0" applyProtection="0">
      <alignment horizontal="center" vertical="top"/>
    </xf>
    <xf numFmtId="171" fontId="239" fillId="0" borderId="0" applyNumberFormat="0" applyFill="0" applyBorder="0" applyProtection="0">
      <alignment horizontal="center" vertical="top"/>
    </xf>
    <xf numFmtId="0" fontId="339" fillId="0" borderId="0" applyNumberFormat="0" applyFill="0" applyBorder="0" applyProtection="0">
      <alignment horizontal="center" vertical="top"/>
    </xf>
    <xf numFmtId="171" fontId="339" fillId="0" borderId="0" applyNumberFormat="0" applyFill="0" applyBorder="0" applyProtection="0">
      <alignment horizontal="center" vertical="top"/>
    </xf>
    <xf numFmtId="0" fontId="239" fillId="154" borderId="0" applyNumberFormat="0" applyBorder="0" applyProtection="0">
      <alignment horizontal="center" vertical="top"/>
    </xf>
    <xf numFmtId="171" fontId="239" fillId="154" borderId="0" applyNumberFormat="0" applyBorder="0" applyProtection="0">
      <alignment horizontal="center" vertical="top"/>
    </xf>
    <xf numFmtId="0" fontId="21" fillId="0" borderId="0" applyNumberFormat="0" applyFill="0" applyBorder="0" applyProtection="0">
      <alignment vertical="top"/>
    </xf>
    <xf numFmtId="171" fontId="21" fillId="0" borderId="0" applyNumberFormat="0" applyFill="0" applyBorder="0" applyProtection="0">
      <alignment vertical="top"/>
    </xf>
    <xf numFmtId="0" fontId="21" fillId="0" borderId="0" applyNumberFormat="0" applyFill="0" applyBorder="0">
      <alignment vertical="top"/>
      <protection locked="0"/>
    </xf>
    <xf numFmtId="171" fontId="21" fillId="0" borderId="0" applyNumberFormat="0" applyFill="0" applyBorder="0">
      <alignment vertical="top"/>
      <protection locked="0"/>
    </xf>
    <xf numFmtId="0" fontId="206" fillId="0" borderId="0" applyNumberFormat="0" applyFill="0" applyBorder="0" applyAlignment="0" applyProtection="0"/>
    <xf numFmtId="171" fontId="206" fillId="0" borderId="0" applyNumberFormat="0" applyFill="0" applyBorder="0" applyAlignment="0" applyProtection="0"/>
    <xf numFmtId="0" fontId="21" fillId="0" borderId="82" applyNumberFormat="0" applyFill="0" applyAlignment="0" applyProtection="0"/>
    <xf numFmtId="0" fontId="21" fillId="0" borderId="82" applyNumberFormat="0" applyFill="0" applyAlignment="0" applyProtection="0"/>
    <xf numFmtId="0" fontId="21" fillId="0" borderId="82" applyNumberFormat="0" applyFill="0" applyAlignment="0" applyProtection="0"/>
    <xf numFmtId="0" fontId="21" fillId="0" borderId="82" applyNumberFormat="0" applyFill="0" applyAlignment="0" applyProtection="0"/>
    <xf numFmtId="0" fontId="21" fillId="0" borderId="82" applyNumberFormat="0" applyFill="0" applyAlignment="0" applyProtection="0"/>
    <xf numFmtId="171" fontId="21"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171" fontId="206" fillId="0" borderId="82" applyNumberFormat="0" applyFill="0" applyAlignment="0" applyProtection="0"/>
    <xf numFmtId="0" fontId="30" fillId="0" borderId="44" applyNumberFormat="0" applyFill="0" applyAlignment="0" applyProtection="0"/>
    <xf numFmtId="0" fontId="30" fillId="0" borderId="44" applyNumberFormat="0" applyFill="0" applyAlignment="0" applyProtection="0"/>
    <xf numFmtId="0" fontId="30" fillId="0" borderId="44" applyNumberFormat="0" applyFill="0" applyAlignment="0" applyProtection="0"/>
    <xf numFmtId="0" fontId="30" fillId="0" borderId="44" applyNumberFormat="0" applyFill="0" applyAlignment="0" applyProtection="0"/>
    <xf numFmtId="0" fontId="30" fillId="0" borderId="44" applyNumberFormat="0" applyFill="0" applyAlignment="0" applyProtection="0"/>
    <xf numFmtId="171" fontId="30" fillId="0" borderId="44" applyNumberFormat="0" applyFill="0" applyAlignment="0" applyProtection="0"/>
    <xf numFmtId="0" fontId="30" fillId="0" borderId="0" applyNumberFormat="0" applyFill="0" applyBorder="0" applyAlignment="0" applyProtection="0"/>
    <xf numFmtId="171" fontId="30"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0" fontId="340" fillId="0" borderId="0" applyNumberFormat="0" applyFill="0" applyBorder="0" applyAlignment="0" applyProtection="0"/>
    <xf numFmtId="171" fontId="340" fillId="0" borderId="0" applyNumberFormat="0" applyFill="0" applyBorder="0" applyAlignment="0" applyProtection="0"/>
    <xf numFmtId="0" fontId="341" fillId="0" borderId="0" applyNumberFormat="0" applyFill="0" applyBorder="0" applyAlignment="0" applyProtection="0"/>
    <xf numFmtId="171" fontId="341" fillId="0" borderId="0" applyNumberFormat="0" applyFill="0" applyBorder="0" applyAlignment="0" applyProtection="0"/>
    <xf numFmtId="0" fontId="159" fillId="0" borderId="0" applyNumberFormat="0" applyFill="0" applyBorder="0" applyProtection="0">
      <alignment vertical="top"/>
    </xf>
    <xf numFmtId="171" fontId="159" fillId="0" borderId="0" applyNumberFormat="0" applyFill="0" applyBorder="0" applyProtection="0">
      <alignment vertical="top"/>
    </xf>
    <xf numFmtId="0" fontId="159" fillId="0" borderId="82" applyNumberFormat="0" applyFill="0" applyProtection="0">
      <alignment vertical="top"/>
    </xf>
    <xf numFmtId="0" fontId="159" fillId="0" borderId="82" applyNumberFormat="0" applyFill="0" applyProtection="0">
      <alignment vertical="top"/>
    </xf>
    <xf numFmtId="0" fontId="159" fillId="0" borderId="82" applyNumberFormat="0" applyFill="0" applyProtection="0">
      <alignment vertical="top"/>
    </xf>
    <xf numFmtId="0" fontId="159" fillId="0" borderId="82" applyNumberFormat="0" applyFill="0" applyProtection="0">
      <alignment vertical="top"/>
    </xf>
    <xf numFmtId="0" fontId="159" fillId="0" borderId="82" applyNumberFormat="0" applyFill="0" applyProtection="0">
      <alignment vertical="top"/>
    </xf>
    <xf numFmtId="171" fontId="159" fillId="0" borderId="82" applyNumberFormat="0" applyFill="0" applyProtection="0">
      <alignment vertical="top"/>
    </xf>
    <xf numFmtId="0" fontId="342" fillId="0" borderId="0" applyNumberFormat="0" applyFill="0" applyBorder="0" applyProtection="0">
      <alignment vertical="top"/>
    </xf>
    <xf numFmtId="171" fontId="342" fillId="0" borderId="0" applyNumberFormat="0" applyFill="0" applyBorder="0" applyProtection="0">
      <alignment vertical="top"/>
    </xf>
    <xf numFmtId="0" fontId="162" fillId="0" borderId="0"/>
    <xf numFmtId="171" fontId="162" fillId="0" borderId="0"/>
    <xf numFmtId="0" fontId="343" fillId="0" borderId="0" applyNumberFormat="0" applyFill="0" applyBorder="0" applyProtection="0">
      <alignment vertical="top"/>
    </xf>
    <xf numFmtId="171" fontId="343" fillId="0" borderId="0" applyNumberFormat="0" applyFill="0" applyBorder="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0" fontId="343" fillId="0" borderId="59" applyNumberFormat="0" applyFill="0" applyProtection="0">
      <alignment vertical="top"/>
    </xf>
    <xf numFmtId="171" fontId="343" fillId="0" borderId="59" applyNumberFormat="0" applyFill="0" applyProtection="0">
      <alignment vertical="top"/>
    </xf>
    <xf numFmtId="0" fontId="344" fillId="0" borderId="82" applyNumberFormat="0" applyFill="0" applyProtection="0">
      <alignment vertical="top"/>
    </xf>
    <xf numFmtId="0" fontId="344" fillId="0" borderId="82" applyNumberFormat="0" applyFill="0" applyProtection="0">
      <alignment vertical="top"/>
    </xf>
    <xf numFmtId="0" fontId="344" fillId="0" borderId="82" applyNumberFormat="0" applyFill="0" applyProtection="0">
      <alignment vertical="top"/>
    </xf>
    <xf numFmtId="0" fontId="344" fillId="0" borderId="82" applyNumberFormat="0" applyFill="0" applyProtection="0">
      <alignment vertical="top"/>
    </xf>
    <xf numFmtId="0" fontId="344" fillId="0" borderId="82" applyNumberFormat="0" applyFill="0" applyProtection="0">
      <alignment vertical="top"/>
    </xf>
    <xf numFmtId="171" fontId="344" fillId="0" borderId="82" applyNumberFormat="0" applyFill="0" applyProtection="0">
      <alignment vertical="top"/>
    </xf>
    <xf numFmtId="0" fontId="21" fillId="154" borderId="0" applyNumberFormat="0" applyBorder="0" applyProtection="0">
      <alignment vertical="top"/>
    </xf>
    <xf numFmtId="171" fontId="21" fillId="154" borderId="0" applyNumberFormat="0" applyBorder="0" applyProtection="0">
      <alignment vertical="top"/>
    </xf>
    <xf numFmtId="0" fontId="21" fillId="154" borderId="101" applyNumberFormat="0" applyProtection="0">
      <alignment vertical="top"/>
    </xf>
    <xf numFmtId="171" fontId="21" fillId="154" borderId="101" applyNumberFormat="0" applyProtection="0">
      <alignment vertical="top"/>
    </xf>
    <xf numFmtId="0" fontId="21" fillId="0" borderId="44" applyNumberFormat="0">
      <alignment horizontal="left" vertical="top" wrapText="1"/>
      <protection locked="0"/>
    </xf>
    <xf numFmtId="0" fontId="21" fillId="0" borderId="44" applyNumberFormat="0">
      <alignment horizontal="left" vertical="top" wrapText="1"/>
      <protection locked="0"/>
    </xf>
    <xf numFmtId="0" fontId="21" fillId="0" borderId="44" applyNumberFormat="0">
      <alignment horizontal="left" vertical="top" wrapText="1"/>
      <protection locked="0"/>
    </xf>
    <xf numFmtId="0" fontId="21" fillId="0" borderId="44" applyNumberFormat="0">
      <alignment horizontal="left" vertical="top" wrapText="1"/>
      <protection locked="0"/>
    </xf>
    <xf numFmtId="0" fontId="21" fillId="0" borderId="44" applyNumberFormat="0">
      <alignment horizontal="left" vertical="top" wrapText="1"/>
      <protection locked="0"/>
    </xf>
    <xf numFmtId="171" fontId="21" fillId="0" borderId="44" applyNumberFormat="0">
      <alignment horizontal="left" vertical="top" wrapText="1"/>
      <protection locked="0"/>
    </xf>
    <xf numFmtId="0" fontId="206" fillId="154" borderId="0" applyNumberFormat="0" applyBorder="0" applyProtection="0">
      <alignment vertical="top"/>
    </xf>
    <xf numFmtId="171" fontId="206" fillId="154" borderId="0" applyNumberFormat="0" applyBorder="0" applyProtection="0">
      <alignment vertical="top"/>
    </xf>
    <xf numFmtId="0" fontId="338" fillId="154" borderId="0" applyNumberFormat="0" applyBorder="0" applyProtection="0">
      <alignment vertical="top"/>
    </xf>
    <xf numFmtId="171" fontId="338" fillId="154" borderId="0" applyNumberFormat="0" applyBorder="0" applyProtection="0">
      <alignment vertical="top"/>
    </xf>
    <xf numFmtId="0" fontId="21" fillId="154" borderId="0" applyNumberFormat="0" applyBorder="0" applyProtection="0">
      <alignment vertical="top" wrapText="1"/>
    </xf>
    <xf numFmtId="171" fontId="21" fillId="154" borderId="0" applyNumberFormat="0" applyBorder="0" applyProtection="0">
      <alignment vertical="top" wrapText="1"/>
    </xf>
    <xf numFmtId="0" fontId="21" fillId="154" borderId="44" applyNumberFormat="0" applyProtection="0">
      <alignment vertical="top" wrapText="1"/>
    </xf>
    <xf numFmtId="0" fontId="21" fillId="154" borderId="44" applyNumberFormat="0" applyProtection="0">
      <alignment vertical="top" wrapText="1"/>
    </xf>
    <xf numFmtId="0" fontId="21" fillId="154" borderId="44" applyNumberFormat="0" applyProtection="0">
      <alignment vertical="top" wrapText="1"/>
    </xf>
    <xf numFmtId="0" fontId="21" fillId="154" borderId="44" applyNumberFormat="0" applyProtection="0">
      <alignment vertical="top" wrapText="1"/>
    </xf>
    <xf numFmtId="0" fontId="21" fillId="154" borderId="44" applyNumberFormat="0" applyProtection="0">
      <alignment vertical="top" wrapText="1"/>
    </xf>
    <xf numFmtId="171" fontId="21" fillId="154" borderId="44" applyNumberFormat="0" applyProtection="0">
      <alignment vertical="top" wrapText="1"/>
    </xf>
    <xf numFmtId="331" fontId="12" fillId="0" borderId="0" applyFont="0" applyFill="0" applyBorder="0" applyAlignment="0" applyProtection="0">
      <alignment horizontal="left"/>
    </xf>
    <xf numFmtId="0" fontId="20" fillId="151" borderId="44" applyNumberFormat="0" applyProtection="0">
      <alignment horizontal="center" vertical="top"/>
    </xf>
    <xf numFmtId="0" fontId="20" fillId="151" borderId="44" applyNumberFormat="0" applyProtection="0">
      <alignment horizontal="center" vertical="top"/>
    </xf>
    <xf numFmtId="0" fontId="20" fillId="151" borderId="44" applyNumberFormat="0" applyProtection="0">
      <alignment horizontal="center" vertical="top"/>
    </xf>
    <xf numFmtId="0" fontId="20" fillId="151" borderId="44" applyNumberFormat="0" applyProtection="0">
      <alignment horizontal="center" vertical="top"/>
    </xf>
    <xf numFmtId="0" fontId="20" fillId="151" borderId="44" applyNumberFormat="0" applyProtection="0">
      <alignment horizontal="center" vertical="top"/>
    </xf>
    <xf numFmtId="171" fontId="20" fillId="151" borderId="44" applyNumberFormat="0" applyProtection="0">
      <alignment horizontal="center"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0" fontId="345" fillId="0" borderId="59" applyNumberFormat="0" applyFill="0" applyProtection="0">
      <alignment vertical="top"/>
    </xf>
    <xf numFmtId="171" fontId="345"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0" fontId="337" fillId="0" borderId="59" applyNumberFormat="0" applyFill="0" applyProtection="0">
      <alignment vertical="top"/>
    </xf>
    <xf numFmtId="171" fontId="337" fillId="0" borderId="59" applyNumberFormat="0" applyFill="0" applyProtection="0">
      <alignment vertical="top"/>
    </xf>
    <xf numFmtId="0" fontId="343" fillId="0" borderId="62" applyNumberFormat="0" applyFill="0" applyProtection="0">
      <alignment vertical="top"/>
    </xf>
    <xf numFmtId="0" fontId="343" fillId="0" borderId="62" applyNumberFormat="0" applyFill="0" applyProtection="0">
      <alignment vertical="top"/>
    </xf>
    <xf numFmtId="0" fontId="343" fillId="0" borderId="62" applyNumberFormat="0" applyFill="0" applyProtection="0">
      <alignment vertical="top"/>
    </xf>
    <xf numFmtId="0" fontId="343" fillId="0" borderId="62" applyNumberFormat="0" applyFill="0" applyProtection="0">
      <alignment vertical="top"/>
    </xf>
    <xf numFmtId="171" fontId="343" fillId="0" borderId="62" applyNumberFormat="0" applyFill="0" applyProtection="0">
      <alignment vertical="top"/>
    </xf>
    <xf numFmtId="0" fontId="345" fillId="0" borderId="62" applyNumberFormat="0" applyFill="0" applyProtection="0">
      <alignment vertical="top"/>
    </xf>
    <xf numFmtId="0" fontId="345" fillId="0" borderId="62" applyNumberFormat="0" applyFill="0" applyProtection="0">
      <alignment vertical="top"/>
    </xf>
    <xf numFmtId="0" fontId="345" fillId="0" borderId="62" applyNumberFormat="0" applyFill="0" applyProtection="0">
      <alignment vertical="top"/>
    </xf>
    <xf numFmtId="0" fontId="345" fillId="0" borderId="62" applyNumberFormat="0" applyFill="0" applyProtection="0">
      <alignment vertical="top"/>
    </xf>
    <xf numFmtId="171" fontId="345" fillId="0" borderId="62" applyNumberFormat="0" applyFill="0" applyProtection="0">
      <alignment vertical="top"/>
    </xf>
    <xf numFmtId="0" fontId="345" fillId="0" borderId="0" applyNumberFormat="0" applyFill="0" applyBorder="0" applyProtection="0">
      <alignment vertical="top"/>
    </xf>
    <xf numFmtId="171" fontId="345" fillId="0" borderId="0" applyNumberFormat="0" applyFill="0" applyBorder="0" applyProtection="0">
      <alignment vertical="top"/>
    </xf>
    <xf numFmtId="0" fontId="206" fillId="0" borderId="0" applyNumberFormat="0" applyBorder="0"/>
    <xf numFmtId="171" fontId="206" fillId="0" borderId="0" applyNumberFormat="0" applyBorder="0"/>
    <xf numFmtId="0" fontId="20" fillId="0" borderId="103" applyNumberFormat="0" applyFill="0" applyProtection="0">
      <alignment vertical="top"/>
    </xf>
    <xf numFmtId="171" fontId="20" fillId="0" borderId="103" applyNumberFormat="0" applyFill="0" applyProtection="0">
      <alignment vertical="top"/>
    </xf>
    <xf numFmtId="0" fontId="20" fillId="0" borderId="103" applyNumberFormat="0" applyFill="0" applyProtection="0">
      <alignment vertical="top" wrapText="1"/>
    </xf>
    <xf numFmtId="171" fontId="20" fillId="0" borderId="103" applyNumberFormat="0" applyFill="0" applyProtection="0">
      <alignment vertical="top" wrapText="1"/>
    </xf>
    <xf numFmtId="0" fontId="337" fillId="0" borderId="62" applyNumberFormat="0" applyFill="0" applyProtection="0">
      <alignment vertical="top"/>
    </xf>
    <xf numFmtId="0" fontId="337" fillId="0" borderId="62" applyNumberFormat="0" applyFill="0" applyProtection="0">
      <alignment vertical="top"/>
    </xf>
    <xf numFmtId="0" fontId="337" fillId="0" borderId="62" applyNumberFormat="0" applyFill="0" applyProtection="0">
      <alignment vertical="top"/>
    </xf>
    <xf numFmtId="0" fontId="337" fillId="0" borderId="62" applyNumberFormat="0" applyFill="0" applyProtection="0">
      <alignment vertical="top"/>
    </xf>
    <xf numFmtId="171" fontId="337" fillId="0" borderId="62" applyNumberFormat="0" applyFill="0" applyProtection="0">
      <alignment vertical="top"/>
    </xf>
    <xf numFmtId="168" fontId="12" fillId="0" borderId="0" applyFont="0" applyFill="0" applyBorder="0" applyAlignment="0" applyProtection="0">
      <alignment horizontal="left"/>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0" fontId="343" fillId="0" borderId="63" applyNumberFormat="0" applyFill="0" applyProtection="0">
      <alignment vertical="top"/>
    </xf>
    <xf numFmtId="171" fontId="343"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0" fontId="345" fillId="0" borderId="63" applyNumberFormat="0" applyFill="0" applyProtection="0">
      <alignment vertical="top"/>
    </xf>
    <xf numFmtId="171" fontId="345"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0" fontId="337" fillId="0" borderId="63" applyNumberFormat="0" applyFill="0" applyProtection="0">
      <alignment vertical="top"/>
    </xf>
    <xf numFmtId="171" fontId="337" fillId="0" borderId="63" applyNumberFormat="0" applyFill="0" applyProtection="0">
      <alignment vertical="top"/>
    </xf>
    <xf numFmtId="0" fontId="159" fillId="154" borderId="0" applyNumberFormat="0" applyBorder="0" applyProtection="0">
      <alignment vertical="top"/>
    </xf>
    <xf numFmtId="171" fontId="159" fillId="154" borderId="0" applyNumberFormat="0" applyBorder="0" applyProtection="0">
      <alignment vertical="top"/>
    </xf>
    <xf numFmtId="0" fontId="159" fillId="0" borderId="0" applyNumberFormat="0" applyFill="0" applyBorder="0" applyProtection="0">
      <alignment vertical="top" wrapText="1"/>
    </xf>
    <xf numFmtId="171" fontId="159" fillId="0" borderId="0" applyNumberFormat="0" applyFill="0" applyBorder="0" applyProtection="0">
      <alignment vertical="top" wrapText="1"/>
    </xf>
    <xf numFmtId="0" fontId="21" fillId="0" borderId="0" applyNumberFormat="0" applyFill="0" applyBorder="0" applyProtection="0">
      <alignment vertical="top" wrapText="1"/>
    </xf>
    <xf numFmtId="171" fontId="21" fillId="0" borderId="0" applyNumberFormat="0" applyFill="0" applyBorder="0" applyProtection="0">
      <alignment vertical="top" wrapText="1"/>
    </xf>
    <xf numFmtId="0" fontId="206" fillId="0" borderId="57" applyNumberFormat="0" applyFill="0" applyAlignment="0" applyProtection="0"/>
    <xf numFmtId="0" fontId="206" fillId="0" borderId="57" applyNumberFormat="0" applyFill="0" applyAlignment="0" applyProtection="0"/>
    <xf numFmtId="0" fontId="206" fillId="0" borderId="57" applyNumberFormat="0" applyFill="0" applyAlignment="0" applyProtection="0"/>
    <xf numFmtId="0" fontId="206" fillId="0" borderId="57" applyNumberFormat="0" applyFill="0" applyAlignment="0" applyProtection="0"/>
    <xf numFmtId="0" fontId="206" fillId="0" borderId="57" applyNumberFormat="0" applyFill="0" applyAlignment="0" applyProtection="0"/>
    <xf numFmtId="171" fontId="206" fillId="0" borderId="57" applyNumberFormat="0" applyFill="0" applyAlignment="0" applyProtection="0"/>
    <xf numFmtId="0" fontId="206" fillId="0" borderId="104" applyNumberFormat="0" applyFill="0" applyAlignment="0" applyProtection="0"/>
    <xf numFmtId="0" fontId="206" fillId="0" borderId="104" applyNumberFormat="0" applyFill="0" applyAlignment="0" applyProtection="0"/>
    <xf numFmtId="0" fontId="206" fillId="0" borderId="104" applyNumberFormat="0" applyFill="0" applyAlignment="0" applyProtection="0"/>
    <xf numFmtId="0" fontId="206" fillId="0" borderId="104" applyNumberFormat="0" applyFill="0" applyAlignment="0" applyProtection="0"/>
    <xf numFmtId="0" fontId="206" fillId="0" borderId="104" applyNumberFormat="0" applyFill="0" applyAlignment="0" applyProtection="0"/>
    <xf numFmtId="171" fontId="206" fillId="0" borderId="104"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171" fontId="206" fillId="0" borderId="82" applyNumberFormat="0" applyFill="0" applyAlignment="0" applyProtection="0"/>
    <xf numFmtId="0" fontId="206" fillId="0" borderId="23" applyNumberFormat="0" applyFill="0" applyAlignment="0" applyProtection="0"/>
    <xf numFmtId="0" fontId="206" fillId="0" borderId="23" applyNumberFormat="0" applyFill="0" applyAlignment="0" applyProtection="0"/>
    <xf numFmtId="0" fontId="206" fillId="0" borderId="23" applyNumberFormat="0" applyFill="0" applyAlignment="0" applyProtection="0"/>
    <xf numFmtId="171" fontId="206" fillId="0" borderId="23" applyNumberFormat="0" applyFill="0" applyAlignment="0" applyProtection="0"/>
    <xf numFmtId="332" fontId="12" fillId="0" borderId="0" applyFont="0" applyFill="0" applyBorder="0" applyAlignment="0" applyProtection="0">
      <alignment horizontal="left"/>
    </xf>
    <xf numFmtId="0" fontId="206" fillId="0" borderId="30" applyNumberFormat="0" applyFill="0" applyAlignment="0" applyProtection="0"/>
    <xf numFmtId="0" fontId="206" fillId="0" borderId="30" applyNumberFormat="0" applyFill="0" applyAlignment="0" applyProtection="0"/>
    <xf numFmtId="0" fontId="206" fillId="0" borderId="30" applyNumberFormat="0" applyFill="0" applyAlignment="0" applyProtection="0"/>
    <xf numFmtId="171" fontId="206" fillId="0" borderId="30" applyNumberFormat="0" applyFill="0" applyAlignment="0" applyProtection="0"/>
    <xf numFmtId="0" fontId="206" fillId="0" borderId="62" applyNumberFormat="0" applyFill="0" applyAlignment="0" applyProtection="0"/>
    <xf numFmtId="0" fontId="206" fillId="0" borderId="62" applyNumberFormat="0" applyFill="0" applyAlignment="0" applyProtection="0"/>
    <xf numFmtId="0" fontId="206" fillId="0" borderId="62" applyNumberFormat="0" applyFill="0" applyAlignment="0" applyProtection="0"/>
    <xf numFmtId="0" fontId="206" fillId="0" borderId="62" applyNumberFormat="0" applyFill="0" applyAlignment="0" applyProtection="0"/>
    <xf numFmtId="171" fontId="206" fillId="0" borderId="62"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0" fontId="206" fillId="0" borderId="59" applyNumberFormat="0" applyFill="0" applyAlignment="0" applyProtection="0"/>
    <xf numFmtId="171" fontId="206" fillId="0" borderId="59" applyNumberFormat="0" applyFill="0" applyAlignment="0" applyProtection="0"/>
    <xf numFmtId="0" fontId="206" fillId="0" borderId="20" applyNumberFormat="0" applyFill="0" applyAlignment="0" applyProtection="0"/>
    <xf numFmtId="171" fontId="206" fillId="0" borderId="20" applyNumberFormat="0" applyFill="0" applyAlignment="0" applyProtection="0"/>
    <xf numFmtId="0" fontId="206" fillId="0" borderId="21" applyNumberFormat="0" applyFill="0" applyAlignment="0" applyProtection="0"/>
    <xf numFmtId="0" fontId="206" fillId="0" borderId="21" applyNumberFormat="0" applyFill="0" applyAlignment="0" applyProtection="0"/>
    <xf numFmtId="0" fontId="206" fillId="0" borderId="21" applyNumberFormat="0" applyFill="0" applyAlignment="0" applyProtection="0"/>
    <xf numFmtId="171" fontId="206" fillId="0" borderId="21" applyNumberFormat="0" applyFill="0" applyAlignment="0" applyProtection="0"/>
    <xf numFmtId="0" fontId="206" fillId="0" borderId="76" applyNumberFormat="0" applyFill="0" applyAlignment="0" applyProtection="0"/>
    <xf numFmtId="171" fontId="206" fillId="0" borderId="76" applyNumberFormat="0" applyFill="0" applyAlignment="0" applyProtection="0"/>
    <xf numFmtId="0" fontId="206" fillId="0" borderId="102" applyNumberFormat="0" applyFill="0" applyAlignment="0" applyProtection="0"/>
    <xf numFmtId="0" fontId="206" fillId="0" borderId="102" applyNumberFormat="0" applyFill="0" applyAlignment="0" applyProtection="0"/>
    <xf numFmtId="0" fontId="206" fillId="0" borderId="102" applyNumberFormat="0" applyFill="0" applyAlignment="0" applyProtection="0"/>
    <xf numFmtId="0" fontId="206" fillId="0" borderId="102" applyNumberFormat="0" applyFill="0" applyAlignment="0" applyProtection="0"/>
    <xf numFmtId="171" fontId="206" fillId="0" borderId="102" applyNumberFormat="0" applyFill="0" applyAlignment="0" applyProtection="0"/>
    <xf numFmtId="0" fontId="206" fillId="0" borderId="72" applyNumberFormat="0" applyFill="0" applyAlignment="0" applyProtection="0"/>
    <xf numFmtId="0" fontId="206" fillId="0" borderId="72" applyNumberFormat="0" applyFill="0" applyAlignment="0" applyProtection="0"/>
    <xf numFmtId="0" fontId="206" fillId="0" borderId="72" applyNumberFormat="0" applyFill="0" applyAlignment="0" applyProtection="0"/>
    <xf numFmtId="0" fontId="206" fillId="0" borderId="72" applyNumberFormat="0" applyFill="0" applyAlignment="0" applyProtection="0"/>
    <xf numFmtId="171" fontId="206" fillId="0" borderId="72" applyNumberFormat="0" applyFill="0" applyAlignment="0" applyProtection="0"/>
    <xf numFmtId="0" fontId="21" fillId="0" borderId="101" applyNumberFormat="0" applyFill="0" applyProtection="0">
      <alignment vertical="top" wrapText="1"/>
    </xf>
    <xf numFmtId="171" fontId="21" fillId="0" borderId="101" applyNumberFormat="0" applyFill="0" applyProtection="0">
      <alignment vertical="top" wrapText="1"/>
    </xf>
    <xf numFmtId="0" fontId="159" fillId="0" borderId="101" applyNumberFormat="0" applyFill="0" applyProtection="0">
      <alignment vertical="top" wrapText="1"/>
    </xf>
    <xf numFmtId="171" fontId="159" fillId="0" borderId="101" applyNumberFormat="0" applyFill="0" applyProtection="0">
      <alignment vertical="top" wrapText="1"/>
    </xf>
    <xf numFmtId="49" fontId="12" fillId="0" borderId="0" applyFill="0" applyBorder="0" applyProtection="0">
      <alignment horizontal="left"/>
    </xf>
    <xf numFmtId="0" fontId="159" fillId="154" borderId="0" applyNumberFormat="0" applyBorder="0" applyProtection="0">
      <alignment vertical="top" wrapText="1"/>
    </xf>
    <xf numFmtId="171" fontId="159" fillId="154" borderId="0" applyNumberFormat="0" applyBorder="0" applyProtection="0">
      <alignment vertical="top" wrapText="1"/>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0" fontId="159" fillId="0" borderId="59" applyNumberFormat="0" applyFill="0" applyProtection="0">
      <alignment vertical="top"/>
    </xf>
    <xf numFmtId="171" fontId="159" fillId="0" borderId="59" applyNumberFormat="0" applyFill="0" applyProtection="0">
      <alignment vertical="top"/>
    </xf>
    <xf numFmtId="0" fontId="159" fillId="0" borderId="20" applyNumberFormat="0" applyFill="0" applyProtection="0">
      <alignment vertical="top"/>
    </xf>
    <xf numFmtId="171" fontId="159" fillId="0" borderId="20" applyNumberFormat="0" applyFill="0" applyProtection="0">
      <alignment vertical="top"/>
    </xf>
    <xf numFmtId="0" fontId="47" fillId="0" borderId="0" applyNumberFormat="0" applyBorder="0"/>
    <xf numFmtId="171" fontId="47" fillId="0" borderId="0" applyNumberFormat="0" applyBorder="0"/>
    <xf numFmtId="0" fontId="21" fillId="0" borderId="62" applyNumberFormat="0" applyFill="0" applyProtection="0">
      <alignment vertical="top"/>
    </xf>
    <xf numFmtId="0" fontId="21" fillId="0" borderId="62" applyNumberFormat="0" applyFill="0" applyProtection="0">
      <alignment vertical="top"/>
    </xf>
    <xf numFmtId="0" fontId="21" fillId="0" borderId="62" applyNumberFormat="0" applyFill="0" applyProtection="0">
      <alignment vertical="top"/>
    </xf>
    <xf numFmtId="0" fontId="21" fillId="0" borderId="62" applyNumberFormat="0" applyFill="0" applyProtection="0">
      <alignment vertical="top"/>
    </xf>
    <xf numFmtId="171" fontId="21" fillId="0" borderId="62" applyNumberFormat="0" applyFill="0" applyProtection="0">
      <alignment vertical="top"/>
    </xf>
    <xf numFmtId="0" fontId="21" fillId="0" borderId="21" applyNumberFormat="0" applyFill="0" applyProtection="0">
      <alignment vertical="top"/>
    </xf>
    <xf numFmtId="0" fontId="21" fillId="0" borderId="21" applyNumberFormat="0" applyFill="0" applyProtection="0">
      <alignment vertical="top"/>
    </xf>
    <xf numFmtId="0" fontId="21" fillId="0" borderId="21" applyNumberFormat="0" applyFill="0" applyProtection="0">
      <alignment vertical="top"/>
    </xf>
    <xf numFmtId="171" fontId="21" fillId="0" borderId="21" applyNumberFormat="0" applyFill="0" applyProtection="0">
      <alignment vertical="top"/>
    </xf>
    <xf numFmtId="0" fontId="159" fillId="154" borderId="20" applyNumberFormat="0" applyProtection="0">
      <alignment vertical="top"/>
    </xf>
    <xf numFmtId="171" fontId="159" fillId="154" borderId="20" applyNumberFormat="0" applyProtection="0">
      <alignment vertical="top"/>
    </xf>
    <xf numFmtId="0" fontId="338" fillId="0" borderId="0" applyNumberFormat="0" applyFill="0" applyBorder="0" applyProtection="0">
      <alignment vertical="top"/>
    </xf>
    <xf numFmtId="171" fontId="338" fillId="0" borderId="0" applyNumberFormat="0" applyFill="0" applyBorder="0" applyProtection="0">
      <alignment vertical="top"/>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171" fontId="346" fillId="114" borderId="44" applyNumberFormat="0" applyProtection="0">
      <alignment vertical="top" wrapText="1"/>
    </xf>
    <xf numFmtId="0" fontId="347" fillId="114" borderId="44" applyNumberFormat="0" applyProtection="0">
      <alignment vertical="top" wrapText="1"/>
    </xf>
    <xf numFmtId="0" fontId="347" fillId="114" borderId="44" applyNumberFormat="0" applyProtection="0">
      <alignment vertical="top" wrapText="1"/>
    </xf>
    <xf numFmtId="0" fontId="347" fillId="114" borderId="44" applyNumberFormat="0" applyProtection="0">
      <alignment vertical="top" wrapText="1"/>
    </xf>
    <xf numFmtId="0" fontId="347" fillId="114" borderId="44" applyNumberFormat="0" applyProtection="0">
      <alignment vertical="top" wrapText="1"/>
    </xf>
    <xf numFmtId="0" fontId="347" fillId="114" borderId="44" applyNumberFormat="0" applyProtection="0">
      <alignment vertical="top" wrapText="1"/>
    </xf>
    <xf numFmtId="171" fontId="347" fillId="114" borderId="44" applyNumberFormat="0" applyProtection="0">
      <alignment vertical="top" wrapText="1"/>
    </xf>
    <xf numFmtId="0" fontId="338" fillId="153" borderId="44" applyNumberFormat="0" applyProtection="0">
      <alignment vertical="top" wrapText="1"/>
    </xf>
    <xf numFmtId="0" fontId="338" fillId="153" borderId="44" applyNumberFormat="0" applyProtection="0">
      <alignment vertical="top" wrapText="1"/>
    </xf>
    <xf numFmtId="0" fontId="338" fillId="153" borderId="44" applyNumberFormat="0" applyProtection="0">
      <alignment vertical="top" wrapText="1"/>
    </xf>
    <xf numFmtId="0" fontId="338" fillId="153" borderId="44" applyNumberFormat="0" applyProtection="0">
      <alignment vertical="top" wrapText="1"/>
    </xf>
    <xf numFmtId="0" fontId="338" fillId="153" borderId="44" applyNumberFormat="0" applyProtection="0">
      <alignment vertical="top" wrapText="1"/>
    </xf>
    <xf numFmtId="171" fontId="338" fillId="153" borderId="44" applyNumberFormat="0" applyProtection="0">
      <alignment vertical="top" wrapText="1"/>
    </xf>
    <xf numFmtId="0" fontId="219" fillId="153" borderId="44" applyNumberFormat="0" applyProtection="0">
      <alignment vertical="top" wrapText="1"/>
    </xf>
    <xf numFmtId="0" fontId="219" fillId="153" borderId="44" applyNumberFormat="0" applyProtection="0">
      <alignment vertical="top" wrapText="1"/>
    </xf>
    <xf numFmtId="0" fontId="219" fillId="153" borderId="44" applyNumberFormat="0" applyProtection="0">
      <alignment vertical="top" wrapText="1"/>
    </xf>
    <xf numFmtId="0" fontId="219" fillId="153" borderId="44" applyNumberFormat="0" applyProtection="0">
      <alignment vertical="top" wrapText="1"/>
    </xf>
    <xf numFmtId="0" fontId="219" fillId="153" borderId="44" applyNumberFormat="0" applyProtection="0">
      <alignment vertical="top" wrapText="1"/>
    </xf>
    <xf numFmtId="171" fontId="219" fillId="153" borderId="44" applyNumberFormat="0" applyProtection="0">
      <alignment vertical="top" wrapText="1"/>
    </xf>
    <xf numFmtId="0" fontId="338" fillId="0" borderId="44" applyNumberFormat="0" applyFill="0" applyProtection="0">
      <alignment vertical="top"/>
    </xf>
    <xf numFmtId="0" fontId="338" fillId="0" borderId="44" applyNumberFormat="0" applyFill="0" applyProtection="0">
      <alignment vertical="top"/>
    </xf>
    <xf numFmtId="0" fontId="338" fillId="0" borderId="44" applyNumberFormat="0" applyFill="0" applyProtection="0">
      <alignment vertical="top"/>
    </xf>
    <xf numFmtId="0" fontId="338" fillId="0" borderId="44" applyNumberFormat="0" applyFill="0" applyProtection="0">
      <alignment vertical="top"/>
    </xf>
    <xf numFmtId="0" fontId="338" fillId="0" borderId="44" applyNumberFormat="0" applyFill="0" applyProtection="0">
      <alignment vertical="top"/>
    </xf>
    <xf numFmtId="171" fontId="338" fillId="0" borderId="44" applyNumberFormat="0" applyFill="0" applyProtection="0">
      <alignment vertical="top"/>
    </xf>
    <xf numFmtId="0" fontId="206" fillId="0" borderId="44" applyNumberFormat="0" applyFill="0" applyProtection="0">
      <alignment vertical="top"/>
    </xf>
    <xf numFmtId="0" fontId="206" fillId="0" borderId="44" applyNumberFormat="0" applyFill="0" applyProtection="0">
      <alignment vertical="top"/>
    </xf>
    <xf numFmtId="0" fontId="206" fillId="0" borderId="44" applyNumberFormat="0" applyFill="0" applyProtection="0">
      <alignment vertical="top"/>
    </xf>
    <xf numFmtId="0" fontId="206" fillId="0" borderId="44" applyNumberFormat="0" applyFill="0" applyProtection="0">
      <alignment vertical="top"/>
    </xf>
    <xf numFmtId="0" fontId="206" fillId="0" borderId="44" applyNumberFormat="0" applyFill="0" applyProtection="0">
      <alignment vertical="top"/>
    </xf>
    <xf numFmtId="171" fontId="206" fillId="0" borderId="44" applyNumberFormat="0" applyFill="0" applyProtection="0">
      <alignment vertical="top"/>
    </xf>
    <xf numFmtId="0" fontId="206" fillId="153" borderId="44" applyNumberFormat="0" applyProtection="0">
      <alignment vertical="top"/>
    </xf>
    <xf numFmtId="0" fontId="206" fillId="153" borderId="44" applyNumberFormat="0" applyProtection="0">
      <alignment vertical="top"/>
    </xf>
    <xf numFmtId="0" fontId="206" fillId="153" borderId="44" applyNumberFormat="0" applyProtection="0">
      <alignment vertical="top"/>
    </xf>
    <xf numFmtId="0" fontId="206" fillId="153" borderId="44" applyNumberFormat="0" applyProtection="0">
      <alignment vertical="top"/>
    </xf>
    <xf numFmtId="0" fontId="206" fillId="153" borderId="44" applyNumberFormat="0" applyProtection="0">
      <alignment vertical="top"/>
    </xf>
    <xf numFmtId="171" fontId="206" fillId="153" borderId="44" applyNumberFormat="0" applyProtection="0">
      <alignment vertical="top"/>
    </xf>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0" fontId="12" fillId="0" borderId="59" applyNumberFormat="0" applyFont="0"/>
    <xf numFmtId="171" fontId="12" fillId="0" borderId="59" applyNumberFormat="0" applyFont="0"/>
    <xf numFmtId="0" fontId="12" fillId="0" borderId="82" applyNumberFormat="0" applyFont="0"/>
    <xf numFmtId="0" fontId="12" fillId="0" borderId="82" applyNumberFormat="0" applyFont="0"/>
    <xf numFmtId="0" fontId="12" fillId="0" borderId="82" applyNumberFormat="0" applyFont="0"/>
    <xf numFmtId="0" fontId="12" fillId="0" borderId="82" applyNumberFormat="0" applyFont="0"/>
    <xf numFmtId="0" fontId="12" fillId="0" borderId="82" applyNumberFormat="0" applyFont="0"/>
    <xf numFmtId="171" fontId="12" fillId="0" borderId="82" applyNumberFormat="0" applyFont="0"/>
    <xf numFmtId="0" fontId="12" fillId="0" borderId="20" applyNumberFormat="0" applyFont="0"/>
    <xf numFmtId="0" fontId="12" fillId="0" borderId="20" applyNumberFormat="0" applyFont="0"/>
    <xf numFmtId="171" fontId="12" fillId="0" borderId="20" applyNumberFormat="0" applyFont="0"/>
    <xf numFmtId="0" fontId="12" fillId="0" borderId="30" applyNumberFormat="0" applyFont="0"/>
    <xf numFmtId="0" fontId="12" fillId="0" borderId="30" applyNumberFormat="0" applyFont="0"/>
    <xf numFmtId="0" fontId="12" fillId="0" borderId="30" applyNumberFormat="0" applyFont="0"/>
    <xf numFmtId="0" fontId="12" fillId="0" borderId="30" applyNumberFormat="0" applyFont="0"/>
    <xf numFmtId="171" fontId="12" fillId="0" borderId="30" applyNumberFormat="0" applyFont="0"/>
    <xf numFmtId="0" fontId="12" fillId="0" borderId="62" applyNumberFormat="0" applyFont="0"/>
    <xf numFmtId="0" fontId="12" fillId="0" borderId="62" applyNumberFormat="0" applyFont="0"/>
    <xf numFmtId="0" fontId="12" fillId="0" borderId="62" applyNumberFormat="0" applyFont="0"/>
    <xf numFmtId="0" fontId="12" fillId="0" borderId="62" applyNumberFormat="0" applyFont="0"/>
    <xf numFmtId="171" fontId="12" fillId="0" borderId="62" applyNumberFormat="0" applyFont="0"/>
    <xf numFmtId="0" fontId="12" fillId="0" borderId="21" applyNumberFormat="0" applyFont="0"/>
    <xf numFmtId="0" fontId="12" fillId="0" borderId="21" applyNumberFormat="0" applyFont="0"/>
    <xf numFmtId="0" fontId="12" fillId="0" borderId="21" applyNumberFormat="0" applyFont="0"/>
    <xf numFmtId="171" fontId="12" fillId="0" borderId="21"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0" fontId="12" fillId="0" borderId="63" applyNumberFormat="0" applyFont="0"/>
    <xf numFmtId="171" fontId="12" fillId="0" borderId="63" applyNumberFormat="0" applyFont="0"/>
    <xf numFmtId="0" fontId="12" fillId="0" borderId="23" applyNumberFormat="0" applyFont="0"/>
    <xf numFmtId="0" fontId="12" fillId="0" borderId="23" applyNumberFormat="0" applyFont="0"/>
    <xf numFmtId="0" fontId="12" fillId="0" borderId="23" applyNumberFormat="0" applyFont="0"/>
    <xf numFmtId="171" fontId="12" fillId="0" borderId="23" applyNumberFormat="0" applyFont="0"/>
    <xf numFmtId="0" fontId="219" fillId="0" borderId="0" applyNumberFormat="0" applyFill="0" applyBorder="0" applyAlignment="0" applyProtection="0"/>
    <xf numFmtId="171" fontId="219" fillId="0" borderId="0" applyNumberFormat="0" applyFill="0" applyBorder="0" applyAlignment="0" applyProtection="0"/>
    <xf numFmtId="0" fontId="219" fillId="0" borderId="21" applyNumberFormat="0" applyFill="0" applyAlignment="0" applyProtection="0"/>
    <xf numFmtId="0" fontId="219" fillId="0" borderId="21" applyNumberFormat="0" applyFill="0" applyAlignment="0" applyProtection="0"/>
    <xf numFmtId="0" fontId="219" fillId="0" borderId="21" applyNumberFormat="0" applyFill="0" applyAlignment="0" applyProtection="0"/>
    <xf numFmtId="171" fontId="219" fillId="0" borderId="21" applyNumberFormat="0" applyFill="0" applyAlignment="0" applyProtection="0"/>
    <xf numFmtId="0" fontId="219" fillId="0" borderId="62" applyNumberFormat="0" applyFill="0" applyAlignment="0" applyProtection="0"/>
    <xf numFmtId="0" fontId="219" fillId="0" borderId="62" applyNumberFormat="0" applyFill="0" applyAlignment="0" applyProtection="0"/>
    <xf numFmtId="0" fontId="219" fillId="0" borderId="62" applyNumberFormat="0" applyFill="0" applyAlignment="0" applyProtection="0"/>
    <xf numFmtId="0" fontId="219" fillId="0" borderId="62" applyNumberFormat="0" applyFill="0" applyAlignment="0" applyProtection="0"/>
    <xf numFmtId="171" fontId="219" fillId="0" borderId="62" applyNumberFormat="0" applyFill="0" applyAlignment="0" applyProtection="0"/>
    <xf numFmtId="0" fontId="348" fillId="114" borderId="44" applyNumberFormat="0" applyProtection="0">
      <alignment vertical="top" wrapText="1"/>
    </xf>
    <xf numFmtId="0" fontId="348" fillId="114" borderId="44" applyNumberFormat="0" applyProtection="0">
      <alignment vertical="top" wrapText="1"/>
    </xf>
    <xf numFmtId="0" fontId="348" fillId="114" borderId="44" applyNumberFormat="0" applyProtection="0">
      <alignment vertical="top" wrapText="1"/>
    </xf>
    <xf numFmtId="0" fontId="348" fillId="114" borderId="44" applyNumberFormat="0" applyProtection="0">
      <alignment vertical="top" wrapText="1"/>
    </xf>
    <xf numFmtId="0" fontId="348" fillId="114" borderId="44" applyNumberFormat="0" applyProtection="0">
      <alignment vertical="top" wrapText="1"/>
    </xf>
    <xf numFmtId="171" fontId="348" fillId="114" borderId="44" applyNumberFormat="0" applyProtection="0">
      <alignment vertical="top" wrapText="1"/>
    </xf>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171" fontId="219" fillId="0" borderId="45" applyNumberFormat="0" applyFill="0" applyAlignment="0" applyProtection="0"/>
    <xf numFmtId="0" fontId="349" fillId="0" borderId="0" applyNumberFormat="0" applyFill="0" applyBorder="0" applyAlignment="0" applyProtection="0"/>
    <xf numFmtId="171" fontId="349" fillId="0" borderId="0" applyNumberFormat="0" applyFill="0" applyBorder="0" applyAlignment="0" applyProtection="0"/>
    <xf numFmtId="0" fontId="350" fillId="0" borderId="0" applyNumberFormat="0" applyFill="0" applyBorder="0" applyAlignment="0" applyProtection="0"/>
    <xf numFmtId="171" fontId="350" fillId="0" borderId="0" applyNumberFormat="0" applyFill="0" applyBorder="0" applyAlignment="0" applyProtection="0"/>
    <xf numFmtId="0" fontId="351" fillId="0" borderId="0" applyNumberFormat="0" applyFill="0" applyBorder="0" applyAlignment="0" applyProtection="0"/>
    <xf numFmtId="171" fontId="351" fillId="0" borderId="0" applyNumberFormat="0" applyFill="0" applyBorder="0" applyAlignment="0" applyProtection="0"/>
    <xf numFmtId="0" fontId="60" fillId="0" borderId="0" applyNumberFormat="0" applyFill="0" applyBorder="0" applyAlignment="0" applyProtection="0"/>
    <xf numFmtId="171" fontId="60" fillId="0" borderId="0" applyNumberFormat="0" applyFill="0" applyBorder="0" applyAlignment="0" applyProtection="0"/>
    <xf numFmtId="0" fontId="21" fillId="0" borderId="0" applyNumberFormat="0" applyFill="0" applyBorder="0" applyProtection="0">
      <alignment horizontal="left" vertical="top" wrapText="1"/>
    </xf>
    <xf numFmtId="171" fontId="21" fillId="0" borderId="0" applyNumberFormat="0" applyFill="0" applyBorder="0" applyProtection="0">
      <alignment horizontal="left" vertical="top" wrapText="1"/>
    </xf>
    <xf numFmtId="0" fontId="159" fillId="0" borderId="0" applyNumberFormat="0" applyFill="0" applyBorder="0" applyProtection="0">
      <alignment horizontal="left" vertical="top" wrapText="1"/>
    </xf>
    <xf numFmtId="171" fontId="159" fillId="0" borderId="0" applyNumberFormat="0" applyFill="0" applyBorder="0" applyProtection="0">
      <alignment horizontal="left" vertical="top" wrapText="1"/>
    </xf>
    <xf numFmtId="0" fontId="21" fillId="154" borderId="0" applyNumberFormat="0" applyBorder="0" applyProtection="0">
      <alignment horizontal="left" vertical="top" wrapText="1"/>
    </xf>
    <xf numFmtId="171" fontId="21" fillId="154" borderId="0" applyNumberFormat="0" applyBorder="0" applyProtection="0">
      <alignment horizontal="left" vertical="top" wrapText="1"/>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0" fontId="346" fillId="114" borderId="44" applyNumberFormat="0" applyProtection="0">
      <alignment vertical="top" wrapText="1"/>
    </xf>
    <xf numFmtId="171" fontId="346" fillId="114" borderId="44" applyNumberFormat="0" applyProtection="0">
      <alignment vertical="top" wrapText="1"/>
    </xf>
    <xf numFmtId="0" fontId="346" fillId="155" borderId="44" applyNumberFormat="0" applyProtection="0">
      <alignment vertical="top" wrapText="1"/>
    </xf>
    <xf numFmtId="0" fontId="346" fillId="155" borderId="44" applyNumberFormat="0" applyProtection="0">
      <alignment vertical="top" wrapText="1"/>
    </xf>
    <xf numFmtId="0" fontId="346" fillId="155" borderId="44" applyNumberFormat="0" applyProtection="0">
      <alignment vertical="top" wrapText="1"/>
    </xf>
    <xf numFmtId="0" fontId="346" fillId="155" borderId="44" applyNumberFormat="0" applyProtection="0">
      <alignment vertical="top" wrapText="1"/>
    </xf>
    <xf numFmtId="0" fontId="346" fillId="155" borderId="44" applyNumberFormat="0" applyProtection="0">
      <alignment vertical="top" wrapText="1"/>
    </xf>
    <xf numFmtId="171" fontId="346" fillId="155" borderId="44" applyNumberFormat="0" applyProtection="0">
      <alignment vertical="top" wrapText="1"/>
    </xf>
    <xf numFmtId="0" fontId="346" fillId="156" borderId="44" applyNumberFormat="0" applyProtection="0">
      <alignment vertical="center" wrapText="1"/>
    </xf>
    <xf numFmtId="0" fontId="346" fillId="156" borderId="44" applyNumberFormat="0" applyProtection="0">
      <alignment vertical="center" wrapText="1"/>
    </xf>
    <xf numFmtId="0" fontId="346" fillId="156" borderId="44" applyNumberFormat="0" applyProtection="0">
      <alignment vertical="center" wrapText="1"/>
    </xf>
    <xf numFmtId="0" fontId="346" fillId="156" borderId="44" applyNumberFormat="0" applyProtection="0">
      <alignment vertical="center" wrapText="1"/>
    </xf>
    <xf numFmtId="0" fontId="346" fillId="156" borderId="44" applyNumberFormat="0" applyProtection="0">
      <alignment vertical="center" wrapText="1"/>
    </xf>
    <xf numFmtId="171" fontId="346" fillId="156" borderId="44" applyNumberFormat="0" applyProtection="0">
      <alignment vertical="center" wrapText="1"/>
    </xf>
    <xf numFmtId="0" fontId="346" fillId="156" borderId="44" applyNumberFormat="0">
      <alignment vertical="center" wrapText="1"/>
      <protection locked="0"/>
    </xf>
    <xf numFmtId="0" fontId="346" fillId="156" borderId="44" applyNumberFormat="0">
      <alignment vertical="center" wrapText="1"/>
      <protection locked="0"/>
    </xf>
    <xf numFmtId="0" fontId="346" fillId="156" borderId="44" applyNumberFormat="0">
      <alignment vertical="center" wrapText="1"/>
      <protection locked="0"/>
    </xf>
    <xf numFmtId="0" fontId="346" fillId="156" borderId="44" applyNumberFormat="0">
      <alignment vertical="center" wrapText="1"/>
      <protection locked="0"/>
    </xf>
    <xf numFmtId="0" fontId="346" fillId="156" borderId="44" applyNumberFormat="0">
      <alignment vertical="center" wrapText="1"/>
      <protection locked="0"/>
    </xf>
    <xf numFmtId="171" fontId="346" fillId="156" borderId="44" applyNumberFormat="0">
      <alignment vertical="center" wrapText="1"/>
      <protection locked="0"/>
    </xf>
    <xf numFmtId="0" fontId="347" fillId="156" borderId="44" applyNumberFormat="0" applyProtection="0">
      <alignment vertical="top" wrapText="1"/>
    </xf>
    <xf numFmtId="0" fontId="347" fillId="156" borderId="44" applyNumberFormat="0" applyProtection="0">
      <alignment vertical="top" wrapText="1"/>
    </xf>
    <xf numFmtId="0" fontId="347" fillId="156" borderId="44" applyNumberFormat="0" applyProtection="0">
      <alignment vertical="top" wrapText="1"/>
    </xf>
    <xf numFmtId="0" fontId="347" fillId="156" borderId="44" applyNumberFormat="0" applyProtection="0">
      <alignment vertical="top" wrapText="1"/>
    </xf>
    <xf numFmtId="0" fontId="347" fillId="156" borderId="44" applyNumberFormat="0" applyProtection="0">
      <alignment vertical="top" wrapText="1"/>
    </xf>
    <xf numFmtId="171" fontId="347" fillId="156" borderId="44" applyNumberFormat="0" applyProtection="0">
      <alignment vertical="top" wrapText="1"/>
    </xf>
    <xf numFmtId="0" fontId="83" fillId="156" borderId="44" applyNumberFormat="0" applyProtection="0">
      <alignment vertical="center" wrapText="1"/>
    </xf>
    <xf numFmtId="0" fontId="83" fillId="156" borderId="44" applyNumberFormat="0" applyProtection="0">
      <alignment vertical="center" wrapText="1"/>
    </xf>
    <xf numFmtId="0" fontId="83" fillId="156" borderId="44" applyNumberFormat="0" applyProtection="0">
      <alignment vertical="center" wrapText="1"/>
    </xf>
    <xf numFmtId="0" fontId="83" fillId="156" borderId="44" applyNumberFormat="0" applyProtection="0">
      <alignment vertical="center" wrapText="1"/>
    </xf>
    <xf numFmtId="0" fontId="83" fillId="156" borderId="44" applyNumberFormat="0" applyProtection="0">
      <alignment vertical="center" wrapText="1"/>
    </xf>
    <xf numFmtId="171" fontId="83" fillId="156" borderId="44" applyNumberFormat="0" applyProtection="0">
      <alignment vertical="center" wrapText="1"/>
    </xf>
    <xf numFmtId="0" fontId="346" fillId="157" borderId="44" applyNumberFormat="0" applyProtection="0">
      <alignment vertical="center" wrapText="1"/>
    </xf>
    <xf numFmtId="0" fontId="346" fillId="157" borderId="44" applyNumberFormat="0" applyProtection="0">
      <alignment vertical="center" wrapText="1"/>
    </xf>
    <xf numFmtId="0" fontId="346" fillId="157" borderId="44" applyNumberFormat="0" applyProtection="0">
      <alignment vertical="center" wrapText="1"/>
    </xf>
    <xf numFmtId="0" fontId="346" fillId="157" borderId="44" applyNumberFormat="0" applyProtection="0">
      <alignment vertical="center" wrapText="1"/>
    </xf>
    <xf numFmtId="0" fontId="346" fillId="157" borderId="44" applyNumberFormat="0" applyProtection="0">
      <alignment vertical="center" wrapText="1"/>
    </xf>
    <xf numFmtId="171" fontId="346" fillId="157" borderId="44" applyNumberFormat="0" applyProtection="0">
      <alignment vertical="center" wrapText="1"/>
    </xf>
    <xf numFmtId="0" fontId="346" fillId="157" borderId="44" applyNumberFormat="0">
      <alignment vertical="center" wrapText="1"/>
      <protection locked="0"/>
    </xf>
    <xf numFmtId="0" fontId="346" fillId="157" borderId="44" applyNumberFormat="0">
      <alignment vertical="center" wrapText="1"/>
      <protection locked="0"/>
    </xf>
    <xf numFmtId="0" fontId="346" fillId="157" borderId="44" applyNumberFormat="0">
      <alignment vertical="center" wrapText="1"/>
      <protection locked="0"/>
    </xf>
    <xf numFmtId="0" fontId="346" fillId="157" borderId="44" applyNumberFormat="0">
      <alignment vertical="center" wrapText="1"/>
      <protection locked="0"/>
    </xf>
    <xf numFmtId="0" fontId="346" fillId="157" borderId="44" applyNumberFormat="0">
      <alignment vertical="center" wrapText="1"/>
      <protection locked="0"/>
    </xf>
    <xf numFmtId="171" fontId="346" fillId="157" borderId="44" applyNumberFormat="0">
      <alignment vertical="center" wrapText="1"/>
      <protection locked="0"/>
    </xf>
    <xf numFmtId="0" fontId="347" fillId="157" borderId="44" applyNumberFormat="0" applyProtection="0">
      <alignment vertical="top" wrapText="1"/>
    </xf>
    <xf numFmtId="0" fontId="347" fillId="157" borderId="44" applyNumberFormat="0" applyProtection="0">
      <alignment vertical="top" wrapText="1"/>
    </xf>
    <xf numFmtId="0" fontId="347" fillId="157" borderId="44" applyNumberFormat="0" applyProtection="0">
      <alignment vertical="top" wrapText="1"/>
    </xf>
    <xf numFmtId="0" fontId="347" fillId="157" borderId="44" applyNumberFormat="0" applyProtection="0">
      <alignment vertical="top" wrapText="1"/>
    </xf>
    <xf numFmtId="0" fontId="347" fillId="157" borderId="44" applyNumberFormat="0" applyProtection="0">
      <alignment vertical="top" wrapText="1"/>
    </xf>
    <xf numFmtId="171" fontId="347" fillId="157" borderId="44" applyNumberFormat="0" applyProtection="0">
      <alignment vertical="top" wrapText="1"/>
    </xf>
    <xf numFmtId="0" fontId="83" fillId="157" borderId="44" applyNumberFormat="0" applyProtection="0">
      <alignment vertical="center" wrapText="1"/>
    </xf>
    <xf numFmtId="0" fontId="83" fillId="157" borderId="44" applyNumberFormat="0" applyProtection="0">
      <alignment vertical="center" wrapText="1"/>
    </xf>
    <xf numFmtId="0" fontId="83" fillId="157" borderId="44" applyNumberFormat="0" applyProtection="0">
      <alignment vertical="center" wrapText="1"/>
    </xf>
    <xf numFmtId="0" fontId="83" fillId="157" borderId="44" applyNumberFormat="0" applyProtection="0">
      <alignment vertical="center" wrapText="1"/>
    </xf>
    <xf numFmtId="0" fontId="83" fillId="157" borderId="44" applyNumberFormat="0" applyProtection="0">
      <alignment vertical="center" wrapText="1"/>
    </xf>
    <xf numFmtId="171" fontId="83" fillId="157" borderId="44" applyNumberFormat="0" applyProtection="0">
      <alignment vertical="center" wrapText="1"/>
    </xf>
    <xf numFmtId="0" fontId="21" fillId="154" borderId="0" applyNumberFormat="0" applyBorder="0" applyProtection="0">
      <alignment horizontal="left" vertical="top" wrapText="1"/>
    </xf>
    <xf numFmtId="171" fontId="21" fillId="154" borderId="0" applyNumberFormat="0" applyBorder="0" applyProtection="0">
      <alignment horizontal="left" vertical="top" wrapText="1"/>
    </xf>
    <xf numFmtId="0" fontId="20" fillId="154" borderId="0" applyNumberFormat="0" applyBorder="0" applyProtection="0">
      <alignment horizontal="left" vertical="top" wrapText="1"/>
    </xf>
    <xf numFmtId="171" fontId="20" fillId="154" borderId="0" applyNumberFormat="0" applyBorder="0" applyProtection="0">
      <alignment horizontal="left" vertical="top" wrapText="1"/>
    </xf>
    <xf numFmtId="0" fontId="20" fillId="154" borderId="44" applyNumberFormat="0" applyProtection="0">
      <alignment horizontal="left" vertical="top" wrapText="1"/>
    </xf>
    <xf numFmtId="0" fontId="20" fillId="154" borderId="44" applyNumberFormat="0" applyProtection="0">
      <alignment horizontal="left" vertical="top" wrapText="1"/>
    </xf>
    <xf numFmtId="0" fontId="20" fillId="154" borderId="44" applyNumberFormat="0" applyProtection="0">
      <alignment horizontal="left" vertical="top" wrapText="1"/>
    </xf>
    <xf numFmtId="0" fontId="20" fillId="154" borderId="44" applyNumberFormat="0" applyProtection="0">
      <alignment horizontal="left" vertical="top" wrapText="1"/>
    </xf>
    <xf numFmtId="0" fontId="20" fillId="154" borderId="44" applyNumberFormat="0" applyProtection="0">
      <alignment horizontal="left" vertical="top" wrapText="1"/>
    </xf>
    <xf numFmtId="171" fontId="20" fillId="154" borderId="44" applyNumberFormat="0" applyProtection="0">
      <alignment horizontal="left" vertical="top" wrapText="1"/>
    </xf>
    <xf numFmtId="0" fontId="21" fillId="0" borderId="44" applyNumberFormat="0" applyFill="0" applyProtection="0">
      <alignment horizontal="left" vertical="top" wrapText="1"/>
    </xf>
    <xf numFmtId="0" fontId="21" fillId="0" borderId="44" applyNumberFormat="0" applyFill="0" applyProtection="0">
      <alignment horizontal="left" vertical="top" wrapText="1"/>
    </xf>
    <xf numFmtId="0" fontId="21" fillId="0" borderId="44" applyNumberFormat="0" applyFill="0" applyProtection="0">
      <alignment horizontal="left" vertical="top" wrapText="1"/>
    </xf>
    <xf numFmtId="0" fontId="21" fillId="0" borderId="44" applyNumberFormat="0" applyFill="0" applyProtection="0">
      <alignment horizontal="left" vertical="top" wrapText="1"/>
    </xf>
    <xf numFmtId="0" fontId="21" fillId="0" borderId="44" applyNumberFormat="0" applyFill="0" applyProtection="0">
      <alignment horizontal="left" vertical="top" wrapText="1"/>
    </xf>
    <xf numFmtId="171" fontId="21" fillId="0" borderId="44" applyNumberFormat="0" applyFill="0" applyProtection="0">
      <alignment horizontal="left" vertical="top" wrapText="1"/>
    </xf>
    <xf numFmtId="0" fontId="21" fillId="0" borderId="44" applyNumberFormat="0" applyFill="0">
      <alignment horizontal="left" vertical="top" wrapText="1"/>
      <protection locked="0"/>
    </xf>
    <xf numFmtId="0" fontId="21" fillId="0" borderId="44" applyNumberFormat="0" applyFill="0">
      <alignment horizontal="left" vertical="top" wrapText="1"/>
      <protection locked="0"/>
    </xf>
    <xf numFmtId="0" fontId="21" fillId="0" borderId="44" applyNumberFormat="0" applyFill="0">
      <alignment horizontal="left" vertical="top" wrapText="1"/>
      <protection locked="0"/>
    </xf>
    <xf numFmtId="0" fontId="21" fillId="0" borderId="44" applyNumberFormat="0" applyFill="0">
      <alignment horizontal="left" vertical="top" wrapText="1"/>
      <protection locked="0"/>
    </xf>
    <xf numFmtId="0" fontId="21" fillId="0" borderId="44" applyNumberFormat="0" applyFill="0">
      <alignment horizontal="left" vertical="top" wrapText="1"/>
      <protection locked="0"/>
    </xf>
    <xf numFmtId="171" fontId="21" fillId="0" borderId="44" applyNumberFormat="0" applyFill="0">
      <alignment horizontal="left" vertical="top" wrapText="1"/>
      <protection locked="0"/>
    </xf>
    <xf numFmtId="331" fontId="12" fillId="0" borderId="0" applyFont="0" applyFill="0" applyBorder="0" applyAlignment="0" applyProtection="0">
      <alignment horizontal="left"/>
    </xf>
    <xf numFmtId="0" fontId="21" fillId="0" borderId="104" applyNumberFormat="0" applyFill="0">
      <alignment horizontal="left" vertical="top" wrapText="1"/>
      <protection locked="0"/>
    </xf>
    <xf numFmtId="0" fontId="21" fillId="0" borderId="104" applyNumberFormat="0" applyFill="0">
      <alignment horizontal="left" vertical="top" wrapText="1"/>
      <protection locked="0"/>
    </xf>
    <xf numFmtId="0" fontId="21" fillId="0" borderId="104" applyNumberFormat="0" applyFill="0">
      <alignment horizontal="left" vertical="top" wrapText="1"/>
      <protection locked="0"/>
    </xf>
    <xf numFmtId="0" fontId="21" fillId="0" borderId="104" applyNumberFormat="0" applyFill="0">
      <alignment horizontal="left" vertical="top" wrapText="1"/>
      <protection locked="0"/>
    </xf>
    <xf numFmtId="0" fontId="21" fillId="0" borderId="104" applyNumberFormat="0" applyFill="0">
      <alignment horizontal="left" vertical="top" wrapText="1"/>
      <protection locked="0"/>
    </xf>
    <xf numFmtId="171" fontId="21" fillId="0" borderId="104" applyNumberFormat="0" applyFill="0">
      <alignment horizontal="left" vertical="top" wrapText="1"/>
      <protection locked="0"/>
    </xf>
    <xf numFmtId="0" fontId="21" fillId="0" borderId="44" applyNumberFormat="0" applyFill="0">
      <alignment horizontal="right" vertical="top" wrapText="1"/>
      <protection locked="0"/>
    </xf>
    <xf numFmtId="0" fontId="21" fillId="0" borderId="44" applyNumberFormat="0" applyFill="0">
      <alignment horizontal="right" vertical="top" wrapText="1"/>
      <protection locked="0"/>
    </xf>
    <xf numFmtId="0" fontId="21" fillId="0" borderId="44" applyNumberFormat="0" applyFill="0">
      <alignment horizontal="right" vertical="top" wrapText="1"/>
      <protection locked="0"/>
    </xf>
    <xf numFmtId="0" fontId="21" fillId="0" borderId="44" applyNumberFormat="0" applyFill="0">
      <alignment horizontal="right" vertical="top" wrapText="1"/>
      <protection locked="0"/>
    </xf>
    <xf numFmtId="0" fontId="21" fillId="0" borderId="44" applyNumberFormat="0" applyFill="0">
      <alignment horizontal="right" vertical="top" wrapText="1"/>
      <protection locked="0"/>
    </xf>
    <xf numFmtId="171" fontId="21" fillId="0" borderId="44" applyNumberFormat="0" applyFill="0">
      <alignment horizontal="right" vertical="top" wrapText="1"/>
      <protection locked="0"/>
    </xf>
    <xf numFmtId="0" fontId="21" fillId="0" borderId="57" applyNumberFormat="0" applyFill="0">
      <alignment horizontal="right" vertical="top" wrapText="1"/>
      <protection locked="0"/>
    </xf>
    <xf numFmtId="0" fontId="21" fillId="0" borderId="57" applyNumberFormat="0" applyFill="0">
      <alignment horizontal="right" vertical="top" wrapText="1"/>
      <protection locked="0"/>
    </xf>
    <xf numFmtId="0" fontId="21" fillId="0" borderId="57" applyNumberFormat="0" applyFill="0">
      <alignment horizontal="right" vertical="top" wrapText="1"/>
      <protection locked="0"/>
    </xf>
    <xf numFmtId="0" fontId="21" fillId="0" borderId="57" applyNumberFormat="0" applyFill="0">
      <alignment horizontal="right" vertical="top" wrapText="1"/>
      <protection locked="0"/>
    </xf>
    <xf numFmtId="0" fontId="21" fillId="0" borderId="57" applyNumberFormat="0" applyFill="0">
      <alignment horizontal="right" vertical="top" wrapText="1"/>
      <protection locked="0"/>
    </xf>
    <xf numFmtId="171" fontId="21" fillId="0" borderId="57" applyNumberFormat="0" applyFill="0">
      <alignment horizontal="right" vertical="top" wrapText="1"/>
      <protection locked="0"/>
    </xf>
    <xf numFmtId="0" fontId="159" fillId="0" borderId="44" applyNumberFormat="0" applyFill="0" applyProtection="0">
      <alignment horizontal="left" vertical="top" wrapText="1"/>
    </xf>
    <xf numFmtId="0" fontId="159" fillId="0" borderId="44" applyNumberFormat="0" applyFill="0" applyProtection="0">
      <alignment horizontal="left" vertical="top" wrapText="1"/>
    </xf>
    <xf numFmtId="0" fontId="159" fillId="0" borderId="44" applyNumberFormat="0" applyFill="0" applyProtection="0">
      <alignment horizontal="left" vertical="top" wrapText="1"/>
    </xf>
    <xf numFmtId="0" fontId="159" fillId="0" borderId="44" applyNumberFormat="0" applyFill="0" applyProtection="0">
      <alignment horizontal="left" vertical="top" wrapText="1"/>
    </xf>
    <xf numFmtId="0" fontId="159" fillId="0" borderId="44" applyNumberFormat="0" applyFill="0" applyProtection="0">
      <alignment horizontal="left" vertical="top" wrapText="1"/>
    </xf>
    <xf numFmtId="171" fontId="159" fillId="0" borderId="44" applyNumberFormat="0" applyFill="0" applyProtection="0">
      <alignment horizontal="left" vertical="top" wrapText="1"/>
    </xf>
    <xf numFmtId="0" fontId="338" fillId="151" borderId="44" applyNumberFormat="0" applyProtection="0">
      <alignment horizontal="center" vertical="top" wrapText="1"/>
    </xf>
    <xf numFmtId="0" fontId="338" fillId="151" borderId="44" applyNumberFormat="0" applyProtection="0">
      <alignment horizontal="center" vertical="top" wrapText="1"/>
    </xf>
    <xf numFmtId="0" fontId="338" fillId="151" borderId="44" applyNumberFormat="0" applyProtection="0">
      <alignment horizontal="center" vertical="top" wrapText="1"/>
    </xf>
    <xf numFmtId="0" fontId="338" fillId="151" borderId="44" applyNumberFormat="0" applyProtection="0">
      <alignment horizontal="center" vertical="top" wrapText="1"/>
    </xf>
    <xf numFmtId="0" fontId="338" fillId="151" borderId="44" applyNumberFormat="0" applyProtection="0">
      <alignment horizontal="center" vertical="top" wrapText="1"/>
    </xf>
    <xf numFmtId="171" fontId="338" fillId="151" borderId="44" applyNumberFormat="0" applyProtection="0">
      <alignment horizontal="center" vertical="top" wrapText="1"/>
    </xf>
    <xf numFmtId="0" fontId="159" fillId="0" borderId="104" applyNumberFormat="0" applyFill="0" applyProtection="0">
      <alignment horizontal="left" vertical="top"/>
    </xf>
    <xf numFmtId="0" fontId="159" fillId="0" borderId="104" applyNumberFormat="0" applyFill="0" applyProtection="0">
      <alignment horizontal="left" vertical="top"/>
    </xf>
    <xf numFmtId="0" fontId="159" fillId="0" borderId="104" applyNumberFormat="0" applyFill="0" applyProtection="0">
      <alignment horizontal="left" vertical="top"/>
    </xf>
    <xf numFmtId="0" fontId="159" fillId="0" borderId="104" applyNumberFormat="0" applyFill="0" applyProtection="0">
      <alignment horizontal="left" vertical="top"/>
    </xf>
    <xf numFmtId="0" fontId="159" fillId="0" borderId="104" applyNumberFormat="0" applyFill="0" applyProtection="0">
      <alignment horizontal="left" vertical="top"/>
    </xf>
    <xf numFmtId="171" fontId="159" fillId="0" borderId="104" applyNumberFormat="0" applyFill="0" applyProtection="0">
      <alignment horizontal="left" vertical="top"/>
    </xf>
    <xf numFmtId="0" fontId="21" fillId="0" borderId="104" applyNumberFormat="0" applyFill="0" applyProtection="0">
      <alignment horizontal="left" vertical="top"/>
    </xf>
    <xf numFmtId="0" fontId="21" fillId="0" borderId="104" applyNumberFormat="0" applyFill="0" applyProtection="0">
      <alignment horizontal="left" vertical="top"/>
    </xf>
    <xf numFmtId="0" fontId="21" fillId="0" borderId="104" applyNumberFormat="0" applyFill="0" applyProtection="0">
      <alignment horizontal="left" vertical="top"/>
    </xf>
    <xf numFmtId="0" fontId="21" fillId="0" borderId="104" applyNumberFormat="0" applyFill="0" applyProtection="0">
      <alignment horizontal="left" vertical="top"/>
    </xf>
    <xf numFmtId="0" fontId="21" fillId="0" borderId="104" applyNumberFormat="0" applyFill="0" applyProtection="0">
      <alignment horizontal="left" vertical="top"/>
    </xf>
    <xf numFmtId="171" fontId="21" fillId="0" borderId="104" applyNumberFormat="0" applyFill="0" applyProtection="0">
      <alignment horizontal="left" vertical="top"/>
    </xf>
    <xf numFmtId="0" fontId="219" fillId="151" borderId="44" applyNumberFormat="0" applyProtection="0">
      <alignment horizontal="center" wrapText="1"/>
    </xf>
    <xf numFmtId="0" fontId="219" fillId="151" borderId="44" applyNumberFormat="0" applyProtection="0">
      <alignment horizontal="center" wrapText="1"/>
    </xf>
    <xf numFmtId="0" fontId="219" fillId="151" borderId="44" applyNumberFormat="0" applyProtection="0">
      <alignment horizontal="center" wrapText="1"/>
    </xf>
    <xf numFmtId="0" fontId="219" fillId="151" borderId="44" applyNumberFormat="0" applyProtection="0">
      <alignment horizontal="center" wrapText="1"/>
    </xf>
    <xf numFmtId="0" fontId="219" fillId="151" borderId="44" applyNumberFormat="0" applyProtection="0">
      <alignment horizontal="center" wrapText="1"/>
    </xf>
    <xf numFmtId="171" fontId="219" fillId="151" borderId="44" applyNumberFormat="0" applyProtection="0">
      <alignment horizontal="center" wrapText="1"/>
    </xf>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0" fontId="206" fillId="0" borderId="82" applyNumberFormat="0" applyFill="0" applyAlignment="0" applyProtection="0"/>
    <xf numFmtId="171" fontId="206" fillId="0" borderId="82" applyNumberFormat="0" applyFill="0" applyAlignment="0" applyProtection="0"/>
    <xf numFmtId="0" fontId="21" fillId="0" borderId="21" applyNumberFormat="0" applyFill="0" applyAlignment="0" applyProtection="0"/>
    <xf numFmtId="0" fontId="21" fillId="0" borderId="21" applyNumberFormat="0" applyFill="0" applyAlignment="0" applyProtection="0"/>
    <xf numFmtId="0" fontId="21" fillId="0" borderId="21" applyNumberFormat="0" applyFill="0" applyAlignment="0" applyProtection="0"/>
    <xf numFmtId="171" fontId="21" fillId="0" borderId="21" applyNumberFormat="0" applyFill="0" applyAlignment="0" applyProtection="0"/>
    <xf numFmtId="0" fontId="162" fillId="0" borderId="0"/>
    <xf numFmtId="171" fontId="162" fillId="0" borderId="0"/>
    <xf numFmtId="168" fontId="12" fillId="0" borderId="0" applyFont="0" applyFill="0" applyBorder="0" applyAlignment="0" applyProtection="0">
      <alignment horizontal="left"/>
    </xf>
    <xf numFmtId="0" fontId="206" fillId="0" borderId="0" applyNumberFormat="0" applyFill="0" applyBorder="0" applyAlignment="0" applyProtection="0"/>
    <xf numFmtId="171" fontId="206" fillId="0" borderId="0" applyNumberFormat="0" applyFill="0" applyBorder="0" applyAlignment="0" applyProtection="0"/>
    <xf numFmtId="0" fontId="206" fillId="0" borderId="105" applyNumberFormat="0" applyFill="0" applyAlignment="0" applyProtection="0"/>
    <xf numFmtId="171" fontId="206" fillId="0" borderId="105" applyNumberFormat="0" applyFill="0" applyAlignment="0" applyProtection="0"/>
    <xf numFmtId="0" fontId="206" fillId="0" borderId="0" applyNumberFormat="0" applyFill="0" applyBorder="0" applyProtection="0">
      <alignment horizontal="right"/>
    </xf>
    <xf numFmtId="171" fontId="206" fillId="0" borderId="0" applyNumberFormat="0" applyFill="0" applyBorder="0" applyProtection="0">
      <alignment horizontal="right"/>
    </xf>
    <xf numFmtId="0" fontId="206" fillId="0" borderId="0" applyNumberFormat="0" applyFill="0" applyBorder="0" applyAlignment="0">
      <protection locked="0"/>
    </xf>
    <xf numFmtId="171" fontId="206" fillId="0" borderId="0" applyNumberFormat="0" applyFill="0" applyBorder="0" applyAlignment="0">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0" fontId="206" fillId="0" borderId="106" applyNumberFormat="0" applyFill="0">
      <alignment horizontal="left" vertical="center"/>
      <protection locked="0"/>
    </xf>
    <xf numFmtId="171" fontId="206" fillId="0" borderId="106" applyNumberFormat="0" applyFill="0">
      <alignment horizontal="left" vertical="center"/>
      <protection locked="0"/>
    </xf>
    <xf numFmtId="0" fontId="152" fillId="0" borderId="0" applyNumberFormat="0" applyFill="0" applyBorder="0" applyAlignment="0" applyProtection="0"/>
    <xf numFmtId="171" fontId="152" fillId="0" borderId="0" applyNumberFormat="0" applyFill="0" applyBorder="0" applyAlignment="0" applyProtection="0"/>
    <xf numFmtId="0" fontId="352" fillId="0" borderId="0" applyNumberFormat="0" applyFill="0" applyBorder="0" applyAlignment="0" applyProtection="0"/>
    <xf numFmtId="171" fontId="352" fillId="0" borderId="0" applyNumberFormat="0" applyFill="0" applyBorder="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71" fontId="21" fillId="0" borderId="107" applyNumberFormat="0" applyFill="0" applyAlignment="0" applyProtection="0"/>
    <xf numFmtId="0" fontId="21" fillId="0" borderId="101" applyNumberFormat="0" applyFill="0" applyAlignment="0" applyProtection="0"/>
    <xf numFmtId="171" fontId="21" fillId="0" borderId="101" applyNumberFormat="0" applyFill="0" applyAlignment="0" applyProtection="0"/>
    <xf numFmtId="0" fontId="206" fillId="0" borderId="101" applyNumberFormat="0" applyFill="0" applyAlignment="0" applyProtection="0"/>
    <xf numFmtId="171" fontId="206" fillId="0" borderId="101" applyNumberFormat="0" applyFill="0" applyAlignment="0" applyProtection="0"/>
    <xf numFmtId="332" fontId="12" fillId="0" borderId="0" applyFont="0" applyFill="0" applyBorder="0" applyAlignment="0" applyProtection="0">
      <alignment horizontal="left"/>
    </xf>
    <xf numFmtId="0" fontId="338" fillId="0" borderId="101" applyNumberFormat="0" applyFill="0" applyAlignment="0" applyProtection="0"/>
    <xf numFmtId="171" fontId="338" fillId="0" borderId="101" applyNumberFormat="0" applyFill="0" applyAlignment="0" applyProtection="0"/>
    <xf numFmtId="0" fontId="20" fillId="0" borderId="0" applyNumberFormat="0" applyFill="0" applyBorder="0" applyAlignment="0" applyProtection="0"/>
    <xf numFmtId="171" fontId="20" fillId="0" borderId="0" applyNumberFormat="0" applyFill="0" applyBorder="0" applyAlignment="0" applyProtection="0"/>
    <xf numFmtId="0" fontId="12" fillId="0" borderId="76" applyNumberFormat="0" applyFill="0" applyProtection="0">
      <alignment wrapText="1"/>
    </xf>
    <xf numFmtId="0" fontId="12" fillId="0" borderId="76" applyNumberFormat="0" applyFill="0" applyProtection="0">
      <alignment wrapText="1"/>
    </xf>
    <xf numFmtId="171" fontId="12" fillId="0" borderId="76" applyNumberFormat="0" applyFill="0" applyProtection="0">
      <alignment wrapText="1"/>
    </xf>
    <xf numFmtId="0" fontId="12" fillId="158" borderId="76" applyNumberFormat="0" applyProtection="0">
      <alignment wrapText="1"/>
    </xf>
    <xf numFmtId="0" fontId="12" fillId="158" borderId="76" applyNumberFormat="0" applyProtection="0">
      <alignment wrapText="1"/>
    </xf>
    <xf numFmtId="171" fontId="12" fillId="158" borderId="76" applyNumberFormat="0" applyProtection="0">
      <alignment wrapText="1"/>
    </xf>
    <xf numFmtId="0" fontId="20" fillId="0" borderId="76" applyNumberFormat="0" applyFill="0" applyProtection="0">
      <alignment wrapText="1"/>
    </xf>
    <xf numFmtId="171" fontId="20" fillId="0" borderId="76" applyNumberFormat="0" applyFill="0" applyProtection="0">
      <alignment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171"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0" fontId="20" fillId="0" borderId="57" applyNumberFormat="0" applyFill="0" applyProtection="0">
      <alignment vertical="top" wrapText="1"/>
    </xf>
    <xf numFmtId="171" fontId="20" fillId="0" borderId="57" applyNumberFormat="0" applyFill="0" applyProtection="0">
      <alignment vertical="top" wrapText="1"/>
    </xf>
    <xf numFmtId="0" fontId="20" fillId="0" borderId="104" applyNumberFormat="0" applyFill="0" applyProtection="0">
      <alignment vertical="top"/>
    </xf>
    <xf numFmtId="0" fontId="20" fillId="0" borderId="104" applyNumberFormat="0" applyFill="0" applyProtection="0">
      <alignment vertical="top"/>
    </xf>
    <xf numFmtId="0" fontId="20" fillId="0" borderId="104" applyNumberFormat="0" applyFill="0" applyProtection="0">
      <alignment vertical="top"/>
    </xf>
    <xf numFmtId="0" fontId="20" fillId="0" borderId="104" applyNumberFormat="0" applyFill="0" applyProtection="0">
      <alignment vertical="top"/>
    </xf>
    <xf numFmtId="0" fontId="20" fillId="0" borderId="104" applyNumberFormat="0" applyFill="0" applyProtection="0">
      <alignment vertical="top"/>
    </xf>
    <xf numFmtId="171" fontId="20" fillId="0" borderId="104"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0" fontId="20" fillId="0" borderId="63" applyNumberFormat="0" applyFill="0" applyProtection="0">
      <alignment vertical="top"/>
    </xf>
    <xf numFmtId="171" fontId="20" fillId="0" borderId="63" applyNumberFormat="0" applyFill="0" applyProtection="0">
      <alignment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0" fontId="20" fillId="0" borderId="63" applyNumberFormat="0" applyFill="0" applyProtection="0">
      <alignment horizontal="center" vertical="top"/>
    </xf>
    <xf numFmtId="171" fontId="20" fillId="0" borderId="63" applyNumberFormat="0" applyFill="0" applyProtection="0">
      <alignment horizontal="center" vertical="top"/>
    </xf>
    <xf numFmtId="49" fontId="12" fillId="0" borderId="0" applyFill="0" applyBorder="0" applyProtection="0">
      <alignment horizontal="left"/>
    </xf>
    <xf numFmtId="0" fontId="21" fillId="0" borderId="57" applyNumberFormat="0" applyFill="0" applyProtection="0">
      <alignment vertical="top"/>
    </xf>
    <xf numFmtId="0" fontId="21" fillId="0" borderId="57" applyNumberFormat="0" applyFill="0" applyProtection="0">
      <alignment vertical="top"/>
    </xf>
    <xf numFmtId="0" fontId="21" fillId="0" borderId="57" applyNumberFormat="0" applyFill="0" applyProtection="0">
      <alignment vertical="top"/>
    </xf>
    <xf numFmtId="0" fontId="21" fillId="0" borderId="57" applyNumberFormat="0" applyFill="0" applyProtection="0">
      <alignment vertical="top"/>
    </xf>
    <xf numFmtId="0" fontId="21" fillId="0" borderId="57" applyNumberFormat="0" applyFill="0" applyProtection="0">
      <alignment vertical="top"/>
    </xf>
    <xf numFmtId="171" fontId="21" fillId="0" borderId="57" applyNumberFormat="0" applyFill="0" applyProtection="0">
      <alignment vertical="top"/>
    </xf>
    <xf numFmtId="0" fontId="219" fillId="158" borderId="72" applyNumberFormat="0" applyProtection="0">
      <alignment vertical="top" wrapText="1"/>
    </xf>
    <xf numFmtId="0" fontId="219" fillId="158" borderId="72" applyNumberFormat="0" applyProtection="0">
      <alignment vertical="top" wrapText="1"/>
    </xf>
    <xf numFmtId="0" fontId="219" fillId="158" borderId="72" applyNumberFormat="0" applyProtection="0">
      <alignment vertical="top" wrapText="1"/>
    </xf>
    <xf numFmtId="0" fontId="219" fillId="158" borderId="72" applyNumberFormat="0" applyProtection="0">
      <alignment vertical="top" wrapText="1"/>
    </xf>
    <xf numFmtId="171" fontId="219" fillId="158" borderId="72" applyNumberFormat="0" applyProtection="0">
      <alignment vertical="top" wrapText="1"/>
    </xf>
    <xf numFmtId="0" fontId="219" fillId="158" borderId="102" applyNumberFormat="0" applyProtection="0">
      <alignment vertical="top" wrapText="1"/>
    </xf>
    <xf numFmtId="0" fontId="219" fillId="158" borderId="102" applyNumberFormat="0" applyProtection="0">
      <alignment vertical="top" wrapText="1"/>
    </xf>
    <xf numFmtId="0" fontId="219" fillId="158" borderId="102" applyNumberFormat="0" applyProtection="0">
      <alignment vertical="top" wrapText="1"/>
    </xf>
    <xf numFmtId="0" fontId="219" fillId="158" borderId="102" applyNumberFormat="0" applyProtection="0">
      <alignment vertical="top" wrapText="1"/>
    </xf>
    <xf numFmtId="171" fontId="219" fillId="158" borderId="102" applyNumberFormat="0" applyProtection="0">
      <alignment vertical="top" wrapText="1"/>
    </xf>
    <xf numFmtId="0" fontId="338" fillId="158" borderId="72" applyNumberFormat="0" applyProtection="0">
      <alignment vertical="top" wrapText="1"/>
    </xf>
    <xf numFmtId="0" fontId="338" fillId="158" borderId="72" applyNumberFormat="0" applyProtection="0">
      <alignment vertical="top" wrapText="1"/>
    </xf>
    <xf numFmtId="0" fontId="338" fillId="158" borderId="72" applyNumberFormat="0" applyProtection="0">
      <alignment vertical="top" wrapText="1"/>
    </xf>
    <xf numFmtId="0" fontId="338" fillId="158" borderId="72" applyNumberFormat="0" applyProtection="0">
      <alignment vertical="top" wrapText="1"/>
    </xf>
    <xf numFmtId="171" fontId="338" fillId="158" borderId="72" applyNumberFormat="0" applyProtection="0">
      <alignment vertical="top" wrapText="1"/>
    </xf>
    <xf numFmtId="0" fontId="219" fillId="0" borderId="102" applyNumberFormat="0" applyFill="0" applyProtection="0">
      <alignment vertical="top" wrapText="1"/>
    </xf>
    <xf numFmtId="0" fontId="219" fillId="0" borderId="102" applyNumberFormat="0" applyFill="0" applyProtection="0">
      <alignment vertical="top" wrapText="1"/>
    </xf>
    <xf numFmtId="0" fontId="219" fillId="0" borderId="102" applyNumberFormat="0" applyFill="0" applyProtection="0">
      <alignment vertical="top" wrapText="1"/>
    </xf>
    <xf numFmtId="0" fontId="219" fillId="0" borderId="102" applyNumberFormat="0" applyFill="0" applyProtection="0">
      <alignment vertical="top" wrapText="1"/>
    </xf>
    <xf numFmtId="171" fontId="219" fillId="0" borderId="102" applyNumberFormat="0" applyFill="0" applyProtection="0">
      <alignment vertical="top" wrapText="1"/>
    </xf>
    <xf numFmtId="0" fontId="20" fillId="159" borderId="76" applyNumberFormat="0" applyProtection="0">
      <alignment vertical="top" wrapText="1"/>
    </xf>
    <xf numFmtId="171" fontId="20" fillId="159" borderId="76" applyNumberFormat="0" applyProtection="0">
      <alignment vertical="top" wrapText="1"/>
    </xf>
    <xf numFmtId="0" fontId="63" fillId="0" borderId="0" applyNumberFormat="0" applyFill="0" applyBorder="0" applyAlignment="0" applyProtection="0"/>
    <xf numFmtId="171" fontId="63" fillId="0" borderId="0" applyNumberFormat="0" applyFill="0" applyBorder="0" applyAlignment="0" applyProtection="0"/>
    <xf numFmtId="0" fontId="47" fillId="0" borderId="0" applyNumberFormat="0" applyFill="0" applyBorder="0" applyAlignment="0" applyProtection="0"/>
    <xf numFmtId="171" fontId="47" fillId="0" borderId="0" applyNumberFormat="0" applyFill="0" applyBorder="0" applyAlignment="0" applyProtection="0"/>
    <xf numFmtId="0" fontId="61" fillId="0" borderId="0" applyNumberFormat="0" applyFill="0" applyBorder="0" applyAlignment="0" applyProtection="0"/>
    <xf numFmtId="171" fontId="61" fillId="0" borderId="0" applyNumberFormat="0" applyFill="0" applyBorder="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171" fontId="47" fillId="0" borderId="82" applyNumberFormat="0" applyFill="0" applyAlignment="0" applyProtection="0"/>
    <xf numFmtId="0" fontId="47" fillId="0" borderId="76" applyNumberFormat="0" applyFill="0" applyAlignment="0" applyProtection="0"/>
    <xf numFmtId="171" fontId="47" fillId="0" borderId="76" applyNumberFormat="0" applyFill="0" applyAlignment="0" applyProtection="0"/>
    <xf numFmtId="0" fontId="61" fillId="151" borderId="44" applyNumberFormat="0" applyAlignment="0" applyProtection="0"/>
    <xf numFmtId="0" fontId="61" fillId="151" borderId="44" applyNumberFormat="0" applyAlignment="0" applyProtection="0"/>
    <xf numFmtId="0" fontId="61" fillId="151" borderId="44" applyNumberFormat="0" applyAlignment="0" applyProtection="0"/>
    <xf numFmtId="0" fontId="61" fillId="151" borderId="44" applyNumberFormat="0" applyAlignment="0" applyProtection="0"/>
    <xf numFmtId="0" fontId="61" fillId="151" borderId="44" applyNumberFormat="0" applyAlignment="0" applyProtection="0"/>
    <xf numFmtId="171" fontId="61" fillId="151" borderId="44" applyNumberFormat="0" applyAlignment="0" applyProtection="0"/>
    <xf numFmtId="0" fontId="183" fillId="151" borderId="44" applyNumberFormat="0" applyAlignment="0" applyProtection="0"/>
    <xf numFmtId="0" fontId="183" fillId="151" borderId="44" applyNumberFormat="0" applyAlignment="0" applyProtection="0"/>
    <xf numFmtId="0" fontId="183" fillId="151" borderId="44" applyNumberFormat="0" applyAlignment="0" applyProtection="0"/>
    <xf numFmtId="0" fontId="183" fillId="151" borderId="44" applyNumberFormat="0" applyAlignment="0" applyProtection="0"/>
    <xf numFmtId="0" fontId="183" fillId="151" borderId="44" applyNumberFormat="0" applyAlignment="0" applyProtection="0"/>
    <xf numFmtId="171" fontId="183" fillId="151" borderId="44"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1" fillId="0" borderId="82" applyNumberFormat="0" applyFill="0" applyAlignment="0" applyProtection="0"/>
    <xf numFmtId="0" fontId="61" fillId="0" borderId="82" applyNumberFormat="0" applyFill="0" applyAlignment="0" applyProtection="0"/>
    <xf numFmtId="0" fontId="61" fillId="0" borderId="82" applyNumberFormat="0" applyFill="0" applyAlignment="0" applyProtection="0"/>
    <xf numFmtId="171" fontId="61" fillId="0" borderId="8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1" fontId="12" fillId="0" borderId="0" applyNumberFormat="0" applyFill="0" applyBorder="0" applyAlignment="0" applyProtection="0"/>
    <xf numFmtId="0" fontId="353" fillId="0" borderId="0" applyNumberFormat="0" applyFill="0" applyBorder="0" applyAlignment="0" applyProtection="0"/>
    <xf numFmtId="171" fontId="353" fillId="0" borderId="0" applyNumberFormat="0" applyFill="0" applyBorder="0" applyAlignment="0" applyProtection="0"/>
    <xf numFmtId="0" fontId="59" fillId="0" borderId="0" applyNumberFormat="0" applyFill="0" applyBorder="0" applyAlignment="0" applyProtection="0"/>
    <xf numFmtId="171" fontId="59" fillId="0" borderId="0" applyNumberFormat="0" applyFill="0" applyBorder="0" applyAlignment="0" applyProtection="0"/>
    <xf numFmtId="0" fontId="354" fillId="0" borderId="0" applyNumberFormat="0" applyFill="0" applyBorder="0" applyAlignment="0" applyProtection="0"/>
    <xf numFmtId="171" fontId="354" fillId="0" borderId="0" applyNumberFormat="0" applyFill="0" applyBorder="0" applyAlignment="0" applyProtection="0"/>
    <xf numFmtId="0" fontId="355" fillId="0" borderId="0" applyNumberFormat="0" applyFill="0" applyBorder="0" applyAlignment="0" applyProtection="0"/>
    <xf numFmtId="171" fontId="355" fillId="0" borderId="0" applyNumberFormat="0" applyFill="0" applyBorder="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0" fontId="12" fillId="0" borderId="108" applyNumberFormat="0" applyFont="0" applyFill="0" applyAlignment="0" applyProtection="0"/>
    <xf numFmtId="171" fontId="12" fillId="0" borderId="108" applyNumberFormat="0" applyFont="0" applyFill="0" applyAlignment="0" applyProtection="0"/>
    <xf numFmtId="0" fontId="12" fillId="0" borderId="82" applyNumberFormat="0" applyFont="0" applyFill="0" applyAlignment="0" applyProtection="0"/>
    <xf numFmtId="0" fontId="12" fillId="0" borderId="82" applyNumberFormat="0" applyFont="0" applyFill="0" applyAlignment="0" applyProtection="0"/>
    <xf numFmtId="0" fontId="12" fillId="0" borderId="82" applyNumberFormat="0" applyFont="0" applyFill="0" applyAlignment="0" applyProtection="0"/>
    <xf numFmtId="0" fontId="12" fillId="0" borderId="82" applyNumberFormat="0" applyFont="0" applyFill="0" applyAlignment="0" applyProtection="0"/>
    <xf numFmtId="0" fontId="12" fillId="0" borderId="82" applyNumberFormat="0" applyFont="0" applyFill="0" applyAlignment="0" applyProtection="0"/>
    <xf numFmtId="171" fontId="12" fillId="0" borderId="82" applyNumberFormat="0" applyFont="0" applyFill="0" applyAlignment="0" applyProtection="0"/>
    <xf numFmtId="0" fontId="12" fillId="0" borderId="20" applyNumberFormat="0" applyFont="0" applyFill="0" applyAlignment="0" applyProtection="0"/>
    <xf numFmtId="0" fontId="12" fillId="0" borderId="20" applyNumberFormat="0" applyFont="0" applyFill="0" applyAlignment="0" applyProtection="0"/>
    <xf numFmtId="171" fontId="12" fillId="0" borderId="20" applyNumberFormat="0" applyFont="0" applyFill="0" applyAlignment="0" applyProtection="0"/>
    <xf numFmtId="0" fontId="12" fillId="0" borderId="30" applyNumberFormat="0" applyFont="0" applyFill="0" applyAlignment="0" applyProtection="0"/>
    <xf numFmtId="0" fontId="12" fillId="0" borderId="30" applyNumberFormat="0" applyFont="0" applyFill="0" applyAlignment="0" applyProtection="0"/>
    <xf numFmtId="0" fontId="12" fillId="0" borderId="30" applyNumberFormat="0" applyFont="0" applyFill="0" applyAlignment="0" applyProtection="0"/>
    <xf numFmtId="0" fontId="12" fillId="0" borderId="30" applyNumberFormat="0" applyFont="0" applyFill="0" applyAlignment="0" applyProtection="0"/>
    <xf numFmtId="171" fontId="12" fillId="0" borderId="30" applyNumberFormat="0" applyFont="0" applyFill="0" applyAlignment="0" applyProtection="0"/>
    <xf numFmtId="0" fontId="12" fillId="0" borderId="62" applyNumberFormat="0" applyFont="0" applyFill="0" applyAlignment="0" applyProtection="0"/>
    <xf numFmtId="0" fontId="12" fillId="0" borderId="62" applyNumberFormat="0" applyFont="0" applyFill="0" applyAlignment="0" applyProtection="0"/>
    <xf numFmtId="0" fontId="12" fillId="0" borderId="62" applyNumberFormat="0" applyFont="0" applyFill="0" applyAlignment="0" applyProtection="0"/>
    <xf numFmtId="0" fontId="12" fillId="0" borderId="62" applyNumberFormat="0" applyFont="0" applyFill="0" applyAlignment="0" applyProtection="0"/>
    <xf numFmtId="171" fontId="12" fillId="0" borderId="62" applyNumberFormat="0" applyFont="0" applyFill="0" applyAlignment="0" applyProtection="0"/>
    <xf numFmtId="0" fontId="12" fillId="0" borderId="21" applyNumberFormat="0" applyFont="0" applyFill="0" applyAlignment="0" applyProtection="0"/>
    <xf numFmtId="0" fontId="12" fillId="0" borderId="21" applyNumberFormat="0" applyFont="0" applyFill="0" applyAlignment="0" applyProtection="0"/>
    <xf numFmtId="0" fontId="12" fillId="0" borderId="21" applyNumberFormat="0" applyFont="0" applyFill="0" applyAlignment="0" applyProtection="0"/>
    <xf numFmtId="171" fontId="12" fillId="0" borderId="21"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0" fontId="12" fillId="0" borderId="63" applyNumberFormat="0" applyFont="0" applyFill="0" applyAlignment="0" applyProtection="0"/>
    <xf numFmtId="171" fontId="12" fillId="0" borderId="63" applyNumberFormat="0" applyFont="0" applyFill="0" applyAlignment="0" applyProtection="0"/>
    <xf numFmtId="0" fontId="12" fillId="0" borderId="23" applyNumberFormat="0" applyFont="0" applyFill="0" applyAlignment="0" applyProtection="0"/>
    <xf numFmtId="0" fontId="12" fillId="0" borderId="23" applyNumberFormat="0" applyFont="0" applyFill="0" applyAlignment="0" applyProtection="0"/>
    <xf numFmtId="0" fontId="12" fillId="0" borderId="23" applyNumberFormat="0" applyFont="0" applyFill="0" applyAlignment="0" applyProtection="0"/>
    <xf numFmtId="171" fontId="12" fillId="0" borderId="23" applyNumberFormat="0" applyFont="0" applyFill="0" applyAlignment="0" applyProtection="0"/>
    <xf numFmtId="0" fontId="12" fillId="0" borderId="72" applyNumberFormat="0" applyFont="0" applyFill="0" applyAlignment="0" applyProtection="0"/>
    <xf numFmtId="0" fontId="12" fillId="0" borderId="72" applyNumberFormat="0" applyFont="0" applyFill="0" applyAlignment="0" applyProtection="0"/>
    <xf numFmtId="0" fontId="12" fillId="0" borderId="72" applyNumberFormat="0" applyFont="0" applyFill="0" applyAlignment="0" applyProtection="0"/>
    <xf numFmtId="0" fontId="12" fillId="0" borderId="72" applyNumberFormat="0" applyFont="0" applyFill="0" applyAlignment="0" applyProtection="0"/>
    <xf numFmtId="171" fontId="12" fillId="0" borderId="72" applyNumberFormat="0" applyFont="0" applyFill="0" applyAlignment="0" applyProtection="0"/>
    <xf numFmtId="0" fontId="12" fillId="0" borderId="76" applyNumberFormat="0" applyFont="0" applyFill="0" applyAlignment="0" applyProtection="0"/>
    <xf numFmtId="0" fontId="12" fillId="0" borderId="76" applyNumberFormat="0" applyFont="0" applyFill="0" applyAlignment="0" applyProtection="0"/>
    <xf numFmtId="171" fontId="12" fillId="0" borderId="76" applyNumberFormat="0" applyFont="0" applyFill="0" applyAlignment="0" applyProtection="0"/>
    <xf numFmtId="0" fontId="12" fillId="0" borderId="45" applyNumberFormat="0" applyFont="0" applyFill="0" applyAlignment="0" applyProtection="0"/>
    <xf numFmtId="0" fontId="12" fillId="0" borderId="45" applyNumberFormat="0" applyFont="0" applyFill="0" applyAlignment="0" applyProtection="0"/>
    <xf numFmtId="0" fontId="12" fillId="0" borderId="45" applyNumberFormat="0" applyFont="0" applyFill="0" applyAlignment="0" applyProtection="0"/>
    <xf numFmtId="0" fontId="12" fillId="0" borderId="45" applyNumberFormat="0" applyFont="0" applyFill="0" applyAlignment="0" applyProtection="0"/>
    <xf numFmtId="0" fontId="12" fillId="0" borderId="45" applyNumberFormat="0" applyFont="0" applyFill="0" applyAlignment="0" applyProtection="0"/>
    <xf numFmtId="171" fontId="12" fillId="0" borderId="45" applyNumberFormat="0" applyFont="0" applyFill="0" applyAlignment="0" applyProtection="0"/>
    <xf numFmtId="0" fontId="12" fillId="0" borderId="76" applyNumberFormat="0" applyFont="0" applyFill="0" applyAlignment="0" applyProtection="0"/>
    <xf numFmtId="0" fontId="12" fillId="0" borderId="76" applyNumberFormat="0" applyFont="0" applyFill="0" applyAlignment="0" applyProtection="0"/>
    <xf numFmtId="171" fontId="12" fillId="0" borderId="76" applyNumberFormat="0" applyFont="0" applyFill="0" applyAlignment="0" applyProtection="0"/>
    <xf numFmtId="0" fontId="12" fillId="0" borderId="109" applyNumberFormat="0" applyFont="0" applyFill="0" applyAlignment="0" applyProtection="0"/>
    <xf numFmtId="0" fontId="12" fillId="0" borderId="109" applyNumberFormat="0" applyFont="0" applyFill="0" applyAlignment="0" applyProtection="0"/>
    <xf numFmtId="171" fontId="12" fillId="0" borderId="109" applyNumberFormat="0" applyFont="0" applyFill="0" applyAlignment="0" applyProtection="0"/>
    <xf numFmtId="0" fontId="12" fillId="0" borderId="73" applyNumberFormat="0" applyFont="0" applyFill="0" applyAlignment="0" applyProtection="0"/>
    <xf numFmtId="0" fontId="12" fillId="0" borderId="73" applyNumberFormat="0" applyFont="0" applyFill="0" applyAlignment="0" applyProtection="0"/>
    <xf numFmtId="171" fontId="12" fillId="0" borderId="73" applyNumberFormat="0" applyFont="0" applyFill="0" applyAlignment="0" applyProtection="0"/>
    <xf numFmtId="0" fontId="12" fillId="0" borderId="105" applyNumberFormat="0" applyFont="0" applyFill="0" applyAlignment="0" applyProtection="0"/>
    <xf numFmtId="0" fontId="12" fillId="0" borderId="105" applyNumberFormat="0" applyFont="0" applyFill="0" applyAlignment="0" applyProtection="0"/>
    <xf numFmtId="171" fontId="12" fillId="0" borderId="105" applyNumberFormat="0" applyFont="0" applyFill="0" applyAlignment="0" applyProtection="0"/>
    <xf numFmtId="0" fontId="12" fillId="0" borderId="110" applyNumberFormat="0" applyFont="0" applyFill="0" applyAlignment="0" applyProtection="0"/>
    <xf numFmtId="0" fontId="12" fillId="0" borderId="110" applyNumberFormat="0" applyFont="0" applyFill="0" applyAlignment="0" applyProtection="0"/>
    <xf numFmtId="171" fontId="12" fillId="0" borderId="110" applyNumberFormat="0" applyFont="0" applyFill="0" applyAlignment="0" applyProtection="0"/>
    <xf numFmtId="0" fontId="12" fillId="0" borderId="2" applyNumberFormat="0" applyFont="0" applyFill="0" applyAlignment="0" applyProtection="0"/>
    <xf numFmtId="0" fontId="12" fillId="0" borderId="2" applyNumberFormat="0" applyFont="0" applyFill="0" applyAlignment="0" applyProtection="0"/>
    <xf numFmtId="171" fontId="12" fillId="0" borderId="2" applyNumberFormat="0" applyFont="0" applyFill="0" applyAlignment="0" applyProtection="0"/>
    <xf numFmtId="0" fontId="12" fillId="0" borderId="111" applyNumberFormat="0" applyFont="0" applyFill="0" applyAlignment="0" applyProtection="0"/>
    <xf numFmtId="0" fontId="12" fillId="0" borderId="111" applyNumberFormat="0" applyFont="0" applyFill="0" applyAlignment="0" applyProtection="0"/>
    <xf numFmtId="171" fontId="12" fillId="0" borderId="111" applyNumberFormat="0" applyFont="0" applyFill="0" applyAlignment="0" applyProtection="0"/>
    <xf numFmtId="0" fontId="12" fillId="0" borderId="112" applyNumberFormat="0" applyFont="0" applyFill="0" applyAlignment="0" applyProtection="0"/>
    <xf numFmtId="0" fontId="12" fillId="0" borderId="112" applyNumberFormat="0" applyFont="0" applyFill="0" applyAlignment="0" applyProtection="0"/>
    <xf numFmtId="171" fontId="12" fillId="0" borderId="112" applyNumberFormat="0" applyFont="0" applyFill="0" applyAlignment="0" applyProtection="0"/>
    <xf numFmtId="0" fontId="12" fillId="0" borderId="113" applyNumberFormat="0" applyFont="0" applyFill="0" applyAlignment="0" applyProtection="0"/>
    <xf numFmtId="0" fontId="12" fillId="0" borderId="113" applyNumberFormat="0" applyFont="0" applyFill="0" applyAlignment="0" applyProtection="0"/>
    <xf numFmtId="171" fontId="12" fillId="0" borderId="113" applyNumberFormat="0" applyFont="0" applyFill="0" applyAlignment="0" applyProtection="0"/>
    <xf numFmtId="0" fontId="12" fillId="0" borderId="114" applyNumberFormat="0" applyFont="0" applyFill="0" applyAlignment="0" applyProtection="0"/>
    <xf numFmtId="0" fontId="12" fillId="0" borderId="114" applyNumberFormat="0" applyFont="0" applyFill="0" applyAlignment="0" applyProtection="0"/>
    <xf numFmtId="171" fontId="12" fillId="0" borderId="114" applyNumberFormat="0" applyFont="0" applyFill="0" applyAlignment="0" applyProtection="0"/>
    <xf numFmtId="0" fontId="12" fillId="0" borderId="69" applyNumberFormat="0" applyFont="0" applyFill="0" applyAlignment="0" applyProtection="0"/>
    <xf numFmtId="0" fontId="12" fillId="0" borderId="69" applyNumberFormat="0" applyFont="0" applyFill="0" applyAlignment="0" applyProtection="0"/>
    <xf numFmtId="171" fontId="12" fillId="0" borderId="69" applyNumberFormat="0" applyFont="0" applyFill="0" applyAlignment="0" applyProtection="0"/>
    <xf numFmtId="0" fontId="12" fillId="0" borderId="86" applyNumberFormat="0" applyFont="0" applyFill="0" applyAlignment="0" applyProtection="0"/>
    <xf numFmtId="0" fontId="12" fillId="0" borderId="86" applyNumberFormat="0" applyFont="0" applyFill="0" applyAlignment="0" applyProtection="0"/>
    <xf numFmtId="171" fontId="12" fillId="0" borderId="86" applyNumberFormat="0" applyFont="0" applyFill="0" applyAlignment="0" applyProtection="0"/>
    <xf numFmtId="0" fontId="12" fillId="0" borderId="69" applyNumberFormat="0" applyFont="0" applyFill="0" applyAlignment="0" applyProtection="0"/>
    <xf numFmtId="0" fontId="12" fillId="0" borderId="69" applyNumberFormat="0" applyFont="0" applyFill="0" applyAlignment="0" applyProtection="0"/>
    <xf numFmtId="171" fontId="12" fillId="0" borderId="69" applyNumberFormat="0" applyFont="0" applyFill="0" applyAlignment="0" applyProtection="0"/>
    <xf numFmtId="0" fontId="12" fillId="0" borderId="115" applyNumberFormat="0" applyFont="0" applyFill="0" applyAlignment="0" applyProtection="0"/>
    <xf numFmtId="0" fontId="12" fillId="0" borderId="115" applyNumberFormat="0" applyFont="0" applyFill="0" applyAlignment="0" applyProtection="0"/>
    <xf numFmtId="171" fontId="12" fillId="0" borderId="115" applyNumberFormat="0" applyFont="0" applyFill="0" applyAlignment="0" applyProtection="0"/>
    <xf numFmtId="0" fontId="20"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71" fontId="20" fillId="0" borderId="44" applyNumberFormat="0" applyFill="0" applyAlignment="0" applyProtection="0"/>
    <xf numFmtId="0" fontId="21" fillId="0" borderId="0" applyNumberFormat="0" applyFill="0" applyBorder="0" applyProtection="0">
      <alignment horizontal="left"/>
    </xf>
    <xf numFmtId="171" fontId="21" fillId="0" borderId="0" applyNumberFormat="0" applyFill="0" applyBorder="0" applyProtection="0">
      <alignment horizontal="left"/>
    </xf>
    <xf numFmtId="0" fontId="206" fillId="0" borderId="0" applyNumberFormat="0" applyFill="0" applyBorder="0" applyProtection="0">
      <alignment horizontal="left"/>
    </xf>
    <xf numFmtId="171" fontId="206" fillId="0" borderId="0" applyNumberFormat="0" applyFill="0" applyBorder="0" applyProtection="0">
      <alignment horizontal="left"/>
    </xf>
    <xf numFmtId="0" fontId="206" fillId="0" borderId="0" applyNumberFormat="0" applyFill="0" applyBorder="0" applyProtection="0">
      <alignment vertical="top" wrapText="1"/>
    </xf>
    <xf numFmtId="171" fontId="206" fillId="0" borderId="0" applyNumberFormat="0" applyFill="0" applyBorder="0" applyProtection="0">
      <alignment vertical="top" wrapText="1"/>
    </xf>
    <xf numFmtId="236" fontId="159" fillId="0" borderId="0" applyFill="0" applyBorder="0" applyProtection="0">
      <alignment vertical="top" wrapText="1"/>
    </xf>
    <xf numFmtId="236" fontId="21" fillId="154" borderId="0" applyBorder="0" applyProtection="0">
      <alignment vertical="top" wrapText="1"/>
    </xf>
    <xf numFmtId="236" fontId="21" fillId="0" borderId="0" applyFill="0" applyBorder="0" applyProtection="0">
      <alignment vertical="top" wrapText="1"/>
    </xf>
    <xf numFmtId="323" fontId="206" fillId="0" borderId="0" applyFill="0" applyBorder="0" applyProtection="0">
      <alignment vertical="top" wrapText="1"/>
    </xf>
    <xf numFmtId="328" fontId="206" fillId="0" borderId="0" applyFill="0" applyBorder="0" applyProtection="0">
      <alignment vertical="top" wrapText="1"/>
    </xf>
    <xf numFmtId="327" fontId="206" fillId="0" borderId="0" applyFill="0" applyBorder="0" applyProtection="0">
      <alignment vertical="top" wrapText="1"/>
    </xf>
    <xf numFmtId="0" fontId="159" fillId="0" borderId="62" applyNumberFormat="0" applyFill="0" applyProtection="0">
      <alignment vertical="top"/>
    </xf>
    <xf numFmtId="0" fontId="159" fillId="0" borderId="62" applyNumberFormat="0" applyFill="0" applyProtection="0">
      <alignment vertical="top"/>
    </xf>
    <xf numFmtId="0" fontId="159" fillId="0" borderId="62" applyNumberFormat="0" applyFill="0" applyProtection="0">
      <alignment vertical="top"/>
    </xf>
    <xf numFmtId="0" fontId="159" fillId="0" borderId="62" applyNumberFormat="0" applyFill="0" applyProtection="0">
      <alignment vertical="top"/>
    </xf>
    <xf numFmtId="171" fontId="159" fillId="0" borderId="62" applyNumberFormat="0" applyFill="0" applyProtection="0">
      <alignment vertical="top"/>
    </xf>
    <xf numFmtId="0" fontId="159" fillId="0" borderId="21" applyNumberFormat="0" applyFill="0" applyProtection="0">
      <alignment vertical="top"/>
    </xf>
    <xf numFmtId="0" fontId="159" fillId="0" borderId="21" applyNumberFormat="0" applyFill="0" applyProtection="0">
      <alignment vertical="top"/>
    </xf>
    <xf numFmtId="0" fontId="159" fillId="0" borderId="21" applyNumberFormat="0" applyFill="0" applyProtection="0">
      <alignment vertical="top"/>
    </xf>
    <xf numFmtId="171" fontId="159" fillId="0" borderId="21" applyNumberFormat="0" applyFill="0" applyProtection="0">
      <alignment vertical="top"/>
    </xf>
    <xf numFmtId="0" fontId="159" fillId="0" borderId="102" applyNumberFormat="0" applyFill="0" applyProtection="0">
      <alignment vertical="top"/>
    </xf>
    <xf numFmtId="0" fontId="159" fillId="0" borderId="102" applyNumberFormat="0" applyFill="0" applyProtection="0">
      <alignment vertical="top"/>
    </xf>
    <xf numFmtId="0" fontId="159" fillId="0" borderId="102" applyNumberFormat="0" applyFill="0" applyProtection="0">
      <alignment vertical="top"/>
    </xf>
    <xf numFmtId="0" fontId="159" fillId="0" borderId="102" applyNumberFormat="0" applyFill="0" applyProtection="0">
      <alignment vertical="top"/>
    </xf>
    <xf numFmtId="171" fontId="159" fillId="0" borderId="102" applyNumberFormat="0" applyFill="0" applyProtection="0">
      <alignment vertical="top"/>
    </xf>
    <xf numFmtId="0" fontId="12" fillId="0" borderId="0"/>
    <xf numFmtId="0" fontId="12" fillId="0" borderId="0"/>
    <xf numFmtId="171" fontId="12" fillId="0" borderId="0"/>
    <xf numFmtId="0" fontId="162" fillId="0" borderId="0"/>
    <xf numFmtId="171" fontId="162" fillId="0" borderId="0"/>
    <xf numFmtId="0" fontId="356" fillId="0" borderId="0">
      <alignment horizontal="center" vertical="center" wrapText="1"/>
    </xf>
    <xf numFmtId="171" fontId="356" fillId="0" borderId="0">
      <alignment horizontal="center" vertical="center" wrapText="1"/>
    </xf>
    <xf numFmtId="0" fontId="12" fillId="158" borderId="0">
      <alignment horizontal="center" vertical="center" wrapText="1"/>
    </xf>
    <xf numFmtId="0" fontId="12" fillId="158" borderId="0">
      <alignment horizontal="center" vertical="center" wrapText="1"/>
    </xf>
    <xf numFmtId="171" fontId="12" fillId="158" borderId="0">
      <alignment horizontal="center" vertical="center" wrapText="1"/>
    </xf>
    <xf numFmtId="0" fontId="162" fillId="0" borderId="0"/>
    <xf numFmtId="171" fontId="162" fillId="0" borderId="0"/>
    <xf numFmtId="328" fontId="21" fillId="0" borderId="0" applyBorder="0">
      <alignment vertical="top" wrapText="1"/>
    </xf>
    <xf numFmtId="0" fontId="336" fillId="0" borderId="44">
      <alignment horizontal="center"/>
    </xf>
    <xf numFmtId="0" fontId="336" fillId="0" borderId="44">
      <alignment horizontal="center"/>
    </xf>
    <xf numFmtId="0" fontId="336" fillId="0" borderId="44">
      <alignment horizontal="center"/>
    </xf>
    <xf numFmtId="0" fontId="336" fillId="0" borderId="44">
      <alignment horizontal="center"/>
    </xf>
    <xf numFmtId="0" fontId="45" fillId="0" borderId="0" applyNumberFormat="0" applyBorder="0" applyAlignment="0"/>
    <xf numFmtId="172" fontId="45" fillId="0" borderId="0" applyNumberFormat="0" applyBorder="0" applyAlignment="0"/>
    <xf numFmtId="264" fontId="12" fillId="0" borderId="0"/>
    <xf numFmtId="264" fontId="12" fillId="0" borderId="0"/>
    <xf numFmtId="264" fontId="12" fillId="0" borderId="0"/>
    <xf numFmtId="264" fontId="12" fillId="0" borderId="0"/>
    <xf numFmtId="264" fontId="12" fillId="0" borderId="0"/>
    <xf numFmtId="264" fontId="12" fillId="0" borderId="0"/>
    <xf numFmtId="264" fontId="12" fillId="0" borderId="0"/>
    <xf numFmtId="264" fontId="12" fillId="0" borderId="0"/>
    <xf numFmtId="264" fontId="12" fillId="0" borderId="0"/>
    <xf numFmtId="264" fontId="12" fillId="0" borderId="0"/>
    <xf numFmtId="0" fontId="45" fillId="0" borderId="0" applyNumberFormat="0" applyBorder="0" applyAlignment="0"/>
    <xf numFmtId="264" fontId="12" fillId="0" borderId="0"/>
    <xf numFmtId="0" fontId="256" fillId="0" borderId="0" applyNumberFormat="0" applyBorder="0" applyAlignment="0"/>
    <xf numFmtId="172" fontId="256" fillId="0" borderId="0" applyNumberFormat="0" applyBorder="0" applyAlignment="0"/>
    <xf numFmtId="0" fontId="256" fillId="0" borderId="0" applyNumberFormat="0" applyBorder="0" applyAlignment="0"/>
    <xf numFmtId="0" fontId="256" fillId="0" borderId="0" applyNumberFormat="0" applyBorder="0" applyAlignment="0"/>
    <xf numFmtId="0" fontId="256" fillId="0" borderId="0" applyNumberFormat="0" applyBorder="0" applyAlignment="0"/>
    <xf numFmtId="0" fontId="256" fillId="0" borderId="0" applyNumberFormat="0" applyBorder="0" applyAlignment="0"/>
    <xf numFmtId="0" fontId="256" fillId="0" borderId="0" applyNumberFormat="0" applyBorder="0" applyAlignment="0"/>
    <xf numFmtId="0" fontId="256" fillId="0" borderId="0" applyNumberFormat="0" applyBorder="0" applyAlignment="0"/>
    <xf numFmtId="0" fontId="256" fillId="0" borderId="0" applyNumberFormat="0" applyBorder="0" applyAlignment="0"/>
    <xf numFmtId="0" fontId="178" fillId="0" borderId="0" applyFill="0" applyBorder="0">
      <alignment vertical="center"/>
      <protection locked="0"/>
    </xf>
    <xf numFmtId="0" fontId="357" fillId="0" borderId="0" applyFill="0" applyAlignment="0" applyProtection="0"/>
    <xf numFmtId="171" fontId="357" fillId="0" borderId="0" applyFill="0" applyAlignment="0" applyProtection="0"/>
    <xf numFmtId="211" fontId="20" fillId="0" borderId="0"/>
    <xf numFmtId="1" fontId="48" fillId="0" borderId="0" applyNumberFormat="0" applyFill="0" applyBorder="0" applyAlignment="0" applyProtection="0">
      <alignment horizontal="center"/>
    </xf>
    <xf numFmtId="246" fontId="168" fillId="0" borderId="0">
      <alignment horizontal="centerContinuous"/>
    </xf>
    <xf numFmtId="1" fontId="358" fillId="0" borderId="102" applyNumberFormat="0" applyFill="0" applyBorder="0" applyAlignment="0" applyProtection="0">
      <alignment horizontal="center"/>
    </xf>
    <xf numFmtId="1" fontId="358" fillId="0" borderId="102" applyNumberFormat="0" applyFill="0" applyBorder="0" applyAlignment="0" applyProtection="0">
      <alignment horizontal="center"/>
    </xf>
    <xf numFmtId="1" fontId="358" fillId="0" borderId="102" applyNumberFormat="0" applyFill="0" applyBorder="0" applyAlignment="0" applyProtection="0">
      <alignment horizontal="center"/>
    </xf>
    <xf numFmtId="1" fontId="358" fillId="0" borderId="102" applyNumberFormat="0" applyFill="0" applyBorder="0" applyAlignment="0" applyProtection="0">
      <alignment horizontal="center"/>
    </xf>
    <xf numFmtId="1" fontId="358" fillId="0" borderId="102" applyNumberFormat="0" applyFill="0" applyBorder="0" applyAlignment="0" applyProtection="0">
      <alignment horizontal="center"/>
    </xf>
    <xf numFmtId="40" fontId="359" fillId="0" borderId="0" applyBorder="0">
      <alignment horizontal="right"/>
    </xf>
    <xf numFmtId="3" fontId="360" fillId="0" borderId="0">
      <alignment horizontal="right" vertical="center"/>
    </xf>
    <xf numFmtId="49" fontId="360" fillId="0" borderId="0">
      <alignment horizontal="right" vertical="center"/>
    </xf>
    <xf numFmtId="38" fontId="361" fillId="0" borderId="0" applyFill="0" applyBorder="0" applyAlignment="0" applyProtection="0"/>
    <xf numFmtId="310" fontId="362" fillId="0" borderId="0" applyFill="0" applyBorder="0" applyAlignment="0" applyProtection="0"/>
    <xf numFmtId="0" fontId="12" fillId="0" borderId="0"/>
    <xf numFmtId="0" fontId="12" fillId="0" borderId="0"/>
    <xf numFmtId="171" fontId="12" fillId="0" borderId="0"/>
    <xf numFmtId="37" fontId="274" fillId="118" borderId="0">
      <alignment horizontal="right" vertical="center"/>
      <protection locked="0"/>
    </xf>
    <xf numFmtId="0" fontId="143" fillId="2" borderId="0"/>
    <xf numFmtId="0" fontId="363" fillId="0" borderId="0" applyBorder="0" applyProtection="0">
      <alignment vertical="center"/>
    </xf>
    <xf numFmtId="0" fontId="363" fillId="0" borderId="82" applyBorder="0" applyProtection="0">
      <alignment horizontal="right" vertical="center"/>
    </xf>
    <xf numFmtId="0" fontId="364" fillId="160" borderId="0" applyBorder="0" applyProtection="0">
      <alignment horizontal="centerContinuous" vertical="center"/>
    </xf>
    <xf numFmtId="0" fontId="364" fillId="114" borderId="82" applyBorder="0" applyProtection="0">
      <alignment horizontal="centerContinuous" vertical="center"/>
    </xf>
    <xf numFmtId="0" fontId="365" fillId="0" borderId="0" applyNumberFormat="0" applyFill="0" applyBorder="0" applyProtection="0">
      <alignment horizontal="left"/>
    </xf>
    <xf numFmtId="333" fontId="366" fillId="161" borderId="88">
      <alignment horizontal="center" vertical="center" wrapText="1"/>
    </xf>
    <xf numFmtId="0" fontId="238" fillId="0" borderId="0" applyNumberFormat="0" applyFill="0" applyBorder="0" applyProtection="0">
      <alignment horizontal="left"/>
    </xf>
    <xf numFmtId="0" fontId="300" fillId="0" borderId="0"/>
    <xf numFmtId="0" fontId="367" fillId="0" borderId="0" applyFill="0" applyBorder="0" applyProtection="0">
      <alignment horizontal="left"/>
    </xf>
    <xf numFmtId="0" fontId="367" fillId="0" borderId="0" applyFill="0" applyBorder="0" applyProtection="0">
      <alignment horizontal="left"/>
    </xf>
    <xf numFmtId="0" fontId="238" fillId="0" borderId="20" applyFill="0" applyBorder="0" applyProtection="0">
      <alignment horizontal="left" vertical="top"/>
    </xf>
    <xf numFmtId="0" fontId="219" fillId="0" borderId="0">
      <alignment horizontal="centerContinuous"/>
    </xf>
    <xf numFmtId="176" fontId="338" fillId="24" borderId="30" applyFont="0" applyFill="0">
      <alignment horizontal="right"/>
    </xf>
    <xf numFmtId="176" fontId="368" fillId="0" borderId="0">
      <alignment horizontal="right"/>
    </xf>
    <xf numFmtId="0" fontId="369" fillId="0" borderId="0"/>
    <xf numFmtId="0" fontId="370" fillId="0" borderId="0" applyNumberFormat="0" applyFill="0" applyBorder="0" applyProtection="0"/>
    <xf numFmtId="0" fontId="371" fillId="0" borderId="0"/>
    <xf numFmtId="0" fontId="372" fillId="0" borderId="0" applyNumberFormat="0" applyFill="0" applyBorder="0" applyProtection="0"/>
    <xf numFmtId="0" fontId="370" fillId="0" borderId="0" applyNumberFormat="0" applyFill="0" applyBorder="0" applyProtection="0"/>
    <xf numFmtId="0" fontId="370" fillId="0" borderId="0"/>
    <xf numFmtId="49" fontId="45"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215" fontId="12" fillId="0" borderId="0" applyFill="0" applyBorder="0" applyAlignment="0"/>
    <xf numFmtId="0" fontId="21" fillId="119" borderId="0">
      <alignment horizontal="left"/>
    </xf>
    <xf numFmtId="171" fontId="21" fillId="119" borderId="0">
      <alignment horizontal="left"/>
    </xf>
    <xf numFmtId="0" fontId="21" fillId="119" borderId="0">
      <alignment horizontal="left" indent="1"/>
    </xf>
    <xf numFmtId="171" fontId="21" fillId="119" borderId="0">
      <alignment horizontal="left" indent="1"/>
    </xf>
    <xf numFmtId="211" fontId="12" fillId="0" borderId="0">
      <alignment horizontal="justify" vertical="top" wrapText="1"/>
    </xf>
    <xf numFmtId="0" fontId="28"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applyFont="0" applyFill="0" applyBorder="0" applyAlignment="0" applyProtection="0"/>
    <xf numFmtId="211" fontId="373" fillId="0" borderId="0">
      <alignment horizontal="center"/>
    </xf>
    <xf numFmtId="12" fontId="374" fillId="0" borderId="0" applyFill="0" applyBorder="0"/>
    <xf numFmtId="0" fontId="239" fillId="0" borderId="0">
      <alignment horizontal="center"/>
    </xf>
    <xf numFmtId="171" fontId="239" fillId="0" borderId="0">
      <alignment horizontal="center"/>
    </xf>
    <xf numFmtId="12" fontId="3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40" fontId="375" fillId="0" borderId="0"/>
    <xf numFmtId="192" fontId="162" fillId="0" borderId="0" applyNumberFormat="0" applyFill="0" applyBorder="0" applyAlignment="0"/>
    <xf numFmtId="12" fontId="376" fillId="0" borderId="116" applyBorder="0" applyAlignment="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3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171" fontId="149" fillId="0" borderId="0" applyNumberFormat="0" applyFill="0" applyBorder="0" applyAlignment="0" applyProtection="0"/>
    <xf numFmtId="172"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172"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40" fontId="377" fillId="0" borderId="0" applyNumberFormat="0" applyFill="0" applyBorder="0" applyAlignment="0" applyProtection="0">
      <alignment horizontal="left"/>
    </xf>
    <xf numFmtId="0" fontId="12" fillId="0" borderId="0">
      <alignment horizontal="center"/>
    </xf>
    <xf numFmtId="0" fontId="378" fillId="0" borderId="0">
      <alignment horizontal="left" vertical="top"/>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12" fillId="0" borderId="0">
      <alignment horizontal="center"/>
    </xf>
    <xf numFmtId="0" fontId="379" fillId="0" borderId="0">
      <alignment horizontal="center"/>
    </xf>
    <xf numFmtId="0" fontId="380" fillId="0" borderId="0">
      <alignment horizontal="left"/>
    </xf>
    <xf numFmtId="0" fontId="379" fillId="0" borderId="0">
      <alignment horizontal="center"/>
    </xf>
    <xf numFmtId="1" fontId="381" fillId="0" borderId="117"/>
    <xf numFmtId="334" fontId="167" fillId="0" borderId="0" applyBorder="0">
      <alignment horizontal="centerContinuous" wrapText="1"/>
    </xf>
    <xf numFmtId="0" fontId="382" fillId="0" borderId="0" applyNumberFormat="0" applyFill="0" applyBorder="0" applyAlignment="0" applyProtection="0"/>
    <xf numFmtId="0" fontId="382" fillId="0" borderId="0" applyNumberFormat="0" applyFill="0" applyBorder="0" applyAlignment="0" applyProtection="0"/>
    <xf numFmtId="171" fontId="382" fillId="0" borderId="0" applyNumberFormat="0" applyFill="0" applyBorder="0" applyAlignment="0" applyProtection="0"/>
    <xf numFmtId="171" fontId="38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8" fillId="0" borderId="0" applyNumberFormat="0" applyFill="0" applyBorder="0" applyAlignment="0" applyProtection="0"/>
    <xf numFmtId="335" fontId="25" fillId="162" borderId="0" applyNumberFormat="0" applyBorder="0">
      <protection locked="0"/>
    </xf>
    <xf numFmtId="0" fontId="243" fillId="0" borderId="34" applyNumberFormat="0" applyFill="0" applyAlignment="0" applyProtection="0"/>
    <xf numFmtId="0" fontId="248" fillId="0" borderId="7" applyNumberFormat="0" applyFill="0" applyAlignment="0" applyProtection="0"/>
    <xf numFmtId="0" fontId="253" fillId="0" borderId="37" applyNumberFormat="0" applyFill="0" applyAlignment="0" applyProtection="0"/>
    <xf numFmtId="0" fontId="253"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256" fontId="383" fillId="0" borderId="0" applyNumberFormat="0" applyFill="0" applyBorder="0" applyAlignment="0" applyProtection="0">
      <alignment vertical="center"/>
    </xf>
    <xf numFmtId="38" fontId="154" fillId="0" borderId="0"/>
    <xf numFmtId="0" fontId="372" fillId="0" borderId="0"/>
    <xf numFmtId="0" fontId="370" fillId="0" borderId="0"/>
    <xf numFmtId="38" fontId="162" fillId="0" borderId="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0" fontId="384" fillId="0" borderId="43" applyNumberFormat="0" applyFill="0" applyAlignment="0" applyProtection="0"/>
    <xf numFmtId="171" fontId="384" fillId="0" borderId="43"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9"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172" fontId="40" fillId="0" borderId="120"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336" fontId="61" fillId="24" borderId="0">
      <alignment horizontal="right" vertical="center"/>
    </xf>
    <xf numFmtId="336" fontId="61" fillId="24" borderId="0">
      <alignment horizontal="right" vertical="center"/>
    </xf>
    <xf numFmtId="335" fontId="256" fillId="163" borderId="0" applyNumberFormat="0" applyBorder="0">
      <protection locked="0"/>
    </xf>
    <xf numFmtId="1" fontId="20" fillId="0" borderId="121"/>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0" fontId="40" fillId="0" borderId="118" applyNumberFormat="0" applyFill="0" applyAlignment="0" applyProtection="0"/>
    <xf numFmtId="171" fontId="40" fillId="0" borderId="118" applyNumberFormat="0" applyFill="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0" fontId="184" fillId="0" borderId="0"/>
    <xf numFmtId="171" fontId="184" fillId="0" borderId="0"/>
    <xf numFmtId="0" fontId="274" fillId="0" borderId="0">
      <alignment horizontal="fill"/>
    </xf>
    <xf numFmtId="337" fontId="47" fillId="24" borderId="0">
      <alignment horizontal="right" vertical="center"/>
    </xf>
    <xf numFmtId="337" fontId="47" fillId="24" borderId="0">
      <alignment horizontal="right" vertical="center"/>
    </xf>
    <xf numFmtId="211" fontId="20" fillId="0" borderId="0">
      <alignment horizontal="center"/>
    </xf>
    <xf numFmtId="37" fontId="21" fillId="118" borderId="0" applyNumberFormat="0" applyBorder="0" applyAlignment="0" applyProtection="0"/>
    <xf numFmtId="37" fontId="21" fillId="0" borderId="0"/>
    <xf numFmtId="3" fontId="385" fillId="0" borderId="122" applyProtection="0"/>
    <xf numFmtId="0" fontId="386" fillId="0" borderId="0">
      <alignment vertical="top"/>
    </xf>
    <xf numFmtId="171" fontId="386" fillId="0" borderId="0">
      <alignment vertical="top"/>
    </xf>
    <xf numFmtId="211" fontId="387" fillId="0" borderId="123" applyNumberFormat="0" applyFill="0" applyBorder="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0" fontId="38" fillId="6" borderId="124" applyNumberFormat="0" applyAlignment="0" applyProtection="0"/>
    <xf numFmtId="171" fontId="38" fillId="6" borderId="124" applyNumberFormat="0" applyAlignment="0" applyProtection="0"/>
    <xf numFmtId="0" fontId="23" fillId="54" borderId="0" applyNumberFormat="0" applyBorder="0" applyAlignment="0" applyProtection="0"/>
    <xf numFmtId="171" fontId="23" fillId="54" borderId="0" applyNumberFormat="0" applyBorder="0" applyAlignment="0" applyProtection="0"/>
    <xf numFmtId="0" fontId="23" fillId="11" borderId="0" applyNumberFormat="0" applyBorder="0" applyAlignment="0" applyProtection="0"/>
    <xf numFmtId="171" fontId="23" fillId="11" borderId="0" applyNumberFormat="0" applyBorder="0" applyAlignment="0" applyProtection="0"/>
    <xf numFmtId="0" fontId="23" fillId="12" borderId="0" applyNumberFormat="0" applyBorder="0" applyAlignment="0" applyProtection="0"/>
    <xf numFmtId="171" fontId="23" fillId="12" borderId="0" applyNumberFormat="0" applyBorder="0" applyAlignment="0" applyProtection="0"/>
    <xf numFmtId="0" fontId="23" fillId="49" borderId="0" applyNumberFormat="0" applyBorder="0" applyAlignment="0" applyProtection="0"/>
    <xf numFmtId="171" fontId="23" fillId="49" borderId="0" applyNumberFormat="0" applyBorder="0" applyAlignment="0" applyProtection="0"/>
    <xf numFmtId="0" fontId="23" fillId="10" borderId="0" applyNumberFormat="0" applyBorder="0" applyAlignment="0" applyProtection="0"/>
    <xf numFmtId="171" fontId="23" fillId="10" borderId="0" applyNumberFormat="0" applyBorder="0" applyAlignment="0" applyProtection="0"/>
    <xf numFmtId="0" fontId="23" fillId="14" borderId="0" applyNumberFormat="0" applyBorder="0" applyAlignment="0" applyProtection="0"/>
    <xf numFmtId="171" fontId="23" fillId="14" borderId="0" applyNumberFormat="0" applyBorder="0" applyAlignment="0" applyProtection="0"/>
    <xf numFmtId="338" fontId="12" fillId="0" borderId="0" applyFont="0" applyFill="0" applyBorder="0" applyAlignment="0" applyProtection="0"/>
    <xf numFmtId="42" fontId="12" fillId="0" borderId="0" applyFont="0" applyFill="0" applyBorder="0" applyAlignment="0" applyProtection="0"/>
    <xf numFmtId="339" fontId="12" fillId="0" borderId="0" applyFont="0" applyFill="0" applyBorder="0" applyAlignment="0" applyProtection="0"/>
    <xf numFmtId="340" fontId="159" fillId="0" borderId="0" applyProtection="0">
      <alignment horizontal="right"/>
    </xf>
    <xf numFmtId="0" fontId="41" fillId="0" borderId="0" applyNumberFormat="0" applyFill="0" applyBorder="0" applyAlignment="0" applyProtection="0"/>
    <xf numFmtId="171" fontId="41" fillId="0" borderId="0" applyNumberFormat="0" applyFill="0" applyBorder="0" applyAlignment="0" applyProtection="0"/>
    <xf numFmtId="329" fontId="388" fillId="164" borderId="0"/>
    <xf numFmtId="0" fontId="388" fillId="164" borderId="0"/>
    <xf numFmtId="171" fontId="388" fillId="164" borderId="0"/>
    <xf numFmtId="0" fontId="27" fillId="17" borderId="4" applyNumberFormat="0" applyAlignment="0" applyProtection="0"/>
    <xf numFmtId="336" fontId="47" fillId="24" borderId="0">
      <alignment horizontal="right" vertical="center"/>
    </xf>
    <xf numFmtId="336" fontId="47" fillId="24" borderId="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12" fillId="0" borderId="0" applyFont="0" applyFill="0" applyBorder="0" applyAlignment="0" applyProtection="0"/>
    <xf numFmtId="44" fontId="12" fillId="0" borderId="0" applyFon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112" fillId="0" borderId="0" applyNumberFormat="0" applyFill="0" applyBorder="0" applyAlignment="0" applyProtection="0"/>
    <xf numFmtId="172" fontId="112"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1" fillId="0" borderId="0" applyNumberFormat="0" applyFill="0" applyBorder="0" applyAlignment="0" applyProtection="0"/>
    <xf numFmtId="171" fontId="41" fillId="0" borderId="0" applyNumberFormat="0" applyFill="0" applyBorder="0" applyAlignment="0" applyProtection="0"/>
    <xf numFmtId="0" fontId="47" fillId="133" borderId="0"/>
    <xf numFmtId="0" fontId="47" fillId="133" borderId="0"/>
    <xf numFmtId="0" fontId="289" fillId="0" borderId="0" applyNumberFormat="0" applyFont="0" applyFill="0" applyBorder="0" applyProtection="0">
      <alignment horizontal="center" vertical="center" wrapText="1"/>
    </xf>
    <xf numFmtId="171" fontId="289" fillId="0" borderId="0" applyNumberFormat="0" applyFont="0" applyFill="0" applyBorder="0" applyProtection="0">
      <alignment horizontal="center" vertical="center" wrapText="1"/>
    </xf>
    <xf numFmtId="341" fontId="208" fillId="0" borderId="0" applyFont="0" applyFill="0" applyBorder="0" applyAlignment="0" applyProtection="0"/>
    <xf numFmtId="198" fontId="178" fillId="0" borderId="0" applyFill="0" applyBorder="0">
      <alignment vertical="center"/>
    </xf>
    <xf numFmtId="0" fontId="214" fillId="106" borderId="125"/>
    <xf numFmtId="4" fontId="175" fillId="0" borderId="0"/>
    <xf numFmtId="0" fontId="12" fillId="0" borderId="0"/>
    <xf numFmtId="16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190" fontId="12" fillId="0" borderId="0" applyFont="0" applyFill="0" applyBorder="0" applyAlignment="0" applyProtection="0"/>
    <xf numFmtId="233" fontId="1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613">
    <xf numFmtId="0" fontId="0" fillId="0" borderId="0" xfId="0"/>
    <xf numFmtId="0" fontId="13" fillId="0" borderId="0" xfId="25" applyNumberFormat="1" applyFont="1" applyFill="1" applyBorder="1" applyAlignment="1">
      <alignment vertical="center"/>
    </xf>
    <xf numFmtId="49" fontId="18" fillId="0" borderId="0" xfId="25" applyNumberFormat="1" applyFont="1" applyFill="1" applyBorder="1" applyAlignment="1" applyProtection="1">
      <alignment horizontal="right" vertical="center"/>
    </xf>
    <xf numFmtId="1" fontId="15" fillId="0" borderId="0" xfId="25" applyNumberFormat="1" applyFont="1" applyFill="1" applyBorder="1" applyAlignment="1" applyProtection="1">
      <alignment horizontal="right" vertical="center"/>
    </xf>
    <xf numFmtId="1" fontId="14" fillId="0" borderId="0" xfId="25" applyNumberFormat="1" applyFont="1" applyFill="1" applyBorder="1" applyAlignment="1" applyProtection="1">
      <alignment shrinkToFit="1"/>
    </xf>
    <xf numFmtId="1" fontId="13" fillId="0" borderId="0" xfId="0" applyNumberFormat="1" applyFont="1" applyFill="1" applyBorder="1" applyAlignment="1">
      <alignment vertical="center"/>
    </xf>
    <xf numFmtId="49" fontId="14" fillId="0" borderId="0" xfId="0" applyNumberFormat="1" applyFont="1" applyFill="1" applyAlignment="1">
      <alignment horizontal="right" vertical="center"/>
    </xf>
    <xf numFmtId="1" fontId="13" fillId="0" borderId="0" xfId="0" applyNumberFormat="1" applyFont="1" applyFill="1" applyAlignment="1">
      <alignment vertical="center"/>
    </xf>
    <xf numFmtId="1" fontId="13" fillId="0" borderId="0" xfId="0" applyNumberFormat="1" applyFont="1" applyFill="1" applyBorder="1" applyAlignment="1">
      <alignment horizontal="right" vertical="center"/>
    </xf>
    <xf numFmtId="1" fontId="19" fillId="0" borderId="0" xfId="0" applyNumberFormat="1" applyFont="1" applyFill="1" applyBorder="1" applyAlignment="1">
      <alignment horizontal="left" vertical="center"/>
    </xf>
    <xf numFmtId="0" fontId="0" fillId="0" borderId="0" xfId="0" applyBorder="1"/>
    <xf numFmtId="0" fontId="0" fillId="0" borderId="0" xfId="0" applyFill="1"/>
    <xf numFmtId="0" fontId="0" fillId="0" borderId="0" xfId="0" applyProtection="1">
      <protection locked="0"/>
    </xf>
    <xf numFmtId="0" fontId="0" fillId="0" borderId="0" xfId="0" applyAlignment="1" applyProtection="1">
      <alignment shrinkToFit="1"/>
      <protection locked="0"/>
    </xf>
    <xf numFmtId="0" fontId="0" fillId="0" borderId="0" xfId="0" applyFill="1" applyProtection="1">
      <protection locked="0"/>
    </xf>
    <xf numFmtId="0" fontId="0" fillId="0" borderId="0" xfId="0" applyFill="1" applyAlignment="1"/>
    <xf numFmtId="0" fontId="19" fillId="0" borderId="0" xfId="0" applyFont="1" applyFill="1" applyBorder="1" applyAlignment="1" applyProtection="1">
      <alignment vertical="center"/>
      <protection locked="0"/>
    </xf>
    <xf numFmtId="0" fontId="19"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0" fontId="19" fillId="0" borderId="0" xfId="0" applyFont="1" applyFill="1" applyBorder="1" applyAlignment="1" applyProtection="1">
      <alignment vertical="center" shrinkToFit="1"/>
      <protection locked="0"/>
    </xf>
    <xf numFmtId="0" fontId="0" fillId="0" borderId="0" xfId="0" applyAlignment="1" applyProtection="1">
      <protection locked="0"/>
    </xf>
    <xf numFmtId="0" fontId="49" fillId="0" borderId="0" xfId="0" applyFont="1" applyFill="1"/>
    <xf numFmtId="0" fontId="14" fillId="20" borderId="17" xfId="25" applyFont="1" applyFill="1" applyBorder="1" applyAlignment="1">
      <alignment vertical="center"/>
    </xf>
    <xf numFmtId="0" fontId="18" fillId="20" borderId="17" xfId="25" applyFont="1" applyFill="1" applyBorder="1" applyAlignment="1">
      <alignment horizontal="left" vertical="center"/>
    </xf>
    <xf numFmtId="49" fontId="44" fillId="20" borderId="17" xfId="25" applyNumberFormat="1" applyFont="1" applyFill="1" applyBorder="1" applyAlignment="1">
      <alignment shrinkToFit="1"/>
    </xf>
    <xf numFmtId="0" fontId="17" fillId="20" borderId="17" xfId="25" applyFont="1" applyFill="1" applyBorder="1" applyAlignment="1">
      <alignment horizontal="left" vertical="center" shrinkToFit="1"/>
    </xf>
    <xf numFmtId="166" fontId="14" fillId="20" borderId="17" xfId="25" applyNumberFormat="1" applyFont="1" applyFill="1" applyBorder="1" applyAlignment="1">
      <alignment horizontal="right" vertical="center"/>
    </xf>
    <xf numFmtId="1" fontId="19" fillId="20" borderId="15" xfId="0" applyNumberFormat="1" applyFont="1" applyFill="1" applyBorder="1" applyAlignment="1" applyProtection="1">
      <alignment vertical="center"/>
    </xf>
    <xf numFmtId="0" fontId="19" fillId="20" borderId="15" xfId="0" applyFont="1" applyFill="1" applyBorder="1" applyAlignment="1" applyProtection="1">
      <alignment vertical="center"/>
    </xf>
    <xf numFmtId="0" fontId="19" fillId="20" borderId="15" xfId="0" applyFont="1" applyFill="1" applyBorder="1" applyAlignment="1" applyProtection="1">
      <alignment horizontal="center" vertical="center"/>
    </xf>
    <xf numFmtId="0" fontId="16" fillId="20" borderId="15" xfId="0" applyFont="1" applyFill="1" applyBorder="1" applyAlignment="1" applyProtection="1">
      <alignment vertical="center"/>
    </xf>
    <xf numFmtId="0" fontId="19" fillId="20" borderId="15" xfId="0" applyFont="1" applyFill="1" applyBorder="1" applyAlignment="1" applyProtection="1">
      <alignment vertical="center"/>
      <protection locked="0"/>
    </xf>
    <xf numFmtId="0" fontId="19" fillId="20" borderId="15" xfId="0" applyFont="1" applyFill="1" applyBorder="1" applyAlignment="1" applyProtection="1">
      <alignment vertical="center" shrinkToFit="1"/>
    </xf>
    <xf numFmtId="0" fontId="50" fillId="20" borderId="15" xfId="0" applyFont="1" applyFill="1" applyBorder="1" applyAlignment="1" applyProtection="1">
      <alignment vertical="center" shrinkToFit="1"/>
    </xf>
    <xf numFmtId="49" fontId="14" fillId="0" borderId="0" xfId="0" applyNumberFormat="1" applyFont="1" applyFill="1" applyAlignment="1">
      <alignment vertical="center"/>
    </xf>
    <xf numFmtId="1" fontId="19" fillId="0" borderId="0" xfId="0" applyNumberFormat="1" applyFont="1" applyFill="1" applyBorder="1" applyAlignment="1">
      <alignment vertical="center"/>
    </xf>
    <xf numFmtId="0" fontId="0" fillId="21" borderId="0" xfId="0" applyFill="1" applyBorder="1"/>
    <xf numFmtId="166" fontId="14" fillId="20" borderId="0" xfId="25" applyNumberFormat="1" applyFont="1" applyFill="1" applyAlignment="1" applyProtection="1">
      <alignment horizontal="right"/>
      <protection locked="0"/>
    </xf>
    <xf numFmtId="0" fontId="19" fillId="20" borderId="15" xfId="0" applyFont="1" applyFill="1" applyBorder="1" applyAlignment="1" applyProtection="1">
      <alignment horizontal="center" vertical="center"/>
      <protection locked="0"/>
    </xf>
    <xf numFmtId="0" fontId="16" fillId="20" borderId="15" xfId="0" applyFont="1" applyFill="1" applyBorder="1" applyAlignment="1" applyProtection="1">
      <alignment vertical="center"/>
      <protection locked="0"/>
    </xf>
    <xf numFmtId="1" fontId="14" fillId="0" borderId="0" xfId="0" applyNumberFormat="1" applyFont="1" applyFill="1" applyBorder="1" applyAlignment="1">
      <alignment shrinkToFit="1"/>
    </xf>
    <xf numFmtId="1" fontId="13" fillId="0" borderId="0" xfId="0" applyNumberFormat="1" applyFont="1" applyFill="1" applyBorder="1" applyAlignment="1">
      <alignment horizontal="left" vertical="center" shrinkToFit="1"/>
    </xf>
    <xf numFmtId="1" fontId="13" fillId="0" borderId="0" xfId="0" applyNumberFormat="1" applyFont="1" applyFill="1" applyBorder="1" applyAlignment="1">
      <alignment vertical="center" shrinkToFit="1"/>
    </xf>
    <xf numFmtId="1" fontId="13" fillId="21" borderId="0" xfId="0" applyNumberFormat="1" applyFont="1" applyFill="1" applyBorder="1" applyAlignment="1">
      <alignment vertical="center"/>
    </xf>
    <xf numFmtId="0" fontId="19" fillId="20" borderId="19" xfId="0" applyFont="1" applyFill="1" applyBorder="1" applyAlignment="1" applyProtection="1">
      <alignment vertical="center"/>
      <protection locked="0"/>
    </xf>
    <xf numFmtId="0" fontId="46" fillId="0" borderId="0" xfId="0" applyFont="1" applyBorder="1" applyAlignment="1">
      <alignment shrinkToFit="1"/>
    </xf>
    <xf numFmtId="0" fontId="0" fillId="0" borderId="0" xfId="0" applyFill="1" applyBorder="1" applyAlignment="1">
      <alignment shrinkToFit="1"/>
    </xf>
    <xf numFmtId="0" fontId="50" fillId="20" borderId="15" xfId="0" applyFont="1" applyFill="1" applyBorder="1" applyAlignment="1" applyProtection="1">
      <alignment vertical="center"/>
    </xf>
    <xf numFmtId="0" fontId="50" fillId="20" borderId="15" xfId="0" applyFont="1" applyFill="1" applyBorder="1" applyAlignment="1" applyProtection="1">
      <alignment vertical="center"/>
      <protection locked="0"/>
    </xf>
    <xf numFmtId="0" fontId="21" fillId="0" borderId="0" xfId="0" applyFont="1" applyProtection="1">
      <protection locked="0"/>
    </xf>
    <xf numFmtId="0" fontId="49" fillId="0" borderId="0" xfId="0" applyFont="1"/>
    <xf numFmtId="0" fontId="49" fillId="0" borderId="0" xfId="0" applyFont="1" applyFill="1" applyBorder="1"/>
    <xf numFmtId="0" fontId="49" fillId="0" borderId="0" xfId="0" applyFont="1" applyFill="1" applyBorder="1" applyAlignment="1">
      <alignment shrinkToFit="1"/>
    </xf>
    <xf numFmtId="0" fontId="49" fillId="0" borderId="0" xfId="0" applyFont="1" applyFill="1" applyProtection="1">
      <protection locked="0"/>
    </xf>
    <xf numFmtId="10" fontId="49" fillId="0" borderId="0" xfId="0" applyNumberFormat="1" applyFont="1" applyFill="1" applyAlignment="1">
      <alignment shrinkToFit="1"/>
    </xf>
    <xf numFmtId="0" fontId="49" fillId="0" borderId="0" xfId="0" applyFont="1" applyFill="1" applyBorder="1" applyProtection="1">
      <protection locked="0"/>
    </xf>
    <xf numFmtId="0" fontId="49" fillId="0" borderId="0" xfId="0" applyFont="1" applyFill="1" applyBorder="1" applyAlignment="1" applyProtection="1">
      <alignment shrinkToFit="1"/>
      <protection locked="0"/>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shrinkToFit="1"/>
      <protection locked="0"/>
    </xf>
    <xf numFmtId="0" fontId="49" fillId="0" borderId="0" xfId="0" applyFont="1" applyFill="1" applyBorder="1" applyAlignment="1" applyProtection="1">
      <alignment vertical="center" shrinkToFit="1"/>
      <protection locked="0"/>
    </xf>
    <xf numFmtId="0" fontId="49" fillId="0" borderId="0" xfId="0" applyFont="1" applyFill="1" applyBorder="1" applyAlignment="1" applyProtection="1">
      <alignment vertical="center"/>
      <protection locked="0"/>
    </xf>
    <xf numFmtId="0" fontId="49" fillId="21" borderId="0" xfId="0" applyFont="1" applyFill="1" applyBorder="1" applyAlignment="1" applyProtection="1">
      <alignment vertical="center"/>
      <protection locked="0"/>
    </xf>
    <xf numFmtId="0" fontId="49" fillId="0" borderId="0" xfId="0" applyFont="1" applyProtection="1">
      <protection locked="0"/>
    </xf>
    <xf numFmtId="1" fontId="49" fillId="0" borderId="0" xfId="0" applyNumberFormat="1" applyFont="1" applyFill="1" applyBorder="1" applyAlignment="1" applyProtection="1">
      <alignment vertical="center"/>
      <protection locked="0"/>
    </xf>
    <xf numFmtId="1" fontId="55" fillId="0" borderId="0" xfId="46" applyNumberFormat="1" applyFont="1" applyFill="1" applyBorder="1" applyAlignment="1" applyProtection="1">
      <alignment horizontal="left" vertical="center"/>
      <protection locked="0"/>
    </xf>
    <xf numFmtId="0" fontId="55" fillId="0" borderId="0" xfId="0" applyFont="1"/>
    <xf numFmtId="0" fontId="56" fillId="0" borderId="0" xfId="0" applyFont="1"/>
    <xf numFmtId="0" fontId="55" fillId="0" borderId="0" xfId="0" quotePrefix="1" applyFont="1"/>
    <xf numFmtId="0" fontId="49" fillId="0" borderId="0" xfId="0" applyFont="1" applyAlignment="1">
      <alignment horizontal="center"/>
    </xf>
    <xf numFmtId="0" fontId="49" fillId="0" borderId="0" xfId="0" quotePrefix="1" applyFont="1"/>
    <xf numFmtId="0" fontId="49" fillId="0" borderId="0" xfId="0" applyFont="1" applyAlignment="1">
      <alignment horizontal="left"/>
    </xf>
    <xf numFmtId="0" fontId="58" fillId="0" borderId="0" xfId="0" quotePrefix="1" applyFont="1"/>
    <xf numFmtId="0" fontId="58" fillId="0" borderId="0" xfId="0" applyFont="1"/>
    <xf numFmtId="0" fontId="58" fillId="0" borderId="0" xfId="0" quotePrefix="1" applyFont="1" applyAlignment="1">
      <alignment vertical="center"/>
    </xf>
    <xf numFmtId="0" fontId="58" fillId="0" borderId="0" xfId="0" applyFont="1" applyAlignment="1">
      <alignment vertical="center"/>
    </xf>
    <xf numFmtId="0" fontId="58" fillId="0" borderId="0" xfId="0" applyFont="1" applyAlignment="1">
      <alignment horizontal="center"/>
    </xf>
    <xf numFmtId="0" fontId="18" fillId="20" borderId="15" xfId="25" applyNumberFormat="1" applyFont="1" applyFill="1" applyBorder="1" applyAlignment="1" applyProtection="1">
      <alignment horizontal="right"/>
      <protection locked="0"/>
    </xf>
    <xf numFmtId="0" fontId="16" fillId="20" borderId="15" xfId="25" applyFont="1" applyFill="1" applyBorder="1" applyAlignment="1" applyProtection="1">
      <alignment horizontal="left"/>
      <protection locked="0"/>
    </xf>
    <xf numFmtId="1" fontId="49" fillId="0" borderId="20" xfId="0" applyNumberFormat="1" applyFont="1" applyFill="1" applyBorder="1" applyAlignment="1" applyProtection="1">
      <alignment horizontal="right" vertical="center"/>
      <protection locked="0"/>
    </xf>
    <xf numFmtId="1" fontId="49" fillId="0" borderId="20" xfId="46" applyNumberFormat="1" applyFont="1" applyFill="1" applyBorder="1" applyAlignment="1" applyProtection="1">
      <alignment vertical="center"/>
      <protection locked="0"/>
    </xf>
    <xf numFmtId="1" fontId="49" fillId="0" borderId="0" xfId="46" applyNumberFormat="1" applyFont="1" applyFill="1" applyBorder="1" applyAlignment="1" applyProtection="1">
      <alignment vertical="center"/>
      <protection locked="0"/>
    </xf>
    <xf numFmtId="1" fontId="49" fillId="0" borderId="0" xfId="46" applyNumberFormat="1" applyFont="1" applyFill="1" applyBorder="1" applyAlignment="1" applyProtection="1">
      <alignment vertical="center" shrinkToFit="1"/>
      <protection locked="0"/>
    </xf>
    <xf numFmtId="1" fontId="19" fillId="20" borderId="18" xfId="0" applyNumberFormat="1" applyFont="1" applyFill="1" applyBorder="1" applyAlignment="1" applyProtection="1">
      <alignment vertical="center"/>
      <protection locked="0"/>
    </xf>
    <xf numFmtId="1" fontId="19" fillId="0" borderId="20" xfId="0" applyNumberFormat="1" applyFont="1" applyFill="1" applyBorder="1" applyAlignment="1" applyProtection="1">
      <alignment vertical="center"/>
      <protection locked="0"/>
    </xf>
    <xf numFmtId="1" fontId="19" fillId="20" borderId="18" xfId="0" applyNumberFormat="1" applyFont="1" applyFill="1" applyBorder="1" applyAlignment="1" applyProtection="1">
      <alignment vertical="center"/>
    </xf>
    <xf numFmtId="1" fontId="55" fillId="0" borderId="20" xfId="0" applyNumberFormat="1" applyFont="1" applyFill="1" applyBorder="1" applyAlignment="1" applyProtection="1">
      <alignment vertical="center"/>
      <protection locked="0"/>
    </xf>
    <xf numFmtId="0" fontId="49" fillId="0" borderId="0" xfId="0" applyFont="1" applyAlignment="1">
      <alignment vertical="top" wrapText="1"/>
    </xf>
    <xf numFmtId="0" fontId="49" fillId="0" borderId="0" xfId="0" applyFont="1" applyAlignment="1">
      <alignment horizontal="left" vertical="top"/>
    </xf>
    <xf numFmtId="0" fontId="49" fillId="0" borderId="0" xfId="0" applyFont="1" applyFill="1" applyAlignment="1">
      <alignment vertical="top"/>
    </xf>
    <xf numFmtId="14" fontId="49" fillId="0" borderId="25" xfId="0" applyNumberFormat="1" applyFont="1" applyBorder="1" applyAlignment="1">
      <alignment horizontal="left" vertical="top" wrapText="1"/>
    </xf>
    <xf numFmtId="0" fontId="49" fillId="0" borderId="25" xfId="0" applyFont="1" applyBorder="1" applyAlignment="1">
      <alignment vertical="top" wrapText="1"/>
    </xf>
    <xf numFmtId="0" fontId="50" fillId="23" borderId="25" xfId="0" applyFont="1" applyFill="1" applyBorder="1" applyAlignment="1">
      <alignmen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19" fillId="20" borderId="15" xfId="53" applyFont="1" applyFill="1" applyBorder="1" applyAlignment="1" applyProtection="1">
      <alignment vertical="center"/>
      <protection locked="0"/>
    </xf>
    <xf numFmtId="0" fontId="16" fillId="20" borderId="15" xfId="53" applyFont="1" applyFill="1" applyBorder="1" applyAlignment="1" applyProtection="1">
      <alignment vertical="center"/>
      <protection locked="0"/>
    </xf>
    <xf numFmtId="0" fontId="19" fillId="20" borderId="15" xfId="53" applyFont="1" applyFill="1" applyBorder="1" applyAlignment="1" applyProtection="1">
      <alignment vertical="center" shrinkToFit="1"/>
      <protection locked="0"/>
    </xf>
    <xf numFmtId="0" fontId="49" fillId="0" borderId="0" xfId="53" applyFont="1" applyFill="1" applyBorder="1" applyProtection="1">
      <protection locked="0"/>
    </xf>
    <xf numFmtId="0" fontId="49" fillId="0" borderId="0" xfId="53" applyFont="1" applyFill="1" applyBorder="1" applyAlignment="1" applyProtection="1">
      <alignment shrinkToFit="1"/>
      <protection locked="0"/>
    </xf>
    <xf numFmtId="0" fontId="55" fillId="0" borderId="0" xfId="53" applyFont="1" applyFill="1" applyBorder="1" applyAlignment="1" applyProtection="1">
      <alignment vertical="center" shrinkToFit="1"/>
      <protection locked="0"/>
    </xf>
    <xf numFmtId="0" fontId="55" fillId="21" borderId="0" xfId="53" applyFont="1" applyFill="1" applyBorder="1" applyAlignment="1" applyProtection="1">
      <alignment vertical="center"/>
      <protection locked="0"/>
    </xf>
    <xf numFmtId="0" fontId="55" fillId="0" borderId="0" xfId="53" applyFont="1" applyFill="1" applyBorder="1" applyAlignment="1" applyProtection="1">
      <alignment horizontal="center" vertical="center" shrinkToFit="1"/>
      <protection locked="0"/>
    </xf>
    <xf numFmtId="0" fontId="54" fillId="0" borderId="0" xfId="53" applyFont="1" applyProtection="1">
      <protection locked="0"/>
    </xf>
    <xf numFmtId="0" fontId="17" fillId="20" borderId="15" xfId="25" applyFont="1" applyFill="1" applyBorder="1" applyAlignment="1" applyProtection="1">
      <alignment vertical="center" shrinkToFit="1"/>
      <protection locked="0"/>
    </xf>
    <xf numFmtId="166" fontId="14" fillId="20" borderId="19" xfId="25" applyNumberFormat="1" applyFont="1" applyFill="1" applyBorder="1" applyAlignment="1" applyProtection="1">
      <alignment horizontal="right"/>
      <protection locked="0"/>
    </xf>
    <xf numFmtId="0" fontId="49" fillId="0" borderId="0" xfId="53" applyFont="1" applyBorder="1" applyProtection="1">
      <protection locked="0"/>
    </xf>
    <xf numFmtId="0" fontId="49" fillId="0" borderId="0" xfId="53" applyFont="1" applyFill="1" applyBorder="1" applyAlignment="1" applyProtection="1">
      <protection locked="0"/>
    </xf>
    <xf numFmtId="0" fontId="55" fillId="0" borderId="0" xfId="53" applyFont="1" applyBorder="1" applyAlignment="1" applyProtection="1">
      <alignment shrinkToFit="1"/>
      <protection locked="0"/>
    </xf>
    <xf numFmtId="0" fontId="14" fillId="20" borderId="15" xfId="25" applyFont="1" applyFill="1" applyBorder="1" applyProtection="1">
      <protection locked="0"/>
    </xf>
    <xf numFmtId="0" fontId="49" fillId="0" borderId="0" xfId="0" applyFont="1" applyAlignment="1">
      <alignment vertical="top" wrapText="1"/>
    </xf>
    <xf numFmtId="1" fontId="55" fillId="0" borderId="0" xfId="0" applyNumberFormat="1" applyFont="1" applyFill="1" applyBorder="1" applyAlignment="1" applyProtection="1">
      <alignment vertical="center"/>
      <protection locked="0"/>
    </xf>
    <xf numFmtId="168" fontId="49" fillId="21" borderId="0" xfId="46" applyNumberFormat="1" applyFont="1" applyFill="1" applyBorder="1"/>
    <xf numFmtId="168" fontId="49" fillId="21" borderId="0" xfId="46" applyNumberFormat="1" applyFont="1" applyFill="1" applyBorder="1" applyAlignment="1" applyProtection="1">
      <alignment horizontal="right" vertical="center"/>
    </xf>
    <xf numFmtId="2" fontId="49" fillId="21" borderId="0" xfId="46" applyNumberFormat="1" applyFont="1" applyFill="1" applyBorder="1" applyAlignment="1" applyProtection="1">
      <alignment horizontal="right" vertical="center"/>
    </xf>
    <xf numFmtId="0" fontId="12" fillId="24" borderId="0" xfId="53" applyFont="1" applyFill="1" applyBorder="1" applyAlignment="1">
      <alignment vertical="center"/>
    </xf>
    <xf numFmtId="166" fontId="49" fillId="21" borderId="0" xfId="25" applyNumberFormat="1" applyFont="1" applyFill="1" applyBorder="1" applyAlignment="1" applyProtection="1">
      <alignment horizontal="right"/>
    </xf>
    <xf numFmtId="0" fontId="55" fillId="0" borderId="0" xfId="53" applyFont="1" applyFill="1" applyBorder="1" applyAlignment="1" applyProtection="1">
      <alignment vertical="center"/>
      <protection locked="0"/>
    </xf>
    <xf numFmtId="0" fontId="17" fillId="20" borderId="15" xfId="25" applyFont="1" applyFill="1" applyBorder="1" applyAlignment="1" applyProtection="1">
      <alignment vertical="center" shrinkToFit="1"/>
      <protection locked="0"/>
    </xf>
    <xf numFmtId="0" fontId="49" fillId="0" borderId="0" xfId="53" applyFont="1" applyBorder="1" applyAlignment="1" applyProtection="1">
      <alignment shrinkToFit="1"/>
      <protection locked="0"/>
    </xf>
    <xf numFmtId="166" fontId="14" fillId="20" borderId="15" xfId="25" applyNumberFormat="1" applyFont="1" applyFill="1" applyBorder="1" applyAlignment="1" applyProtection="1">
      <alignment horizontal="right"/>
      <protection locked="0"/>
    </xf>
    <xf numFmtId="168" fontId="49" fillId="0" borderId="0" xfId="46" applyNumberFormat="1" applyFont="1" applyFill="1" applyBorder="1"/>
    <xf numFmtId="0" fontId="0" fillId="0" borderId="0" xfId="0" applyFill="1" applyBorder="1"/>
    <xf numFmtId="1" fontId="13" fillId="21" borderId="0" xfId="0" applyNumberFormat="1" applyFont="1" applyFill="1" applyAlignment="1">
      <alignment horizontal="right" vertical="center"/>
    </xf>
    <xf numFmtId="0" fontId="46" fillId="21" borderId="0" xfId="0" applyFont="1" applyFill="1"/>
    <xf numFmtId="10" fontId="49" fillId="21" borderId="0" xfId="46" applyNumberFormat="1" applyFont="1" applyFill="1" applyBorder="1" applyProtection="1">
      <protection locked="0"/>
    </xf>
    <xf numFmtId="2" fontId="49" fillId="0" borderId="0" xfId="46" applyNumberFormat="1" applyFont="1" applyFill="1" applyBorder="1" applyAlignment="1" applyProtection="1">
      <alignment horizontal="right" vertical="center"/>
    </xf>
    <xf numFmtId="10" fontId="49" fillId="0" borderId="0" xfId="46" applyNumberFormat="1" applyFont="1" applyFill="1" applyBorder="1" applyAlignment="1" applyProtection="1">
      <alignment horizontal="right" vertical="center"/>
    </xf>
    <xf numFmtId="168" fontId="49" fillId="0" borderId="0" xfId="46" applyNumberFormat="1" applyFont="1" applyFill="1" applyBorder="1" applyAlignment="1" applyProtection="1">
      <alignment horizontal="right" vertical="center"/>
    </xf>
    <xf numFmtId="0" fontId="49" fillId="0" borderId="0" xfId="46" applyNumberFormat="1" applyFont="1" applyFill="1" applyBorder="1" applyAlignment="1" applyProtection="1">
      <alignment horizontal="right" vertical="center"/>
    </xf>
    <xf numFmtId="166" fontId="49" fillId="0" borderId="0" xfId="25" applyNumberFormat="1" applyFont="1" applyFill="1" applyBorder="1" applyAlignment="1" applyProtection="1">
      <alignment horizontal="right"/>
    </xf>
    <xf numFmtId="0" fontId="49" fillId="21" borderId="0" xfId="0" applyFont="1" applyFill="1" applyAlignment="1" applyProtection="1">
      <alignment horizontal="right"/>
      <protection locked="0"/>
    </xf>
    <xf numFmtId="0" fontId="49" fillId="21" borderId="0" xfId="0" applyFont="1" applyFill="1" applyProtection="1">
      <protection locked="0"/>
    </xf>
    <xf numFmtId="1" fontId="49" fillId="21" borderId="0" xfId="46" applyNumberFormat="1" applyFont="1" applyFill="1" applyAlignment="1" applyProtection="1">
      <alignment vertical="center"/>
      <protection locked="0"/>
    </xf>
    <xf numFmtId="1" fontId="54" fillId="21" borderId="0" xfId="46" applyNumberFormat="1" applyFont="1" applyFill="1" applyBorder="1" applyAlignment="1" applyProtection="1">
      <alignment vertical="center"/>
      <protection locked="0"/>
    </xf>
    <xf numFmtId="0" fontId="12" fillId="21" borderId="0" xfId="0" applyFont="1" applyFill="1" applyBorder="1" applyAlignment="1" applyProtection="1">
      <alignment vertical="center"/>
      <protection locked="0"/>
    </xf>
    <xf numFmtId="0" fontId="49" fillId="21" borderId="0" xfId="53" applyFont="1" applyFill="1" applyProtection="1">
      <protection locked="0"/>
    </xf>
    <xf numFmtId="1" fontId="49" fillId="0" borderId="27" xfId="46" applyNumberFormat="1" applyFont="1" applyFill="1" applyBorder="1" applyAlignment="1" applyProtection="1">
      <alignment vertical="center"/>
      <protection locked="0"/>
    </xf>
    <xf numFmtId="0" fontId="19" fillId="0" borderId="27" xfId="0" applyFont="1" applyFill="1" applyBorder="1" applyAlignment="1" applyProtection="1">
      <alignment vertical="center"/>
      <protection locked="0"/>
    </xf>
    <xf numFmtId="0" fontId="49" fillId="21" borderId="26" xfId="0" applyFont="1" applyFill="1" applyBorder="1" applyAlignment="1" applyProtection="1">
      <alignment horizontal="right"/>
      <protection locked="0"/>
    </xf>
    <xf numFmtId="0" fontId="49" fillId="21" borderId="26" xfId="0" applyFont="1" applyFill="1" applyBorder="1" applyProtection="1">
      <protection locked="0"/>
    </xf>
    <xf numFmtId="0" fontId="49" fillId="21" borderId="0" xfId="53" applyFont="1" applyFill="1" applyBorder="1" applyProtection="1">
      <protection locked="0"/>
    </xf>
    <xf numFmtId="0" fontId="49" fillId="21" borderId="0" xfId="0" applyFont="1" applyFill="1" applyBorder="1" applyProtection="1">
      <protection locked="0"/>
    </xf>
    <xf numFmtId="10" fontId="49" fillId="0" borderId="0" xfId="25" applyNumberFormat="1" applyFont="1" applyFill="1" applyBorder="1" applyAlignment="1" applyProtection="1">
      <alignment horizontal="right"/>
    </xf>
    <xf numFmtId="0" fontId="49" fillId="0" borderId="0" xfId="0" applyFont="1" applyAlignment="1">
      <alignment vertical="top" wrapText="1"/>
    </xf>
    <xf numFmtId="0" fontId="0" fillId="0" borderId="22" xfId="0" applyBorder="1" applyProtection="1">
      <protection locked="0"/>
    </xf>
    <xf numFmtId="0" fontId="0" fillId="0" borderId="22" xfId="0" applyBorder="1" applyAlignment="1" applyProtection="1">
      <protection locked="0"/>
    </xf>
    <xf numFmtId="0" fontId="0" fillId="0" borderId="22" xfId="0" applyBorder="1" applyAlignment="1" applyProtection="1">
      <alignment shrinkToFit="1"/>
      <protection locked="0"/>
    </xf>
    <xf numFmtId="0" fontId="0" fillId="0" borderId="23" xfId="0" applyBorder="1" applyProtection="1">
      <protection locked="0"/>
    </xf>
    <xf numFmtId="0" fontId="49" fillId="0" borderId="0" xfId="0" applyFont="1" applyAlignment="1">
      <alignment vertical="top"/>
    </xf>
    <xf numFmtId="0" fontId="49" fillId="21" borderId="22" xfId="53" applyFont="1" applyFill="1" applyBorder="1" applyProtection="1">
      <protection locked="0"/>
    </xf>
    <xf numFmtId="0" fontId="49" fillId="21" borderId="22" xfId="0" applyFont="1" applyFill="1" applyBorder="1" applyProtection="1">
      <protection locked="0"/>
    </xf>
    <xf numFmtId="0" fontId="55" fillId="0" borderId="0" xfId="53" applyFont="1" applyFill="1" applyBorder="1" applyAlignment="1" applyProtection="1">
      <alignment vertical="center"/>
      <protection locked="0"/>
    </xf>
    <xf numFmtId="168" fontId="49" fillId="0" borderId="0" xfId="46" applyNumberFormat="1" applyFont="1" applyFill="1" applyBorder="1"/>
    <xf numFmtId="10" fontId="49" fillId="0" borderId="0" xfId="46" applyNumberFormat="1" applyFont="1" applyFill="1" applyBorder="1" applyAlignment="1" applyProtection="1">
      <alignment horizontal="right" vertical="center"/>
    </xf>
    <xf numFmtId="10" fontId="49" fillId="21" borderId="0" xfId="46" applyNumberFormat="1" applyFont="1" applyFill="1" applyBorder="1" applyProtection="1">
      <protection locked="0"/>
    </xf>
    <xf numFmtId="10" fontId="49" fillId="0" borderId="0" xfId="46" applyNumberFormat="1" applyFont="1" applyFill="1" applyBorder="1" applyAlignment="1" applyProtection="1">
      <alignment horizontal="right" vertical="center"/>
    </xf>
    <xf numFmtId="168" fontId="49" fillId="21" borderId="0" xfId="46" applyNumberFormat="1" applyFont="1" applyFill="1" applyBorder="1" applyAlignment="1" applyProtection="1">
      <alignment horizontal="right" vertical="center"/>
    </xf>
    <xf numFmtId="166" fontId="49" fillId="21" borderId="0" xfId="25" applyNumberFormat="1" applyFont="1" applyFill="1" applyBorder="1" applyAlignment="1" applyProtection="1">
      <alignment horizontal="right"/>
    </xf>
    <xf numFmtId="2" fontId="49" fillId="0" borderId="0" xfId="46" applyNumberFormat="1" applyFont="1" applyFill="1" applyBorder="1" applyAlignment="1" applyProtection="1">
      <alignment horizontal="right" vertical="center"/>
    </xf>
    <xf numFmtId="10" fontId="49" fillId="0" borderId="0" xfId="46" applyNumberFormat="1" applyFont="1" applyFill="1" applyBorder="1" applyAlignment="1" applyProtection="1">
      <alignment horizontal="right" vertical="center"/>
    </xf>
    <xf numFmtId="0" fontId="49" fillId="21" borderId="20" xfId="0" applyFont="1" applyFill="1" applyBorder="1" applyProtection="1">
      <protection locked="0"/>
    </xf>
    <xf numFmtId="2" fontId="49" fillId="0" borderId="0" xfId="46" applyNumberFormat="1" applyFont="1" applyFill="1" applyBorder="1"/>
    <xf numFmtId="2" fontId="49" fillId="21" borderId="0" xfId="46" applyNumberFormat="1" applyFont="1" applyFill="1" applyBorder="1" applyAlignment="1" applyProtection="1">
      <alignment horizontal="right" vertical="center"/>
    </xf>
    <xf numFmtId="168" fontId="49" fillId="0" borderId="0" xfId="46" applyNumberFormat="1" applyFont="1" applyFill="1" applyBorder="1"/>
    <xf numFmtId="10" fontId="49" fillId="0" borderId="0" xfId="46" applyNumberFormat="1" applyFont="1" applyFill="1" applyBorder="1" applyAlignment="1" applyProtection="1">
      <alignment horizontal="right" vertical="center"/>
    </xf>
    <xf numFmtId="166" fontId="49" fillId="21" borderId="0" xfId="25" applyNumberFormat="1" applyFont="1" applyFill="1" applyBorder="1" applyAlignment="1" applyProtection="1">
      <alignment horizontal="right"/>
    </xf>
    <xf numFmtId="0" fontId="55" fillId="0" borderId="0" xfId="0" applyFont="1" applyAlignment="1">
      <alignment horizontal="center"/>
    </xf>
    <xf numFmtId="0" fontId="67" fillId="0" borderId="0" xfId="57" applyFont="1"/>
    <xf numFmtId="0" fontId="49" fillId="0" borderId="0" xfId="53" applyFont="1" applyFill="1" applyBorder="1" applyProtection="1">
      <protection locked="0"/>
    </xf>
    <xf numFmtId="0" fontId="49" fillId="0" borderId="0" xfId="53" applyFont="1" applyFill="1" applyBorder="1" applyAlignment="1" applyProtection="1">
      <alignment vertical="center" shrinkToFit="1"/>
      <protection locked="0"/>
    </xf>
    <xf numFmtId="0" fontId="49" fillId="0" borderId="0" xfId="53" quotePrefix="1" applyFont="1" applyFill="1" applyBorder="1" applyAlignment="1" applyProtection="1">
      <alignment vertical="center" shrinkToFit="1"/>
      <protection locked="0"/>
    </xf>
    <xf numFmtId="0" fontId="68" fillId="20" borderId="15" xfId="25" applyFont="1" applyFill="1" applyBorder="1" applyAlignment="1" applyProtection="1">
      <alignment vertical="center" shrinkToFit="1"/>
      <protection locked="0"/>
    </xf>
    <xf numFmtId="2" fontId="49" fillId="0" borderId="0" xfId="0" applyNumberFormat="1" applyFont="1" applyFill="1" applyProtection="1">
      <protection locked="0"/>
    </xf>
    <xf numFmtId="0" fontId="70" fillId="20" borderId="15" xfId="0" applyFont="1" applyFill="1" applyBorder="1" applyAlignment="1" applyProtection="1">
      <alignment vertical="center"/>
      <protection locked="0"/>
    </xf>
    <xf numFmtId="10" fontId="70" fillId="21" borderId="0" xfId="46" applyNumberFormat="1" applyFont="1" applyFill="1" applyBorder="1" applyProtection="1">
      <protection locked="0"/>
    </xf>
    <xf numFmtId="0" fontId="50" fillId="20" borderId="15" xfId="0" applyFont="1" applyFill="1" applyBorder="1" applyAlignment="1" applyProtection="1">
      <alignment horizontal="center" vertical="center"/>
      <protection locked="0"/>
    </xf>
    <xf numFmtId="2" fontId="12" fillId="21" borderId="0" xfId="46" applyNumberFormat="1" applyFont="1" applyFill="1" applyBorder="1" applyAlignment="1" applyProtection="1">
      <alignment horizontal="right" vertical="center"/>
    </xf>
    <xf numFmtId="168" fontId="12" fillId="21" borderId="0" xfId="46" applyNumberFormat="1" applyFont="1" applyFill="1" applyBorder="1" applyAlignment="1" applyProtection="1">
      <alignment horizontal="right" vertical="center"/>
    </xf>
    <xf numFmtId="168" fontId="12" fillId="21" borderId="0" xfId="46" applyNumberFormat="1" applyFont="1" applyFill="1" applyBorder="1" applyProtection="1">
      <protection locked="0"/>
    </xf>
    <xf numFmtId="10" fontId="49" fillId="0" borderId="0" xfId="46" applyNumberFormat="1" applyFont="1" applyFill="1" applyBorder="1" applyAlignment="1" applyProtection="1">
      <alignment vertical="center"/>
    </xf>
    <xf numFmtId="2" fontId="12" fillId="21" borderId="0" xfId="46" applyNumberFormat="1" applyFont="1" applyFill="1" applyBorder="1" applyProtection="1">
      <protection locked="0"/>
    </xf>
    <xf numFmtId="0" fontId="12" fillId="20" borderId="15" xfId="0" applyFont="1" applyFill="1" applyBorder="1" applyAlignment="1" applyProtection="1">
      <alignment vertical="center"/>
    </xf>
    <xf numFmtId="0" fontId="12" fillId="0" borderId="0" xfId="0" applyFont="1" applyFill="1" applyBorder="1" applyAlignment="1" applyProtection="1">
      <alignment vertical="center" shrinkToFit="1"/>
      <protection locked="0"/>
    </xf>
    <xf numFmtId="0" fontId="71" fillId="0" borderId="0" xfId="0" applyFont="1" applyBorder="1"/>
    <xf numFmtId="1" fontId="52" fillId="0" borderId="0" xfId="43" applyNumberFormat="1" applyFont="1" applyFill="1" applyBorder="1" applyAlignment="1" applyProtection="1">
      <alignment horizontal="right"/>
      <protection locked="0"/>
    </xf>
    <xf numFmtId="1" fontId="55" fillId="0" borderId="0" xfId="43" applyNumberFormat="1" applyFont="1" applyFill="1" applyBorder="1" applyAlignment="1" applyProtection="1">
      <alignment horizontal="right"/>
      <protection locked="0"/>
    </xf>
    <xf numFmtId="1" fontId="53" fillId="0" borderId="0" xfId="43" applyNumberFormat="1" applyFont="1" applyFill="1" applyBorder="1" applyAlignment="1" applyProtection="1">
      <alignment horizontal="right" shrinkToFit="1"/>
      <protection locked="0"/>
    </xf>
    <xf numFmtId="1" fontId="49" fillId="0" borderId="0" xfId="0" applyNumberFormat="1" applyFont="1" applyFill="1" applyBorder="1" applyAlignment="1" applyProtection="1">
      <alignment horizontal="right"/>
      <protection locked="0"/>
    </xf>
    <xf numFmtId="1" fontId="49" fillId="0" borderId="29" xfId="0" applyNumberFormat="1" applyFont="1" applyFill="1" applyBorder="1" applyAlignment="1" applyProtection="1">
      <alignment horizontal="right"/>
      <protection locked="0"/>
    </xf>
    <xf numFmtId="1" fontId="49" fillId="21" borderId="0" xfId="0" applyNumberFormat="1" applyFont="1" applyFill="1" applyBorder="1" applyAlignment="1" applyProtection="1">
      <alignment horizontal="right"/>
      <protection locked="0"/>
    </xf>
    <xf numFmtId="166" fontId="49" fillId="0" borderId="30" xfId="25" applyNumberFormat="1" applyFont="1" applyFill="1" applyBorder="1" applyAlignment="1" applyProtection="1">
      <alignment horizontal="right"/>
    </xf>
    <xf numFmtId="0" fontId="19" fillId="20" borderId="15" xfId="0" applyFont="1" applyFill="1" applyBorder="1" applyAlignment="1" applyProtection="1">
      <alignment vertical="center" wrapText="1"/>
    </xf>
    <xf numFmtId="0" fontId="19" fillId="20" borderId="15" xfId="0" applyFont="1" applyFill="1" applyBorder="1" applyAlignment="1" applyProtection="1">
      <alignment vertical="center" wrapText="1" shrinkToFit="1"/>
    </xf>
    <xf numFmtId="0" fontId="47" fillId="25" borderId="20" xfId="56" applyFont="1" applyFill="1" applyBorder="1" applyAlignment="1">
      <alignment horizontal="left" vertical="top"/>
    </xf>
    <xf numFmtId="0" fontId="61" fillId="25" borderId="0" xfId="56" applyFont="1" applyFill="1" applyBorder="1" applyAlignment="1">
      <alignment horizontal="center" vertical="top"/>
    </xf>
    <xf numFmtId="0" fontId="47" fillId="25" borderId="0" xfId="56" applyFont="1" applyFill="1" applyBorder="1" applyAlignment="1">
      <alignment horizontal="left" vertical="top"/>
    </xf>
    <xf numFmtId="0" fontId="20" fillId="25" borderId="20" xfId="56" applyFont="1" applyFill="1" applyBorder="1" applyAlignment="1">
      <alignment horizontal="left" vertical="top"/>
    </xf>
    <xf numFmtId="0" fontId="20" fillId="25" borderId="0" xfId="56" applyFont="1" applyFill="1" applyBorder="1" applyAlignment="1">
      <alignment horizontal="center" vertical="top"/>
    </xf>
    <xf numFmtId="0" fontId="20" fillId="25" borderId="0" xfId="56" applyFont="1" applyFill="1" applyBorder="1" applyAlignment="1">
      <alignment horizontal="left" vertical="top"/>
    </xf>
    <xf numFmtId="0" fontId="12" fillId="25" borderId="0" xfId="56" applyFont="1" applyFill="1" applyBorder="1" applyAlignment="1"/>
    <xf numFmtId="0" fontId="20" fillId="25" borderId="30" xfId="56" applyFont="1" applyFill="1" applyBorder="1" applyAlignment="1">
      <alignment horizontal="center" vertical="top"/>
    </xf>
    <xf numFmtId="0" fontId="12" fillId="25" borderId="20" xfId="56" applyFont="1" applyFill="1" applyBorder="1" applyAlignment="1">
      <alignment horizontal="left" vertical="top"/>
    </xf>
    <xf numFmtId="0" fontId="61" fillId="25" borderId="21" xfId="56" applyFont="1" applyFill="1" applyBorder="1" applyAlignment="1">
      <alignment horizontal="center" vertical="top"/>
    </xf>
    <xf numFmtId="0" fontId="61" fillId="25" borderId="22" xfId="56" applyFont="1" applyFill="1" applyBorder="1" applyAlignment="1">
      <alignment horizontal="center" vertical="top"/>
    </xf>
    <xf numFmtId="0" fontId="61" fillId="25" borderId="23" xfId="56" applyFont="1" applyFill="1" applyBorder="1" applyAlignment="1">
      <alignment horizontal="center" vertical="top"/>
    </xf>
    <xf numFmtId="0" fontId="63" fillId="26" borderId="18" xfId="56" applyFont="1" applyFill="1" applyBorder="1" applyAlignment="1">
      <alignment horizontal="left" vertical="top"/>
    </xf>
    <xf numFmtId="0" fontId="59" fillId="26" borderId="15" xfId="56" applyFont="1" applyFill="1" applyBorder="1" applyAlignment="1">
      <alignment horizontal="center" vertical="top"/>
    </xf>
    <xf numFmtId="0" fontId="59" fillId="26" borderId="19" xfId="56" applyFont="1" applyFill="1" applyBorder="1" applyAlignment="1">
      <alignment horizontal="center" vertical="top"/>
    </xf>
    <xf numFmtId="0" fontId="60" fillId="26" borderId="20" xfId="56" applyFont="1" applyFill="1" applyBorder="1" applyAlignment="1">
      <alignment horizontal="center" vertical="top"/>
    </xf>
    <xf numFmtId="0" fontId="59" fillId="26" borderId="0" xfId="56" applyFont="1" applyFill="1" applyBorder="1" applyAlignment="1">
      <alignment horizontal="center" vertical="top"/>
    </xf>
    <xf numFmtId="0" fontId="59" fillId="26" borderId="30" xfId="56" applyFont="1" applyFill="1" applyBorder="1" applyAlignment="1">
      <alignment horizontal="center" vertical="top"/>
    </xf>
    <xf numFmtId="0" fontId="59" fillId="26" borderId="20" xfId="56" applyFont="1" applyFill="1" applyBorder="1" applyAlignment="1">
      <alignment horizontal="center" vertical="top"/>
    </xf>
    <xf numFmtId="0" fontId="49" fillId="20" borderId="0" xfId="0" applyFont="1" applyFill="1" applyProtection="1">
      <protection locked="0"/>
    </xf>
    <xf numFmtId="0" fontId="49" fillId="20" borderId="0" xfId="0" applyFont="1" applyFill="1" applyBorder="1"/>
    <xf numFmtId="10" fontId="49" fillId="20" borderId="0" xfId="0" applyNumberFormat="1" applyFont="1" applyFill="1" applyAlignment="1">
      <alignment shrinkToFit="1"/>
    </xf>
    <xf numFmtId="10" fontId="49" fillId="20" borderId="0" xfId="46" applyNumberFormat="1" applyFont="1" applyFill="1" applyBorder="1" applyAlignment="1" applyProtection="1">
      <alignment horizontal="right" vertical="center"/>
    </xf>
    <xf numFmtId="10" fontId="49" fillId="20" borderId="0" xfId="46" applyNumberFormat="1" applyFont="1" applyFill="1" applyBorder="1" applyProtection="1">
      <protection locked="0"/>
    </xf>
    <xf numFmtId="0" fontId="50" fillId="20" borderId="0" xfId="0" applyFont="1" applyFill="1" applyBorder="1" applyAlignment="1">
      <alignment wrapText="1" shrinkToFit="1"/>
    </xf>
    <xf numFmtId="1" fontId="49" fillId="0" borderId="0" xfId="46" applyNumberFormat="1" applyFont="1" applyFill="1" applyBorder="1" applyAlignment="1" applyProtection="1">
      <alignment horizontal="right" vertical="center"/>
    </xf>
    <xf numFmtId="0" fontId="49" fillId="0" borderId="30" xfId="53" applyFont="1" applyFill="1" applyBorder="1" applyProtection="1">
      <protection locked="0"/>
    </xf>
    <xf numFmtId="0" fontId="19" fillId="0" borderId="30" xfId="0" applyFont="1" applyFill="1" applyBorder="1" applyAlignment="1" applyProtection="1">
      <alignment vertical="center"/>
      <protection locked="0"/>
    </xf>
    <xf numFmtId="0" fontId="55" fillId="0" borderId="30" xfId="53" applyFont="1" applyFill="1" applyBorder="1" applyAlignment="1" applyProtection="1">
      <alignment vertical="center"/>
      <protection locked="0"/>
    </xf>
    <xf numFmtId="10" fontId="49" fillId="0" borderId="30" xfId="25" applyNumberFormat="1" applyFont="1" applyFill="1" applyBorder="1" applyAlignment="1" applyProtection="1">
      <alignment horizontal="right"/>
    </xf>
    <xf numFmtId="169" fontId="49" fillId="21" borderId="0" xfId="25" applyNumberFormat="1" applyFont="1" applyFill="1" applyBorder="1" applyAlignment="1" applyProtection="1">
      <alignment horizontal="right"/>
    </xf>
    <xf numFmtId="168" fontId="49" fillId="21" borderId="0" xfId="25" applyNumberFormat="1" applyFont="1" applyFill="1" applyBorder="1" applyAlignment="1" applyProtection="1">
      <alignment horizontal="right"/>
    </xf>
    <xf numFmtId="169" fontId="49" fillId="21" borderId="0" xfId="46" applyNumberFormat="1" applyFont="1" applyFill="1" applyBorder="1" applyProtection="1">
      <protection locked="0"/>
    </xf>
    <xf numFmtId="2" fontId="49" fillId="0" borderId="0" xfId="46" applyNumberFormat="1" applyFont="1" applyFill="1" applyBorder="1" applyAlignment="1" applyProtection="1">
      <alignment horizontal="right" vertical="center"/>
    </xf>
    <xf numFmtId="10" fontId="49" fillId="0" borderId="0" xfId="46" applyNumberFormat="1" applyFont="1" applyFill="1" applyBorder="1" applyAlignment="1" applyProtection="1">
      <alignment horizontal="right" vertical="center"/>
    </xf>
    <xf numFmtId="0" fontId="49" fillId="0" borderId="0" xfId="46" applyNumberFormat="1" applyFont="1" applyFill="1" applyBorder="1" applyAlignment="1" applyProtection="1">
      <alignment horizontal="right" vertical="center"/>
    </xf>
    <xf numFmtId="10" fontId="49" fillId="27" borderId="0" xfId="25" applyNumberFormat="1" applyFont="1" applyFill="1" applyBorder="1" applyAlignment="1" applyProtection="1">
      <alignment horizontal="right"/>
    </xf>
    <xf numFmtId="10" fontId="12" fillId="21" borderId="0" xfId="46" applyNumberFormat="1" applyFont="1" applyFill="1" applyBorder="1" applyAlignment="1" applyProtection="1">
      <alignment horizontal="right" vertical="center"/>
    </xf>
    <xf numFmtId="0" fontId="50" fillId="20" borderId="15" xfId="53" applyFont="1" applyFill="1" applyBorder="1" applyAlignment="1" applyProtection="1">
      <alignment vertical="center"/>
    </xf>
    <xf numFmtId="0" fontId="49" fillId="0" borderId="0" xfId="0" applyFont="1" applyFill="1" applyAlignment="1">
      <alignment horizontal="left" vertical="top" wrapText="1"/>
    </xf>
    <xf numFmtId="0" fontId="49" fillId="0" borderId="0" xfId="0" applyFont="1" applyFill="1" applyAlignment="1">
      <alignment horizontal="left" vertical="top"/>
    </xf>
    <xf numFmtId="0" fontId="49" fillId="0" borderId="0" xfId="0" applyFont="1" applyFill="1" applyAlignment="1">
      <alignment vertical="top" wrapText="1"/>
    </xf>
    <xf numFmtId="0" fontId="57" fillId="0" borderId="0" xfId="57" applyFill="1"/>
    <xf numFmtId="0" fontId="55" fillId="0" borderId="0" xfId="0" applyFont="1" applyFill="1" applyAlignment="1">
      <alignment horizontal="center"/>
    </xf>
    <xf numFmtId="0" fontId="55" fillId="0" borderId="0" xfId="0" applyFont="1" applyFill="1" applyAlignment="1"/>
    <xf numFmtId="0" fontId="58" fillId="0" borderId="0" xfId="0" applyFont="1" applyFill="1" applyBorder="1" applyAlignment="1">
      <alignment vertical="center"/>
    </xf>
    <xf numFmtId="0" fontId="47" fillId="0" borderId="0" xfId="0" applyFont="1" applyFill="1" applyBorder="1" applyAlignment="1">
      <alignment vertical="center" wrapText="1"/>
    </xf>
    <xf numFmtId="2" fontId="49" fillId="21" borderId="0" xfId="25" applyNumberFormat="1" applyFont="1" applyFill="1" applyBorder="1" applyAlignment="1" applyProtection="1">
      <alignment horizontal="right"/>
    </xf>
    <xf numFmtId="2" fontId="49" fillId="21" borderId="0" xfId="46" applyNumberFormat="1" applyFont="1" applyFill="1" applyBorder="1" applyProtection="1">
      <protection locked="0"/>
    </xf>
    <xf numFmtId="169" fontId="0" fillId="0" borderId="0" xfId="0" applyNumberFormat="1"/>
    <xf numFmtId="166" fontId="49" fillId="21" borderId="30" xfId="25" applyNumberFormat="1" applyFont="1" applyFill="1" applyBorder="1" applyAlignment="1" applyProtection="1">
      <alignment horizontal="right"/>
    </xf>
    <xf numFmtId="166" fontId="49" fillId="0" borderId="0" xfId="0" applyNumberFormat="1" applyFont="1" applyFill="1" applyProtection="1">
      <protection locked="0"/>
    </xf>
    <xf numFmtId="0" fontId="49" fillId="0" borderId="0" xfId="0" applyFont="1" applyAlignment="1" applyProtection="1">
      <alignment shrinkToFit="1"/>
      <protection locked="0"/>
    </xf>
    <xf numFmtId="0" fontId="12" fillId="0" borderId="0" xfId="0" applyFont="1"/>
    <xf numFmtId="0" fontId="12" fillId="21" borderId="20" xfId="56" applyFont="1" applyFill="1" applyBorder="1" applyAlignment="1"/>
    <xf numFmtId="0" fontId="12" fillId="21" borderId="0" xfId="56" applyFont="1" applyFill="1" applyBorder="1" applyAlignment="1"/>
    <xf numFmtId="0" fontId="12" fillId="21" borderId="30" xfId="56" applyFont="1" applyFill="1" applyBorder="1" applyAlignment="1"/>
    <xf numFmtId="0" fontId="12" fillId="21" borderId="21" xfId="56" applyFont="1" applyFill="1" applyBorder="1" applyAlignment="1"/>
    <xf numFmtId="0" fontId="12" fillId="21" borderId="22" xfId="56" applyFont="1" applyFill="1" applyBorder="1" applyAlignment="1"/>
    <xf numFmtId="0" fontId="12" fillId="21" borderId="23" xfId="56" applyFont="1" applyFill="1" applyBorder="1" applyAlignment="1"/>
    <xf numFmtId="0" fontId="0" fillId="0" borderId="22" xfId="0" applyFill="1" applyBorder="1" applyProtection="1">
      <protection locked="0"/>
    </xf>
    <xf numFmtId="0" fontId="0" fillId="0" borderId="23" xfId="0" applyFill="1" applyBorder="1" applyProtection="1">
      <protection locked="0"/>
    </xf>
    <xf numFmtId="166" fontId="49" fillId="0" borderId="0" xfId="25" applyNumberFormat="1" applyFont="1" applyFill="1" applyBorder="1" applyAlignment="1" applyProtection="1">
      <alignment horizontal="left"/>
    </xf>
    <xf numFmtId="0" fontId="12" fillId="25" borderId="0" xfId="56" applyFont="1" applyFill="1" applyBorder="1" applyAlignment="1">
      <alignment horizontal="left" vertical="top"/>
    </xf>
    <xf numFmtId="0" fontId="47" fillId="28" borderId="19" xfId="56" applyFont="1" applyFill="1" applyBorder="1" applyAlignment="1">
      <alignment horizontal="left" vertical="top"/>
    </xf>
    <xf numFmtId="0" fontId="61" fillId="28" borderId="30" xfId="56" applyFont="1" applyFill="1" applyBorder="1" applyAlignment="1">
      <alignment horizontal="center" vertical="top"/>
    </xf>
    <xf numFmtId="0" fontId="12" fillId="28" borderId="30" xfId="56" applyFont="1" applyFill="1" applyBorder="1" applyAlignment="1"/>
    <xf numFmtId="0" fontId="20" fillId="28" borderId="30" xfId="56" applyFont="1" applyFill="1" applyBorder="1" applyAlignment="1">
      <alignment horizontal="center" vertical="top"/>
    </xf>
    <xf numFmtId="0" fontId="12" fillId="21" borderId="15" xfId="56" applyFont="1" applyFill="1" applyBorder="1" applyAlignment="1"/>
    <xf numFmtId="169" fontId="49" fillId="21" borderId="20" xfId="0" applyNumberFormat="1" applyFont="1" applyFill="1" applyBorder="1" applyProtection="1"/>
    <xf numFmtId="169" fontId="49" fillId="21" borderId="0" xfId="0" applyNumberFormat="1" applyFont="1" applyFill="1" applyBorder="1" applyProtection="1"/>
    <xf numFmtId="169" fontId="49" fillId="21" borderId="30" xfId="0" applyNumberFormat="1" applyFont="1" applyFill="1" applyBorder="1" applyProtection="1"/>
    <xf numFmtId="169" fontId="49" fillId="21" borderId="0" xfId="0" applyNumberFormat="1" applyFont="1" applyFill="1" applyProtection="1"/>
    <xf numFmtId="169" fontId="49" fillId="21" borderId="28" xfId="0" applyNumberFormat="1" applyFont="1" applyFill="1" applyBorder="1" applyProtection="1"/>
    <xf numFmtId="169" fontId="49" fillId="21" borderId="29" xfId="0" applyNumberFormat="1" applyFont="1" applyFill="1" applyBorder="1" applyProtection="1"/>
    <xf numFmtId="0" fontId="65" fillId="70" borderId="0" xfId="185" applyFill="1"/>
    <xf numFmtId="0" fontId="116" fillId="70" borderId="30" xfId="185" applyFont="1" applyFill="1" applyBorder="1"/>
    <xf numFmtId="0" fontId="116" fillId="70" borderId="0" xfId="185" applyFont="1" applyFill="1" applyBorder="1"/>
    <xf numFmtId="0" fontId="117" fillId="70" borderId="30" xfId="185" applyFont="1" applyFill="1" applyBorder="1"/>
    <xf numFmtId="0" fontId="65" fillId="20" borderId="0" xfId="185" applyFill="1"/>
    <xf numFmtId="0" fontId="116" fillId="20" borderId="30" xfId="185" applyFont="1" applyFill="1" applyBorder="1"/>
    <xf numFmtId="0" fontId="65" fillId="20" borderId="0" xfId="185" applyFill="1" applyBorder="1"/>
    <xf numFmtId="0" fontId="114" fillId="70" borderId="0" xfId="185" applyFont="1" applyFill="1" applyBorder="1"/>
    <xf numFmtId="0" fontId="65" fillId="70" borderId="0" xfId="185" applyFill="1" applyBorder="1"/>
    <xf numFmtId="169" fontId="65" fillId="70" borderId="0" xfId="185" applyNumberFormat="1" applyFill="1" applyBorder="1"/>
    <xf numFmtId="0" fontId="115" fillId="70" borderId="0" xfId="262" applyFill="1" applyBorder="1"/>
    <xf numFmtId="0" fontId="65" fillId="70" borderId="0" xfId="185" applyFill="1" applyBorder="1" applyAlignment="1">
      <alignment horizontal="left" vertical="top"/>
    </xf>
    <xf numFmtId="0" fontId="116" fillId="20" borderId="0" xfId="185" applyFont="1" applyFill="1" applyBorder="1"/>
    <xf numFmtId="0" fontId="116" fillId="70" borderId="0" xfId="185" quotePrefix="1" applyFont="1" applyFill="1" applyBorder="1"/>
    <xf numFmtId="0" fontId="117" fillId="70" borderId="0" xfId="185" applyFont="1" applyFill="1" applyBorder="1"/>
    <xf numFmtId="0" fontId="122" fillId="70" borderId="0" xfId="185" applyFont="1" applyFill="1" applyBorder="1"/>
    <xf numFmtId="0" fontId="113" fillId="20" borderId="30" xfId="185" applyFont="1" applyFill="1" applyBorder="1"/>
    <xf numFmtId="0" fontId="114" fillId="70" borderId="30" xfId="185" applyFont="1" applyFill="1" applyBorder="1"/>
    <xf numFmtId="0" fontId="65" fillId="70" borderId="30" xfId="185" applyFill="1" applyBorder="1"/>
    <xf numFmtId="0" fontId="65" fillId="20" borderId="30" xfId="185" applyFill="1" applyBorder="1"/>
    <xf numFmtId="0" fontId="78" fillId="20" borderId="0" xfId="185" applyFont="1" applyFill="1" applyBorder="1"/>
    <xf numFmtId="0" fontId="65" fillId="22" borderId="0" xfId="185" applyFill="1" applyBorder="1"/>
    <xf numFmtId="0" fontId="65" fillId="22" borderId="30" xfId="185" applyFill="1" applyBorder="1"/>
    <xf numFmtId="0" fontId="65" fillId="22" borderId="0" xfId="185" applyFill="1"/>
    <xf numFmtId="0" fontId="113" fillId="20" borderId="0" xfId="185" applyFont="1" applyFill="1" applyBorder="1"/>
    <xf numFmtId="0" fontId="78" fillId="22" borderId="0" xfId="185" applyFont="1" applyFill="1" applyBorder="1"/>
    <xf numFmtId="0" fontId="116" fillId="22" borderId="0" xfId="185" applyFont="1" applyFill="1" applyBorder="1"/>
    <xf numFmtId="0" fontId="116" fillId="22" borderId="30" xfId="185" applyFont="1" applyFill="1" applyBorder="1"/>
    <xf numFmtId="0" fontId="123" fillId="22" borderId="0" xfId="185" applyFont="1" applyFill="1" applyBorder="1"/>
    <xf numFmtId="0" fontId="123" fillId="22" borderId="30" xfId="185" applyFont="1" applyFill="1" applyBorder="1"/>
    <xf numFmtId="0" fontId="78" fillId="22" borderId="0" xfId="185" applyFont="1" applyFill="1"/>
    <xf numFmtId="0" fontId="123" fillId="22" borderId="0" xfId="185" applyFont="1" applyFill="1" applyBorder="1" applyAlignment="1"/>
    <xf numFmtId="0" fontId="78" fillId="22" borderId="30" xfId="185" applyFont="1" applyFill="1" applyBorder="1"/>
    <xf numFmtId="0" fontId="78" fillId="20" borderId="0" xfId="185" applyFont="1" applyFill="1"/>
    <xf numFmtId="0" fontId="124" fillId="20" borderId="0" xfId="185" applyFont="1" applyFill="1" applyBorder="1"/>
    <xf numFmtId="0" fontId="125" fillId="20" borderId="0" xfId="185" applyFont="1" applyFill="1" applyBorder="1"/>
    <xf numFmtId="0" fontId="49" fillId="0" borderId="0" xfId="0" applyFont="1" applyFill="1" applyAlignment="1">
      <alignment vertical="top"/>
    </xf>
    <xf numFmtId="0" fontId="49" fillId="0" borderId="0" xfId="0" applyFont="1" applyFill="1" applyAlignment="1">
      <alignment vertical="top" wrapText="1"/>
    </xf>
    <xf numFmtId="0" fontId="55" fillId="0" borderId="0" xfId="0" applyFont="1" applyFill="1" applyAlignment="1">
      <alignment vertical="top"/>
    </xf>
    <xf numFmtId="0" fontId="66" fillId="25" borderId="0" xfId="56" applyFont="1" applyFill="1" applyBorder="1" applyAlignment="1">
      <alignment vertical="top"/>
    </xf>
    <xf numFmtId="0" fontId="0" fillId="70" borderId="0" xfId="0" applyFill="1"/>
    <xf numFmtId="0" fontId="127" fillId="0" borderId="0" xfId="0" applyFont="1" applyAlignment="1">
      <alignment vertical="center"/>
    </xf>
    <xf numFmtId="0" fontId="126" fillId="0" borderId="0" xfId="0" applyFont="1" applyAlignment="1">
      <alignment vertical="center" wrapText="1"/>
    </xf>
    <xf numFmtId="0" fontId="0" fillId="70" borderId="30" xfId="0" applyFill="1" applyBorder="1"/>
    <xf numFmtId="0" fontId="65" fillId="27" borderId="30" xfId="185" applyFill="1" applyBorder="1"/>
    <xf numFmtId="166" fontId="49" fillId="71" borderId="0" xfId="25" applyNumberFormat="1" applyFont="1" applyFill="1" applyBorder="1" applyAlignment="1" applyProtection="1">
      <alignment horizontal="right"/>
    </xf>
    <xf numFmtId="166" fontId="49" fillId="71" borderId="30" xfId="25" applyNumberFormat="1" applyFont="1" applyFill="1" applyBorder="1" applyAlignment="1" applyProtection="1">
      <alignment horizontal="right"/>
    </xf>
    <xf numFmtId="0" fontId="49" fillId="0" borderId="0" xfId="0" applyFont="1" applyBorder="1" applyAlignment="1">
      <alignment vertical="top" wrapText="1"/>
    </xf>
    <xf numFmtId="4" fontId="49" fillId="21" borderId="20" xfId="0" applyNumberFormat="1" applyFont="1" applyFill="1" applyBorder="1" applyProtection="1"/>
    <xf numFmtId="4" fontId="49" fillId="21" borderId="0" xfId="0" applyNumberFormat="1" applyFont="1" applyFill="1" applyBorder="1" applyProtection="1"/>
    <xf numFmtId="4" fontId="49" fillId="21" borderId="0" xfId="0" applyNumberFormat="1" applyFont="1" applyFill="1" applyProtection="1"/>
    <xf numFmtId="4" fontId="49" fillId="21" borderId="28" xfId="0" applyNumberFormat="1" applyFont="1" applyFill="1" applyBorder="1" applyProtection="1"/>
    <xf numFmtId="3" fontId="49" fillId="21" borderId="20" xfId="0" applyNumberFormat="1" applyFont="1" applyFill="1" applyBorder="1" applyProtection="1"/>
    <xf numFmtId="3" fontId="49" fillId="21" borderId="0" xfId="0" applyNumberFormat="1" applyFont="1" applyFill="1" applyBorder="1" applyProtection="1"/>
    <xf numFmtId="3" fontId="49" fillId="21" borderId="30" xfId="0" applyNumberFormat="1" applyFont="1" applyFill="1" applyBorder="1" applyProtection="1"/>
    <xf numFmtId="4" fontId="49" fillId="21" borderId="30" xfId="0" applyNumberFormat="1" applyFont="1" applyFill="1" applyBorder="1" applyProtection="1"/>
    <xf numFmtId="169" fontId="0" fillId="21" borderId="20" xfId="0" applyNumberFormat="1" applyFill="1" applyBorder="1" applyProtection="1"/>
    <xf numFmtId="169" fontId="0" fillId="21" borderId="0" xfId="0" applyNumberFormat="1" applyFill="1" applyBorder="1" applyProtection="1"/>
    <xf numFmtId="169" fontId="0" fillId="21" borderId="30" xfId="0" applyNumberFormat="1" applyFill="1" applyBorder="1" applyProtection="1"/>
    <xf numFmtId="169" fontId="0" fillId="70" borderId="0" xfId="0" applyNumberFormat="1" applyFill="1"/>
    <xf numFmtId="0" fontId="0" fillId="20" borderId="0" xfId="0" applyFill="1"/>
    <xf numFmtId="167" fontId="49" fillId="0" borderId="0" xfId="25" applyNumberFormat="1" applyFont="1" applyFill="1" applyBorder="1" applyAlignment="1" applyProtection="1">
      <alignment horizontal="right"/>
    </xf>
    <xf numFmtId="0" fontId="20" fillId="21" borderId="0" xfId="0" applyFont="1" applyFill="1" applyBorder="1"/>
    <xf numFmtId="10" fontId="65" fillId="27" borderId="30" xfId="46" applyNumberFormat="1" applyFont="1" applyFill="1" applyBorder="1"/>
    <xf numFmtId="0" fontId="12" fillId="20" borderId="0" xfId="0" applyFont="1" applyFill="1"/>
    <xf numFmtId="0" fontId="12" fillId="73" borderId="0" xfId="56" applyFont="1" applyFill="1" applyBorder="1" applyAlignment="1"/>
    <xf numFmtId="10" fontId="65" fillId="70" borderId="0" xfId="46" applyNumberFormat="1" applyFont="1" applyFill="1" applyBorder="1"/>
    <xf numFmtId="0" fontId="65" fillId="74" borderId="0" xfId="185" applyFill="1" applyBorder="1"/>
    <xf numFmtId="0" fontId="65" fillId="74" borderId="30" xfId="185" applyFill="1" applyBorder="1"/>
    <xf numFmtId="0" fontId="65" fillId="74" borderId="0" xfId="185" applyFill="1"/>
    <xf numFmtId="0" fontId="125" fillId="74" borderId="0" xfId="185" applyFont="1" applyFill="1" applyBorder="1"/>
    <xf numFmtId="0" fontId="78" fillId="74" borderId="0" xfId="185" applyFont="1" applyFill="1" applyBorder="1"/>
    <xf numFmtId="0" fontId="78" fillId="74" borderId="30" xfId="185" applyFont="1" applyFill="1" applyBorder="1"/>
    <xf numFmtId="0" fontId="78" fillId="74" borderId="0" xfId="185" applyFont="1" applyFill="1"/>
    <xf numFmtId="0" fontId="122" fillId="27" borderId="30" xfId="185" applyFont="1" applyFill="1" applyBorder="1"/>
    <xf numFmtId="2" fontId="12" fillId="0" borderId="0" xfId="46" applyNumberFormat="1" applyFont="1" applyFill="1" applyBorder="1" applyAlignment="1" applyProtection="1">
      <alignment horizontal="right" vertical="center"/>
    </xf>
    <xf numFmtId="0" fontId="0" fillId="70" borderId="0" xfId="0" applyFill="1" applyBorder="1"/>
    <xf numFmtId="168" fontId="65" fillId="27" borderId="0" xfId="185" applyNumberFormat="1" applyFill="1" applyBorder="1"/>
    <xf numFmtId="168" fontId="65" fillId="27" borderId="30" xfId="185" applyNumberFormat="1" applyFill="1" applyBorder="1"/>
    <xf numFmtId="168" fontId="65" fillId="70" borderId="0" xfId="185" applyNumberFormat="1" applyFill="1" applyBorder="1"/>
    <xf numFmtId="0" fontId="12" fillId="0" borderId="0" xfId="53"/>
    <xf numFmtId="169" fontId="12" fillId="71" borderId="0" xfId="53" applyNumberFormat="1" applyFill="1"/>
    <xf numFmtId="169" fontId="12" fillId="72" borderId="0" xfId="53" applyNumberFormat="1" applyFill="1"/>
    <xf numFmtId="0" fontId="12" fillId="0" borderId="0" xfId="53" applyFont="1"/>
    <xf numFmtId="169" fontId="12" fillId="21" borderId="0" xfId="53" applyNumberFormat="1" applyFill="1"/>
    <xf numFmtId="0" fontId="12" fillId="0" borderId="0" xfId="53" applyFill="1"/>
    <xf numFmtId="0" fontId="17" fillId="20" borderId="15" xfId="25" applyFont="1" applyFill="1" applyBorder="1" applyAlignment="1" applyProtection="1">
      <alignment horizontal="left" vertical="center" shrinkToFit="1"/>
      <protection locked="0"/>
    </xf>
    <xf numFmtId="0" fontId="55" fillId="0" borderId="0" xfId="0" applyFont="1" applyFill="1" applyBorder="1" applyAlignment="1" applyProtection="1">
      <alignment horizontal="left" vertical="center"/>
      <protection locked="0"/>
    </xf>
    <xf numFmtId="0" fontId="73" fillId="0" borderId="0" xfId="0" applyFont="1" applyAlignment="1">
      <alignment horizontal="left"/>
    </xf>
    <xf numFmtId="4" fontId="0" fillId="21" borderId="20" xfId="0" applyNumberFormat="1" applyFill="1" applyBorder="1" applyProtection="1"/>
    <xf numFmtId="4" fontId="0" fillId="21" borderId="0" xfId="0" applyNumberFormat="1" applyFill="1" applyBorder="1" applyProtection="1"/>
    <xf numFmtId="4" fontId="0" fillId="21" borderId="30" xfId="0" applyNumberFormat="1" applyFill="1" applyBorder="1" applyProtection="1"/>
    <xf numFmtId="3" fontId="0" fillId="21" borderId="20" xfId="0" applyNumberFormat="1" applyFill="1" applyBorder="1" applyProtection="1"/>
    <xf numFmtId="3" fontId="0" fillId="21" borderId="0" xfId="0" applyNumberFormat="1" applyFill="1" applyBorder="1" applyProtection="1"/>
    <xf numFmtId="3" fontId="0" fillId="21" borderId="30" xfId="0" applyNumberFormat="1" applyFill="1" applyBorder="1" applyProtection="1"/>
    <xf numFmtId="14" fontId="55" fillId="0" borderId="0" xfId="0" applyNumberFormat="1" applyFont="1" applyBorder="1"/>
    <xf numFmtId="0" fontId="55" fillId="0" borderId="0" xfId="0" applyFont="1" applyBorder="1" applyAlignment="1">
      <alignment wrapText="1"/>
    </xf>
    <xf numFmtId="0" fontId="49" fillId="0" borderId="0" xfId="0" applyFont="1" applyBorder="1" applyAlignment="1">
      <alignment horizontal="left" vertical="top"/>
    </xf>
    <xf numFmtId="0" fontId="49" fillId="0" borderId="0" xfId="0" applyFont="1" applyFill="1" applyAlignment="1">
      <alignment vertical="top"/>
    </xf>
    <xf numFmtId="0" fontId="49" fillId="0" borderId="0" xfId="0" applyFont="1" applyFill="1" applyAlignment="1">
      <alignment vertical="top" wrapText="1"/>
    </xf>
    <xf numFmtId="0" fontId="0" fillId="0" borderId="0" xfId="0" applyBorder="1" applyProtection="1">
      <protection locked="0"/>
    </xf>
    <xf numFmtId="0" fontId="0" fillId="0" borderId="0" xfId="0" applyBorder="1" applyAlignment="1" applyProtection="1">
      <alignment horizontal="left"/>
      <protection locked="0"/>
    </xf>
    <xf numFmtId="0" fontId="0" fillId="0" borderId="0" xfId="0" applyBorder="1" applyAlignment="1" applyProtection="1">
      <alignment shrinkToFit="1"/>
      <protection locked="0"/>
    </xf>
    <xf numFmtId="0" fontId="12" fillId="0" borderId="0" xfId="0" applyFont="1" applyBorder="1" applyAlignment="1" applyProtection="1">
      <alignment shrinkToFit="1"/>
      <protection locked="0"/>
    </xf>
    <xf numFmtId="0" fontId="0" fillId="0" borderId="0" xfId="0" applyFill="1" applyBorder="1" applyProtection="1">
      <protection locked="0"/>
    </xf>
    <xf numFmtId="0" fontId="49" fillId="70" borderId="0" xfId="0" applyFont="1" applyFill="1" applyBorder="1"/>
    <xf numFmtId="10" fontId="49" fillId="70" borderId="0" xfId="46" applyNumberFormat="1" applyFont="1" applyFill="1" applyBorder="1" applyAlignment="1" applyProtection="1">
      <alignment horizontal="right" vertical="center"/>
    </xf>
    <xf numFmtId="2" fontId="70" fillId="70" borderId="0" xfId="46" applyNumberFormat="1" applyFont="1" applyFill="1" applyBorder="1" applyAlignment="1" applyProtection="1">
      <alignment horizontal="right" vertical="center"/>
    </xf>
    <xf numFmtId="0" fontId="49" fillId="70" borderId="0" xfId="0" applyFont="1" applyFill="1" applyBorder="1" applyAlignment="1">
      <alignment shrinkToFit="1"/>
    </xf>
    <xf numFmtId="10" fontId="49" fillId="70" borderId="0" xfId="46" applyNumberFormat="1" applyFont="1" applyFill="1" applyBorder="1" applyProtection="1">
      <protection locked="0"/>
    </xf>
    <xf numFmtId="0" fontId="49" fillId="70" borderId="0" xfId="53" applyFont="1" applyFill="1" applyBorder="1" applyProtection="1">
      <protection locked="0"/>
    </xf>
    <xf numFmtId="0" fontId="49" fillId="70" borderId="0" xfId="53" applyFont="1" applyFill="1" applyBorder="1" applyAlignment="1">
      <alignment shrinkToFit="1"/>
    </xf>
    <xf numFmtId="168" fontId="49" fillId="70" borderId="0" xfId="46" applyNumberFormat="1" applyFont="1" applyFill="1" applyBorder="1" applyAlignment="1" applyProtection="1">
      <alignment horizontal="right" vertical="center"/>
    </xf>
    <xf numFmtId="0" fontId="49" fillId="70" borderId="0" xfId="0" applyFont="1" applyFill="1" applyBorder="1" applyProtection="1">
      <protection locked="0"/>
    </xf>
    <xf numFmtId="2" fontId="49" fillId="70" borderId="0" xfId="46" applyNumberFormat="1" applyFont="1" applyFill="1" applyBorder="1" applyAlignment="1" applyProtection="1">
      <alignment horizontal="right" vertical="center"/>
    </xf>
    <xf numFmtId="0" fontId="49" fillId="70" borderId="0" xfId="0" applyFont="1" applyFill="1" applyBorder="1" applyAlignment="1" applyProtection="1">
      <alignment vertical="center" shrinkToFit="1"/>
      <protection locked="0"/>
    </xf>
    <xf numFmtId="1" fontId="19" fillId="70" borderId="0" xfId="0" applyNumberFormat="1" applyFont="1" applyFill="1" applyBorder="1" applyAlignment="1" applyProtection="1">
      <alignment vertical="center"/>
    </xf>
    <xf numFmtId="0" fontId="19" fillId="70" borderId="0" xfId="0" applyFont="1" applyFill="1" applyBorder="1" applyAlignment="1" applyProtection="1">
      <alignment vertical="center"/>
    </xf>
    <xf numFmtId="0" fontId="19" fillId="70" borderId="0" xfId="0" applyFont="1" applyFill="1" applyBorder="1" applyAlignment="1" applyProtection="1">
      <alignment horizontal="center" vertical="center"/>
    </xf>
    <xf numFmtId="0" fontId="16" fillId="70" borderId="0" xfId="0" applyFont="1" applyFill="1" applyBorder="1" applyAlignment="1" applyProtection="1">
      <alignment vertical="center"/>
    </xf>
    <xf numFmtId="0" fontId="19" fillId="70" borderId="0" xfId="0" applyFont="1" applyFill="1" applyBorder="1" applyAlignment="1" applyProtection="1">
      <alignment vertical="center"/>
      <protection locked="0"/>
    </xf>
    <xf numFmtId="0" fontId="70" fillId="70" borderId="0" xfId="0" applyFont="1" applyFill="1" applyBorder="1" applyAlignment="1" applyProtection="1">
      <alignment vertical="center"/>
      <protection locked="0"/>
    </xf>
    <xf numFmtId="10" fontId="49" fillId="70" borderId="0" xfId="0" applyNumberFormat="1" applyFont="1" applyFill="1" applyBorder="1" applyAlignment="1">
      <alignment shrinkToFit="1"/>
    </xf>
    <xf numFmtId="0" fontId="19" fillId="70" borderId="0" xfId="0" applyFont="1" applyFill="1" applyBorder="1" applyAlignment="1" applyProtection="1">
      <alignment vertical="center" shrinkToFit="1"/>
    </xf>
    <xf numFmtId="0" fontId="0" fillId="70" borderId="0" xfId="0" applyFill="1" applyBorder="1" applyAlignment="1">
      <alignment shrinkToFit="1"/>
    </xf>
    <xf numFmtId="1" fontId="49" fillId="0" borderId="0" xfId="0" applyNumberFormat="1" applyFont="1" applyFill="1" applyBorder="1" applyAlignment="1" applyProtection="1">
      <alignment horizontal="right" vertical="center"/>
      <protection locked="0"/>
    </xf>
    <xf numFmtId="0" fontId="59" fillId="26" borderId="55" xfId="56" applyFont="1" applyFill="1" applyBorder="1" applyAlignment="1">
      <alignment horizontal="center" vertical="top"/>
    </xf>
    <xf numFmtId="0" fontId="59" fillId="26" borderId="56" xfId="56" applyFont="1" applyFill="1" applyBorder="1" applyAlignment="1">
      <alignment horizontal="center" vertical="top"/>
    </xf>
    <xf numFmtId="0" fontId="59" fillId="73" borderId="0" xfId="56" applyFont="1" applyFill="1" applyBorder="1" applyAlignment="1">
      <alignment horizontal="center" vertical="top"/>
    </xf>
    <xf numFmtId="0" fontId="47" fillId="81" borderId="20" xfId="56" applyFont="1" applyFill="1" applyBorder="1" applyAlignment="1">
      <alignment horizontal="left" vertical="top"/>
    </xf>
    <xf numFmtId="0" fontId="59" fillId="81" borderId="0" xfId="56" applyFont="1" applyFill="1" applyBorder="1" applyAlignment="1">
      <alignment horizontal="center" vertical="top"/>
    </xf>
    <xf numFmtId="0" fontId="59" fillId="81" borderId="30" xfId="56" applyFont="1" applyFill="1" applyBorder="1" applyAlignment="1">
      <alignment horizontal="center" vertical="top"/>
    </xf>
    <xf numFmtId="0" fontId="59" fillId="81" borderId="20" xfId="56" applyFont="1" applyFill="1" applyBorder="1" applyAlignment="1">
      <alignment horizontal="center" vertical="top"/>
    </xf>
    <xf numFmtId="0" fontId="59" fillId="73" borderId="20" xfId="56" applyFont="1" applyFill="1" applyBorder="1" applyAlignment="1">
      <alignment horizontal="center" vertical="top"/>
    </xf>
    <xf numFmtId="0" fontId="59" fillId="73" borderId="30" xfId="56" applyFont="1" applyFill="1" applyBorder="1" applyAlignment="1">
      <alignment horizontal="center" vertical="top"/>
    </xf>
    <xf numFmtId="0" fontId="12" fillId="73" borderId="20" xfId="53" applyFont="1" applyFill="1" applyBorder="1"/>
    <xf numFmtId="0" fontId="12" fillId="73" borderId="0" xfId="53" applyFont="1" applyFill="1" applyBorder="1"/>
    <xf numFmtId="0" fontId="12" fillId="73" borderId="30" xfId="53" applyFont="1" applyFill="1" applyBorder="1"/>
    <xf numFmtId="0" fontId="12" fillId="73" borderId="20" xfId="56" applyFont="1" applyFill="1" applyBorder="1" applyAlignment="1"/>
    <xf numFmtId="0" fontId="12" fillId="73" borderId="30" xfId="56" applyFont="1" applyFill="1" applyBorder="1" applyAlignment="1"/>
    <xf numFmtId="0" fontId="12" fillId="73" borderId="21" xfId="56" applyFont="1" applyFill="1" applyBorder="1" applyAlignment="1"/>
    <xf numFmtId="0" fontId="12" fillId="73" borderId="22" xfId="56" applyFont="1" applyFill="1" applyBorder="1" applyAlignment="1"/>
    <xf numFmtId="0" fontId="12" fillId="73" borderId="23" xfId="56" applyFont="1" applyFill="1" applyBorder="1" applyAlignment="1"/>
    <xf numFmtId="0" fontId="60" fillId="73" borderId="20" xfId="56" applyFont="1" applyFill="1" applyBorder="1" applyAlignment="1">
      <alignment horizontal="center" vertical="top"/>
    </xf>
    <xf numFmtId="0" fontId="12" fillId="21" borderId="55" xfId="56" applyFont="1" applyFill="1" applyBorder="1" applyAlignment="1"/>
    <xf numFmtId="0" fontId="12" fillId="21" borderId="56" xfId="56" applyFont="1" applyFill="1" applyBorder="1" applyAlignment="1"/>
    <xf numFmtId="0" fontId="63" fillId="28" borderId="54" xfId="56" applyFont="1" applyFill="1" applyBorder="1" applyAlignment="1">
      <alignment horizontal="left" vertical="top"/>
    </xf>
    <xf numFmtId="0" fontId="59" fillId="70" borderId="0" xfId="56" applyFont="1" applyFill="1" applyBorder="1" applyAlignment="1">
      <alignment horizontal="center" vertical="top"/>
    </xf>
    <xf numFmtId="0" fontId="20" fillId="70" borderId="0" xfId="56" applyFont="1" applyFill="1" applyBorder="1" applyAlignment="1">
      <alignment horizontal="center" vertical="top"/>
    </xf>
    <xf numFmtId="0" fontId="12" fillId="70" borderId="0" xfId="53" applyFont="1" applyFill="1" applyBorder="1"/>
    <xf numFmtId="0" fontId="12" fillId="70" borderId="0" xfId="56" applyFont="1" applyFill="1" applyBorder="1" applyAlignment="1"/>
    <xf numFmtId="0" fontId="12" fillId="70" borderId="0" xfId="56" applyFont="1" applyFill="1" applyBorder="1" applyAlignment="1">
      <alignment horizontal="left" vertical="top"/>
    </xf>
    <xf numFmtId="0" fontId="47" fillId="70" borderId="0" xfId="56" applyFont="1" applyFill="1" applyBorder="1" applyAlignment="1"/>
    <xf numFmtId="0" fontId="72" fillId="70" borderId="0" xfId="0" applyFont="1" applyFill="1" applyAlignment="1">
      <alignment horizontal="left" vertical="center" readingOrder="1"/>
    </xf>
    <xf numFmtId="0" fontId="61" fillId="70" borderId="0" xfId="56" applyFont="1" applyFill="1" applyBorder="1" applyAlignment="1">
      <alignment horizontal="center" vertical="top"/>
    </xf>
    <xf numFmtId="0" fontId="20" fillId="70" borderId="0" xfId="56" applyFont="1" applyFill="1" applyBorder="1" applyAlignment="1">
      <alignment vertical="top"/>
    </xf>
    <xf numFmtId="0" fontId="60" fillId="70" borderId="0" xfId="56" applyFont="1" applyFill="1" applyBorder="1" applyAlignment="1">
      <alignment horizontal="left" vertical="top"/>
    </xf>
    <xf numFmtId="0" fontId="20" fillId="25" borderId="0" xfId="56" applyFont="1" applyFill="1" applyBorder="1" applyAlignment="1">
      <alignment vertical="top"/>
    </xf>
    <xf numFmtId="0" fontId="20" fillId="21" borderId="0" xfId="0" applyFont="1" applyFill="1" applyBorder="1" applyAlignment="1">
      <alignment vertical="top"/>
    </xf>
    <xf numFmtId="0" fontId="63" fillId="25" borderId="54" xfId="56" applyFont="1" applyFill="1" applyBorder="1" applyAlignment="1">
      <alignment horizontal="left" vertical="top"/>
    </xf>
    <xf numFmtId="0" fontId="61" fillId="25" borderId="55" xfId="56" applyFont="1" applyFill="1" applyBorder="1" applyAlignment="1">
      <alignment horizontal="center" vertical="top"/>
    </xf>
    <xf numFmtId="0" fontId="66" fillId="25" borderId="55" xfId="56" applyFont="1" applyFill="1" applyBorder="1" applyAlignment="1">
      <alignment vertical="top"/>
    </xf>
    <xf numFmtId="0" fontId="47" fillId="25" borderId="55" xfId="56" applyFont="1" applyFill="1" applyBorder="1" applyAlignment="1">
      <alignment horizontal="left" vertical="top"/>
    </xf>
    <xf numFmtId="0" fontId="59" fillId="26" borderId="21" xfId="56" applyFont="1" applyFill="1" applyBorder="1" applyAlignment="1">
      <alignment horizontal="center" vertical="top"/>
    </xf>
    <xf numFmtId="0" fontId="59" fillId="26" borderId="22" xfId="56" applyFont="1" applyFill="1" applyBorder="1" applyAlignment="1">
      <alignment horizontal="center" vertical="top"/>
    </xf>
    <xf numFmtId="0" fontId="59" fillId="26" borderId="23" xfId="56" applyFont="1" applyFill="1" applyBorder="1" applyAlignment="1">
      <alignment horizontal="center" vertical="top"/>
    </xf>
    <xf numFmtId="0" fontId="59" fillId="82" borderId="0" xfId="56" applyFont="1" applyFill="1" applyBorder="1" applyAlignment="1">
      <alignment horizontal="center" vertical="top"/>
    </xf>
    <xf numFmtId="0" fontId="63" fillId="26" borderId="20" xfId="56" applyFont="1" applyFill="1" applyBorder="1" applyAlignment="1">
      <alignment horizontal="left" vertical="top"/>
    </xf>
    <xf numFmtId="166" fontId="14" fillId="20" borderId="0" xfId="25" applyNumberFormat="1" applyFont="1" applyFill="1" applyBorder="1" applyAlignment="1" applyProtection="1">
      <alignment horizontal="right"/>
      <protection locked="0"/>
    </xf>
    <xf numFmtId="166" fontId="51" fillId="20" borderId="0" xfId="25" applyNumberFormat="1" applyFont="1" applyFill="1" applyBorder="1" applyAlignment="1" applyProtection="1">
      <alignment horizontal="right" vertical="center"/>
      <protection locked="0"/>
    </xf>
    <xf numFmtId="0" fontId="17" fillId="20" borderId="15" xfId="25" applyFont="1" applyFill="1" applyBorder="1" applyAlignment="1" applyProtection="1">
      <alignment vertical="center"/>
      <protection locked="0"/>
    </xf>
    <xf numFmtId="1" fontId="55" fillId="70" borderId="0" xfId="43" applyNumberFormat="1" applyFont="1" applyFill="1" applyBorder="1" applyAlignment="1" applyProtection="1">
      <alignment horizontal="right"/>
      <protection locked="0"/>
    </xf>
    <xf numFmtId="0" fontId="14" fillId="20" borderId="55" xfId="25" applyFont="1" applyFill="1" applyBorder="1" applyProtection="1">
      <protection locked="0"/>
    </xf>
    <xf numFmtId="0" fontId="18" fillId="20" borderId="55" xfId="25" applyNumberFormat="1" applyFont="1" applyFill="1" applyBorder="1" applyAlignment="1" applyProtection="1">
      <alignment horizontal="right"/>
      <protection locked="0"/>
    </xf>
    <xf numFmtId="0" fontId="16" fillId="20" borderId="55" xfId="25" applyFont="1" applyFill="1" applyBorder="1" applyAlignment="1" applyProtection="1">
      <alignment horizontal="left"/>
      <protection locked="0"/>
    </xf>
    <xf numFmtId="0" fontId="17" fillId="20" borderId="55" xfId="25" applyFont="1" applyFill="1" applyBorder="1" applyAlignment="1" applyProtection="1">
      <alignment vertical="center" shrinkToFit="1"/>
      <protection locked="0"/>
    </xf>
    <xf numFmtId="166" fontId="14" fillId="20" borderId="55" xfId="25" applyNumberFormat="1" applyFont="1" applyFill="1" applyBorder="1" applyAlignment="1" applyProtection="1">
      <alignment horizontal="right"/>
      <protection locked="0"/>
    </xf>
    <xf numFmtId="166" fontId="14" fillId="20" borderId="56" xfId="25" applyNumberFormat="1" applyFont="1" applyFill="1" applyBorder="1" applyAlignment="1" applyProtection="1">
      <alignment horizontal="right"/>
      <protection locked="0"/>
    </xf>
    <xf numFmtId="166" fontId="51" fillId="20" borderId="55" xfId="25" applyNumberFormat="1" applyFont="1" applyFill="1" applyBorder="1" applyAlignment="1" applyProtection="1">
      <alignment horizontal="right" vertical="center"/>
      <protection locked="0"/>
    </xf>
    <xf numFmtId="0" fontId="49" fillId="21" borderId="0" xfId="0" applyFont="1" applyFill="1" applyBorder="1" applyAlignment="1" applyProtection="1">
      <alignment horizontal="right"/>
      <protection locked="0"/>
    </xf>
    <xf numFmtId="1" fontId="49" fillId="0" borderId="30" xfId="0" applyNumberFormat="1" applyFont="1" applyFill="1" applyBorder="1" applyAlignment="1" applyProtection="1">
      <alignment horizontal="right"/>
      <protection locked="0"/>
    </xf>
    <xf numFmtId="0" fontId="0" fillId="0" borderId="20" xfId="0" applyBorder="1"/>
    <xf numFmtId="1" fontId="49" fillId="21" borderId="20" xfId="0" applyNumberFormat="1" applyFont="1" applyFill="1" applyBorder="1" applyAlignment="1" applyProtection="1">
      <alignment horizontal="right"/>
      <protection locked="0"/>
    </xf>
    <xf numFmtId="0" fontId="12" fillId="0" borderId="20" xfId="53" applyBorder="1"/>
    <xf numFmtId="169" fontId="12" fillId="72" borderId="20" xfId="53" applyNumberFormat="1" applyFill="1" applyBorder="1"/>
    <xf numFmtId="169" fontId="12" fillId="71" borderId="20" xfId="53" applyNumberFormat="1" applyFill="1" applyBorder="1"/>
    <xf numFmtId="169" fontId="12" fillId="21" borderId="20" xfId="53" applyNumberFormat="1" applyFill="1" applyBorder="1"/>
    <xf numFmtId="166" fontId="14" fillId="20" borderId="20" xfId="25" applyNumberFormat="1" applyFont="1" applyFill="1" applyBorder="1" applyAlignment="1" applyProtection="1">
      <alignment horizontal="right"/>
      <protection locked="0"/>
    </xf>
    <xf numFmtId="0" fontId="0" fillId="70" borderId="20" xfId="0" applyFill="1" applyBorder="1"/>
    <xf numFmtId="0" fontId="65" fillId="70" borderId="20" xfId="185" applyFill="1" applyBorder="1"/>
    <xf numFmtId="0" fontId="78" fillId="20" borderId="20" xfId="185" applyFont="1" applyFill="1" applyBorder="1"/>
    <xf numFmtId="0" fontId="65" fillId="20" borderId="20" xfId="185" applyFill="1" applyBorder="1"/>
    <xf numFmtId="0" fontId="114" fillId="70" borderId="20" xfId="185" applyFont="1" applyFill="1" applyBorder="1"/>
    <xf numFmtId="169" fontId="65" fillId="70" borderId="20" xfId="185" applyNumberFormat="1" applyFill="1" applyBorder="1"/>
    <xf numFmtId="0" fontId="116" fillId="20" borderId="20" xfId="185" applyFont="1" applyFill="1" applyBorder="1"/>
    <xf numFmtId="0" fontId="116" fillId="70" borderId="20" xfId="185" applyFont="1" applyFill="1" applyBorder="1"/>
    <xf numFmtId="0" fontId="123" fillId="22" borderId="20" xfId="185" applyFont="1" applyFill="1" applyBorder="1"/>
    <xf numFmtId="0" fontId="116" fillId="22" borderId="20" xfId="185" applyFont="1" applyFill="1" applyBorder="1"/>
    <xf numFmtId="0" fontId="117" fillId="70" borderId="20" xfId="185" applyFont="1" applyFill="1" applyBorder="1"/>
    <xf numFmtId="0" fontId="65" fillId="74" borderId="20" xfId="185" applyFill="1" applyBorder="1"/>
    <xf numFmtId="0" fontId="78" fillId="74" borderId="20" xfId="185" applyFont="1" applyFill="1" applyBorder="1"/>
    <xf numFmtId="0" fontId="78" fillId="22" borderId="20" xfId="185" applyFont="1" applyFill="1" applyBorder="1"/>
    <xf numFmtId="0" fontId="65" fillId="22" borderId="20" xfId="185" applyFill="1" applyBorder="1"/>
    <xf numFmtId="166" fontId="14" fillId="20" borderId="45" xfId="25" applyNumberFormat="1" applyFont="1" applyFill="1" applyBorder="1" applyAlignment="1">
      <alignment horizontal="right" vertical="center"/>
    </xf>
    <xf numFmtId="0" fontId="19" fillId="20" borderId="55" xfId="0" applyFont="1" applyFill="1" applyBorder="1" applyAlignment="1" applyProtection="1">
      <alignment vertical="center"/>
      <protection locked="0"/>
    </xf>
    <xf numFmtId="168" fontId="12" fillId="0" borderId="0" xfId="46" applyNumberFormat="1" applyFont="1" applyFill="1" applyBorder="1" applyAlignment="1" applyProtection="1">
      <alignment horizontal="right" vertical="center"/>
    </xf>
    <xf numFmtId="10" fontId="49" fillId="0" borderId="22" xfId="46" applyNumberFormat="1" applyFont="1" applyFill="1" applyBorder="1" applyAlignment="1" applyProtection="1">
      <alignment horizontal="right" vertical="center"/>
    </xf>
    <xf numFmtId="0" fontId="70" fillId="20" borderId="55" xfId="0" applyFont="1" applyFill="1" applyBorder="1" applyAlignment="1" applyProtection="1">
      <alignment vertical="center"/>
      <protection locked="0"/>
    </xf>
    <xf numFmtId="166" fontId="14" fillId="20" borderId="57" xfId="25" applyNumberFormat="1" applyFont="1" applyFill="1" applyBorder="1" applyAlignment="1">
      <alignment horizontal="right" vertical="center"/>
    </xf>
    <xf numFmtId="1" fontId="13" fillId="21" borderId="20" xfId="0" applyNumberFormat="1" applyFont="1" applyFill="1" applyBorder="1" applyAlignment="1">
      <alignment vertical="center"/>
    </xf>
    <xf numFmtId="0" fontId="0" fillId="21" borderId="20" xfId="0" applyFill="1" applyBorder="1"/>
    <xf numFmtId="1" fontId="13" fillId="21" borderId="20" xfId="0" applyNumberFormat="1" applyFont="1" applyFill="1" applyBorder="1" applyAlignment="1">
      <alignment horizontal="right" vertical="center"/>
    </xf>
    <xf numFmtId="0" fontId="19" fillId="20" borderId="54" xfId="0" applyFont="1" applyFill="1" applyBorder="1" applyAlignment="1" applyProtection="1">
      <alignment vertical="center"/>
      <protection locked="0"/>
    </xf>
    <xf numFmtId="0" fontId="46" fillId="21" borderId="20" xfId="0" applyFont="1" applyFill="1" applyBorder="1"/>
    <xf numFmtId="168" fontId="49" fillId="21" borderId="20" xfId="46" applyNumberFormat="1" applyFont="1" applyFill="1" applyBorder="1"/>
    <xf numFmtId="168" fontId="49" fillId="21" borderId="20" xfId="25" applyNumberFormat="1" applyFont="1" applyFill="1" applyBorder="1" applyAlignment="1" applyProtection="1">
      <alignment horizontal="right"/>
    </xf>
    <xf numFmtId="168" fontId="49" fillId="21" borderId="20" xfId="46" applyNumberFormat="1" applyFont="1" applyFill="1" applyBorder="1" applyAlignment="1" applyProtection="1">
      <alignment horizontal="right" vertical="center"/>
    </xf>
    <xf numFmtId="10" fontId="49" fillId="21" borderId="20" xfId="46" applyNumberFormat="1" applyFont="1" applyFill="1" applyBorder="1" applyProtection="1">
      <protection locked="0"/>
    </xf>
    <xf numFmtId="2" fontId="49" fillId="21" borderId="20" xfId="46" applyNumberFormat="1" applyFont="1" applyFill="1" applyBorder="1" applyAlignment="1" applyProtection="1">
      <alignment horizontal="right" vertical="center"/>
    </xf>
    <xf numFmtId="10" fontId="49" fillId="20" borderId="20" xfId="46" applyNumberFormat="1" applyFont="1" applyFill="1" applyBorder="1" applyProtection="1">
      <protection locked="0"/>
    </xf>
    <xf numFmtId="2" fontId="49" fillId="21" borderId="20" xfId="46" applyNumberFormat="1" applyFont="1" applyFill="1" applyBorder="1" applyProtection="1">
      <protection locked="0"/>
    </xf>
    <xf numFmtId="2" fontId="12" fillId="21" borderId="20" xfId="46" applyNumberFormat="1" applyFont="1" applyFill="1" applyBorder="1" applyProtection="1">
      <protection locked="0"/>
    </xf>
    <xf numFmtId="2" fontId="49" fillId="21" borderId="20" xfId="25" applyNumberFormat="1" applyFont="1" applyFill="1" applyBorder="1" applyAlignment="1" applyProtection="1">
      <alignment horizontal="right"/>
    </xf>
    <xf numFmtId="168" fontId="12" fillId="21" borderId="20" xfId="46" applyNumberFormat="1" applyFont="1" applyFill="1" applyBorder="1" applyAlignment="1" applyProtection="1">
      <alignment horizontal="right" vertical="center"/>
    </xf>
    <xf numFmtId="168" fontId="12" fillId="21" borderId="20" xfId="46" applyNumberFormat="1" applyFont="1" applyFill="1" applyBorder="1" applyProtection="1">
      <protection locked="0"/>
    </xf>
    <xf numFmtId="2" fontId="12" fillId="21" borderId="20" xfId="46" applyNumberFormat="1" applyFont="1" applyFill="1" applyBorder="1" applyAlignment="1" applyProtection="1">
      <alignment horizontal="right" vertical="center"/>
    </xf>
    <xf numFmtId="169" fontId="49" fillId="21" borderId="20" xfId="25" applyNumberFormat="1" applyFont="1" applyFill="1" applyBorder="1" applyAlignment="1" applyProtection="1">
      <alignment horizontal="right"/>
    </xf>
    <xf numFmtId="169" fontId="49" fillId="21" borderId="20" xfId="46" applyNumberFormat="1" applyFont="1" applyFill="1" applyBorder="1" applyProtection="1">
      <protection locked="0"/>
    </xf>
    <xf numFmtId="0" fontId="70" fillId="20" borderId="54" xfId="0" applyFont="1" applyFill="1" applyBorder="1" applyAlignment="1" applyProtection="1">
      <alignment vertical="center"/>
      <protection locked="0"/>
    </xf>
    <xf numFmtId="10" fontId="12" fillId="21" borderId="20" xfId="46" applyNumberFormat="1" applyFont="1" applyFill="1" applyBorder="1" applyAlignment="1" applyProtection="1">
      <alignment horizontal="right" vertical="center"/>
    </xf>
    <xf numFmtId="10" fontId="70" fillId="21" borderId="20" xfId="46" applyNumberFormat="1" applyFont="1" applyFill="1" applyBorder="1" applyProtection="1">
      <protection locked="0"/>
    </xf>
    <xf numFmtId="0" fontId="70" fillId="70" borderId="20" xfId="0" applyFont="1" applyFill="1" applyBorder="1" applyAlignment="1" applyProtection="1">
      <alignment vertical="center"/>
      <protection locked="0"/>
    </xf>
    <xf numFmtId="2" fontId="70" fillId="70" borderId="20" xfId="46" applyNumberFormat="1" applyFont="1" applyFill="1" applyBorder="1" applyAlignment="1" applyProtection="1">
      <alignment horizontal="right" vertical="center"/>
    </xf>
    <xf numFmtId="10" fontId="49" fillId="70" borderId="20" xfId="46" applyNumberFormat="1" applyFont="1" applyFill="1" applyBorder="1" applyProtection="1">
      <protection locked="0"/>
    </xf>
    <xf numFmtId="168" fontId="49" fillId="70" borderId="20" xfId="46" applyNumberFormat="1" applyFont="1" applyFill="1" applyBorder="1" applyAlignment="1" applyProtection="1">
      <alignment horizontal="right" vertical="center"/>
    </xf>
    <xf numFmtId="0" fontId="19" fillId="70" borderId="20" xfId="0" applyFont="1" applyFill="1" applyBorder="1" applyAlignment="1" applyProtection="1">
      <alignment vertical="center"/>
      <protection locked="0"/>
    </xf>
    <xf numFmtId="2" fontId="49" fillId="70" borderId="20" xfId="46" applyNumberFormat="1" applyFont="1" applyFill="1" applyBorder="1" applyAlignment="1" applyProtection="1">
      <alignment horizontal="right" vertical="center"/>
    </xf>
    <xf numFmtId="10" fontId="49" fillId="70" borderId="20" xfId="46" applyNumberFormat="1" applyFont="1" applyFill="1" applyBorder="1" applyAlignment="1" applyProtection="1">
      <alignment horizontal="right" vertical="center"/>
    </xf>
    <xf numFmtId="0" fontId="49" fillId="70" borderId="20" xfId="0" applyFont="1" applyFill="1" applyBorder="1"/>
    <xf numFmtId="166" fontId="14" fillId="20" borderId="54" xfId="25" applyNumberFormat="1" applyFont="1" applyFill="1" applyBorder="1" applyAlignment="1" applyProtection="1">
      <alignment horizontal="right"/>
      <protection locked="0"/>
    </xf>
    <xf numFmtId="0" fontId="49" fillId="21" borderId="20" xfId="0" applyFont="1" applyFill="1" applyBorder="1" applyAlignment="1" applyProtection="1">
      <alignment horizontal="right"/>
      <protection locked="0"/>
    </xf>
    <xf numFmtId="1" fontId="64" fillId="0" borderId="58" xfId="43" applyNumberFormat="1" applyFont="1" applyFill="1" applyBorder="1" applyAlignment="1" applyProtection="1">
      <alignment horizontal="left" shrinkToFit="1"/>
      <protection locked="0"/>
    </xf>
    <xf numFmtId="1" fontId="69" fillId="0" borderId="58" xfId="43" applyNumberFormat="1" applyFont="1" applyFill="1" applyBorder="1" applyAlignment="1" applyProtection="1">
      <alignment horizontal="left"/>
      <protection locked="0"/>
    </xf>
    <xf numFmtId="0" fontId="55" fillId="0" borderId="0" xfId="53" applyFont="1" applyFill="1" applyBorder="1" applyProtection="1">
      <protection locked="0"/>
    </xf>
    <xf numFmtId="1" fontId="64" fillId="0" borderId="58" xfId="43" applyNumberFormat="1" applyFont="1" applyFill="1" applyBorder="1" applyAlignment="1" applyProtection="1">
      <alignment horizontal="left"/>
      <protection locked="0"/>
    </xf>
    <xf numFmtId="1" fontId="64" fillId="0" borderId="0" xfId="43" applyNumberFormat="1" applyFont="1" applyFill="1" applyBorder="1" applyAlignment="1" applyProtection="1">
      <alignment horizontal="left"/>
      <protection locked="0"/>
    </xf>
    <xf numFmtId="1" fontId="64" fillId="0" borderId="0" xfId="43" applyNumberFormat="1" applyFont="1" applyFill="1" applyBorder="1" applyAlignment="1" applyProtection="1">
      <alignment horizontal="left" shrinkToFit="1"/>
      <protection locked="0"/>
    </xf>
    <xf numFmtId="0" fontId="12" fillId="21" borderId="20" xfId="53" applyFill="1" applyBorder="1"/>
    <xf numFmtId="0" fontId="12" fillId="21" borderId="0" xfId="53" applyFill="1"/>
    <xf numFmtId="169" fontId="12" fillId="70" borderId="0" xfId="53" applyNumberFormat="1" applyFill="1"/>
    <xf numFmtId="169" fontId="0" fillId="21" borderId="20" xfId="0" applyNumberFormat="1" applyFill="1" applyBorder="1"/>
    <xf numFmtId="169" fontId="0" fillId="21" borderId="0" xfId="0" applyNumberFormat="1" applyFill="1"/>
    <xf numFmtId="0" fontId="12" fillId="25" borderId="21" xfId="56" applyFont="1" applyFill="1" applyBorder="1" applyAlignment="1">
      <alignment horizontal="left" vertical="top"/>
    </xf>
    <xf numFmtId="0" fontId="20" fillId="25" borderId="22" xfId="56" applyFont="1" applyFill="1" applyBorder="1" applyAlignment="1">
      <alignment horizontal="left" vertical="top"/>
    </xf>
    <xf numFmtId="0" fontId="20" fillId="25" borderId="22" xfId="56" applyFont="1" applyFill="1" applyBorder="1" applyAlignment="1">
      <alignment horizontal="center" vertical="top"/>
    </xf>
    <xf numFmtId="0" fontId="12" fillId="25" borderId="22" xfId="56" applyFont="1" applyFill="1" applyBorder="1" applyAlignment="1">
      <alignment horizontal="left" vertical="top"/>
    </xf>
    <xf numFmtId="0" fontId="12" fillId="25" borderId="22" xfId="56" applyFont="1" applyFill="1" applyBorder="1" applyAlignment="1"/>
    <xf numFmtId="0" fontId="20" fillId="25" borderId="23" xfId="56" applyFont="1" applyFill="1" applyBorder="1" applyAlignment="1">
      <alignment horizontal="center" vertical="top"/>
    </xf>
    <xf numFmtId="168" fontId="122" fillId="27" borderId="0" xfId="185" applyNumberFormat="1" applyFont="1" applyFill="1" applyBorder="1"/>
    <xf numFmtId="0" fontId="68" fillId="20" borderId="15" xfId="25" applyNumberFormat="1" applyFont="1" applyFill="1" applyBorder="1" applyAlignment="1" applyProtection="1">
      <alignment horizontal="right"/>
      <protection locked="0"/>
    </xf>
    <xf numFmtId="0" fontId="68" fillId="20" borderId="15" xfId="25" applyNumberFormat="1" applyFont="1" applyFill="1" applyBorder="1" applyAlignment="1" applyProtection="1">
      <alignment horizontal="left"/>
      <protection locked="0"/>
    </xf>
    <xf numFmtId="0" fontId="17" fillId="20" borderId="15" xfId="25" applyNumberFormat="1" applyFont="1" applyFill="1" applyBorder="1" applyAlignment="1" applyProtection="1">
      <alignment horizontal="right"/>
      <protection locked="0"/>
    </xf>
    <xf numFmtId="0" fontId="0" fillId="21" borderId="0" xfId="0" applyFill="1"/>
    <xf numFmtId="169" fontId="65" fillId="21" borderId="20" xfId="185" applyNumberFormat="1" applyFill="1" applyBorder="1"/>
    <xf numFmtId="169" fontId="65" fillId="21" borderId="0" xfId="185" applyNumberFormat="1" applyFill="1" applyBorder="1"/>
    <xf numFmtId="0" fontId="116" fillId="21" borderId="20" xfId="185" applyFont="1" applyFill="1" applyBorder="1"/>
    <xf numFmtId="0" fontId="116" fillId="21" borderId="0" xfId="185" applyFont="1" applyFill="1" applyBorder="1"/>
    <xf numFmtId="168" fontId="117" fillId="21" borderId="20" xfId="185" applyNumberFormat="1" applyFont="1" applyFill="1" applyBorder="1"/>
    <xf numFmtId="168" fontId="117" fillId="21" borderId="0" xfId="185" applyNumberFormat="1" applyFont="1" applyFill="1" applyBorder="1"/>
    <xf numFmtId="168" fontId="116" fillId="21" borderId="20" xfId="185" applyNumberFormat="1" applyFont="1" applyFill="1" applyBorder="1"/>
    <xf numFmtId="168" fontId="116" fillId="21" borderId="0" xfId="185" applyNumberFormat="1" applyFont="1" applyFill="1" applyBorder="1"/>
    <xf numFmtId="168" fontId="65" fillId="70" borderId="30" xfId="185" applyNumberFormat="1" applyFill="1" applyBorder="1"/>
    <xf numFmtId="168" fontId="116" fillId="70" borderId="0" xfId="185" applyNumberFormat="1" applyFont="1" applyFill="1" applyBorder="1"/>
    <xf numFmtId="168" fontId="116" fillId="22" borderId="0" xfId="185" applyNumberFormat="1" applyFont="1" applyFill="1" applyBorder="1"/>
    <xf numFmtId="168" fontId="65" fillId="21" borderId="20" xfId="185" applyNumberFormat="1" applyFill="1" applyBorder="1"/>
    <xf numFmtId="168" fontId="65" fillId="21" borderId="0" xfId="185" applyNumberFormat="1" applyFill="1" applyBorder="1"/>
    <xf numFmtId="168" fontId="116" fillId="70" borderId="20" xfId="185" applyNumberFormat="1" applyFont="1" applyFill="1" applyBorder="1"/>
    <xf numFmtId="168" fontId="116" fillId="22" borderId="20" xfId="185" applyNumberFormat="1" applyFont="1" applyFill="1" applyBorder="1"/>
    <xf numFmtId="169" fontId="49" fillId="71" borderId="20" xfId="0" applyNumberFormat="1" applyFont="1" applyFill="1" applyBorder="1" applyProtection="1"/>
    <xf numFmtId="169" fontId="49" fillId="71" borderId="30" xfId="0" applyNumberFormat="1" applyFont="1" applyFill="1" applyBorder="1" applyProtection="1"/>
    <xf numFmtId="169" fontId="49" fillId="71" borderId="0" xfId="0" applyNumberFormat="1" applyFont="1" applyFill="1" applyBorder="1" applyProtection="1"/>
    <xf numFmtId="0" fontId="122" fillId="20" borderId="30" xfId="185" applyFont="1" applyFill="1" applyBorder="1"/>
    <xf numFmtId="2" fontId="65" fillId="71" borderId="30" xfId="185" applyNumberFormat="1" applyFill="1" applyBorder="1"/>
    <xf numFmtId="0" fontId="63" fillId="26" borderId="62" xfId="56" applyFont="1" applyFill="1" applyBorder="1" applyAlignment="1">
      <alignment horizontal="left" vertical="top"/>
    </xf>
    <xf numFmtId="0" fontId="59" fillId="26" borderId="59" xfId="56" applyFont="1" applyFill="1" applyBorder="1" applyAlignment="1">
      <alignment horizontal="center" vertical="top"/>
    </xf>
    <xf numFmtId="0" fontId="59" fillId="26" borderId="63" xfId="56" applyFont="1" applyFill="1" applyBorder="1" applyAlignment="1">
      <alignment horizontal="center" vertical="top"/>
    </xf>
    <xf numFmtId="0" fontId="117" fillId="20" borderId="30" xfId="0" applyFont="1" applyFill="1" applyBorder="1"/>
    <xf numFmtId="0" fontId="117" fillId="20" borderId="0" xfId="0" applyFont="1" applyFill="1"/>
    <xf numFmtId="0" fontId="122" fillId="70" borderId="0" xfId="0" applyFont="1" applyFill="1"/>
    <xf numFmtId="0" fontId="122" fillId="70" borderId="30" xfId="0" applyFont="1" applyFill="1" applyBorder="1"/>
    <xf numFmtId="0" fontId="122" fillId="70" borderId="0" xfId="0" applyFont="1" applyFill="1" applyBorder="1"/>
    <xf numFmtId="0" fontId="122" fillId="20" borderId="0" xfId="0" applyFont="1" applyFill="1"/>
    <xf numFmtId="0" fontId="122" fillId="20" borderId="30" xfId="0" applyFont="1" applyFill="1" applyBorder="1"/>
    <xf numFmtId="0" fontId="122" fillId="20" borderId="0" xfId="0" applyFont="1" applyFill="1" applyBorder="1"/>
    <xf numFmtId="167" fontId="122" fillId="27" borderId="0" xfId="0" applyNumberFormat="1" applyFont="1" applyFill="1"/>
    <xf numFmtId="167" fontId="122" fillId="27" borderId="0" xfId="0" applyNumberFormat="1" applyFont="1" applyFill="1" applyBorder="1"/>
    <xf numFmtId="168" fontId="122" fillId="21" borderId="0" xfId="0" applyNumberFormat="1" applyFont="1" applyFill="1"/>
    <xf numFmtId="0" fontId="117" fillId="20" borderId="0" xfId="0" applyFont="1" applyFill="1" applyBorder="1"/>
    <xf numFmtId="0" fontId="65" fillId="70" borderId="0" xfId="185" applyFont="1" applyFill="1" applyBorder="1"/>
    <xf numFmtId="0" fontId="65" fillId="70" borderId="30" xfId="185" applyFont="1" applyFill="1" applyBorder="1"/>
    <xf numFmtId="168" fontId="65" fillId="27" borderId="0" xfId="185" applyNumberFormat="1" applyFont="1" applyFill="1" applyBorder="1"/>
    <xf numFmtId="168" fontId="65" fillId="27" borderId="30" xfId="185" applyNumberFormat="1" applyFont="1" applyFill="1" applyBorder="1"/>
    <xf numFmtId="0" fontId="117" fillId="70" borderId="0" xfId="0" applyFont="1" applyFill="1"/>
    <xf numFmtId="0" fontId="65" fillId="20" borderId="0" xfId="185" applyFont="1" applyFill="1" applyBorder="1"/>
    <xf numFmtId="0" fontId="117" fillId="70" borderId="30" xfId="0" applyFont="1" applyFill="1" applyBorder="1"/>
    <xf numFmtId="9" fontId="117" fillId="27" borderId="0" xfId="0" applyNumberFormat="1" applyFont="1" applyFill="1"/>
    <xf numFmtId="9" fontId="117" fillId="27" borderId="30" xfId="0" applyNumberFormat="1" applyFont="1" applyFill="1" applyBorder="1"/>
    <xf numFmtId="9" fontId="117" fillId="27" borderId="0" xfId="0" applyNumberFormat="1" applyFont="1" applyFill="1" applyBorder="1"/>
    <xf numFmtId="0" fontId="123" fillId="20" borderId="0" xfId="0" applyFont="1" applyFill="1"/>
    <xf numFmtId="0" fontId="123" fillId="70" borderId="0" xfId="0" applyFont="1" applyFill="1"/>
    <xf numFmtId="0" fontId="65" fillId="27" borderId="30" xfId="185" applyFont="1" applyFill="1" applyBorder="1"/>
    <xf numFmtId="0" fontId="65" fillId="22" borderId="0" xfId="185" applyFont="1" applyFill="1" applyBorder="1"/>
    <xf numFmtId="0" fontId="65" fillId="22" borderId="30" xfId="185" applyFont="1" applyFill="1" applyBorder="1"/>
    <xf numFmtId="0" fontId="152" fillId="70" borderId="0" xfId="185" applyFont="1" applyFill="1" applyBorder="1"/>
    <xf numFmtId="0" fontId="153" fillId="70" borderId="0" xfId="185" applyFont="1" applyFill="1" applyBorder="1"/>
    <xf numFmtId="0" fontId="19" fillId="20" borderId="59" xfId="0" applyFont="1" applyFill="1" applyBorder="1" applyAlignment="1" applyProtection="1">
      <alignment vertical="center"/>
      <protection locked="0"/>
    </xf>
    <xf numFmtId="0" fontId="19" fillId="20" borderId="62" xfId="0" applyFont="1" applyFill="1" applyBorder="1" applyAlignment="1" applyProtection="1">
      <alignment vertical="center"/>
      <protection locked="0"/>
    </xf>
    <xf numFmtId="168" fontId="49" fillId="0" borderId="0" xfId="0" applyNumberFormat="1" applyFont="1" applyFill="1"/>
    <xf numFmtId="168" fontId="65" fillId="71" borderId="30" xfId="185" applyNumberFormat="1" applyFill="1" applyBorder="1"/>
    <xf numFmtId="0" fontId="12" fillId="70" borderId="0" xfId="0" applyFont="1" applyFill="1"/>
    <xf numFmtId="169" fontId="12" fillId="72" borderId="0" xfId="53" applyNumberFormat="1" applyFill="1" applyBorder="1"/>
    <xf numFmtId="169" fontId="12" fillId="70" borderId="0" xfId="53" applyNumberFormat="1" applyFill="1" applyBorder="1"/>
    <xf numFmtId="168" fontId="122" fillId="27" borderId="126" xfId="185" applyNumberFormat="1" applyFont="1" applyFill="1" applyBorder="1"/>
    <xf numFmtId="168" fontId="1" fillId="27" borderId="0" xfId="59029" applyNumberFormat="1" applyFill="1"/>
    <xf numFmtId="14" fontId="49" fillId="0" borderId="0" xfId="0" applyNumberFormat="1" applyFont="1" applyBorder="1" applyAlignment="1">
      <alignment horizontal="left" vertical="top" wrapText="1"/>
    </xf>
    <xf numFmtId="0" fontId="49" fillId="0" borderId="0" xfId="0" applyFont="1" applyBorder="1" applyAlignment="1">
      <alignment horizontal="left" vertical="top" wrapText="1"/>
    </xf>
    <xf numFmtId="0" fontId="58" fillId="21" borderId="16" xfId="0" applyFont="1" applyFill="1" applyBorder="1" applyAlignment="1">
      <alignment horizontal="center" vertical="top" wrapText="1"/>
    </xf>
    <xf numFmtId="0" fontId="58" fillId="21" borderId="17" xfId="0" applyFont="1" applyFill="1" applyBorder="1" applyAlignment="1">
      <alignment horizontal="center" vertical="top" wrapText="1"/>
    </xf>
    <xf numFmtId="0" fontId="58" fillId="21" borderId="24" xfId="0" applyFont="1" applyFill="1" applyBorder="1" applyAlignment="1">
      <alignment horizontal="center" vertical="top" wrapText="1"/>
    </xf>
    <xf numFmtId="0" fontId="58" fillId="21" borderId="16" xfId="0" quotePrefix="1" applyFont="1" applyFill="1" applyBorder="1" applyAlignment="1">
      <alignment horizontal="center" vertical="top" wrapText="1"/>
    </xf>
    <xf numFmtId="0" fontId="58" fillId="21" borderId="24" xfId="0" quotePrefix="1" applyFont="1" applyFill="1" applyBorder="1" applyAlignment="1">
      <alignment horizontal="center" vertical="top" wrapText="1"/>
    </xf>
    <xf numFmtId="0" fontId="50" fillId="22" borderId="25" xfId="0" applyFont="1" applyFill="1" applyBorder="1" applyAlignment="1">
      <alignment horizontal="center" vertical="top" wrapText="1"/>
    </xf>
    <xf numFmtId="0" fontId="50" fillId="22" borderId="25" xfId="0" applyFont="1" applyFill="1" applyBorder="1" applyAlignment="1">
      <alignment horizontal="center" vertical="top"/>
    </xf>
    <xf numFmtId="0" fontId="50" fillId="22" borderId="16" xfId="0" applyFont="1" applyFill="1" applyBorder="1" applyAlignment="1">
      <alignment horizontal="left" vertical="top"/>
    </xf>
    <xf numFmtId="0" fontId="50" fillId="22" borderId="17" xfId="0" applyFont="1" applyFill="1" applyBorder="1" applyAlignment="1">
      <alignment horizontal="left" vertical="top"/>
    </xf>
    <xf numFmtId="0" fontId="50" fillId="22" borderId="24" xfId="0" applyFont="1" applyFill="1" applyBorder="1" applyAlignment="1">
      <alignment horizontal="left" vertical="top"/>
    </xf>
    <xf numFmtId="0" fontId="49" fillId="0" borderId="0" xfId="0" applyFont="1" applyFill="1" applyAlignment="1">
      <alignment vertical="top"/>
    </xf>
    <xf numFmtId="0" fontId="50" fillId="23" borderId="16" xfId="0" applyFont="1" applyFill="1" applyBorder="1" applyAlignment="1">
      <alignment horizontal="left" vertical="top" wrapText="1"/>
    </xf>
    <xf numFmtId="0" fontId="50" fillId="23" borderId="17" xfId="0" applyFont="1" applyFill="1" applyBorder="1" applyAlignment="1">
      <alignment horizontal="left" vertical="top" wrapText="1"/>
    </xf>
    <xf numFmtId="0" fontId="50" fillId="23" borderId="24" xfId="0" applyFont="1" applyFill="1" applyBorder="1" applyAlignment="1">
      <alignment horizontal="left" vertical="top" wrapText="1"/>
    </xf>
    <xf numFmtId="0" fontId="49" fillId="0" borderId="16" xfId="0" applyFont="1" applyBorder="1" applyAlignment="1">
      <alignment horizontal="left" vertical="top" wrapText="1"/>
    </xf>
    <xf numFmtId="0" fontId="49" fillId="0" borderId="17" xfId="0" applyFont="1" applyBorder="1" applyAlignment="1">
      <alignment horizontal="left" vertical="top" wrapText="1"/>
    </xf>
    <xf numFmtId="0" fontId="49" fillId="0" borderId="24" xfId="0" applyFont="1" applyBorder="1" applyAlignment="1">
      <alignment horizontal="left" vertical="top" wrapText="1"/>
    </xf>
    <xf numFmtId="0" fontId="49" fillId="0" borderId="0" xfId="0" applyFont="1" applyFill="1" applyAlignment="1">
      <alignment vertical="top" wrapText="1"/>
    </xf>
    <xf numFmtId="0" fontId="49" fillId="0" borderId="0" xfId="0" applyFont="1" applyFill="1" applyAlignment="1">
      <alignment horizontal="left" vertical="top" wrapText="1"/>
    </xf>
  </cellXfs>
  <cellStyles count="59031">
    <cellStyle name="_x0013_" xfId="40206"/>
    <cellStyle name="          _x000d__x000a_386grabber=VGA.3GR_x000d__x000a_" xfId="40207"/>
    <cellStyle name="          _x000d__x000a_386grabber=VGA.3GR_x000d__x000a_ 2" xfId="40208"/>
    <cellStyle name=" 1" xfId="40209"/>
    <cellStyle name=" 1 2" xfId="40210"/>
    <cellStyle name=" 1 3" xfId="40211"/>
    <cellStyle name="_x0013_ 10" xfId="40212"/>
    <cellStyle name="_x0013_ 11" xfId="40213"/>
    <cellStyle name="_x0013_ 12" xfId="40214"/>
    <cellStyle name="_x0013_ 2" xfId="40215"/>
    <cellStyle name="_x0013_ 2 2" xfId="40216"/>
    <cellStyle name="_x0013_ 2 3" xfId="40217"/>
    <cellStyle name="_x0013_ 3" xfId="40218"/>
    <cellStyle name="_x0013_ 3 2" xfId="40219"/>
    <cellStyle name="_x0013_ 4" xfId="40220"/>
    <cellStyle name="_x0013_ 4 2" xfId="40221"/>
    <cellStyle name="_x0013_ 5" xfId="40222"/>
    <cellStyle name="_x0013_ 5 2" xfId="40223"/>
    <cellStyle name="_x0013_ 6" xfId="40224"/>
    <cellStyle name="_x0013_ 6 2" xfId="40225"/>
    <cellStyle name="_x0013_ 7" xfId="40226"/>
    <cellStyle name="_x0013_ 7 2" xfId="40227"/>
    <cellStyle name="_x0013_ 8" xfId="40228"/>
    <cellStyle name="_x0013_ 9" xfId="40229"/>
    <cellStyle name=" _x0007_LÓ_x0018_ÄþÍN^NuNVþˆHÁ_x0001__x0018_(n" xfId="40230"/>
    <cellStyle name=" _x0007_LÓ_x0018_ÄþÍN^NuNVþˆHÁ_x0001__x0018_(n 2" xfId="40231"/>
    <cellStyle name=" _x0007_LÓ_x0018_ÄþÍN^NuNVþˆHÁ_x0001__x0018_(n 3" xfId="40232"/>
    <cellStyle name="_x000a__x000a_JournalTemplate=C:\COMFO\CTALK\JOURSTD.TPL_x000a__x000a_LbStateAddress=3 3 0 251 1 89 2 311_x000a__x000a_LbStateJou 3" xfId="40233"/>
    <cellStyle name="_x000a__x000a_JournalTemplate=C:\COMFO\CTALK\JOURSTD.TPL_x000a__x000a_LbStateAddress=3 3 0 251 1 89 2 311_x000a__x000a_LbStateJou 3 2" xfId="40234"/>
    <cellStyle name="_x000d__x000a_JournalTemplate=C:\COMFO\CTALK\JOURSTD.TPL_x000d__x000a_LbStateAddress=3 3 0 251 1 89 2 311_x000d__x000a_LbStateJou" xfId="40235"/>
    <cellStyle name="_x000d__x000a_JournalTemplate=C:\COMFO\CTALK\JOURSTD.TPL_x000d__x000a_LbStateAddress=3 3 0 251 1 89 2 311_x000d__x000a_LbStateJou 2" xfId="40236"/>
    <cellStyle name="_x000d__x000a_JournalTemplate=C:\COMFO\CTALK\JOURSTD.TPL_x000d__x000a_LbStateAddress=3 3 0 251 1 89 2 311_x000d__x000a_LbStateJou 3" xfId="40237"/>
    <cellStyle name="_x000d__x000a_JournalTemplate=C:\COMFO\CTALK\JOURSTD.TPL_x000d__x000a_LbStateAddress=3 3 0 251 1 89 2 311_x000d__x000a_LbStateJou 3 2" xfId="40238"/>
    <cellStyle name="_x000d__x000a_JournalTemplate=C:\COMFO\CTALK\JOURSTD.TPL_x000d__x000a_LbStateAddress=3 3 0 251 1 89 2 311_x000d__x000a_LbStateJou 3 2 2" xfId="40239"/>
    <cellStyle name="_x000d__x000a_JournalTemplate=C:\COMFO\CTALK\JOURSTD.TPL_x000d__x000a_LbStateAddress=3 3 0 251 1 89 2 311_x000d__x000a_LbStateJou 3 3" xfId="40240"/>
    <cellStyle name="_x000d__x000a_JournalTemplate=C:\COMFO\CTALK\JOURSTD.TPL_x000d__x000a_LbStateAddress=3 3 0 251 1 89 2 311_x000d__x000a_LbStateJou 3_5-11 Contract 895 A1_Optimise_Section_E_Tables_091005" xfId="40241"/>
    <cellStyle name="_x000d__x000a_JournalTemplate=C:\COMFO\CTALK\JOURSTD.TPL_x000d__x000a_LbStateAddress=3 3 0 251 1 89 2 311_x000d__x000a_LbStateJou 4" xfId="40242"/>
    <cellStyle name="_x000d__x000a_JournalTemplate=C:\COMFO\CTALK\JOURSTD.TPL_x000d__x000a_LbStateAddress=3 3 0 251 1 89 2 311_x000d__x000a_LbStateJou 5" xfId="40243"/>
    <cellStyle name="#" xfId="40244"/>
    <cellStyle name="# 2" xfId="40245"/>
    <cellStyle name="##" xfId="40246"/>
    <cellStyle name="## 2" xfId="40247"/>
    <cellStyle name="#_2049876_2" xfId="40248"/>
    <cellStyle name="#_2049876_2 2" xfId="40249"/>
    <cellStyle name="#_2074017_2" xfId="40250"/>
    <cellStyle name="#_274333_1" xfId="40251"/>
    <cellStyle name="#_287612_1" xfId="40252"/>
    <cellStyle name="#_311889_66" xfId="40253"/>
    <cellStyle name="#_370054_125" xfId="40254"/>
    <cellStyle name="#_370054_125 2" xfId="40255"/>
    <cellStyle name="#_418421_2" xfId="40256"/>
    <cellStyle name="#_418421_2 2" xfId="40257"/>
    <cellStyle name="#_472327_1" xfId="40258"/>
    <cellStyle name="#_472327_1 2" xfId="40259"/>
    <cellStyle name="#_473760_1" xfId="40260"/>
    <cellStyle name="#_473760_1 2" xfId="40261"/>
    <cellStyle name="#_477876_3" xfId="40262"/>
    <cellStyle name="#_681472_1" xfId="40263"/>
    <cellStyle name="#_Book5 (5)" xfId="40264"/>
    <cellStyle name="#_Kingdom Model - 24 May LIVE - AUDITED - with customer bills sheet (102-bullied)" xfId="40265"/>
    <cellStyle name="#_Kingdom Model - 24 May LIVE - AUDITED - with customer bills sheet (102-bullied) 2" xfId="40266"/>
    <cellStyle name="#_Kingdom Model - 24 May LIVE - AUDITED - with customer bills sheet (v102)" xfId="40267"/>
    <cellStyle name="#_Kingdom Model - 24 May LIVE - AUDITED - with customer bills sheet (v102) 2" xfId="40268"/>
    <cellStyle name="#_Kingdom Model - 9 May 07 - LIVE" xfId="40269"/>
    <cellStyle name="#_Kingdom Model - 9 May 07 - LIVE 2" xfId="40270"/>
    <cellStyle name="#_Kingdom Model - bridge to corrected business plan - 21 May 07 MW" xfId="40271"/>
    <cellStyle name="#_Kingdom Model - bridge to corrected business plan - 21 May 07 MW 2" xfId="40272"/>
    <cellStyle name="#_Sen" xfId="40273"/>
    <cellStyle name="$ BOX" xfId="40274"/>
    <cellStyle name="$1000s (0)" xfId="40275"/>
    <cellStyle name="%" xfId="40276"/>
    <cellStyle name="% 2" xfId="40277"/>
    <cellStyle name="% 2 2" xfId="40278"/>
    <cellStyle name="% 3" xfId="40279"/>
    <cellStyle name="% 4" xfId="40280"/>
    <cellStyle name="%_~9868926" xfId="40281"/>
    <cellStyle name="%_2011 10 Nov R&amp;O Register Reporting (Working Copy) Finance Final" xfId="40282"/>
    <cellStyle name="%_2012 04 April R&amp;O Register IC Reporting" xfId="40283"/>
    <cellStyle name="%_7+5 reconciliation 21nov12" xfId="40284"/>
    <cellStyle name="%_7+5 waterfall DMC" xfId="40285"/>
    <cellStyle name="%_Adjustments" xfId="40286"/>
    <cellStyle name="%_Attachment G-1_Base Case" xfId="40287"/>
    <cellStyle name="%_Attachment G-1_Base Case 2" xfId="40288"/>
    <cellStyle name="%_Attachment G-1_Base Case 3" xfId="40289"/>
    <cellStyle name="%_Attachment G-3_Pricing Forms" xfId="40290"/>
    <cellStyle name="%_Attachment G-3_Pricing Forms 2" xfId="40291"/>
    <cellStyle name="%_B &amp; U by Inv Area &amp; Del" xfId="40292"/>
    <cellStyle name="%_Book1" xfId="40293"/>
    <cellStyle name="%_Book4" xfId="40294"/>
    <cellStyle name="%_Book4 2" xfId="40295"/>
    <cellStyle name="%_Book4 3" xfId="40296"/>
    <cellStyle name="%_Budget Finance" xfId="40297"/>
    <cellStyle name="%_Budget Finance 2" xfId="40298"/>
    <cellStyle name="%_budget risk items" xfId="40299"/>
    <cellStyle name="%_Capex Year 3 and AMP5 workings Budget v forecast (backup)" xfId="40300"/>
    <cellStyle name="%_cc_analysis" xfId="40301"/>
    <cellStyle name="%_commentary 16 Feb 2012" xfId="40302"/>
    <cellStyle name="%_Consolidated Business Cases" xfId="40303"/>
    <cellStyle name="%_Consolidated Business Cases 2" xfId="40304"/>
    <cellStyle name="%_Consolidated Business Cases 3" xfId="40305"/>
    <cellStyle name="%_Copy of Corporate waterfall stuart ledger +LBE 10-1-12 month end Jan 12 v3 16-02-12" xfId="40306"/>
    <cellStyle name="%_Copy of IRE R&amp;M 11-12 2011-03-08 TG1" xfId="40307"/>
    <cellStyle name="%_Copy of IRE R&amp;M 11-12 2011-03-08 TG1 2" xfId="40308"/>
    <cellStyle name="%_Copy of IRE R&amp;M 11-12 2011-03-08 TG1 3" xfId="40309"/>
    <cellStyle name="%_Corporate waterfall stuart ledger +LBE month end March 12v1" xfId="40310"/>
    <cellStyle name="%_Corporate waterfall stuart ledger +LBE month end March 12v2 19-04-2012" xfId="40311"/>
    <cellStyle name="%_Corporate waterfall stuart ledger 10-1-12 month end Dec 11" xfId="40312"/>
    <cellStyle name="%_Exhibit C - 4 - Xerox Midrange Pricing Template HCL Revised " xfId="40313"/>
    <cellStyle name="%_Exhibit C - 4 - Xerox Midrange Pricing Template HCL Revised  2" xfId="40314"/>
    <cellStyle name="%_Exhibit C - 4 - Xerox Midrange Pricing Template HCL Revised  3" xfId="40315"/>
    <cellStyle name="%_Exhibit C - 4a - Xerox Midrange Pricing Template v9" xfId="40316"/>
    <cellStyle name="%_Exhibit C - 4a - Xerox Midrange Pricing Template v9 2" xfId="40317"/>
    <cellStyle name="%_Exhibit C - 4a - Xerox Midrange Pricing Template v9 3" xfId="40318"/>
    <cellStyle name="%_EY Help Desk Services RFP Pricing Workbook Final 6 2 08" xfId="40319"/>
    <cellStyle name="%_EY Help Desk Services RFP Pricing Workbook Final 6 2 08 2" xfId="40320"/>
    <cellStyle name="%_EY Help Desk Services RFP Pricing Workbook Final 6 2 08 3" xfId="40321"/>
    <cellStyle name="%_Flash Report - 12 - Mar12 - Draft - 03Apr12 pm - Values Only copy" xfId="40322"/>
    <cellStyle name="%_Forecast March 2012 (FINAL On SAP 8th Mar 2012)" xfId="40323"/>
    <cellStyle name="%_Forecast_scenarios_010512" xfId="40324"/>
    <cellStyle name="%_Forecast_scenarios_010512 2" xfId="40325"/>
    <cellStyle name="%_IBP by Inv Area" xfId="40326"/>
    <cellStyle name="%_Monthly Forecast (11+1) - 06Mar12 v3 - Values Only copy" xfId="40327"/>
    <cellStyle name="%_Outsource" xfId="40328"/>
    <cellStyle name="%_Outsource 2" xfId="40329"/>
    <cellStyle name="%_Overall" xfId="40330"/>
    <cellStyle name="%_Record of Manual Changes" xfId="40331"/>
    <cellStyle name="%_Record of Manual Changes_1" xfId="40332"/>
    <cellStyle name="%_Record of Manual Changes_1 2" xfId="40333"/>
    <cellStyle name="%_Record of Manual Changes_1 2_Adjustments" xfId="40334"/>
    <cellStyle name="%_Record of Manual Changes_1 2_Overall" xfId="40335"/>
    <cellStyle name="%_SAP Accruals" xfId="40336"/>
    <cellStyle name="%_SAP Costs" xfId="40337"/>
    <cellStyle name="%_SAP Profiles - CM" xfId="40338"/>
    <cellStyle name="%_Service Master 010608_V8.xls - Rahul" xfId="40339"/>
    <cellStyle name="%_Service Master 010608_V8.xls - Rahul 2" xfId="40340"/>
    <cellStyle name="%_Service Master 010608_V8.xls - Rahul 3" xfId="40341"/>
    <cellStyle name="%_SHS consolidated tools BOM" xfId="40342"/>
    <cellStyle name="%_SHS consolidated tools BOM 2" xfId="40343"/>
    <cellStyle name="%_SHS consolidated tools BOM 3" xfId="40344"/>
    <cellStyle name="%_SHS_consolidated_tools_BOM" xfId="40345"/>
    <cellStyle name="%_SHS_consolidated_tools_BOM 2" xfId="40346"/>
    <cellStyle name="%_SHS_consolidated_tools_BOM 3" xfId="40347"/>
    <cellStyle name="%_UMG Financial Model - Apps V 2.0" xfId="40348"/>
    <cellStyle name="%_UMG Financial Model - Apps V 2.0 2" xfId="40349"/>
    <cellStyle name="%_UMG Financial Model - Apps V 2.0 3" xfId="40350"/>
    <cellStyle name="%_UMG_ Pricing Model - Final" xfId="40351"/>
    <cellStyle name="%_UMG_ Pricing Model - Final 2" xfId="40352"/>
    <cellStyle name="%_UMG_ Pricing Model - Final 3" xfId="40353"/>
    <cellStyle name="%_Version-6(a)" xfId="40354"/>
    <cellStyle name="%_Version-6(a) 2" xfId="40355"/>
    <cellStyle name="%_Version-6(a) 3" xfId="40356"/>
    <cellStyle name="%_VoWD Data" xfId="40357"/>
    <cellStyle name="%_VoWD Data 2" xfId="40358"/>
    <cellStyle name="%_VoWD Data 2_Adjustments" xfId="40359"/>
    <cellStyle name="%_VoWD Data 2_Overall" xfId="40360"/>
    <cellStyle name="%_VoWD Data by Purpose Code" xfId="40361"/>
    <cellStyle name="%_VoWD Data by Purpose Code 2" xfId="40362"/>
    <cellStyle name="%_VoWD Data by Purpose Code 2_Adjustments" xfId="40363"/>
    <cellStyle name="%_VoWD Data by Purpose Code 2_Overall" xfId="40364"/>
    <cellStyle name="%_VoWD Data by Purpose Code_1" xfId="40365"/>
    <cellStyle name="%_VoWD Data_1" xfId="40366"/>
    <cellStyle name="%_Waterfalls for budget 2 Dec 2011" xfId="40367"/>
    <cellStyle name="%_WMG Alternate Pricing 220508" xfId="40368"/>
    <cellStyle name="%_WMG Alternate Pricing 220508 2" xfId="40369"/>
    <cellStyle name="%_WMG Alternate Pricing 220508 3" xfId="40370"/>
    <cellStyle name="%_WMG Pricing 210508" xfId="40371"/>
    <cellStyle name="%_WMG Pricing 210508 2" xfId="40372"/>
    <cellStyle name="%_WMG Pricing 210508 3" xfId="40373"/>
    <cellStyle name="%_WMG Pricing 280508" xfId="40374"/>
    <cellStyle name="%_WMG Pricing 280508 2" xfId="40375"/>
    <cellStyle name="%_WMG Pricing 280508 3" xfId="40376"/>
    <cellStyle name="%_WMG Staffing Solution Cross Functional for Gaurav" xfId="40377"/>
    <cellStyle name="%_WMG Staffing Solution Cross Functional for Gaurav 2" xfId="40378"/>
    <cellStyle name="%_WMG Staffing Solution Cross Functional for Gaurav 3" xfId="40379"/>
    <cellStyle name="%_WMG Staffing Solution EUC allocation for Gaurav" xfId="40380"/>
    <cellStyle name="%_WMG Staffing Solution EUC allocation for Gaurav 2" xfId="40381"/>
    <cellStyle name="%_WMG Staffing Solution EUC allocation for Gaurav 3" xfId="40382"/>
    <cellStyle name="%_WMG Staffing Solution Helpdesk allocation for Gaurav" xfId="40383"/>
    <cellStyle name="%_WMG Staffing Solution Helpdesk allocation for Gaurav 2" xfId="40384"/>
    <cellStyle name="%_WMG Staffing Solution Helpdesk allocation for Gaurav 3" xfId="40385"/>
    <cellStyle name="%_WOCs T21b JR11 data share" xfId="40386"/>
    <cellStyle name="%_WOCs T21b JR11 data share 2" xfId="40387"/>
    <cellStyle name="%_WOCs T21b JR11 data share 3" xfId="40388"/>
    <cellStyle name="%_WOCs T21b JR11 data share_CS Plan Opex AMP5-6 V1 Review Cycle2a" xfId="40389"/>
    <cellStyle name="%_WOCs T21b JR11 data share_CS Plan Opex AMP5-6 V1 Review Cycle2a 2" xfId="40390"/>
    <cellStyle name="%_WOCs T21b JR11 data share_CS Plan Opex AMP5-6 V1 Review Cycle2a 3" xfId="40391"/>
    <cellStyle name="%_Xerox pricing" xfId="40392"/>
    <cellStyle name="%_Xerox pricing 2" xfId="40393"/>
    <cellStyle name="%_Xerox pricing 3" xfId="40394"/>
    <cellStyle name=";;;" xfId="40395"/>
    <cellStyle name="]_x000a__x000a_Zoomed=1_x000a__x000a_Row=0_x000a__x000a_Column=0_x000a__x000a_Height=0_x000a__x000a_Width=0_x000a__x000a_FontName=FoxFont_x000a__x000a_FontStyle=0_x000a__x000a_FontSize=9_x000a__x000a_PrtFontName=FoxPrin" xfId="40396"/>
    <cellStyle name="]_x000a__x000a_Zoomed=1_x000a__x000a_Row=0_x000a__x000a_Column=0_x000a__x000a_Height=0_x000a__x000a_Width=0_x000a__x000a_FontName=FoxFont_x000a__x000a_FontStyle=0_x000a__x000a_FontSize=9_x000a__x000a_PrtFontName=FoxPrin 2" xfId="40397"/>
    <cellStyle name="]_x000a__x000a_Zoomed=1_x000a__x000a_Row=0_x000a__x000a_Column=0_x000a__x000a_Height=0_x000a__x000a_Width=0_x000a__x000a_FontName=FoxFont_x000a__x000a_FontStyle=0_x000a__x000a_FontSize=9_x000a__x000a_PrtFontName=FoxPrin 3" xfId="40398"/>
    <cellStyle name="]_x000a__x000a_Zoomed=1_x000a__x000a_Row=0_x000a__x000a_Column=0_x000a__x000a_Height=0_x000a__x000a_Width=0_x000a__x000a_FontName=FoxFont_x000a__x000a_FontStyle=0_x000a__x000a_FontSize=9_x000a__x000a_PrtFontName=FoxPrin 4" xfId="40399"/>
    <cellStyle name="]_x000d__x000a_Zoomed=1_x000d__x000a_Row=0_x000d__x000a_Column=0_x000d__x000a_Height=0_x000d__x000a_Width=0_x000d__x000a_FontName=FoxFont_x000d__x000a_FontStyle=0_x000d__x000a_FontSize=9_x000d__x000a_PrtFontName=FoxPrin" xfId="58"/>
    <cellStyle name="]_x000d__x000a_Zoomed=1_x000d__x000a_Row=0_x000d__x000a_Column=0_x000d__x000a_Height=0_x000d__x000a_Width=0_x000d__x000a_FontName=FoxFont_x000d__x000a_FontStyle=0_x000d__x000a_FontSize=9_x000d__x000a_PrtFontName=FoxPrin 10" xfId="40400"/>
    <cellStyle name="]_x000d__x000a_Zoomed=1_x000d__x000a_Row=0_x000d__x000a_Column=0_x000d__x000a_Height=0_x000d__x000a_Width=0_x000d__x000a_FontName=FoxFont_x000d__x000a_FontStyle=0_x000d__x000a_FontSize=9_x000d__x000a_PrtFontName=FoxPrin 2" xfId="40401"/>
    <cellStyle name="]_x000d__x000a_Zoomed=1_x000d__x000a_Row=0_x000d__x000a_Column=0_x000d__x000a_Height=0_x000d__x000a_Width=0_x000d__x000a_FontName=FoxFont_x000d__x000a_FontStyle=0_x000d__x000a_FontSize=9_x000d__x000a_PrtFontName=FoxPrin 2 10" xfId="40402"/>
    <cellStyle name="]_x000d__x000a_Zoomed=1_x000d__x000a_Row=0_x000d__x000a_Column=0_x000d__x000a_Height=0_x000d__x000a_Width=0_x000d__x000a_FontName=FoxFont_x000d__x000a_FontStyle=0_x000d__x000a_FontSize=9_x000d__x000a_PrtFontName=FoxPrin 2 11" xfId="40403"/>
    <cellStyle name="]_x000d__x000a_Zoomed=1_x000d__x000a_Row=0_x000d__x000a_Column=0_x000d__x000a_Height=0_x000d__x000a_Width=0_x000d__x000a_FontName=FoxFont_x000d__x000a_FontStyle=0_x000d__x000a_FontSize=9_x000d__x000a_PrtFontName=FoxPrin 2 2" xfId="40404"/>
    <cellStyle name="]_x000d__x000a_Zoomed=1_x000d__x000a_Row=0_x000d__x000a_Column=0_x000d__x000a_Height=0_x000d__x000a_Width=0_x000d__x000a_FontName=FoxFont_x000d__x000a_FontStyle=0_x000d__x000a_FontSize=9_x000d__x000a_PrtFontName=FoxPrin 2 2 2" xfId="40405"/>
    <cellStyle name="]_x000d__x000a_Zoomed=1_x000d__x000a_Row=0_x000d__x000a_Column=0_x000d__x000a_Height=0_x000d__x000a_Width=0_x000d__x000a_FontName=FoxFont_x000d__x000a_FontStyle=0_x000d__x000a_FontSize=9_x000d__x000a_PrtFontName=FoxPrin 2 3" xfId="40406"/>
    <cellStyle name="]_x000d__x000a_Zoomed=1_x000d__x000a_Row=0_x000d__x000a_Column=0_x000d__x000a_Height=0_x000d__x000a_Width=0_x000d__x000a_FontName=FoxFont_x000d__x000a_FontStyle=0_x000d__x000a_FontSize=9_x000d__x000a_PrtFontName=FoxPrin 2 4" xfId="40407"/>
    <cellStyle name="]_x000d__x000a_Zoomed=1_x000d__x000a_Row=0_x000d__x000a_Column=0_x000d__x000a_Height=0_x000d__x000a_Width=0_x000d__x000a_FontName=FoxFont_x000d__x000a_FontStyle=0_x000d__x000a_FontSize=9_x000d__x000a_PrtFontName=FoxPrin 2 5" xfId="40408"/>
    <cellStyle name="]_x000d__x000a_Zoomed=1_x000d__x000a_Row=0_x000d__x000a_Column=0_x000d__x000a_Height=0_x000d__x000a_Width=0_x000d__x000a_FontName=FoxFont_x000d__x000a_FontStyle=0_x000d__x000a_FontSize=9_x000d__x000a_PrtFontName=FoxPrin 2 6" xfId="40409"/>
    <cellStyle name="]_x000d__x000a_Zoomed=1_x000d__x000a_Row=0_x000d__x000a_Column=0_x000d__x000a_Height=0_x000d__x000a_Width=0_x000d__x000a_FontName=FoxFont_x000d__x000a_FontStyle=0_x000d__x000a_FontSize=9_x000d__x000a_PrtFontName=FoxPrin 2 7" xfId="40410"/>
    <cellStyle name="]_x000d__x000a_Zoomed=1_x000d__x000a_Row=0_x000d__x000a_Column=0_x000d__x000a_Height=0_x000d__x000a_Width=0_x000d__x000a_FontName=FoxFont_x000d__x000a_FontStyle=0_x000d__x000a_FontSize=9_x000d__x000a_PrtFontName=FoxPrin 2 8" xfId="40411"/>
    <cellStyle name="]_x000d__x000a_Zoomed=1_x000d__x000a_Row=0_x000d__x000a_Column=0_x000d__x000a_Height=0_x000d__x000a_Width=0_x000d__x000a_FontName=FoxFont_x000d__x000a_FontStyle=0_x000d__x000a_FontSize=9_x000d__x000a_PrtFontName=FoxPrin 2 9" xfId="40412"/>
    <cellStyle name="]_x000d__x000a_Zoomed=1_x000d__x000a_Row=0_x000d__x000a_Column=0_x000d__x000a_Height=0_x000d__x000a_Width=0_x000d__x000a_FontName=FoxFont_x000d__x000a_FontStyle=0_x000d__x000a_FontSize=9_x000d__x000a_PrtFontName=FoxPrin 2_IBP - COPI Uplift at Investment Area Level 01Feb12" xfId="40413"/>
    <cellStyle name="]_x000d__x000a_Zoomed=1_x000d__x000a_Row=0_x000d__x000a_Column=0_x000d__x000a_Height=0_x000d__x000a_Width=0_x000d__x000a_FontName=FoxFont_x000d__x000a_FontStyle=0_x000d__x000a_FontSize=9_x000d__x000a_PrtFontName=FoxPrin 3" xfId="40414"/>
    <cellStyle name="]_x000d__x000a_Zoomed=1_x000d__x000a_Row=0_x000d__x000a_Column=0_x000d__x000a_Height=0_x000d__x000a_Width=0_x000d__x000a_FontName=FoxFont_x000d__x000a_FontStyle=0_x000d__x000a_FontSize=9_x000d__x000a_PrtFontName=FoxPrin 3 10" xfId="40415"/>
    <cellStyle name="]_x000d__x000a_Zoomed=1_x000d__x000a_Row=0_x000d__x000a_Column=0_x000d__x000a_Height=0_x000d__x000a_Width=0_x000d__x000a_FontName=FoxFont_x000d__x000a_FontStyle=0_x000d__x000a_FontSize=9_x000d__x000a_PrtFontName=FoxPrin 3 2" xfId="40416"/>
    <cellStyle name="]_x000d__x000a_Zoomed=1_x000d__x000a_Row=0_x000d__x000a_Column=0_x000d__x000a_Height=0_x000d__x000a_Width=0_x000d__x000a_FontName=FoxFont_x000d__x000a_FontStyle=0_x000d__x000a_FontSize=9_x000d__x000a_PrtFontName=FoxPrin 3 3" xfId="40417"/>
    <cellStyle name="]_x000d__x000a_Zoomed=1_x000d__x000a_Row=0_x000d__x000a_Column=0_x000d__x000a_Height=0_x000d__x000a_Width=0_x000d__x000a_FontName=FoxFont_x000d__x000a_FontStyle=0_x000d__x000a_FontSize=9_x000d__x000a_PrtFontName=FoxPrin 3 4" xfId="40418"/>
    <cellStyle name="]_x000d__x000a_Zoomed=1_x000d__x000a_Row=0_x000d__x000a_Column=0_x000d__x000a_Height=0_x000d__x000a_Width=0_x000d__x000a_FontName=FoxFont_x000d__x000a_FontStyle=0_x000d__x000a_FontSize=9_x000d__x000a_PrtFontName=FoxPrin 3 5" xfId="40419"/>
    <cellStyle name="]_x000d__x000a_Zoomed=1_x000d__x000a_Row=0_x000d__x000a_Column=0_x000d__x000a_Height=0_x000d__x000a_Width=0_x000d__x000a_FontName=FoxFont_x000d__x000a_FontStyle=0_x000d__x000a_FontSize=9_x000d__x000a_PrtFontName=FoxPrin 3 6" xfId="40420"/>
    <cellStyle name="]_x000d__x000a_Zoomed=1_x000d__x000a_Row=0_x000d__x000a_Column=0_x000d__x000a_Height=0_x000d__x000a_Width=0_x000d__x000a_FontName=FoxFont_x000d__x000a_FontStyle=0_x000d__x000a_FontSize=9_x000d__x000a_PrtFontName=FoxPrin 3 7" xfId="40421"/>
    <cellStyle name="]_x000d__x000a_Zoomed=1_x000d__x000a_Row=0_x000d__x000a_Column=0_x000d__x000a_Height=0_x000d__x000a_Width=0_x000d__x000a_FontName=FoxFont_x000d__x000a_FontStyle=0_x000d__x000a_FontSize=9_x000d__x000a_PrtFontName=FoxPrin 3 8" xfId="40422"/>
    <cellStyle name="]_x000d__x000a_Zoomed=1_x000d__x000a_Row=0_x000d__x000a_Column=0_x000d__x000a_Height=0_x000d__x000a_Width=0_x000d__x000a_FontName=FoxFont_x000d__x000a_FontStyle=0_x000d__x000a_FontSize=9_x000d__x000a_PrtFontName=FoxPrin 3 9" xfId="40423"/>
    <cellStyle name="]_x000d__x000a_Zoomed=1_x000d__x000a_Row=0_x000d__x000a_Column=0_x000d__x000a_Height=0_x000d__x000a_Width=0_x000d__x000a_FontName=FoxFont_x000d__x000a_FontStyle=0_x000d__x000a_FontSize=9_x000d__x000a_PrtFontName=FoxPrin 3_IBP - COPI Uplift at Investment Area Level 01Feb12" xfId="40424"/>
    <cellStyle name="]_x000d__x000a_Zoomed=1_x000d__x000a_Row=0_x000d__x000a_Column=0_x000d__x000a_Height=0_x000d__x000a_Width=0_x000d__x000a_FontName=FoxFont_x000d__x000a_FontStyle=0_x000d__x000a_FontSize=9_x000d__x000a_PrtFontName=FoxPrin 4" xfId="40425"/>
    <cellStyle name="]_x000d__x000a_Zoomed=1_x000d__x000a_Row=0_x000d__x000a_Column=0_x000d__x000a_Height=0_x000d__x000a_Width=0_x000d__x000a_FontName=FoxFont_x000d__x000a_FontStyle=0_x000d__x000a_FontSize=9_x000d__x000a_PrtFontName=FoxPrin 4 2" xfId="40426"/>
    <cellStyle name="]_x000d__x000a_Zoomed=1_x000d__x000a_Row=0_x000d__x000a_Column=0_x000d__x000a_Height=0_x000d__x000a_Width=0_x000d__x000a_FontName=FoxFont_x000d__x000a_FontStyle=0_x000d__x000a_FontSize=9_x000d__x000a_PrtFontName=FoxPrin 5" xfId="40427"/>
    <cellStyle name="]_x000d__x000a_Zoomed=1_x000d__x000a_Row=0_x000d__x000a_Column=0_x000d__x000a_Height=0_x000d__x000a_Width=0_x000d__x000a_FontName=FoxFont_x000d__x000a_FontStyle=0_x000d__x000a_FontSize=9_x000d__x000a_PrtFontName=FoxPrin 5 2" xfId="40428"/>
    <cellStyle name="]_x000d__x000a_Zoomed=1_x000d__x000a_Row=0_x000d__x000a_Column=0_x000d__x000a_Height=0_x000d__x000a_Width=0_x000d__x000a_FontName=FoxFont_x000d__x000a_FontStyle=0_x000d__x000a_FontSize=9_x000d__x000a_PrtFontName=FoxPrin 6" xfId="40429"/>
    <cellStyle name="]_x000d__x000a_Zoomed=1_x000d__x000a_Row=0_x000d__x000a_Column=0_x000d__x000a_Height=0_x000d__x000a_Width=0_x000d__x000a_FontName=FoxFont_x000d__x000a_FontStyle=0_x000d__x000a_FontSize=9_x000d__x000a_PrtFontName=FoxPrin 6 2" xfId="40430"/>
    <cellStyle name="]_x000d__x000a_Zoomed=1_x000d__x000a_Row=0_x000d__x000a_Column=0_x000d__x000a_Height=0_x000d__x000a_Width=0_x000d__x000a_FontName=FoxFont_x000d__x000a_FontStyle=0_x000d__x000a_FontSize=9_x000d__x000a_PrtFontName=FoxPrin 7" xfId="40431"/>
    <cellStyle name="]_x000d__x000a_Zoomed=1_x000d__x000a_Row=0_x000d__x000a_Column=0_x000d__x000a_Height=0_x000d__x000a_Width=0_x000d__x000a_FontName=FoxFont_x000d__x000a_FontStyle=0_x000d__x000a_FontSize=9_x000d__x000a_PrtFontName=FoxPrin 7 2" xfId="40432"/>
    <cellStyle name="]_x000d__x000a_Zoomed=1_x000d__x000a_Row=0_x000d__x000a_Column=0_x000d__x000a_Height=0_x000d__x000a_Width=0_x000d__x000a_FontName=FoxFont_x000d__x000a_FontStyle=0_x000d__x000a_FontSize=9_x000d__x000a_PrtFontName=FoxPrin 8" xfId="40433"/>
    <cellStyle name="]_x000d__x000a_Zoomed=1_x000d__x000a_Row=0_x000d__x000a_Column=0_x000d__x000a_Height=0_x000d__x000a_Width=0_x000d__x000a_FontName=FoxFont_x000d__x000a_FontStyle=0_x000d__x000a_FontSize=9_x000d__x000a_PrtFontName=FoxPrin 8 2" xfId="40434"/>
    <cellStyle name="]_x000d__x000a_Zoomed=1_x000d__x000a_Row=0_x000d__x000a_Column=0_x000d__x000a_Height=0_x000d__x000a_Width=0_x000d__x000a_FontName=FoxFont_x000d__x000a_FontStyle=0_x000d__x000a_FontSize=9_x000d__x000a_PrtFontName=FoxPrin 9" xfId="40435"/>
    <cellStyle name="]_x000d__x000a_Zoomed=1_x000d__x000a_Row=0_x000d__x000a_Column=0_x000d__x000a_Height=0_x000d__x000a_Width=0_x000d__x000a_FontName=FoxFont_x000d__x000a_FontStyle=0_x000d__x000a_FontSize=9_x000d__x000a_PrtFontName=FoxPrin_2012 04 April R&amp;O Register IC Reporting" xfId="40436"/>
    <cellStyle name="_(28) SHS Attachment 4-D Resource Baselines 080718" xfId="40437"/>
    <cellStyle name="_(28) SHS Attachment 4-D Resource Baselines 080718 2" xfId="40438"/>
    <cellStyle name="_~0832484" xfId="40439"/>
    <cellStyle name="_~0832484 2" xfId="40440"/>
    <cellStyle name="_~0832484 2 2" xfId="40441"/>
    <cellStyle name="_~0832484 2 3" xfId="40442"/>
    <cellStyle name="_~0832484 3" xfId="40443"/>
    <cellStyle name="_~0832484 3 2" xfId="40444"/>
    <cellStyle name="_~0832484 4" xfId="40445"/>
    <cellStyle name="_~0832484 4 2" xfId="40446"/>
    <cellStyle name="_~0832484 5" xfId="40447"/>
    <cellStyle name="_~0832484 5 2" xfId="40448"/>
    <cellStyle name="_~0832484 6" xfId="40449"/>
    <cellStyle name="_~0832484 6 2" xfId="40450"/>
    <cellStyle name="_~0832484 7" xfId="40451"/>
    <cellStyle name="_~0832484 7 2" xfId="40452"/>
    <cellStyle name="_~0832484 8" xfId="40453"/>
    <cellStyle name="_~5040166" xfId="40454"/>
    <cellStyle name="_~5040166 2" xfId="40455"/>
    <cellStyle name="_~6515266" xfId="40456"/>
    <cellStyle name="_~6515266 2" xfId="40457"/>
    <cellStyle name="_~7661871" xfId="40458"/>
    <cellStyle name="_~7661871_budget risk items" xfId="40459"/>
    <cellStyle name="_~8906758" xfId="40460"/>
    <cellStyle name="_~9045721" xfId="40461"/>
    <cellStyle name="_~9045721 2" xfId="40462"/>
    <cellStyle name="_~9045721 2_Adjustments" xfId="40463"/>
    <cellStyle name="_~9045721 2_Overall" xfId="40464"/>
    <cellStyle name="_~9045721_B &amp; U by Inv Area &amp; Del" xfId="40465"/>
    <cellStyle name="_~9045721_budget risk items" xfId="40466"/>
    <cellStyle name="_~9045721_VoWD Data" xfId="40467"/>
    <cellStyle name="_~9045721_VoWD Data by Purpose Code" xfId="40468"/>
    <cellStyle name="_~9213445" xfId="40469"/>
    <cellStyle name="_~9515899" xfId="40470"/>
    <cellStyle name="_~9515899 2" xfId="40471"/>
    <cellStyle name="_~9515899 2 2" xfId="40472"/>
    <cellStyle name="_~9515899 2 3" xfId="40473"/>
    <cellStyle name="_~9515899 3" xfId="40474"/>
    <cellStyle name="_~9515899_Employment costs" xfId="40475"/>
    <cellStyle name="_~9515899_Employment costs 2" xfId="40476"/>
    <cellStyle name="_~9515899_Employment costs_1" xfId="40477"/>
    <cellStyle name="_~9515899_Employment costs_1 2" xfId="40478"/>
    <cellStyle name="_~9515899_Employment costs_2" xfId="40479"/>
    <cellStyle name="_~9515899_Employment costs_2 2" xfId="40480"/>
    <cellStyle name="_~9515899_Management Structure" xfId="40481"/>
    <cellStyle name="_~9515899_Management Structure 2" xfId="40482"/>
    <cellStyle name="_~9515899_Management Structure_1" xfId="40483"/>
    <cellStyle name="_~9515899_Management Structure_1 2" xfId="40484"/>
    <cellStyle name="_~9515899_Ops contracts" xfId="40485"/>
    <cellStyle name="_~9515899_Ops contracts 2" xfId="40486"/>
    <cellStyle name="_~9515899_Ops contracts_1" xfId="40487"/>
    <cellStyle name="_~9515899_Ops contracts_1 2" xfId="40488"/>
    <cellStyle name="_~9515899_Ops contracts_2" xfId="40489"/>
    <cellStyle name="_~9515899_Ops contracts_2 2" xfId="40490"/>
    <cellStyle name="_~9515899_Power" xfId="40491"/>
    <cellStyle name="_~9515899_Power 2" xfId="40492"/>
    <cellStyle name="_~9515899_Power_1" xfId="40493"/>
    <cellStyle name="_~9515899_Power_1 2" xfId="40494"/>
    <cellStyle name="_~9515899_Sheet1" xfId="40495"/>
    <cellStyle name="_~9515899_Sheet1 2" xfId="40496"/>
    <cellStyle name="_~9515899_TWUL_TOT_UKGAAP" xfId="40497"/>
    <cellStyle name="_~9515899_TWUL_TOT_UKGAAP 2" xfId="40498"/>
    <cellStyle name="_~9515899_TWUL_TOT_UKGAAP_1" xfId="40499"/>
    <cellStyle name="_~9515899_TWUL_TOT_UKGAAP_1 2" xfId="40500"/>
    <cellStyle name="_x0013__~9868926" xfId="40501"/>
    <cellStyle name="_008 Waterfalls CS (version 1)" xfId="40502"/>
    <cellStyle name="_008 Waterfalls CS (version 1) 2" xfId="40503"/>
    <cellStyle name="_008 Waterfalls CS (version 1) 3" xfId="40504"/>
    <cellStyle name="_0708 APPB V1_01.12.06pm" xfId="40505"/>
    <cellStyle name="_0708 APPB V1_01.12.06pm 2" xfId="40506"/>
    <cellStyle name="_0708 APPB V1_01.12.06pm 3" xfId="40507"/>
    <cellStyle name="_1. SDS uploader" xfId="40508"/>
    <cellStyle name="_1. SDS uploader 2" xfId="40509"/>
    <cellStyle name="_1. SDS uploader 2 2" xfId="40510"/>
    <cellStyle name="_1. SDS uploader 2 3" xfId="40511"/>
    <cellStyle name="_1. SDS uploader 2_Adjustments" xfId="40512"/>
    <cellStyle name="_1. SDS uploader 2_Overall" xfId="40513"/>
    <cellStyle name="_1. SDS uploader 3" xfId="40514"/>
    <cellStyle name="_1. SDS uploader 3 2" xfId="40515"/>
    <cellStyle name="_1. SDS uploader 4" xfId="40516"/>
    <cellStyle name="_1. SDS uploader 4 2" xfId="40517"/>
    <cellStyle name="_1. SDS uploader 5" xfId="40518"/>
    <cellStyle name="_1. SDS uploader 5 2" xfId="40519"/>
    <cellStyle name="_1. SDS uploader 6" xfId="40520"/>
    <cellStyle name="_1. SDS uploader 6 2" xfId="40521"/>
    <cellStyle name="_1. SDS uploader 7" xfId="40522"/>
    <cellStyle name="_1. SDS uploader 7 2" xfId="40523"/>
    <cellStyle name="_1. SDS uploader 8" xfId="40524"/>
    <cellStyle name="_1. SDS uploader_AffinPartner" xfId="40525"/>
    <cellStyle name="_1. SDS uploader_AffinPartner 2" xfId="40526"/>
    <cellStyle name="_1. SDS uploader_AffinPartner_1" xfId="40527"/>
    <cellStyle name="_1. SDS uploader_AffinPartner_1 2" xfId="40528"/>
    <cellStyle name="_1. SDS uploader_Asset_ManagementCON" xfId="40529"/>
    <cellStyle name="_1. SDS uploader_Asset_ManagementCON 2" xfId="40530"/>
    <cellStyle name="_1. SDS uploader_Asset_ManagementCON_1" xfId="40531"/>
    <cellStyle name="_1. SDS uploader_Asset_ManagementCON_1 2" xfId="40532"/>
    <cellStyle name="_1. SDS uploader_Asset_MgmtNonAppoint" xfId="40533"/>
    <cellStyle name="_1. SDS uploader_Asset_MgmtNonAppoint 2" xfId="40534"/>
    <cellStyle name="_1. SDS uploader_B &amp; U by Inv Area &amp; Del" xfId="40535"/>
    <cellStyle name="_1. SDS uploader_Budget Finance" xfId="40536"/>
    <cellStyle name="_1. SDS uploader_Budget Finance 2" xfId="40537"/>
    <cellStyle name="_1. SDS uploader_Budget Finance 3" xfId="40538"/>
    <cellStyle name="_1. SDS uploader_budget risk items" xfId="40539"/>
    <cellStyle name="_1. SDS uploader_Capital_DeliveryCON" xfId="40540"/>
    <cellStyle name="_1. SDS uploader_Capital_DeliveryCON 2" xfId="40541"/>
    <cellStyle name="_1. SDS uploader_Central_Items" xfId="40542"/>
    <cellStyle name="_1. SDS uploader_Central_Items 2" xfId="40543"/>
    <cellStyle name="_1. SDS uploader_Central_Items_1" xfId="40544"/>
    <cellStyle name="_1. SDS uploader_Central_Items_1 2" xfId="40545"/>
    <cellStyle name="_1. SDS uploader_Central_Items_2" xfId="40546"/>
    <cellStyle name="_1. SDS uploader_Central_Items_2 2" xfId="40547"/>
    <cellStyle name="_1. SDS uploader_CENTRE" xfId="40548"/>
    <cellStyle name="_1. SDS uploader_CENTRE 2" xfId="40549"/>
    <cellStyle name="_1. SDS uploader_CENTRE_1" xfId="40550"/>
    <cellStyle name="_1. SDS uploader_CENTRE_1 2" xfId="40551"/>
    <cellStyle name="_1. SDS uploader_CENTRE_2" xfId="40552"/>
    <cellStyle name="_1. SDS uploader_CENTRE_2 2" xfId="40553"/>
    <cellStyle name="_1. SDS uploader_CENTRE_Check" xfId="40554"/>
    <cellStyle name="_1. SDS uploader_CENTRE_Check 2" xfId="40555"/>
    <cellStyle name="_1. SDS uploader_CENTRE_TWPROP" xfId="40556"/>
    <cellStyle name="_1. SDS uploader_CENTRE_TWPROP 2" xfId="40557"/>
    <cellStyle name="_1. SDS uploader_Check" xfId="40558"/>
    <cellStyle name="_1. SDS uploader_Check 2" xfId="40559"/>
    <cellStyle name="_1. SDS uploader_CommCentral" xfId="40560"/>
    <cellStyle name="_1. SDS uploader_CommCentral 2" xfId="40561"/>
    <cellStyle name="_1. SDS uploader_CommCentral_1" xfId="40562"/>
    <cellStyle name="_1. SDS uploader_CommCentral_1 2" xfId="40563"/>
    <cellStyle name="_1. SDS uploader_CommProjects" xfId="40564"/>
    <cellStyle name="_1. SDS uploader_CommProjects 2" xfId="40565"/>
    <cellStyle name="_1. SDS uploader_CommProjects_1" xfId="40566"/>
    <cellStyle name="_1. SDS uploader_CommProjects_1 2" xfId="40567"/>
    <cellStyle name="_1. SDS uploader_CONSOL_G" xfId="40568"/>
    <cellStyle name="_1. SDS uploader_CONSOL_G 2" xfId="40569"/>
    <cellStyle name="_1. SDS uploader_CServices_SwindonCON" xfId="40570"/>
    <cellStyle name="_1. SDS uploader_CServices_SwindonCON 2" xfId="40571"/>
    <cellStyle name="_1. SDS uploader_Employment costs" xfId="40572"/>
    <cellStyle name="_1. SDS uploader_Employment costs 2" xfId="40573"/>
    <cellStyle name="_1. SDS uploader_Employment costs_1" xfId="40574"/>
    <cellStyle name="_1. SDS uploader_Employment costs_1 2" xfId="40575"/>
    <cellStyle name="_1. SDS uploader_Employment costs_2" xfId="40576"/>
    <cellStyle name="_1. SDS uploader_Employment costs_2 2" xfId="40577"/>
    <cellStyle name="_1. SDS uploader_External_Affairs" xfId="40578"/>
    <cellStyle name="_1. SDS uploader_External_Affairs 2" xfId="40579"/>
    <cellStyle name="_1. SDS uploader_External_Affairs_1" xfId="40580"/>
    <cellStyle name="_1. SDS uploader_External_Affairs_1 2" xfId="40581"/>
    <cellStyle name="_1. SDS uploader_Finance" xfId="40582"/>
    <cellStyle name="_1. SDS uploader_Finance 2" xfId="40583"/>
    <cellStyle name="_1. SDS uploader_Finance_1" xfId="40584"/>
    <cellStyle name="_1. SDS uploader_Finance_1 2" xfId="40585"/>
    <cellStyle name="_1. SDS uploader_Fleet" xfId="40586"/>
    <cellStyle name="_1. SDS uploader_Fleet 2" xfId="40587"/>
    <cellStyle name="_1. SDS uploader_Fleet_1" xfId="40588"/>
    <cellStyle name="_1. SDS uploader_Fleet_1 2" xfId="40589"/>
    <cellStyle name="_1. SDS uploader_Fst-Bud Summary" xfId="40590"/>
    <cellStyle name="_1. SDS uploader_Fst-Bud Summary 2" xfId="40591"/>
    <cellStyle name="_1. SDS uploader_Fst-Bud Summary 3" xfId="40592"/>
    <cellStyle name="_1. SDS uploader_General_Councel" xfId="40593"/>
    <cellStyle name="_1. SDS uploader_General_Councel 2" xfId="40594"/>
    <cellStyle name="_1. SDS uploader_General_Councel_1" xfId="40595"/>
    <cellStyle name="_1. SDS uploader_General_Councel_1 2" xfId="40596"/>
    <cellStyle name="_1. SDS uploader_Human_Resources" xfId="40597"/>
    <cellStyle name="_1. SDS uploader_Human_Resources 2" xfId="40598"/>
    <cellStyle name="_1. SDS uploader_Human_Resources_1" xfId="40599"/>
    <cellStyle name="_1. SDS uploader_Human_Resources_1 2" xfId="40600"/>
    <cellStyle name="_1. SDS uploader_Innovation" xfId="40601"/>
    <cellStyle name="_1. SDS uploader_Innovation 2" xfId="40602"/>
    <cellStyle name="_1. SDS uploader_Innovation_1" xfId="40603"/>
    <cellStyle name="_1. SDS uploader_Innovation_1 2" xfId="40604"/>
    <cellStyle name="_1. SDS uploader_IT" xfId="40605"/>
    <cellStyle name="_1. SDS uploader_IT 2" xfId="40606"/>
    <cellStyle name="_1. SDS uploader_IT_1" xfId="40607"/>
    <cellStyle name="_1. SDS uploader_IT_1 2" xfId="40608"/>
    <cellStyle name="_1. SDS uploader_KWFLtd" xfId="40609"/>
    <cellStyle name="_1. SDS uploader_KWFLtd 2" xfId="40610"/>
    <cellStyle name="_1. SDS uploader_KWHLTD_G" xfId="40611"/>
    <cellStyle name="_1. SDS uploader_KWHLTD_G 2" xfId="40612"/>
    <cellStyle name="_1. SDS uploader_KWHLTD_G_1" xfId="40613"/>
    <cellStyle name="_1. SDS uploader_KWHLTD_G_1 2" xfId="40614"/>
    <cellStyle name="_1. SDS uploader_KWHLTD_G_2" xfId="40615"/>
    <cellStyle name="_1. SDS uploader_KWHLTD_G_2 2" xfId="40616"/>
    <cellStyle name="_1. SDS uploader_Major_ProjectsCON" xfId="40617"/>
    <cellStyle name="_1. SDS uploader_Major_ProjectsCON 2" xfId="40618"/>
    <cellStyle name="_1. SDS uploader_Management Structure" xfId="40619"/>
    <cellStyle name="_1. SDS uploader_Management Structure 2" xfId="40620"/>
    <cellStyle name="_1. SDS uploader_Management Structure_1" xfId="40621"/>
    <cellStyle name="_1. SDS uploader_Management Structure_1 2" xfId="40622"/>
    <cellStyle name="_1. SDS uploader_Operations" xfId="40623"/>
    <cellStyle name="_1. SDS uploader_Operations 2" xfId="40624"/>
    <cellStyle name="_1. SDS uploader_Operations_1" xfId="40625"/>
    <cellStyle name="_1. SDS uploader_Operations_1 2" xfId="40626"/>
    <cellStyle name="_1. SDS uploader_Ops contracts" xfId="40627"/>
    <cellStyle name="_1. SDS uploader_Ops contracts 2" xfId="40628"/>
    <cellStyle name="_1. SDS uploader_Ops contracts_1" xfId="40629"/>
    <cellStyle name="_1. SDS uploader_Ops contracts_1 2" xfId="40630"/>
    <cellStyle name="_1. SDS uploader_Ops contracts_2" xfId="40631"/>
    <cellStyle name="_1. SDS uploader_Ops contracts_2 2" xfId="40632"/>
    <cellStyle name="_1. SDS uploader_OtherSS" xfId="40633"/>
    <cellStyle name="_1. SDS uploader_OtherSS 2" xfId="40634"/>
    <cellStyle name="_1. SDS uploader_OtherSS_1" xfId="40635"/>
    <cellStyle name="_1. SDS uploader_OtherSS_1 2" xfId="40636"/>
    <cellStyle name="_1. SDS uploader_P&amp;L_AMP5" xfId="40637"/>
    <cellStyle name="_1. SDS uploader_P&amp;L_AMP5 2" xfId="40638"/>
    <cellStyle name="_1. SDS uploader_Power" xfId="40639"/>
    <cellStyle name="_1. SDS uploader_Power 2" xfId="40640"/>
    <cellStyle name="_1. SDS uploader_Power_1" xfId="40641"/>
    <cellStyle name="_1. SDS uploader_Power_1 2" xfId="40642"/>
    <cellStyle name="_1. SDS uploader_Property_Facilities" xfId="40643"/>
    <cellStyle name="_1. SDS uploader_Property_Facilities 2" xfId="40644"/>
    <cellStyle name="_1. SDS uploader_Property_Facilities_1" xfId="40645"/>
    <cellStyle name="_1. SDS uploader_Property_Facilities_1 2" xfId="40646"/>
    <cellStyle name="_1. SDS uploader_PropertyDisposals" xfId="40647"/>
    <cellStyle name="_1. SDS uploader_PropertyDisposals 2" xfId="40648"/>
    <cellStyle name="_1. SDS uploader_PropFacilitiesNonApp" xfId="40649"/>
    <cellStyle name="_1. SDS uploader_PropFacilitiesNonApp 2" xfId="40650"/>
    <cellStyle name="_1. SDS uploader_PropFacilitiesNonApp_1" xfId="40651"/>
    <cellStyle name="_1. SDS uploader_PropFacilitiesNonApp_1 2" xfId="40652"/>
    <cellStyle name="_1. SDS uploader_PropSearch_Home" xfId="40653"/>
    <cellStyle name="_1. SDS uploader_PropSearch_Home 2" xfId="40654"/>
    <cellStyle name="_1. SDS uploader_PropSearch_Home_1" xfId="40655"/>
    <cellStyle name="_1. SDS uploader_PropSearch_Home_1 2" xfId="40656"/>
    <cellStyle name="_1. SDS uploader_Retail" xfId="40657"/>
    <cellStyle name="_1. SDS uploader_Retail 2" xfId="40658"/>
    <cellStyle name="_1. SDS uploader_Retail_1" xfId="40659"/>
    <cellStyle name="_1. SDS uploader_Retail_1 2" xfId="40660"/>
    <cellStyle name="_1. SDS uploader_Sheet1" xfId="40661"/>
    <cellStyle name="_1. SDS uploader_Sheet1 2" xfId="40662"/>
    <cellStyle name="_1. SDS uploader_Strategy_Reg" xfId="40663"/>
    <cellStyle name="_1. SDS uploader_Strategy_Reg 2" xfId="40664"/>
    <cellStyle name="_1. SDS uploader_Strategy_Reg_1" xfId="40665"/>
    <cellStyle name="_1. SDS uploader_Strategy_Reg_1 2" xfId="40666"/>
    <cellStyle name="_1. SDS uploader_SupplyChain" xfId="40667"/>
    <cellStyle name="_1. SDS uploader_SupplyChain 2" xfId="40668"/>
    <cellStyle name="_1. SDS uploader_SupplyChain_1" xfId="40669"/>
    <cellStyle name="_1. SDS uploader_SupplyChain_1 2" xfId="40670"/>
    <cellStyle name="_1. SDS uploader_TWHCON" xfId="40671"/>
    <cellStyle name="_1. SDS uploader_TWHCON 2" xfId="40672"/>
    <cellStyle name="_1. SDS uploader_TWPROP" xfId="40673"/>
    <cellStyle name="_1. SDS uploader_TWPROP 2" xfId="40674"/>
    <cellStyle name="_1. SDS uploader_TWPROP_1" xfId="40675"/>
    <cellStyle name="_1. SDS uploader_TWPROP_1 2" xfId="40676"/>
    <cellStyle name="_1. SDS uploader_TWPROP_2" xfId="40677"/>
    <cellStyle name="_1. SDS uploader_TWPROP_2 2" xfId="40678"/>
    <cellStyle name="_1. SDS uploader_TWUCOR" xfId="40679"/>
    <cellStyle name="_1. SDS uploader_TWUCOR 2" xfId="40680"/>
    <cellStyle name="_1. SDS uploader_TWUCOR_1" xfId="40681"/>
    <cellStyle name="_1. SDS uploader_TWUCOR_1 2" xfId="40682"/>
    <cellStyle name="_1. SDS uploader_TWUL_TOT_UKGAAP" xfId="40683"/>
    <cellStyle name="_1. SDS uploader_TWUL_TOT_UKGAAP 2" xfId="40684"/>
    <cellStyle name="_1. SDS uploader_TWUL_TOT_UKGAAP_1" xfId="40685"/>
    <cellStyle name="_1. SDS uploader_TWUL_TOT_UKGAAP_1 2" xfId="40686"/>
    <cellStyle name="_1. SDS uploader_TWULCONJ" xfId="40687"/>
    <cellStyle name="_1. SDS uploader_TWULCONJ 2" xfId="40688"/>
    <cellStyle name="_1. SDS uploader_VoWD Data" xfId="40689"/>
    <cellStyle name="_1. SDS uploader_VoWD Data by Purpose Code" xfId="40690"/>
    <cellStyle name="_110602 CIS calculations" xfId="40691"/>
    <cellStyle name="_110602 CIS calculations 2" xfId="40692"/>
    <cellStyle name="_110602 CIS calculations 2 2" xfId="40693"/>
    <cellStyle name="_110602 CIS calculations 2 3" xfId="40694"/>
    <cellStyle name="_110602 CIS calculations 3" xfId="40695"/>
    <cellStyle name="_110602 CIS calculations 4" xfId="40696"/>
    <cellStyle name="_12-13 Budget v19 (updated Private Sewers Opexl)" xfId="40697"/>
    <cellStyle name="_12-13 Budget v19 (updated Private Sewers Opexl) 2" xfId="40698"/>
    <cellStyle name="_12-13 Budget v19 (updated Private Sewers Opexl) 2 2" xfId="40699"/>
    <cellStyle name="_12-13 Budget v19 (updated Private Sewers Opexl) 2 3" xfId="40700"/>
    <cellStyle name="_12-13 Budget v19 (updated Private Sewers Opexl) 3" xfId="40701"/>
    <cellStyle name="_12-13 Budget v19 (updated Private Sewers Opexl) 4" xfId="40702"/>
    <cellStyle name="_128904_8" xfId="40703"/>
    <cellStyle name="_128904_8 2" xfId="40704"/>
    <cellStyle name="_128904_8 2 2" xfId="40705"/>
    <cellStyle name="_128904_8 2 3" xfId="40706"/>
    <cellStyle name="_128904_8 3" xfId="40707"/>
    <cellStyle name="_128904_8 3 2" xfId="40708"/>
    <cellStyle name="_128904_8 4" xfId="40709"/>
    <cellStyle name="_128904_8_~0002420" xfId="40710"/>
    <cellStyle name="_128904_8_~0002420 2" xfId="40711"/>
    <cellStyle name="_128904_8_~0002420 3" xfId="40712"/>
    <cellStyle name="_128904_8_~0002420 4" xfId="40713"/>
    <cellStyle name="_128904_8_~0376079" xfId="40714"/>
    <cellStyle name="_128904_8_~0376079 2" xfId="40715"/>
    <cellStyle name="_128904_8_~0376079 3" xfId="40716"/>
    <cellStyle name="_128904_8_~0376079 4" xfId="40717"/>
    <cellStyle name="_128904_8_2011 10 Nov R&amp;O Register Reporting (Working Copy) Finance Final" xfId="40718"/>
    <cellStyle name="_128904_8_CS Plan Opex AMP5-6 V1 Review Cycle2a" xfId="40719"/>
    <cellStyle name="_128904_8_CS Plan Opex AMP5-6 V1 Review Cycle2a 2" xfId="40720"/>
    <cellStyle name="_128904_8_CS Plan Opex AMP5-6 V1 Review Cycle2a 3" xfId="40721"/>
    <cellStyle name="_128904_8_DS initiative Outsource" xfId="40722"/>
    <cellStyle name="_128904_8_DS initiative Outsource 2" xfId="40723"/>
    <cellStyle name="_128904_8_DS initiative Outsource 3" xfId="40724"/>
    <cellStyle name="_128904_8_DS initiative Outsource 4" xfId="40725"/>
    <cellStyle name="_129764_3" xfId="40726"/>
    <cellStyle name="_129764_3 2" xfId="40727"/>
    <cellStyle name="_129764_3 2 2" xfId="40728"/>
    <cellStyle name="_129764_3 3" xfId="40729"/>
    <cellStyle name="_129764_3 3 2" xfId="40730"/>
    <cellStyle name="_129764_3 4" xfId="40731"/>
    <cellStyle name="_129764_3 4 2" xfId="40732"/>
    <cellStyle name="_129764_3 5" xfId="40733"/>
    <cellStyle name="_129764_3 5 2" xfId="40734"/>
    <cellStyle name="_129764_3 6" xfId="40735"/>
    <cellStyle name="_129764_3 6 2" xfId="40736"/>
    <cellStyle name="_129764_3 7" xfId="40737"/>
    <cellStyle name="_129764_3 7 2" xfId="40738"/>
    <cellStyle name="_129764_3 8" xfId="40739"/>
    <cellStyle name="_160981_3" xfId="40740"/>
    <cellStyle name="_160981_3 2" xfId="40741"/>
    <cellStyle name="_160981_3 2 2" xfId="40742"/>
    <cellStyle name="_160981_3 2 3" xfId="40743"/>
    <cellStyle name="_160981_3 3" xfId="40744"/>
    <cellStyle name="_160981_3 3 2" xfId="40745"/>
    <cellStyle name="_160981_3 4" xfId="40746"/>
    <cellStyle name="_160981_3_~0002420" xfId="40747"/>
    <cellStyle name="_160981_3_~0002420 2" xfId="40748"/>
    <cellStyle name="_160981_3_~0002420 3" xfId="40749"/>
    <cellStyle name="_160981_3_~0002420 4" xfId="40750"/>
    <cellStyle name="_160981_3_~0376079" xfId="40751"/>
    <cellStyle name="_160981_3_~0376079 2" xfId="40752"/>
    <cellStyle name="_160981_3_~0376079 3" xfId="40753"/>
    <cellStyle name="_160981_3_~0376079 4" xfId="40754"/>
    <cellStyle name="_160981_3_2011 10 Nov R&amp;O Register Reporting (Working Copy) Finance Final" xfId="40755"/>
    <cellStyle name="_160981_3_CS Plan Opex AMP5-6 V1 Review Cycle2a" xfId="40756"/>
    <cellStyle name="_160981_3_CS Plan Opex AMP5-6 V1 Review Cycle2a 2" xfId="40757"/>
    <cellStyle name="_160981_3_CS Plan Opex AMP5-6 V1 Review Cycle2a 3" xfId="40758"/>
    <cellStyle name="_160981_3_DS initiative Outsource" xfId="40759"/>
    <cellStyle name="_160981_3_DS initiative Outsource 2" xfId="40760"/>
    <cellStyle name="_160981_3_DS initiative Outsource 3" xfId="40761"/>
    <cellStyle name="_160981_3_DS initiative Outsource 4" xfId="40762"/>
    <cellStyle name="_17 IBM - Pricing" xfId="40763"/>
    <cellStyle name="_17 IBM - Pricing 2" xfId="40764"/>
    <cellStyle name="_19" xfId="40765"/>
    <cellStyle name="_19 2" xfId="40766"/>
    <cellStyle name="_19 2 2" xfId="40767"/>
    <cellStyle name="_19 2 3" xfId="40768"/>
    <cellStyle name="_19 3" xfId="40769"/>
    <cellStyle name="_19 4" xfId="40770"/>
    <cellStyle name="_19. Production sites unit rates" xfId="40771"/>
    <cellStyle name="_19. Production sites unit rates 2" xfId="40772"/>
    <cellStyle name="_19. Production sites unit rates 3" xfId="40773"/>
    <cellStyle name="_2 Group High level" xfId="40774"/>
    <cellStyle name="_2 Group High level 2" xfId="40775"/>
    <cellStyle name="_2 Group High level 2 2" xfId="40776"/>
    <cellStyle name="_2 Group High level 2 3" xfId="40777"/>
    <cellStyle name="_2 Group High level 2_Adjustments" xfId="40778"/>
    <cellStyle name="_2 Group High level 2_Overall" xfId="40779"/>
    <cellStyle name="_2 Group High level 3" xfId="40780"/>
    <cellStyle name="_2 Group High level 4" xfId="40781"/>
    <cellStyle name="_2 Group High level_B &amp; U by Inv Area &amp; Del" xfId="40782"/>
    <cellStyle name="_2 Group High level_budget risk items" xfId="40783"/>
    <cellStyle name="_2 Group High level_P&amp;L_AMP5" xfId="40784"/>
    <cellStyle name="_2 Group High level_P&amp;L_AMP5 2" xfId="40785"/>
    <cellStyle name="_2 Group High level_P&amp;L_Detail" xfId="40786"/>
    <cellStyle name="_2 Group High level_P&amp;L_Detail 2" xfId="40787"/>
    <cellStyle name="_2 Group High level_VoWD Data" xfId="40788"/>
    <cellStyle name="_2 Group High level_VoWD Data by Purpose Code" xfId="40789"/>
    <cellStyle name="_2.2 Copy of MEIF Report D..." xfId="40790"/>
    <cellStyle name="_2.2 Copy of MEIF Report D... 2" xfId="40791"/>
    <cellStyle name="_2.2 Copy of MEIF Report D... 2 2" xfId="40792"/>
    <cellStyle name="_2.2 Copy of MEIF Report D... 2 3" xfId="40793"/>
    <cellStyle name="_2.2 Copy of MEIF Report D... 3" xfId="40794"/>
    <cellStyle name="_2.2 Copy of MEIF Report D... 4" xfId="40795"/>
    <cellStyle name="_2.6 Liquidity Projection Dec v3" xfId="40796"/>
    <cellStyle name="_2.6 Liquidity Projection Dec v3 2" xfId="40797"/>
    <cellStyle name="_2+10 Draft IC Presentation 25Jun12 v7.3" xfId="40798"/>
    <cellStyle name="_2+10 Reforecast - Cashflow Template SM" xfId="40799"/>
    <cellStyle name="_2+10 Reforecast - Cashflow Template SM 2" xfId="40800"/>
    <cellStyle name="_20. Production sites unit rates" xfId="40801"/>
    <cellStyle name="_20. Production sites unit rates 2" xfId="40802"/>
    <cellStyle name="_20. Production sites unit rates 3" xfId="40803"/>
    <cellStyle name="_2007 10 22  DE OPS Staffing Model for HCL 5 Year" xfId="40804"/>
    <cellStyle name="_2007 10 22  DE OPS Staffing Model for HCL 5 Year 2" xfId="40805"/>
    <cellStyle name="_2007 10 22  DE OPS Staffing Model for HCL 5 Year V1" xfId="40806"/>
    <cellStyle name="_2007 10 22  DE OPS Staffing Model for HCL 5 Year V1 2" xfId="40807"/>
    <cellStyle name="_2007.05.1 Request for Payment" xfId="40808"/>
    <cellStyle name="_2007.05.1 Request for Payment 2" xfId="40809"/>
    <cellStyle name="_2009_15 UUW MOAP Operating Cost Modelling_+-10%_v2.8" xfId="40810"/>
    <cellStyle name="_2009_15 UUW MOAP Operating Cost Modelling_+-10%_v2.8 2" xfId="40811"/>
    <cellStyle name="_2009_15 UUW MOAP Operating Cost Modelling_+-10%_v2.8 3" xfId="40812"/>
    <cellStyle name="_2010_Budget Info - Paul Brown.H&amp;C" xfId="40813"/>
    <cellStyle name="_2010_Budget Info - Paul Brown.H&amp;C 2" xfId="40814"/>
    <cellStyle name="_2010_Budget Info - Paul Brown.H&amp;C 3" xfId="40815"/>
    <cellStyle name="_2010_Budget Info - Paul Brown.H&amp;C 4" xfId="40816"/>
    <cellStyle name="_2010-11 ENERGY BUDGET V2" xfId="40817"/>
    <cellStyle name="_2010-11 ENERGY BUDGET V2 2" xfId="40818"/>
    <cellStyle name="_2010-11 ENERGY BUDGET V2 3" xfId="40819"/>
    <cellStyle name="_2010-11 ENERGY BUDGET V2 4" xfId="40820"/>
    <cellStyle name="_x0013__2012 04 April R&amp;O Register IC Reporting" xfId="40821"/>
    <cellStyle name="_21" xfId="40822"/>
    <cellStyle name="_21 2" xfId="40823"/>
    <cellStyle name="_21 2 2" xfId="40824"/>
    <cellStyle name="_21 2 3" xfId="40825"/>
    <cellStyle name="_21 3" xfId="40826"/>
    <cellStyle name="_21 4" xfId="40827"/>
    <cellStyle name="_284268_1" xfId="40828"/>
    <cellStyle name="_284268_1 2" xfId="40829"/>
    <cellStyle name="_284268_1 2 2" xfId="40830"/>
    <cellStyle name="_284268_1 3" xfId="40831"/>
    <cellStyle name="_284268_1 3 2" xfId="40832"/>
    <cellStyle name="_284268_1 4" xfId="40833"/>
    <cellStyle name="_284268_1 4 2" xfId="40834"/>
    <cellStyle name="_284268_1 5" xfId="40835"/>
    <cellStyle name="_284268_1 5 2" xfId="40836"/>
    <cellStyle name="_284268_1 6" xfId="40837"/>
    <cellStyle name="_284268_1 6 2" xfId="40838"/>
    <cellStyle name="_284268_1 7" xfId="40839"/>
    <cellStyle name="_284268_1 7 2" xfId="40840"/>
    <cellStyle name="_284268_1 8" xfId="40841"/>
    <cellStyle name="_287612_1" xfId="40842"/>
    <cellStyle name="_287612_1 2" xfId="40843"/>
    <cellStyle name="_287612_1 2 2" xfId="40844"/>
    <cellStyle name="_287612_1 3" xfId="40845"/>
    <cellStyle name="_287612_1 3 2" xfId="40846"/>
    <cellStyle name="_287612_1 4" xfId="40847"/>
    <cellStyle name="_287612_1 4 2" xfId="40848"/>
    <cellStyle name="_287612_1 5" xfId="40849"/>
    <cellStyle name="_287612_1 5 2" xfId="40850"/>
    <cellStyle name="_287612_1 6" xfId="40851"/>
    <cellStyle name="_287612_1 6 2" xfId="40852"/>
    <cellStyle name="_287612_1 7" xfId="40853"/>
    <cellStyle name="_287612_1 7 2" xfId="40854"/>
    <cellStyle name="_287612_1 8" xfId="40855"/>
    <cellStyle name="_295485_1" xfId="40856"/>
    <cellStyle name="_295485_1 2" xfId="40857"/>
    <cellStyle name="_295485_1 2 2" xfId="40858"/>
    <cellStyle name="_295485_1 3" xfId="40859"/>
    <cellStyle name="_295485_1 3 2" xfId="40860"/>
    <cellStyle name="_295485_1 4" xfId="40861"/>
    <cellStyle name="_295485_1 4 2" xfId="40862"/>
    <cellStyle name="_295485_1 5" xfId="40863"/>
    <cellStyle name="_295485_1 5 2" xfId="40864"/>
    <cellStyle name="_295485_1 6" xfId="40865"/>
    <cellStyle name="_295485_1 6 2" xfId="40866"/>
    <cellStyle name="_295485_1 7" xfId="40867"/>
    <cellStyle name="_295485_1 7 2" xfId="40868"/>
    <cellStyle name="_295485_1 8" xfId="40869"/>
    <cellStyle name="_3. Summary Balance Sheet (GRP)" xfId="40870"/>
    <cellStyle name="_3. Summary Balance Sheet (GRP) 2" xfId="40871"/>
    <cellStyle name="_3. Summary Balance Sheet (GRP)_P&amp;L_AMP5" xfId="40872"/>
    <cellStyle name="_3. Summary Balance Sheet (GRP)_P&amp;L_AMP5 2" xfId="40873"/>
    <cellStyle name="_316234_12" xfId="40874"/>
    <cellStyle name="_316234_12 2" xfId="40875"/>
    <cellStyle name="_316234_12 2 2" xfId="40876"/>
    <cellStyle name="_316234_12 3" xfId="40877"/>
    <cellStyle name="_316234_12 3 2" xfId="40878"/>
    <cellStyle name="_316234_12 4" xfId="40879"/>
    <cellStyle name="_316234_12 4 2" xfId="40880"/>
    <cellStyle name="_316234_12 5" xfId="40881"/>
    <cellStyle name="_316234_12 5 2" xfId="40882"/>
    <cellStyle name="_316234_12 6" xfId="40883"/>
    <cellStyle name="_316234_12 6 2" xfId="40884"/>
    <cellStyle name="_316234_12 7" xfId="40885"/>
    <cellStyle name="_316234_12 7 2" xfId="40886"/>
    <cellStyle name="_316234_12 8" xfId="40887"/>
    <cellStyle name="_34" xfId="40888"/>
    <cellStyle name="_34 2" xfId="40889"/>
    <cellStyle name="_34 2 2" xfId="40890"/>
    <cellStyle name="_34 2 3" xfId="40891"/>
    <cellStyle name="_34 3" xfId="40892"/>
    <cellStyle name="_34 4" xfId="40893"/>
    <cellStyle name="_35" xfId="40894"/>
    <cellStyle name="_35 2" xfId="40895"/>
    <cellStyle name="_35 2 2" xfId="40896"/>
    <cellStyle name="_35 2 3" xfId="40897"/>
    <cellStyle name="_35 3" xfId="40898"/>
    <cellStyle name="_35 4" xfId="40899"/>
    <cellStyle name="_477876_3" xfId="40900"/>
    <cellStyle name="_477876_3 2" xfId="40901"/>
    <cellStyle name="_477876_3 2 2" xfId="40902"/>
    <cellStyle name="_477876_3 2 3" xfId="40903"/>
    <cellStyle name="_477876_3 3" xfId="40904"/>
    <cellStyle name="_477876_3 3 2" xfId="40905"/>
    <cellStyle name="_477876_3 4" xfId="40906"/>
    <cellStyle name="_477876_3_2011 10 Nov R&amp;O Register Reporting (Working Copy) Finance Final" xfId="40907"/>
    <cellStyle name="_477876_3_CS Plan Opex AMP5-6 V1 Review Cycle2a" xfId="40908"/>
    <cellStyle name="_477876_3_CS Plan Opex AMP5-6 V1 Review Cycle2a 2" xfId="40909"/>
    <cellStyle name="_477876_3_CS Plan Opex AMP5-6 V1 Review Cycle2a 3" xfId="40910"/>
    <cellStyle name="_5+7 Oct 11 Flying Bricks v1.0 budget review v11 21-11-11" xfId="40911"/>
    <cellStyle name="_5+7 Oct 11 Flying Bricks v1.0 budget review v12 29-11-11" xfId="40912"/>
    <cellStyle name="_5+7 Oct 11 Flying Bricks v1.0 budget review v12 29-11-11 cd change mockup" xfId="40913"/>
    <cellStyle name="_5+7 Oct 11 Flying Bricks v1.0 budget review v19 23-12-11 Bob Collington meeting" xfId="40914"/>
    <cellStyle name="_5+7 Oct 11 Flying Bricks v1.0 budget review v21 04-01-12 Bob Collington meeting" xfId="40915"/>
    <cellStyle name="_5+7 Oct 11 Flying Bricks v1.0 budget review v22 06-01-12 Bob C meet PR14 change" xfId="40916"/>
    <cellStyle name="_5+7 Oct 11 v23 12-01-12 Bob C meet PR14 change" xfId="40917"/>
    <cellStyle name="_510579_2" xfId="40918"/>
    <cellStyle name="_510579_2 2" xfId="40919"/>
    <cellStyle name="_510579_2 2 2" xfId="40920"/>
    <cellStyle name="_510579_2 3" xfId="40921"/>
    <cellStyle name="_510579_2 3 2" xfId="40922"/>
    <cellStyle name="_510579_2 4" xfId="40923"/>
    <cellStyle name="_510579_2 4 2" xfId="40924"/>
    <cellStyle name="_510579_2 5" xfId="40925"/>
    <cellStyle name="_510579_2 5 2" xfId="40926"/>
    <cellStyle name="_510579_2 6" xfId="40927"/>
    <cellStyle name="_510579_2 6 2" xfId="40928"/>
    <cellStyle name="_510579_2 7" xfId="40929"/>
    <cellStyle name="_510579_2 7 2" xfId="40930"/>
    <cellStyle name="_510579_2 8" xfId="40931"/>
    <cellStyle name="_510579_2_~9868926" xfId="40932"/>
    <cellStyle name="_510579_2_2011 10 Nov R&amp;O Register Reporting (Working Copy) Finance Draft" xfId="40933"/>
    <cellStyle name="_510579_2_2011 10 Nov R&amp;O Register Reporting (Working Copy) Finance Final" xfId="40934"/>
    <cellStyle name="_510579_2_2012 04 April R&amp;O Register IC Reporting" xfId="40935"/>
    <cellStyle name="_510579_2_6+6 Forecast Backup Worksheets" xfId="40936"/>
    <cellStyle name="_510579_2_7+5 waterfall DMC" xfId="40937"/>
    <cellStyle name="_510579_2_AffinPartner" xfId="40938"/>
    <cellStyle name="_510579_2_AffinPartner 2" xfId="40939"/>
    <cellStyle name="_510579_2_AffinPartner_1" xfId="40940"/>
    <cellStyle name="_510579_2_AffinPartner_1 2" xfId="40941"/>
    <cellStyle name="_510579_2_Asset_ManagementCON" xfId="40942"/>
    <cellStyle name="_510579_2_Asset_ManagementCON 2" xfId="40943"/>
    <cellStyle name="_510579_2_Asset_ManagementCON_1" xfId="40944"/>
    <cellStyle name="_510579_2_Asset_ManagementCON_1 2" xfId="40945"/>
    <cellStyle name="_510579_2_Asset_MgmtNonAppoint" xfId="40946"/>
    <cellStyle name="_510579_2_Asset_MgmtNonAppoint 2" xfId="40947"/>
    <cellStyle name="_510579_2_Book1" xfId="40948"/>
    <cellStyle name="_510579_2_Book2" xfId="40949"/>
    <cellStyle name="_510579_2_Book3" xfId="40950"/>
    <cellStyle name="_510579_2_Book3 2" xfId="40951"/>
    <cellStyle name="_510579_2_Book3 2_Adjustments" xfId="40952"/>
    <cellStyle name="_510579_2_Book3 2_Overall" xfId="40953"/>
    <cellStyle name="_510579_2_Book3_B &amp; U by Inv Area &amp; Del" xfId="40954"/>
    <cellStyle name="_510579_2_Book3_budget risk items" xfId="40955"/>
    <cellStyle name="_510579_2_Book3_VoWD Data" xfId="40956"/>
    <cellStyle name="_510579_2_Book3_VoWD Data by Purpose Code" xfId="40957"/>
    <cellStyle name="_510579_2_Budget Finance" xfId="40958"/>
    <cellStyle name="_510579_2_Budget Finance 2" xfId="40959"/>
    <cellStyle name="_510579_2_Budget Finance 3" xfId="40960"/>
    <cellStyle name="_510579_2_budget risk items" xfId="40961"/>
    <cellStyle name="_510579_2_Capital_DeliveryCON" xfId="40962"/>
    <cellStyle name="_510579_2_Capital_DeliveryCON 2" xfId="40963"/>
    <cellStyle name="_510579_2_Central_Items" xfId="40964"/>
    <cellStyle name="_510579_2_Central_Items 2" xfId="40965"/>
    <cellStyle name="_510579_2_Central_Items_1" xfId="40966"/>
    <cellStyle name="_510579_2_Central_Items_1 2" xfId="40967"/>
    <cellStyle name="_510579_2_Central_Items_2" xfId="40968"/>
    <cellStyle name="_510579_2_Central_Items_2 2" xfId="40969"/>
    <cellStyle name="_510579_2_CENTRE" xfId="40970"/>
    <cellStyle name="_510579_2_CENTRE 2" xfId="40971"/>
    <cellStyle name="_510579_2_CENTRE_1" xfId="40972"/>
    <cellStyle name="_510579_2_CENTRE_1 2" xfId="40973"/>
    <cellStyle name="_510579_2_CENTRE_2" xfId="40974"/>
    <cellStyle name="_510579_2_CENTRE_2 2" xfId="40975"/>
    <cellStyle name="_510579_2_CENTRE_Check" xfId="40976"/>
    <cellStyle name="_510579_2_CENTRE_Check 2" xfId="40977"/>
    <cellStyle name="_510579_2_CENTRE_TWPROP" xfId="40978"/>
    <cellStyle name="_510579_2_CENTRE_TWPROP 2" xfId="40979"/>
    <cellStyle name="_510579_2_Check" xfId="40980"/>
    <cellStyle name="_510579_2_Check 2" xfId="40981"/>
    <cellStyle name="_510579_2_CommCentral" xfId="40982"/>
    <cellStyle name="_510579_2_CommCentral 2" xfId="40983"/>
    <cellStyle name="_510579_2_CommCentral_1" xfId="40984"/>
    <cellStyle name="_510579_2_CommCentral_1 2" xfId="40985"/>
    <cellStyle name="_510579_2_commentary 16 Feb 2012" xfId="40986"/>
    <cellStyle name="_510579_2_CommProjects" xfId="40987"/>
    <cellStyle name="_510579_2_CommProjects 2" xfId="40988"/>
    <cellStyle name="_510579_2_CommProjects_1" xfId="40989"/>
    <cellStyle name="_510579_2_CommProjects_1 2" xfId="40990"/>
    <cellStyle name="_510579_2_CONSOL_G" xfId="40991"/>
    <cellStyle name="_510579_2_CONSOL_G 2" xfId="40992"/>
    <cellStyle name="_510579_2_Copy of Corporate waterfall stuart ledger +LBE 10-1-12 month end Jan 12 v3 16-02-12" xfId="40993"/>
    <cellStyle name="_510579_2_Copy of Corporate waterfall stuart ledger +LBE 10-1-12 month end Jan 12 v3 16-02-12_budget risk items" xfId="40994"/>
    <cellStyle name="_510579_2_Copy of QRF 2011 6+6 - Final v5.1 - Recut of v4 with uplifted IS &amp; IRE overhead rates" xfId="40995"/>
    <cellStyle name="_510579_2_Corporate Commentary April 12" xfId="40996"/>
    <cellStyle name="_510579_2_Corporate Sub AMP5 Net Profiles" xfId="40997"/>
    <cellStyle name="_510579_2_Corporate waterfall stuart ledger 10-1-12 month end Dec 11" xfId="40998"/>
    <cellStyle name="_510579_2_Corporate waterfall stuart ledger 10-1-12 month end Dec 11 2" xfId="40999"/>
    <cellStyle name="_510579_2_Corporate waterfall stuart ledger 10-1-12 month end Dec 11 2_Adjustments" xfId="41000"/>
    <cellStyle name="_510579_2_Corporate waterfall stuart ledger 10-1-12 month end Dec 11 2_Overall" xfId="41001"/>
    <cellStyle name="_510579_2_Corporate waterfall stuart ledger 10-1-12 month end Dec 11_B &amp; U by Inv Area &amp; Del" xfId="41002"/>
    <cellStyle name="_510579_2_Corporate waterfall stuart ledger 10-1-12 month end Dec 11_budget risk items" xfId="41003"/>
    <cellStyle name="_510579_2_Corporate waterfall stuart ledger 10-1-12 month end Dec 11_VoWD Data" xfId="41004"/>
    <cellStyle name="_510579_2_Corporate waterfall stuart ledger 10-1-12 month end Dec 11_VoWD Data by Purpose Code" xfId="41005"/>
    <cellStyle name="_510579_2_CServices_SwindonCON" xfId="41006"/>
    <cellStyle name="_510579_2_CServices_SwindonCON 2" xfId="41007"/>
    <cellStyle name="_510579_2_Developer Services Waterfall Template v 2+10" xfId="41008"/>
    <cellStyle name="_510579_2_Employment costs" xfId="41009"/>
    <cellStyle name="_510579_2_Employment costs 2" xfId="41010"/>
    <cellStyle name="_510579_2_Employment costs_1" xfId="41011"/>
    <cellStyle name="_510579_2_Employment costs_1 2" xfId="41012"/>
    <cellStyle name="_510579_2_Employment costs_2" xfId="41013"/>
    <cellStyle name="_510579_2_Employment costs_2 2" xfId="41014"/>
    <cellStyle name="_510579_2_External_Affairs" xfId="41015"/>
    <cellStyle name="_510579_2_External_Affairs 2" xfId="41016"/>
    <cellStyle name="_510579_2_External_Affairs_1" xfId="41017"/>
    <cellStyle name="_510579_2_External_Affairs_1 2" xfId="41018"/>
    <cellStyle name="_510579_2_FD Monitoring AMP5 - Q2 (6 monthly) 2011-12 v0.2 1page Simon McSweeney" xfId="41019"/>
    <cellStyle name="_510579_2_FD Monitoring AMP5 - Q2 (6 monthly) 2011-12 v0.2 1page Simon McSweeney 2" xfId="41020"/>
    <cellStyle name="_510579_2_FD Monitoring AMP5 - Q2 (6 monthly) 2011-12 v0.2 1page Simon McSweeney 2_Adjustments" xfId="41021"/>
    <cellStyle name="_510579_2_FD Monitoring AMP5 - Q2 (6 monthly) 2011-12 v0.2 1page Simon McSweeney 2_Overall" xfId="41022"/>
    <cellStyle name="_510579_2_FD Monitoring AMP5 - Q2 (6 monthly) 2011-12 v0.2 1page Simon McSweeney_B &amp; U by Inv Area &amp; Del" xfId="41023"/>
    <cellStyle name="_510579_2_FD Monitoring AMP5 - Q2 (6 monthly) 2011-12 v0.2 1page Simon McSweeney_budget risk items" xfId="41024"/>
    <cellStyle name="_510579_2_FD Monitoring AMP5 - Q2 (6 monthly) 2011-12 v0.2 1page Simon McSweeney_VoWD Data" xfId="41025"/>
    <cellStyle name="_510579_2_FD Monitoring AMP5 - Q2 (6 monthly) 2011-12 v0.2 1page Simon McSweeney_VoWD Data by Purpose Code" xfId="41026"/>
    <cellStyle name="_510579_2_Finance" xfId="41027"/>
    <cellStyle name="_510579_2_Finance 2" xfId="41028"/>
    <cellStyle name="_510579_2_Finance_1" xfId="41029"/>
    <cellStyle name="_510579_2_Finance_1 2" xfId="41030"/>
    <cellStyle name="_510579_2_Flash Report - 12 - Mar12 - Draft - 03Apr12 pm - Values Only copy" xfId="41031"/>
    <cellStyle name="_510579_2_Fleet" xfId="41032"/>
    <cellStyle name="_510579_2_Fleet 2" xfId="41033"/>
    <cellStyle name="_510579_2_Fleet_1" xfId="41034"/>
    <cellStyle name="_510579_2_Fleet_1 2" xfId="41035"/>
    <cellStyle name="_510579_2_Forecast March 2012 (FINAL On SAP 8th Mar 2012)" xfId="41036"/>
    <cellStyle name="_510579_2_Forecast November 2011 (data from QRF file)v4 (as per NP file, some Oct still forecast)" xfId="41037"/>
    <cellStyle name="_510579_2_Fst-Bud Summary" xfId="41038"/>
    <cellStyle name="_510579_2_Fst-Bud Summary 2" xfId="41039"/>
    <cellStyle name="_510579_2_Fst-Bud Summary 3" xfId="41040"/>
    <cellStyle name="_510579_2_General_Councel" xfId="41041"/>
    <cellStyle name="_510579_2_General_Councel 2" xfId="41042"/>
    <cellStyle name="_510579_2_General_Councel_1" xfId="41043"/>
    <cellStyle name="_510579_2_General_Councel_1 2" xfId="41044"/>
    <cellStyle name="_510579_2_Human_Resources" xfId="41045"/>
    <cellStyle name="_510579_2_Human_Resources 2" xfId="41046"/>
    <cellStyle name="_510579_2_Human_Resources_1" xfId="41047"/>
    <cellStyle name="_510579_2_Human_Resources_1 2" xfId="41048"/>
    <cellStyle name="_510579_2_IBP by Inv Area" xfId="41049"/>
    <cellStyle name="_510579_2_IBP by Inv Area 2" xfId="41050"/>
    <cellStyle name="_510579_2_IBP by Inv Area 2_Adjustments" xfId="41051"/>
    <cellStyle name="_510579_2_IBP by Inv Area 2_Overall" xfId="41052"/>
    <cellStyle name="_510579_2_IBP by Inv Area_B &amp; U by Inv Area &amp; Del" xfId="41053"/>
    <cellStyle name="_510579_2_IBP by Inv Area_budget risk items" xfId="41054"/>
    <cellStyle name="_510579_2_IBP by Inv Area_VoWD Data" xfId="41055"/>
    <cellStyle name="_510579_2_IBP by Inv Area_VoWD Data by Purpose Code" xfId="41056"/>
    <cellStyle name="_510579_2_Innovation" xfId="41057"/>
    <cellStyle name="_510579_2_Innovation 2" xfId="41058"/>
    <cellStyle name="_510579_2_Innovation_1" xfId="41059"/>
    <cellStyle name="_510579_2_Innovation_1 2" xfId="41060"/>
    <cellStyle name="_510579_2_IT" xfId="41061"/>
    <cellStyle name="_510579_2_IT 2" xfId="41062"/>
    <cellStyle name="_510579_2_IT_1" xfId="41063"/>
    <cellStyle name="_510579_2_IT_1 2" xfId="41064"/>
    <cellStyle name="_510579_2_January 12 R&amp;O Register" xfId="41065"/>
    <cellStyle name="_510579_2_KWFLtd" xfId="41066"/>
    <cellStyle name="_510579_2_KWFLtd 2" xfId="41067"/>
    <cellStyle name="_510579_2_KWHLTD_G" xfId="41068"/>
    <cellStyle name="_510579_2_KWHLTD_G 2" xfId="41069"/>
    <cellStyle name="_510579_2_KWHLTD_G_1" xfId="41070"/>
    <cellStyle name="_510579_2_KWHLTD_G_1 2" xfId="41071"/>
    <cellStyle name="_510579_2_KWHLTD_G_2" xfId="41072"/>
    <cellStyle name="_510579_2_KWHLTD_G_2 2" xfId="41073"/>
    <cellStyle name="_510579_2_Major_ProjectsCON" xfId="41074"/>
    <cellStyle name="_510579_2_Major_ProjectsCON 2" xfId="41075"/>
    <cellStyle name="_510579_2_Management Structure" xfId="41076"/>
    <cellStyle name="_510579_2_Management Structure 2" xfId="41077"/>
    <cellStyle name="_510579_2_Management Structure_1" xfId="41078"/>
    <cellStyle name="_510579_2_Management Structure_1 2" xfId="41079"/>
    <cellStyle name="_510579_2_May 12 R&amp;O Register v2" xfId="41080"/>
    <cellStyle name="_510579_2_Monthly CapEx Reporting - April 12" xfId="41081"/>
    <cellStyle name="_510579_2_Monthly CapEx Reporting - April 12_budget risk items" xfId="41082"/>
    <cellStyle name="_510579_2_Monthly Forecast (1+11) - Final v4 - Values Only copy" xfId="41083"/>
    <cellStyle name="_510579_2_Monthly Forecast (1+11) - Final v5 - Values Only copy" xfId="41084"/>
    <cellStyle name="_510579_2_Monthly Forecast (10+2) - 06Feb12 v2 - Values Only Copy" xfId="41085"/>
    <cellStyle name="_510579_2_Monthly Forecast (11+1) - 06Mar12 v3 - Values Only copy" xfId="41086"/>
    <cellStyle name="_510579_2_Monthly Forecast (2+10) - Final v3 - Values Only copy" xfId="41087"/>
    <cellStyle name="_510579_2_Monthly Forecast (9+3) - 06Jan12 v3" xfId="41088"/>
    <cellStyle name="_510579_2_OHAP Monitoring" xfId="41089"/>
    <cellStyle name="_510579_2_OHAP Reporting 1stMar12" xfId="41090"/>
    <cellStyle name="_510579_2_OHAP Reporting 1stMar12 2" xfId="41091"/>
    <cellStyle name="_510579_2_OHAP Reporting 1stMar12 2_Adjustments" xfId="41092"/>
    <cellStyle name="_510579_2_OHAP Reporting 1stMar12 2_Overall" xfId="41093"/>
    <cellStyle name="_510579_2_OHAP Reporting 1stMar12_B &amp; U by Inv Area &amp; Del" xfId="41094"/>
    <cellStyle name="_510579_2_OHAP Reporting 1stMar12_budget risk items" xfId="41095"/>
    <cellStyle name="_510579_2_OHAP Reporting 1stMar12_VoWD Data" xfId="41096"/>
    <cellStyle name="_510579_2_OHAP Reporting 1stMar12_VoWD Data by Purpose Code" xfId="41097"/>
    <cellStyle name="_510579_2_Operations" xfId="41098"/>
    <cellStyle name="_510579_2_Operations 2" xfId="41099"/>
    <cellStyle name="_510579_2_Operations_1" xfId="41100"/>
    <cellStyle name="_510579_2_Operations_1 2" xfId="41101"/>
    <cellStyle name="_510579_2_Ops contracts" xfId="41102"/>
    <cellStyle name="_510579_2_Ops contracts 2" xfId="41103"/>
    <cellStyle name="_510579_2_Ops contracts_1" xfId="41104"/>
    <cellStyle name="_510579_2_Ops contracts_1 2" xfId="41105"/>
    <cellStyle name="_510579_2_Ops contracts_2" xfId="41106"/>
    <cellStyle name="_510579_2_Ops contracts_2 2" xfId="41107"/>
    <cellStyle name="_510579_2_OtherSS" xfId="41108"/>
    <cellStyle name="_510579_2_OtherSS 2" xfId="41109"/>
    <cellStyle name="_510579_2_OtherSS_1" xfId="41110"/>
    <cellStyle name="_510579_2_OtherSS_1 2" xfId="41111"/>
    <cellStyle name="_510579_2_P&amp;L_AMP5" xfId="41112"/>
    <cellStyle name="_510579_2_P&amp;L_AMP5 2" xfId="41113"/>
    <cellStyle name="_510579_2_P&amp;L_Detail" xfId="41114"/>
    <cellStyle name="_510579_2_P&amp;L_Detail 2" xfId="41115"/>
    <cellStyle name="_510579_2_Power" xfId="41116"/>
    <cellStyle name="_510579_2_Power 2" xfId="41117"/>
    <cellStyle name="_510579_2_Power_1" xfId="41118"/>
    <cellStyle name="_510579_2_Power_1 2" xfId="41119"/>
    <cellStyle name="_510579_2_Property_Facilities" xfId="41120"/>
    <cellStyle name="_510579_2_Property_Facilities 2" xfId="41121"/>
    <cellStyle name="_510579_2_Property_Facilities_1" xfId="41122"/>
    <cellStyle name="_510579_2_Property_Facilities_1 2" xfId="41123"/>
    <cellStyle name="_510579_2_PropertyDisposals" xfId="41124"/>
    <cellStyle name="_510579_2_PropertyDisposals 2" xfId="41125"/>
    <cellStyle name="_510579_2_PropFacilitiesNonApp" xfId="41126"/>
    <cellStyle name="_510579_2_PropFacilitiesNonApp 2" xfId="41127"/>
    <cellStyle name="_510579_2_PropFacilitiesNonApp_1" xfId="41128"/>
    <cellStyle name="_510579_2_PropFacilitiesNonApp_1 2" xfId="41129"/>
    <cellStyle name="_510579_2_PropSearch_Home" xfId="41130"/>
    <cellStyle name="_510579_2_PropSearch_Home 2" xfId="41131"/>
    <cellStyle name="_510579_2_PropSearch_Home_1" xfId="41132"/>
    <cellStyle name="_510579_2_PropSearch_Home_1 2" xfId="41133"/>
    <cellStyle name="_510579_2_QRF 2011 6+6 - Draft - 06Oct11 v15.1 (excl unrealised efficiencies)" xfId="41134"/>
    <cellStyle name="_510579_2_QRF 2011 6+6 - Draft - 06Oct11 v16.2 (incl unrealised efficiencies)" xfId="41135"/>
    <cellStyle name="_510579_2_QRF 2011 6+6 - Final v2 - Values Only Copy" xfId="41136"/>
    <cellStyle name="_510579_2_Record of Manual Changes" xfId="41137"/>
    <cellStyle name="_510579_2_Record of Manual Changes 2" xfId="41138"/>
    <cellStyle name="_510579_2_Record of Manual Changes 2_Adjustments" xfId="41139"/>
    <cellStyle name="_510579_2_Record of Manual Changes 2_Overall" xfId="41140"/>
    <cellStyle name="_510579_2_Record of Manual Changes_B &amp; U by Inv Area &amp; Del" xfId="41141"/>
    <cellStyle name="_510579_2_Record of Manual Changes_budget risk items" xfId="41142"/>
    <cellStyle name="_510579_2_Record of Manual Changes_VoWD Data" xfId="41143"/>
    <cellStyle name="_510579_2_Record of Manual Changes_VoWD Data by Purpose Code" xfId="41144"/>
    <cellStyle name="_510579_2_Retail" xfId="41145"/>
    <cellStyle name="_510579_2_Retail 2" xfId="41146"/>
    <cellStyle name="_510579_2_Retail_1" xfId="41147"/>
    <cellStyle name="_510579_2_Retail_1 2" xfId="41148"/>
    <cellStyle name="_510579_2_Sheet1" xfId="41149"/>
    <cellStyle name="_510579_2_Sheet1 2" xfId="41150"/>
    <cellStyle name="_510579_2_Sheet1 2_Adjustments" xfId="41151"/>
    <cellStyle name="_510579_2_Sheet1 2_Overall" xfId="41152"/>
    <cellStyle name="_510579_2_Sheet1_B &amp; U by Inv Area &amp; Del" xfId="41153"/>
    <cellStyle name="_510579_2_Sheet1_budget risk items" xfId="41154"/>
    <cellStyle name="_510579_2_Sheet1_VoWD Data" xfId="41155"/>
    <cellStyle name="_510579_2_Sheet1_VoWD Data by Purpose Code" xfId="41156"/>
    <cellStyle name="_510579_2_Strategy_Reg" xfId="41157"/>
    <cellStyle name="_510579_2_Strategy_Reg 2" xfId="41158"/>
    <cellStyle name="_510579_2_Strategy_Reg_1" xfId="41159"/>
    <cellStyle name="_510579_2_Strategy_Reg_1 2" xfId="41160"/>
    <cellStyle name="_510579_2_SupplyChain" xfId="41161"/>
    <cellStyle name="_510579_2_SupplyChain 2" xfId="41162"/>
    <cellStyle name="_510579_2_SupplyChain_1" xfId="41163"/>
    <cellStyle name="_510579_2_SupplyChain_1 2" xfId="41164"/>
    <cellStyle name="_510579_2_TWHCON" xfId="41165"/>
    <cellStyle name="_510579_2_TWHCON 2" xfId="41166"/>
    <cellStyle name="_510579_2_TWPROP" xfId="41167"/>
    <cellStyle name="_510579_2_TWPROP 2" xfId="41168"/>
    <cellStyle name="_510579_2_TWPROP_1" xfId="41169"/>
    <cellStyle name="_510579_2_TWPROP_1 2" xfId="41170"/>
    <cellStyle name="_510579_2_TWPROP_2" xfId="41171"/>
    <cellStyle name="_510579_2_TWPROP_2 2" xfId="41172"/>
    <cellStyle name="_510579_2_TWUCOR" xfId="41173"/>
    <cellStyle name="_510579_2_TWUCOR 2" xfId="41174"/>
    <cellStyle name="_510579_2_TWUCOR_1" xfId="41175"/>
    <cellStyle name="_510579_2_TWUCOR_1 2" xfId="41176"/>
    <cellStyle name="_510579_2_TWUL_TOT_UKGAAP" xfId="41177"/>
    <cellStyle name="_510579_2_TWUL_TOT_UKGAAP 2" xfId="41178"/>
    <cellStyle name="_510579_2_TWUL_TOT_UKGAAP_1" xfId="41179"/>
    <cellStyle name="_510579_2_TWUL_TOT_UKGAAP_1 2" xfId="41180"/>
    <cellStyle name="_510579_2_TWULCONJ" xfId="41181"/>
    <cellStyle name="_510579_2_TWULCONJ 2" xfId="41182"/>
    <cellStyle name="_510579_2_Year 3 Budget (Yrs 1&amp; 2 Actuals) - Values Only copy" xfId="41183"/>
    <cellStyle name="_510579_2_Year 3 Efficiency Targets 28thFeb12" xfId="41184"/>
    <cellStyle name="_510579_2_Year 3 Efficiency Targets 28thFeb12_budget risk items" xfId="41185"/>
    <cellStyle name="_x0013__7+5 reconciliation 21nov12" xfId="41186"/>
    <cellStyle name="_x0013__7+5 waterfall DMC" xfId="41187"/>
    <cellStyle name="_91975_1" xfId="41188"/>
    <cellStyle name="_91975_1 2" xfId="41189"/>
    <cellStyle name="_91975_1 2 2" xfId="41190"/>
    <cellStyle name="_91975_1 3" xfId="41191"/>
    <cellStyle name="_91975_1 3 2" xfId="41192"/>
    <cellStyle name="_91975_1 4" xfId="41193"/>
    <cellStyle name="_91975_1 4 2" xfId="41194"/>
    <cellStyle name="_91975_1 5" xfId="41195"/>
    <cellStyle name="_91975_1 5 2" xfId="41196"/>
    <cellStyle name="_91975_1 6" xfId="41197"/>
    <cellStyle name="_91975_1 6 2" xfId="41198"/>
    <cellStyle name="_91975_1 7" xfId="41199"/>
    <cellStyle name="_91975_1 7 2" xfId="41200"/>
    <cellStyle name="_91975_1 8" xfId="41201"/>
    <cellStyle name="_96804_3" xfId="41202"/>
    <cellStyle name="_96804_3 2" xfId="41203"/>
    <cellStyle name="_96804_3 2 2" xfId="41204"/>
    <cellStyle name="_96804_3 2 3" xfId="41205"/>
    <cellStyle name="_96804_3 3" xfId="41206"/>
    <cellStyle name="_96804_3 3 2" xfId="41207"/>
    <cellStyle name="_96804_3 4" xfId="41208"/>
    <cellStyle name="_96804_3_~0002420" xfId="41209"/>
    <cellStyle name="_96804_3_~0002420 2" xfId="41210"/>
    <cellStyle name="_96804_3_~0002420 3" xfId="41211"/>
    <cellStyle name="_96804_3_~0002420 4" xfId="41212"/>
    <cellStyle name="_96804_3_~0376079" xfId="41213"/>
    <cellStyle name="_96804_3_~0376079 2" xfId="41214"/>
    <cellStyle name="_96804_3_~0376079 3" xfId="41215"/>
    <cellStyle name="_96804_3_~0376079 4" xfId="41216"/>
    <cellStyle name="_96804_3_2011 10 Nov R&amp;O Register Reporting (Working Copy) Finance Final" xfId="41217"/>
    <cellStyle name="_96804_3_CS Plan Opex AMP5-6 V1 Review Cycle2a" xfId="41218"/>
    <cellStyle name="_96804_3_CS Plan Opex AMP5-6 V1 Review Cycle2a 2" xfId="41219"/>
    <cellStyle name="_96804_3_CS Plan Opex AMP5-6 V1 Review Cycle2a 3" xfId="41220"/>
    <cellStyle name="_96804_3_DS initiative Outsource" xfId="41221"/>
    <cellStyle name="_96804_3_DS initiative Outsource 2" xfId="41222"/>
    <cellStyle name="_96804_3_DS initiative Outsource 3" xfId="41223"/>
    <cellStyle name="_96804_3_DS initiative Outsource 4" xfId="41224"/>
    <cellStyle name="_A2 Business plan overview.first submission.10.01.08.v3" xfId="41225"/>
    <cellStyle name="_A2 Business plan overview.first submission.10.01.08.v3 2" xfId="41226"/>
    <cellStyle name="_A2 Business plan overview.first submission.10.01.08.v3 2 2" xfId="41227"/>
    <cellStyle name="_A2 Business plan overview.first submission.10.01.08.v3 3" xfId="41228"/>
    <cellStyle name="_A2 Business plan overview.first submission.10.01.08.v3 3 2" xfId="41229"/>
    <cellStyle name="_A2 Business plan overview.first submission.10.01.08.v3 4" xfId="41230"/>
    <cellStyle name="_A2 Business plan overview.first submission.10.01.08.v3 4 2" xfId="41231"/>
    <cellStyle name="_A2 Business plan overview.first submission.10.01.08.v3 5" xfId="41232"/>
    <cellStyle name="_A2 Business plan overview.first submission.10.01.08.v3 5 2" xfId="41233"/>
    <cellStyle name="_A2 Business plan overview.first submission.10.01.08.v3 6" xfId="41234"/>
    <cellStyle name="_A2 Business plan overview.first submission.10.01.08.v3 6 2" xfId="41235"/>
    <cellStyle name="_A2 Business plan overview.first submission.10.01.08.v3 7" xfId="41236"/>
    <cellStyle name="_A2 Business plan overview.first submission.10.01.08.v3 7 2" xfId="41237"/>
    <cellStyle name="_A2 Business plan overview.first submission.10.01.08.v3 8" xfId="41238"/>
    <cellStyle name="_Accruals raised Jan" xfId="41239"/>
    <cellStyle name="_Accruals raised Jan 2" xfId="41240"/>
    <cellStyle name="_Accruals raised Jan 2 2" xfId="41241"/>
    <cellStyle name="_Accruals raised Jan 2 3" xfId="41242"/>
    <cellStyle name="_Accruals raised Jan 2 4" xfId="41243"/>
    <cellStyle name="_Accruals raised Jan 2 5" xfId="41244"/>
    <cellStyle name="_Accruals raised Jan 2 6" xfId="41245"/>
    <cellStyle name="_Accruals raised Jan 2 7" xfId="41246"/>
    <cellStyle name="_Accruals raised Jan 2 8" xfId="41247"/>
    <cellStyle name="_Accruals raised Jan 2 9" xfId="41248"/>
    <cellStyle name="_Accruals raised Jan 2_IBP - COPI Uplift at Investment Area Level 01Feb12" xfId="41249"/>
    <cellStyle name="_Accruals raised Jan 3" xfId="41250"/>
    <cellStyle name="_Accruals raised Jan 3 2" xfId="41251"/>
    <cellStyle name="_Accruals raised Jan 3 3" xfId="41252"/>
    <cellStyle name="_Accruals raised Jan 3 4" xfId="41253"/>
    <cellStyle name="_Accruals raised Jan 3 5" xfId="41254"/>
    <cellStyle name="_Accruals raised Jan 3 6" xfId="41255"/>
    <cellStyle name="_Accruals raised Jan 3 7" xfId="41256"/>
    <cellStyle name="_Accruals raised Jan 3 8" xfId="41257"/>
    <cellStyle name="_Accruals raised Jan 3 9" xfId="41258"/>
    <cellStyle name="_Accruals raised Jan 3_IBP - COPI Uplift at Investment Area Level 01Feb12" xfId="41259"/>
    <cellStyle name="_Accruals raised Jan 4" xfId="41260"/>
    <cellStyle name="_Accruals raised Jan 4_Adjustments" xfId="41261"/>
    <cellStyle name="_Accruals raised Jan 4_Overall" xfId="41262"/>
    <cellStyle name="_Accruals raised Jan 5" xfId="41263"/>
    <cellStyle name="_Accruals raised Jan 5_Adjustments" xfId="41264"/>
    <cellStyle name="_Accruals raised Jan 5_Overall" xfId="41265"/>
    <cellStyle name="_Accruals raised Jan 6" xfId="41266"/>
    <cellStyle name="_Accruals raised Jan 6_Adjustments" xfId="41267"/>
    <cellStyle name="_Accruals raised Jan 6_Overall" xfId="41268"/>
    <cellStyle name="_Accruals raised Jan 7" xfId="41269"/>
    <cellStyle name="_Accruals raised Jan 8" xfId="41270"/>
    <cellStyle name="_Accruals raised Jan_B &amp; U by Inv Area &amp; Del" xfId="41271"/>
    <cellStyle name="_Accruals raised Jan_budget risk items" xfId="41272"/>
    <cellStyle name="_Accruals raised Jan_IBP by Inv Area" xfId="41273"/>
    <cellStyle name="_Accruals raised Jan_Record of Manual Changes" xfId="41274"/>
    <cellStyle name="_Accruals raised Jan_Table - Deliverer" xfId="41275"/>
    <cellStyle name="_Accruals raised Jan_TT FD" xfId="41276"/>
    <cellStyle name="_Accruals raised Jan_VoWD Data" xfId="41277"/>
    <cellStyle name="_Accruals raised Jan_VoWD Data by Purpose Code" xfId="41278"/>
    <cellStyle name="_Accruals raised Jan_VoWD Sign-Off Sheet" xfId="41279"/>
    <cellStyle name="_ACN - NiSource Business Case - v2.2" xfId="41280"/>
    <cellStyle name="_ACN - NiSource Business Case - v2.2 2" xfId="41281"/>
    <cellStyle name="_Addendum Workbook 11B Fee Schedule arw version" xfId="41282"/>
    <cellStyle name="_Addendum Workbook 11B Fee Schedule arw version 2" xfId="41283"/>
    <cellStyle name="_Addendum Workbook 11B Fee Schedule arw version 3" xfId="41284"/>
    <cellStyle name="_Addendum Workbook 11B Fee Schedule arw version_Advanstar Financials 24 July" xfId="41285"/>
    <cellStyle name="_Addendum Workbook 11B Fee Schedule arw version_Advanstar Financials 24 July 2" xfId="41286"/>
    <cellStyle name="_Addendum Workbook 11B Fee Schedule arw version_Advanstar Financials 24 July 3" xfId="41287"/>
    <cellStyle name="_Addendum Workbook 11B Fee Schedule arw version_Advanstar Financials 24 July v1" xfId="41288"/>
    <cellStyle name="_Addendum Workbook 11B Fee Schedule arw version_Advanstar Financials 24 July v1 2" xfId="41289"/>
    <cellStyle name="_Addendum Workbook 11B Fee Schedule arw version_Advanstar Financials 24 July v1 3" xfId="41290"/>
    <cellStyle name="_Addendum Workbook 11B Fee Schedule arw version_Advanstar Financials 24 July v1_Adv_8oct_Sub Ver 12(4)" xfId="41291"/>
    <cellStyle name="_Addendum Workbook 11B Fee Schedule arw version_Advanstar Financials 24 July v1_Adv_8oct_Sub Ver 12(4) 2" xfId="41292"/>
    <cellStyle name="_Addendum Workbook 11B Fee Schedule arw version_Advanstar Financials 24 July v1_Adv_8oct_Sub Ver 12(4) 3" xfId="41293"/>
    <cellStyle name="_Addendum Workbook 11B Fee Schedule arw version_Advanstar Financials 24 July v1_File for Circulation with Volume Discount Revised" xfId="41294"/>
    <cellStyle name="_Addendum Workbook 11B Fee Schedule arw version_Advanstar Financials 24 July v1_File for Circulation with Volume Discount Revised 2" xfId="41295"/>
    <cellStyle name="_Addendum Workbook 11B Fee Schedule arw version_Advanstar Financials 24 July v1_File for Circulation with Volume Discount Revised 3" xfId="41296"/>
    <cellStyle name="_Addendum Workbook 11B Fee Schedule arw version_Advanstar Financials 24 July v1_HR Assumptions for Pricing2" xfId="41297"/>
    <cellStyle name="_Addendum Workbook 11B Fee Schedule arw version_Advanstar Financials 24 July v1_HR Assumptions for Pricing2 2" xfId="41298"/>
    <cellStyle name="_Addendum Workbook 11B Fee Schedule arw version_Advanstar Financials 24 July v1_HR Assumptions for Pricing2 3" xfId="41299"/>
    <cellStyle name="_Addendum Workbook 11B Fee Schedule arw version_Advanstar Financials 24 July_Adv_8oct_Sub Ver 12(4)" xfId="41300"/>
    <cellStyle name="_Addendum Workbook 11B Fee Schedule arw version_Advanstar Financials 24 July_Adv_8oct_Sub Ver 12(4) 2" xfId="41301"/>
    <cellStyle name="_Addendum Workbook 11B Fee Schedule arw version_Advanstar Financials 24 July_Adv_8oct_Sub Ver 12(4) 3" xfId="41302"/>
    <cellStyle name="_Addendum Workbook 11B Fee Schedule arw version_Advanstar Financials 24 July_File for Circulation with Volume Discount Revised" xfId="41303"/>
    <cellStyle name="_Addendum Workbook 11B Fee Schedule arw version_Advanstar Financials 24 July_File for Circulation with Volume Discount Revised 2" xfId="41304"/>
    <cellStyle name="_Addendum Workbook 11B Fee Schedule arw version_Advanstar Financials 24 July_File for Circulation with Volume Discount Revised 3" xfId="41305"/>
    <cellStyle name="_Addendum Workbook 11B Fee Schedule arw version_Advanstar Financials 24 July_HR Assumptions for Pricing2" xfId="41306"/>
    <cellStyle name="_Addendum Workbook 11B Fee Schedule arw version_Advanstar Financials 24 July_HR Assumptions for Pricing2 2" xfId="41307"/>
    <cellStyle name="_Addendum Workbook 11B Fee Schedule arw version_Advanstar Financials 24 July_HR Assumptions for Pricing2 3" xfId="41308"/>
    <cellStyle name="_x0013__Adjustments" xfId="41309"/>
    <cellStyle name="_x0013__AffinPartner" xfId="41310"/>
    <cellStyle name="_x0013__AffinPartner 2" xfId="41311"/>
    <cellStyle name="_x0013__AffinPartner_1" xfId="41312"/>
    <cellStyle name="_x0013__AffinPartner_1 2" xfId="41313"/>
    <cellStyle name="_Airtel Billing - June 05" xfId="41314"/>
    <cellStyle name="_Airtel Billing - June 05 2" xfId="41315"/>
    <cellStyle name="_Airtel Billing - June 05 3" xfId="41316"/>
    <cellStyle name="_Airtel Billing - May 05" xfId="41317"/>
    <cellStyle name="_Airtel Billing - May 05 2" xfId="41318"/>
    <cellStyle name="_Airtel Billing - May 05 3" xfId="41319"/>
    <cellStyle name="_Airtel Billing Aug 05" xfId="41320"/>
    <cellStyle name="_Airtel Billing Aug 05 2" xfId="41321"/>
    <cellStyle name="_Airtel Billing Aug 05 3" xfId="41322"/>
    <cellStyle name="_Airtel Billing July 05" xfId="41323"/>
    <cellStyle name="_Airtel Billing July 05 2" xfId="41324"/>
    <cellStyle name="_Airtel Billing July 05 3" xfId="41325"/>
    <cellStyle name="_Airtel Billing Sep 05" xfId="41326"/>
    <cellStyle name="_Airtel Billing Sep 05 2" xfId="41327"/>
    <cellStyle name="_Airtel Billing Sep 05 3" xfId="41328"/>
    <cellStyle name="_AMP5 Capex v1.9 Draft" xfId="41329"/>
    <cellStyle name="_AMP5 Capex v1.9 Draft 2" xfId="41330"/>
    <cellStyle name="_AMP5 Capex v1.9 Draft 3" xfId="41331"/>
    <cellStyle name="_AMP5 Capex v2.5 September 6+6" xfId="41332"/>
    <cellStyle name="_AMP5 Capex v2.5 September 6+6 2" xfId="41333"/>
    <cellStyle name="_AMP5 Capex v2.5 September 6+6 3" xfId="41334"/>
    <cellStyle name="_AMP5 Capex v4.1 October QRF" xfId="41335"/>
    <cellStyle name="_AMP5 Capex v4.1 October QRF 2" xfId="41336"/>
    <cellStyle name="_AMP5 Capex v4.1 October QRF 3" xfId="41337"/>
    <cellStyle name="_AMP5 Capex v4.2 MT" xfId="41338"/>
    <cellStyle name="_AMP5 Capex v4.2 MT 2" xfId="41339"/>
    <cellStyle name="_AMP5 Capex v4.2 MT 3" xfId="41340"/>
    <cellStyle name="_AMP5 Forecast-Budget (Dec COPI)" xfId="41341"/>
    <cellStyle name="_AMP5 Forecast-Budget (Dec COPI)_budget risk items" xfId="41342"/>
    <cellStyle name="_AMP5 Sales waterfall" xfId="41343"/>
    <cellStyle name="_AMP5 Sales waterfall 2" xfId="41344"/>
    <cellStyle name="_AMP5 v1 vs AMP 5 V2 Opex Waterfalls" xfId="41345"/>
    <cellStyle name="_AMP5 v1 vs AMP 5 V2 Opex Waterfalls 2" xfId="41346"/>
    <cellStyle name="_AMP5 v1 vs Budget OPEX waterfall" xfId="41347"/>
    <cellStyle name="_AMP5 v1 vs Budget OPEX waterfall 2" xfId="41348"/>
    <cellStyle name="_AMP5 v1 vs Budget Sales waterfall" xfId="41349"/>
    <cellStyle name="_AMP5 v1 vs Budget Sales waterfall 2" xfId="41350"/>
    <cellStyle name="_AMVESCAP baselines" xfId="41351"/>
    <cellStyle name="_AMVESCAP baselines 2" xfId="41352"/>
    <cellStyle name="_Appendix P - Depreciation AMP5 Template" xfId="41353"/>
    <cellStyle name="_Appendix P - Depreciation AMP5 Template 2" xfId="41354"/>
    <cellStyle name="_Appendix P - Depreciation AMP5 Template 2_Adjustments" xfId="41355"/>
    <cellStyle name="_Appendix P - Depreciation AMP5 Template 2_Overall" xfId="41356"/>
    <cellStyle name="_Appendix P - Depreciation AMP5 Template_B &amp; U by Inv Area &amp; Del" xfId="41357"/>
    <cellStyle name="_Appendix P - Depreciation AMP5 Template_budget risk items" xfId="41358"/>
    <cellStyle name="_Appendix P - Depreciation AMP5 Template_VoWD Data" xfId="41359"/>
    <cellStyle name="_Appendix P - Depreciation AMP5 Template_VoWD Data by Purpose Code" xfId="41360"/>
    <cellStyle name="_Apps Micron Pricing Template V6" xfId="41361"/>
    <cellStyle name="_Apps Micron Pricing Template V6 2" xfId="41362"/>
    <cellStyle name="_Apps Micron Pricing Template V6 3" xfId="41363"/>
    <cellStyle name="_Apps Micron Pricing Template V6_AXA" xfId="41364"/>
    <cellStyle name="_Apps Micron Pricing Template V6_AXA 2" xfId="41365"/>
    <cellStyle name="_Apps Micron Pricing Template V6_AXA 3" xfId="41366"/>
    <cellStyle name="_Apps Micron Pricing Template V6_UMG Financial Model - Apps V 2.0" xfId="41367"/>
    <cellStyle name="_Apps Micron Pricing Template V6_UMG Financial Model - Apps V 2.0 2" xfId="41368"/>
    <cellStyle name="_Apps Micron Pricing Template V6_UMG Financial Model - Apps V 2.0 3" xfId="41369"/>
    <cellStyle name="_Apps Micron Pricing Template V6_UMG_ Pricing Model - Final" xfId="41370"/>
    <cellStyle name="_Apps Micron Pricing Template V6_UMG_ Pricing Model - Final 2" xfId="41371"/>
    <cellStyle name="_Apps Micron Pricing Template V6_UMG_ Pricing Model - Final 3" xfId="41372"/>
    <cellStyle name="_ARC" xfId="41373"/>
    <cellStyle name="_ARC 2" xfId="41374"/>
    <cellStyle name="_ARC 3" xfId="41375"/>
    <cellStyle name="_ARC_Advanstar Financials 24 July" xfId="41376"/>
    <cellStyle name="_ARC_Advanstar Financials 24 July 2" xfId="41377"/>
    <cellStyle name="_ARC_Advanstar Financials 24 July 3" xfId="41378"/>
    <cellStyle name="_ARC_Advanstar Financials 24 July v1" xfId="41379"/>
    <cellStyle name="_ARC_Advanstar Financials 24 July v1 2" xfId="41380"/>
    <cellStyle name="_ARC_Advanstar Financials 24 July v1 3" xfId="41381"/>
    <cellStyle name="_ARC_Advanstar Financials 24 July v1_Adv_8oct_Sub Ver 12(4)" xfId="41382"/>
    <cellStyle name="_ARC_Advanstar Financials 24 July v1_Adv_8oct_Sub Ver 12(4) 2" xfId="41383"/>
    <cellStyle name="_ARC_Advanstar Financials 24 July v1_Adv_8oct_Sub Ver 12(4) 3" xfId="41384"/>
    <cellStyle name="_ARC_Advanstar Financials 24 July v1_File for Circulation with Volume Discount Revised" xfId="41385"/>
    <cellStyle name="_ARC_Advanstar Financials 24 July v1_File for Circulation with Volume Discount Revised 2" xfId="41386"/>
    <cellStyle name="_ARC_Advanstar Financials 24 July v1_File for Circulation with Volume Discount Revised 3" xfId="41387"/>
    <cellStyle name="_ARC_Advanstar Financials 24 July v1_HR Assumptions for Pricing2" xfId="41388"/>
    <cellStyle name="_ARC_Advanstar Financials 24 July v1_HR Assumptions for Pricing2 2" xfId="41389"/>
    <cellStyle name="_ARC_Advanstar Financials 24 July v1_HR Assumptions for Pricing2 3" xfId="41390"/>
    <cellStyle name="_ARC_Advanstar Financials 24 July_Adv_8oct_Sub Ver 12(4)" xfId="41391"/>
    <cellStyle name="_ARC_Advanstar Financials 24 July_Adv_8oct_Sub Ver 12(4) 2" xfId="41392"/>
    <cellStyle name="_ARC_Advanstar Financials 24 July_Adv_8oct_Sub Ver 12(4) 3" xfId="41393"/>
    <cellStyle name="_ARC_Advanstar Financials 24 July_File for Circulation with Volume Discount Revised" xfId="41394"/>
    <cellStyle name="_ARC_Advanstar Financials 24 July_File for Circulation with Volume Discount Revised 2" xfId="41395"/>
    <cellStyle name="_ARC_Advanstar Financials 24 July_File for Circulation with Volume Discount Revised 3" xfId="41396"/>
    <cellStyle name="_ARC_Advanstar Financials 24 July_HR Assumptions for Pricing2" xfId="41397"/>
    <cellStyle name="_ARC_Advanstar Financials 24 July_HR Assumptions for Pricing2 2" xfId="41398"/>
    <cellStyle name="_ARC_Advanstar Financials 24 July_HR Assumptions for Pricing2 3" xfId="41399"/>
    <cellStyle name="_ARM_Transition and Steady State Plan_Engg Apps_Ver 0_7 BFC Inputs" xfId="41400"/>
    <cellStyle name="_ARM_Transition and Steady State Plan_Engg Apps_Ver 0_7 BFC Inputs 2" xfId="41401"/>
    <cellStyle name="_ARM-Custom-Applications-v4 0 BFC Inputs" xfId="41402"/>
    <cellStyle name="_ARM-Custom-Applications-v4 0 BFC Inputs 2" xfId="41403"/>
    <cellStyle name="_Armstrong_AppsInfraBPO" xfId="41404"/>
    <cellStyle name="_Armstrong_AppsInfraBPO 2" xfId="41405"/>
    <cellStyle name="_Armstrong_AppsInfraBPO 3" xfId="41406"/>
    <cellStyle name="_Armstrong_AppsInfraBPO V3 VN" xfId="41407"/>
    <cellStyle name="_Armstrong_AppsInfraBPO V3 VN 2" xfId="41408"/>
    <cellStyle name="_Armstrong_AppsInfraBPO V3 VN 3" xfId="41409"/>
    <cellStyle name="_Armstrong_AppsInfraBPO V3 VN_Advanstar Financials 24 July" xfId="41410"/>
    <cellStyle name="_Armstrong_AppsInfraBPO V3 VN_Advanstar Financials 24 July 2" xfId="41411"/>
    <cellStyle name="_Armstrong_AppsInfraBPO V3 VN_Advanstar Financials 24 July 3" xfId="41412"/>
    <cellStyle name="_Armstrong_AppsInfraBPO V3 VN_Advanstar Financials 24 July v1" xfId="41413"/>
    <cellStyle name="_Armstrong_AppsInfraBPO V3 VN_Advanstar Financials 24 July v1 2" xfId="41414"/>
    <cellStyle name="_Armstrong_AppsInfraBPO V3 VN_Advanstar Financials 24 July v1 3" xfId="41415"/>
    <cellStyle name="_Armstrong_AppsInfraBPO V3 VN_Advanstar Financials 24 July v1_Adv_8oct_Sub Ver 12(4)" xfId="41416"/>
    <cellStyle name="_Armstrong_AppsInfraBPO V3 VN_Advanstar Financials 24 July v1_Adv_8oct_Sub Ver 12(4) 2" xfId="41417"/>
    <cellStyle name="_Armstrong_AppsInfraBPO V3 VN_Advanstar Financials 24 July v1_Adv_8oct_Sub Ver 12(4) 3" xfId="41418"/>
    <cellStyle name="_Armstrong_AppsInfraBPO V3 VN_Advanstar Financials 24 July v1_File for Circulation with Volume Discount Revised" xfId="41419"/>
    <cellStyle name="_Armstrong_AppsInfraBPO V3 VN_Advanstar Financials 24 July v1_File for Circulation with Volume Discount Revised 2" xfId="41420"/>
    <cellStyle name="_Armstrong_AppsInfraBPO V3 VN_Advanstar Financials 24 July v1_File for Circulation with Volume Discount Revised 3" xfId="41421"/>
    <cellStyle name="_Armstrong_AppsInfraBPO V3 VN_Advanstar Financials 24 July v1_HR Assumptions for Pricing2" xfId="41422"/>
    <cellStyle name="_Armstrong_AppsInfraBPO V3 VN_Advanstar Financials 24 July v1_HR Assumptions for Pricing2 2" xfId="41423"/>
    <cellStyle name="_Armstrong_AppsInfraBPO V3 VN_Advanstar Financials 24 July v1_HR Assumptions for Pricing2 3" xfId="41424"/>
    <cellStyle name="_Armstrong_AppsInfraBPO V3 VN_Advanstar Financials 24 July_Adv_8oct_Sub Ver 12(4)" xfId="41425"/>
    <cellStyle name="_Armstrong_AppsInfraBPO V3 VN_Advanstar Financials 24 July_Adv_8oct_Sub Ver 12(4) 2" xfId="41426"/>
    <cellStyle name="_Armstrong_AppsInfraBPO V3 VN_Advanstar Financials 24 July_Adv_8oct_Sub Ver 12(4) 3" xfId="41427"/>
    <cellStyle name="_Armstrong_AppsInfraBPO V3 VN_Advanstar Financials 24 July_File for Circulation with Volume Discount Revised" xfId="41428"/>
    <cellStyle name="_Armstrong_AppsInfraBPO V3 VN_Advanstar Financials 24 July_File for Circulation with Volume Discount Revised 2" xfId="41429"/>
    <cellStyle name="_Armstrong_AppsInfraBPO V3 VN_Advanstar Financials 24 July_File for Circulation with Volume Discount Revised 3" xfId="41430"/>
    <cellStyle name="_Armstrong_AppsInfraBPO V3 VN_Advanstar Financials 24 July_HR Assumptions for Pricing2" xfId="41431"/>
    <cellStyle name="_Armstrong_AppsInfraBPO V3 VN_Advanstar Financials 24 July_HR Assumptions for Pricing2 2" xfId="41432"/>
    <cellStyle name="_Armstrong_AppsInfraBPO V3 VN_Advanstar Financials 24 July_HR Assumptions for Pricing2 3" xfId="41433"/>
    <cellStyle name="_Armstrong_AppsInfraBPO V3 VN_FTE Deployment v4" xfId="41434"/>
    <cellStyle name="_Armstrong_AppsInfraBPO V3 VN_FTE Deployment v4 2" xfId="41435"/>
    <cellStyle name="_Armstrong_AppsInfraBPO V3 VN_FTE Deployment v4 3" xfId="41436"/>
    <cellStyle name="_Armstrong_AppsInfraBPO V3 VN_FTE Deployment v4 ramp plan" xfId="41437"/>
    <cellStyle name="_Armstrong_AppsInfraBPO V3 VN_FTE Deployment v4 ramp plan 2" xfId="41438"/>
    <cellStyle name="_Armstrong_AppsInfraBPO V3 VN_FTE Deployment v4 ramp plan 3" xfId="41439"/>
    <cellStyle name="_Armstrong_AppsInfraBPO V3 VN_FTE Deployment v4 ramp plan_Advanstar Financials 24 July" xfId="41440"/>
    <cellStyle name="_Armstrong_AppsInfraBPO V3 VN_FTE Deployment v4 ramp plan_Advanstar Financials 24 July 2" xfId="41441"/>
    <cellStyle name="_Armstrong_AppsInfraBPO V3 VN_FTE Deployment v4 ramp plan_Advanstar Financials 24 July 3" xfId="41442"/>
    <cellStyle name="_Armstrong_AppsInfraBPO V3 VN_FTE Deployment v4 ramp plan_Advanstar Financials 24 July v1" xfId="41443"/>
    <cellStyle name="_Armstrong_AppsInfraBPO V3 VN_FTE Deployment v4 ramp plan_Advanstar Financials 24 July v1 2" xfId="41444"/>
    <cellStyle name="_Armstrong_AppsInfraBPO V3 VN_FTE Deployment v4 ramp plan_Advanstar Financials 24 July v1 3" xfId="41445"/>
    <cellStyle name="_Armstrong_AppsInfraBPO V3 VN_FTE Deployment v4 ramp plan_Finance Input Template V6 1 Sep" xfId="41446"/>
    <cellStyle name="_Armstrong_AppsInfraBPO V3 VN_FTE Deployment v4 ramp plan_Finance Input Template V6 1 Sep 2" xfId="41447"/>
    <cellStyle name="_Armstrong_AppsInfraBPO V3 VN_FTE Deployment v4 ramp plan_Finance Input Template V6 1 Sep 3" xfId="41448"/>
    <cellStyle name="_Armstrong_AppsInfraBPO V3 VN_FTE Deployment v4_Advanstar Financials 24 July" xfId="41449"/>
    <cellStyle name="_Armstrong_AppsInfraBPO V3 VN_FTE Deployment v4_Advanstar Financials 24 July 2" xfId="41450"/>
    <cellStyle name="_Armstrong_AppsInfraBPO V3 VN_FTE Deployment v4_Advanstar Financials 24 July 3" xfId="41451"/>
    <cellStyle name="_Armstrong_AppsInfraBPO V3 VN_FTE Deployment v4_Advanstar Financials 24 July v1" xfId="41452"/>
    <cellStyle name="_Armstrong_AppsInfraBPO V3 VN_FTE Deployment v4_Advanstar Financials 24 July v1 2" xfId="41453"/>
    <cellStyle name="_Armstrong_AppsInfraBPO V3 VN_FTE Deployment v4_Advanstar Financials 24 July v1 3" xfId="41454"/>
    <cellStyle name="_Armstrong_AppsInfraBPO V3 VN_FTE Deployment v4_Finance Input Template V6 1 Sep" xfId="41455"/>
    <cellStyle name="_Armstrong_AppsInfraBPO V3 VN_FTE Deployment v4_Finance Input Template V6 1 Sep 2" xfId="41456"/>
    <cellStyle name="_Armstrong_AppsInfraBPO V3 VN_FTE Deployment v4_Finance Input Template V6 1 Sep 3" xfId="41457"/>
    <cellStyle name="_Armstrong_AppsInfraBPO V3 VN_FTE Deployment v5" xfId="41458"/>
    <cellStyle name="_Armstrong_AppsInfraBPO V3 VN_FTE Deployment v5 2" xfId="41459"/>
    <cellStyle name="_Armstrong_AppsInfraBPO V3 VN_FTE Deployment v5 3" xfId="41460"/>
    <cellStyle name="_Armstrong_AppsInfraBPO V3 VN_FTE Deployment v5_Advanstar Financials 24 July" xfId="41461"/>
    <cellStyle name="_Armstrong_AppsInfraBPO V3 VN_FTE Deployment v5_Advanstar Financials 24 July 2" xfId="41462"/>
    <cellStyle name="_Armstrong_AppsInfraBPO V3 VN_FTE Deployment v5_Advanstar Financials 24 July 3" xfId="41463"/>
    <cellStyle name="_Armstrong_AppsInfraBPO V3 VN_FTE Deployment v5_Advanstar Financials 24 July v1" xfId="41464"/>
    <cellStyle name="_Armstrong_AppsInfraBPO V3 VN_FTE Deployment v5_Advanstar Financials 24 July v1 2" xfId="41465"/>
    <cellStyle name="_Armstrong_AppsInfraBPO V3 VN_FTE Deployment v5_Advanstar Financials 24 July v1 3" xfId="41466"/>
    <cellStyle name="_Armstrong_AppsInfraBPO V3 VN_FTE Deployment v5_Finance Input Template V6 1 Sep" xfId="41467"/>
    <cellStyle name="_Armstrong_AppsInfraBPO V3 VN_FTE Deployment v5_Finance Input Template V6 1 Sep 2" xfId="41468"/>
    <cellStyle name="_Armstrong_AppsInfraBPO V3 VN_FTE Deployment v5_Finance Input Template V6 1 Sep 3" xfId="41469"/>
    <cellStyle name="_Armstrong_AppsInfraBPO V3 VN_Pricing Norway Post2" xfId="41470"/>
    <cellStyle name="_Armstrong_AppsInfraBPO V3 VN_Pricing Norway Post2 2" xfId="41471"/>
    <cellStyle name="_Armstrong_AppsInfraBPO V3 VN_Pricing Norway Post2 3" xfId="41472"/>
    <cellStyle name="_Armstrong_AppsInfraBPO V3 VN_Salary Rate Card_v1 0" xfId="41473"/>
    <cellStyle name="_Armstrong_AppsInfraBPO V3 VN_Salary Rate Card_v1 0 2" xfId="41474"/>
    <cellStyle name="_Armstrong_AppsInfraBPO V3 VN_Salary Rate Card_v1 0 3" xfId="41475"/>
    <cellStyle name="_Armstrong_AppsInfraBPO V3 VN_Seat Cost calculation 150110 SkyIt" xfId="41476"/>
    <cellStyle name="_Armstrong_AppsInfraBPO V3 VN_Seat Cost calculation 150110 SkyIt 2" xfId="41477"/>
    <cellStyle name="_Armstrong_AppsInfraBPO V3 VN_Seat Cost calculation 150110 SkyIt 3" xfId="41478"/>
    <cellStyle name="_Armstrong_AppsInfraBPO_Advanstar Financials 24 July" xfId="41479"/>
    <cellStyle name="_Armstrong_AppsInfraBPO_Advanstar Financials 24 July 2" xfId="41480"/>
    <cellStyle name="_Armstrong_AppsInfraBPO_Advanstar Financials 24 July 3" xfId="41481"/>
    <cellStyle name="_Armstrong_AppsInfraBPO_Advanstar Financials 24 July v1" xfId="41482"/>
    <cellStyle name="_Armstrong_AppsInfraBPO_Advanstar Financials 24 July v1 2" xfId="41483"/>
    <cellStyle name="_Armstrong_AppsInfraBPO_Advanstar Financials 24 July v1 3" xfId="41484"/>
    <cellStyle name="_Armstrong_AppsInfraBPO_Advanstar Financials 24 July v1_Adv_8oct_Sub Ver 12(4)" xfId="41485"/>
    <cellStyle name="_Armstrong_AppsInfraBPO_Advanstar Financials 24 July v1_Adv_8oct_Sub Ver 12(4) 2" xfId="41486"/>
    <cellStyle name="_Armstrong_AppsInfraBPO_Advanstar Financials 24 July v1_Adv_8oct_Sub Ver 12(4) 3" xfId="41487"/>
    <cellStyle name="_Armstrong_AppsInfraBPO_Advanstar Financials 24 July v1_File for Circulation with Volume Discount Revised" xfId="41488"/>
    <cellStyle name="_Armstrong_AppsInfraBPO_Advanstar Financials 24 July v1_File for Circulation with Volume Discount Revised 2" xfId="41489"/>
    <cellStyle name="_Armstrong_AppsInfraBPO_Advanstar Financials 24 July v1_File for Circulation with Volume Discount Revised 3" xfId="41490"/>
    <cellStyle name="_Armstrong_AppsInfraBPO_Advanstar Financials 24 July v1_HR Assumptions for Pricing2" xfId="41491"/>
    <cellStyle name="_Armstrong_AppsInfraBPO_Advanstar Financials 24 July v1_HR Assumptions for Pricing2 2" xfId="41492"/>
    <cellStyle name="_Armstrong_AppsInfraBPO_Advanstar Financials 24 July v1_HR Assumptions for Pricing2 3" xfId="41493"/>
    <cellStyle name="_Armstrong_AppsInfraBPO_Advanstar Financials 24 July_Adv_8oct_Sub Ver 12(4)" xfId="41494"/>
    <cellStyle name="_Armstrong_AppsInfraBPO_Advanstar Financials 24 July_Adv_8oct_Sub Ver 12(4) 2" xfId="41495"/>
    <cellStyle name="_Armstrong_AppsInfraBPO_Advanstar Financials 24 July_Adv_8oct_Sub Ver 12(4) 3" xfId="41496"/>
    <cellStyle name="_Armstrong_AppsInfraBPO_Advanstar Financials 24 July_File for Circulation with Volume Discount Revised" xfId="41497"/>
    <cellStyle name="_Armstrong_AppsInfraBPO_Advanstar Financials 24 July_File for Circulation with Volume Discount Revised 2" xfId="41498"/>
    <cellStyle name="_Armstrong_AppsInfraBPO_Advanstar Financials 24 July_File for Circulation with Volume Discount Revised 3" xfId="41499"/>
    <cellStyle name="_Armstrong_AppsInfraBPO_Advanstar Financials 24 July_HR Assumptions for Pricing2" xfId="41500"/>
    <cellStyle name="_Armstrong_AppsInfraBPO_Advanstar Financials 24 July_HR Assumptions for Pricing2 2" xfId="41501"/>
    <cellStyle name="_Armstrong_AppsInfraBPO_Advanstar Financials 24 July_HR Assumptions for Pricing2 3" xfId="41502"/>
    <cellStyle name="_Armstrong_AppsInfraBPO_FTE Deployment v4" xfId="41503"/>
    <cellStyle name="_Armstrong_AppsInfraBPO_FTE Deployment v4 2" xfId="41504"/>
    <cellStyle name="_Armstrong_AppsInfraBPO_FTE Deployment v4 3" xfId="41505"/>
    <cellStyle name="_Armstrong_AppsInfraBPO_FTE Deployment v4 ramp plan" xfId="41506"/>
    <cellStyle name="_Armstrong_AppsInfraBPO_FTE Deployment v4 ramp plan 2" xfId="41507"/>
    <cellStyle name="_Armstrong_AppsInfraBPO_FTE Deployment v4 ramp plan 3" xfId="41508"/>
    <cellStyle name="_Armstrong_AppsInfraBPO_FTE Deployment v4 ramp plan_Advanstar Financials 24 July" xfId="41509"/>
    <cellStyle name="_Armstrong_AppsInfraBPO_FTE Deployment v4 ramp plan_Advanstar Financials 24 July 2" xfId="41510"/>
    <cellStyle name="_Armstrong_AppsInfraBPO_FTE Deployment v4 ramp plan_Advanstar Financials 24 July 3" xfId="41511"/>
    <cellStyle name="_Armstrong_AppsInfraBPO_FTE Deployment v4 ramp plan_Advanstar Financials 24 July v1" xfId="41512"/>
    <cellStyle name="_Armstrong_AppsInfraBPO_FTE Deployment v4 ramp plan_Advanstar Financials 24 July v1 2" xfId="41513"/>
    <cellStyle name="_Armstrong_AppsInfraBPO_FTE Deployment v4 ramp plan_Advanstar Financials 24 July v1 3" xfId="41514"/>
    <cellStyle name="_Armstrong_AppsInfraBPO_FTE Deployment v4 ramp plan_Finance Input Template V6 1 Sep" xfId="41515"/>
    <cellStyle name="_Armstrong_AppsInfraBPO_FTE Deployment v4 ramp plan_Finance Input Template V6 1 Sep 2" xfId="41516"/>
    <cellStyle name="_Armstrong_AppsInfraBPO_FTE Deployment v4 ramp plan_Finance Input Template V6 1 Sep 3" xfId="41517"/>
    <cellStyle name="_Armstrong_AppsInfraBPO_FTE Deployment v4_Advanstar Financials 24 July" xfId="41518"/>
    <cellStyle name="_Armstrong_AppsInfraBPO_FTE Deployment v4_Advanstar Financials 24 July 2" xfId="41519"/>
    <cellStyle name="_Armstrong_AppsInfraBPO_FTE Deployment v4_Advanstar Financials 24 July 3" xfId="41520"/>
    <cellStyle name="_Armstrong_AppsInfraBPO_FTE Deployment v4_Advanstar Financials 24 July v1" xfId="41521"/>
    <cellStyle name="_Armstrong_AppsInfraBPO_FTE Deployment v4_Advanstar Financials 24 July v1 2" xfId="41522"/>
    <cellStyle name="_Armstrong_AppsInfraBPO_FTE Deployment v4_Advanstar Financials 24 July v1 3" xfId="41523"/>
    <cellStyle name="_Armstrong_AppsInfraBPO_FTE Deployment v4_Finance Input Template V6 1 Sep" xfId="41524"/>
    <cellStyle name="_Armstrong_AppsInfraBPO_FTE Deployment v4_Finance Input Template V6 1 Sep 2" xfId="41525"/>
    <cellStyle name="_Armstrong_AppsInfraBPO_FTE Deployment v4_Finance Input Template V6 1 Sep 3" xfId="41526"/>
    <cellStyle name="_Armstrong_AppsInfraBPO_FTE Deployment v5" xfId="41527"/>
    <cellStyle name="_Armstrong_AppsInfraBPO_FTE Deployment v5 2" xfId="41528"/>
    <cellStyle name="_Armstrong_AppsInfraBPO_FTE Deployment v5 3" xfId="41529"/>
    <cellStyle name="_Armstrong_AppsInfraBPO_FTE Deployment v5_Advanstar Financials 24 July" xfId="41530"/>
    <cellStyle name="_Armstrong_AppsInfraBPO_FTE Deployment v5_Advanstar Financials 24 July 2" xfId="41531"/>
    <cellStyle name="_Armstrong_AppsInfraBPO_FTE Deployment v5_Advanstar Financials 24 July 3" xfId="41532"/>
    <cellStyle name="_Armstrong_AppsInfraBPO_FTE Deployment v5_Advanstar Financials 24 July v1" xfId="41533"/>
    <cellStyle name="_Armstrong_AppsInfraBPO_FTE Deployment v5_Advanstar Financials 24 July v1 2" xfId="41534"/>
    <cellStyle name="_Armstrong_AppsInfraBPO_FTE Deployment v5_Advanstar Financials 24 July v1 3" xfId="41535"/>
    <cellStyle name="_Armstrong_AppsInfraBPO_FTE Deployment v5_Finance Input Template V6 1 Sep" xfId="41536"/>
    <cellStyle name="_Armstrong_AppsInfraBPO_FTE Deployment v5_Finance Input Template V6 1 Sep 2" xfId="41537"/>
    <cellStyle name="_Armstrong_AppsInfraBPO_FTE Deployment v5_Finance Input Template V6 1 Sep 3" xfId="41538"/>
    <cellStyle name="_Armstrong_AppsInfraBPO_Pricing Norway Post2" xfId="41539"/>
    <cellStyle name="_Armstrong_AppsInfraBPO_Pricing Norway Post2 2" xfId="41540"/>
    <cellStyle name="_Armstrong_AppsInfraBPO_Pricing Norway Post2 3" xfId="41541"/>
    <cellStyle name="_Armstrong_AppsInfraBPO_Salary Rate Card_v1 0" xfId="41542"/>
    <cellStyle name="_Armstrong_AppsInfraBPO_Salary Rate Card_v1 0 2" xfId="41543"/>
    <cellStyle name="_Armstrong_AppsInfraBPO_Salary Rate Card_v1 0 3" xfId="41544"/>
    <cellStyle name="_Armstrong_AppsInfraBPO_Seat Cost calculation 150110 SkyIt" xfId="41545"/>
    <cellStyle name="_Armstrong_AppsInfraBPO_Seat Cost calculation 150110 SkyIt 2" xfId="41546"/>
    <cellStyle name="_Armstrong_AppsInfraBPO_Seat Cost calculation 150110 SkyIt 3" xfId="41547"/>
    <cellStyle name="_ArvinMeritor Financials.20.06.07." xfId="41548"/>
    <cellStyle name="_ArvinMeritor Financials.20.06.07. 2" xfId="41549"/>
    <cellStyle name="_ArvinMeritor Financials.20.06.07. 3" xfId="41550"/>
    <cellStyle name="_Ass1" xfId="41551"/>
    <cellStyle name="_Ass1 2" xfId="41552"/>
    <cellStyle name="_Ass1 2 2" xfId="41553"/>
    <cellStyle name="_Ass1 3" xfId="41554"/>
    <cellStyle name="_Ass1 3 2" xfId="41555"/>
    <cellStyle name="_Ass1 4" xfId="41556"/>
    <cellStyle name="_Ass1 4 2" xfId="41557"/>
    <cellStyle name="_Ass1 5" xfId="41558"/>
    <cellStyle name="_Ass1 5 2" xfId="41559"/>
    <cellStyle name="_Ass1 6" xfId="41560"/>
    <cellStyle name="_Ass1 6 2" xfId="41561"/>
    <cellStyle name="_Ass1 7" xfId="41562"/>
    <cellStyle name="_Ass1 7 2" xfId="41563"/>
    <cellStyle name="_Ass1 8" xfId="41564"/>
    <cellStyle name="_Ass1_~9868926" xfId="41565"/>
    <cellStyle name="_Ass1_2011 10 Nov R&amp;O Register Reporting (Working Copy) Finance Draft" xfId="41566"/>
    <cellStyle name="_Ass1_2011 10 Nov R&amp;O Register Reporting (Working Copy) Finance Final" xfId="41567"/>
    <cellStyle name="_Ass1_2012 04 April R&amp;O Register IC Reporting" xfId="41568"/>
    <cellStyle name="_Ass1_6+6 Forecast Backup Worksheets" xfId="41569"/>
    <cellStyle name="_Ass1_7+5 waterfall DMC" xfId="41570"/>
    <cellStyle name="_Ass1_AffinPartner" xfId="41571"/>
    <cellStyle name="_Ass1_AffinPartner 2" xfId="41572"/>
    <cellStyle name="_Ass1_AffinPartner_1" xfId="41573"/>
    <cellStyle name="_Ass1_AffinPartner_1 2" xfId="41574"/>
    <cellStyle name="_Ass1_Asset_ManagementCON" xfId="41575"/>
    <cellStyle name="_Ass1_Asset_ManagementCON 2" xfId="41576"/>
    <cellStyle name="_Ass1_Asset_ManagementCON_1" xfId="41577"/>
    <cellStyle name="_Ass1_Asset_ManagementCON_1 2" xfId="41578"/>
    <cellStyle name="_Ass1_Asset_MgmtNonAppoint" xfId="41579"/>
    <cellStyle name="_Ass1_Asset_MgmtNonAppoint 2" xfId="41580"/>
    <cellStyle name="_Ass1_Book1" xfId="41581"/>
    <cellStyle name="_Ass1_Book2" xfId="41582"/>
    <cellStyle name="_Ass1_Book3" xfId="41583"/>
    <cellStyle name="_Ass1_Book3 2" xfId="41584"/>
    <cellStyle name="_Ass1_Book3 2_Adjustments" xfId="41585"/>
    <cellStyle name="_Ass1_Book3 2_Overall" xfId="41586"/>
    <cellStyle name="_Ass1_Book3_B &amp; U by Inv Area &amp; Del" xfId="41587"/>
    <cellStyle name="_Ass1_Book3_budget risk items" xfId="41588"/>
    <cellStyle name="_Ass1_Book3_VoWD Data" xfId="41589"/>
    <cellStyle name="_Ass1_Book3_VoWD Data by Purpose Code" xfId="41590"/>
    <cellStyle name="_Ass1_Budget Finance" xfId="41591"/>
    <cellStyle name="_Ass1_Budget Finance 2" xfId="41592"/>
    <cellStyle name="_Ass1_Budget Finance 3" xfId="41593"/>
    <cellStyle name="_Ass1_budget risk items" xfId="41594"/>
    <cellStyle name="_Ass1_Capital_DeliveryCON" xfId="41595"/>
    <cellStyle name="_Ass1_Capital_DeliveryCON 2" xfId="41596"/>
    <cellStyle name="_Ass1_Central_Items" xfId="41597"/>
    <cellStyle name="_Ass1_Central_Items 2" xfId="41598"/>
    <cellStyle name="_Ass1_Central_Items_1" xfId="41599"/>
    <cellStyle name="_Ass1_Central_Items_1 2" xfId="41600"/>
    <cellStyle name="_Ass1_Central_Items_2" xfId="41601"/>
    <cellStyle name="_Ass1_Central_Items_2 2" xfId="41602"/>
    <cellStyle name="_Ass1_CENTRE" xfId="41603"/>
    <cellStyle name="_Ass1_CENTRE 2" xfId="41604"/>
    <cellStyle name="_Ass1_CENTRE_1" xfId="41605"/>
    <cellStyle name="_Ass1_CENTRE_1 2" xfId="41606"/>
    <cellStyle name="_Ass1_CENTRE_2" xfId="41607"/>
    <cellStyle name="_Ass1_CENTRE_2 2" xfId="41608"/>
    <cellStyle name="_Ass1_CENTRE_Check" xfId="41609"/>
    <cellStyle name="_Ass1_CENTRE_Check 2" xfId="41610"/>
    <cellStyle name="_Ass1_CENTRE_TWPROP" xfId="41611"/>
    <cellStyle name="_Ass1_CENTRE_TWPROP 2" xfId="41612"/>
    <cellStyle name="_Ass1_Check" xfId="41613"/>
    <cellStyle name="_Ass1_Check 2" xfId="41614"/>
    <cellStyle name="_Ass1_CommCentral" xfId="41615"/>
    <cellStyle name="_Ass1_CommCentral 2" xfId="41616"/>
    <cellStyle name="_Ass1_CommCentral_1" xfId="41617"/>
    <cellStyle name="_Ass1_CommCentral_1 2" xfId="41618"/>
    <cellStyle name="_Ass1_commentary 16 Feb 2012" xfId="41619"/>
    <cellStyle name="_Ass1_CommProjects" xfId="41620"/>
    <cellStyle name="_Ass1_CommProjects 2" xfId="41621"/>
    <cellStyle name="_Ass1_CommProjects_1" xfId="41622"/>
    <cellStyle name="_Ass1_CommProjects_1 2" xfId="41623"/>
    <cellStyle name="_Ass1_CONSOL_G" xfId="41624"/>
    <cellStyle name="_Ass1_CONSOL_G 2" xfId="41625"/>
    <cellStyle name="_Ass1_Copy of Corporate waterfall stuart ledger +LBE 10-1-12 month end Jan 12 v3 16-02-12" xfId="41626"/>
    <cellStyle name="_Ass1_Copy of Corporate waterfall stuart ledger +LBE 10-1-12 month end Jan 12 v3 16-02-12_budget risk items" xfId="41627"/>
    <cellStyle name="_Ass1_Copy of QRF 2011 6+6 - Final v5.1 - Recut of v4 with uplifted IS &amp; IRE overhead rates" xfId="41628"/>
    <cellStyle name="_Ass1_Corporate Commentary April 12" xfId="41629"/>
    <cellStyle name="_Ass1_Corporate Sub AMP5 Net Profiles" xfId="41630"/>
    <cellStyle name="_Ass1_Corporate waterfall stuart ledger 10-1-12 month end Dec 11" xfId="41631"/>
    <cellStyle name="_Ass1_Corporate waterfall stuart ledger 10-1-12 month end Dec 11 2" xfId="41632"/>
    <cellStyle name="_Ass1_Corporate waterfall stuart ledger 10-1-12 month end Dec 11 2_Adjustments" xfId="41633"/>
    <cellStyle name="_Ass1_Corporate waterfall stuart ledger 10-1-12 month end Dec 11 2_Overall" xfId="41634"/>
    <cellStyle name="_Ass1_Corporate waterfall stuart ledger 10-1-12 month end Dec 11_B &amp; U by Inv Area &amp; Del" xfId="41635"/>
    <cellStyle name="_Ass1_Corporate waterfall stuart ledger 10-1-12 month end Dec 11_budget risk items" xfId="41636"/>
    <cellStyle name="_Ass1_Corporate waterfall stuart ledger 10-1-12 month end Dec 11_VoWD Data" xfId="41637"/>
    <cellStyle name="_Ass1_Corporate waterfall stuart ledger 10-1-12 month end Dec 11_VoWD Data by Purpose Code" xfId="41638"/>
    <cellStyle name="_Ass1_CServices_SwindonCON" xfId="41639"/>
    <cellStyle name="_Ass1_CServices_SwindonCON 2" xfId="41640"/>
    <cellStyle name="_Ass1_Developer Services Waterfall Template v 2+10" xfId="41641"/>
    <cellStyle name="_Ass1_Employment costs" xfId="41642"/>
    <cellStyle name="_Ass1_Employment costs 2" xfId="41643"/>
    <cellStyle name="_Ass1_Employment costs_1" xfId="41644"/>
    <cellStyle name="_Ass1_Employment costs_1 2" xfId="41645"/>
    <cellStyle name="_Ass1_Employment costs_2" xfId="41646"/>
    <cellStyle name="_Ass1_Employment costs_2 2" xfId="41647"/>
    <cellStyle name="_Ass1_External_Affairs" xfId="41648"/>
    <cellStyle name="_Ass1_External_Affairs 2" xfId="41649"/>
    <cellStyle name="_Ass1_External_Affairs_1" xfId="41650"/>
    <cellStyle name="_Ass1_External_Affairs_1 2" xfId="41651"/>
    <cellStyle name="_Ass1_FD Monitoring AMP5 - Q2 (6 monthly) 2011-12 v0.2 1page Simon McSweeney" xfId="41652"/>
    <cellStyle name="_Ass1_FD Monitoring AMP5 - Q2 (6 monthly) 2011-12 v0.2 1page Simon McSweeney 2" xfId="41653"/>
    <cellStyle name="_Ass1_FD Monitoring AMP5 - Q2 (6 monthly) 2011-12 v0.2 1page Simon McSweeney 2_Adjustments" xfId="41654"/>
    <cellStyle name="_Ass1_FD Monitoring AMP5 - Q2 (6 monthly) 2011-12 v0.2 1page Simon McSweeney 2_Overall" xfId="41655"/>
    <cellStyle name="_Ass1_FD Monitoring AMP5 - Q2 (6 monthly) 2011-12 v0.2 1page Simon McSweeney_B &amp; U by Inv Area &amp; Del" xfId="41656"/>
    <cellStyle name="_Ass1_FD Monitoring AMP5 - Q2 (6 monthly) 2011-12 v0.2 1page Simon McSweeney_budget risk items" xfId="41657"/>
    <cellStyle name="_Ass1_FD Monitoring AMP5 - Q2 (6 monthly) 2011-12 v0.2 1page Simon McSweeney_VoWD Data" xfId="41658"/>
    <cellStyle name="_Ass1_FD Monitoring AMP5 - Q2 (6 monthly) 2011-12 v0.2 1page Simon McSweeney_VoWD Data by Purpose Code" xfId="41659"/>
    <cellStyle name="_Ass1_Finance" xfId="41660"/>
    <cellStyle name="_Ass1_Finance 2" xfId="41661"/>
    <cellStyle name="_Ass1_Finance_1" xfId="41662"/>
    <cellStyle name="_Ass1_Finance_1 2" xfId="41663"/>
    <cellStyle name="_Ass1_Flash Report - 12 - Mar12 - Draft - 03Apr12 pm - Values Only copy" xfId="41664"/>
    <cellStyle name="_Ass1_Fleet" xfId="41665"/>
    <cellStyle name="_Ass1_Fleet 2" xfId="41666"/>
    <cellStyle name="_Ass1_Fleet_1" xfId="41667"/>
    <cellStyle name="_Ass1_Fleet_1 2" xfId="41668"/>
    <cellStyle name="_Ass1_Forecast March 2012 (FINAL On SAP 8th Mar 2012)" xfId="41669"/>
    <cellStyle name="_Ass1_Forecast November 2011 (data from QRF file)v4 (as per NP file, some Oct still forecast)" xfId="41670"/>
    <cellStyle name="_Ass1_Fst-Bud Summary" xfId="41671"/>
    <cellStyle name="_Ass1_Fst-Bud Summary 2" xfId="41672"/>
    <cellStyle name="_Ass1_Fst-Bud Summary 3" xfId="41673"/>
    <cellStyle name="_Ass1_General_Councel" xfId="41674"/>
    <cellStyle name="_Ass1_General_Councel 2" xfId="41675"/>
    <cellStyle name="_Ass1_General_Councel_1" xfId="41676"/>
    <cellStyle name="_Ass1_General_Councel_1 2" xfId="41677"/>
    <cellStyle name="_Ass1_Human_Resources" xfId="41678"/>
    <cellStyle name="_Ass1_Human_Resources 2" xfId="41679"/>
    <cellStyle name="_Ass1_Human_Resources_1" xfId="41680"/>
    <cellStyle name="_Ass1_Human_Resources_1 2" xfId="41681"/>
    <cellStyle name="_Ass1_IBP by Inv Area" xfId="41682"/>
    <cellStyle name="_Ass1_IBP by Inv Area 2" xfId="41683"/>
    <cellStyle name="_Ass1_IBP by Inv Area 2_Adjustments" xfId="41684"/>
    <cellStyle name="_Ass1_IBP by Inv Area 2_Overall" xfId="41685"/>
    <cellStyle name="_Ass1_IBP by Inv Area_B &amp; U by Inv Area &amp; Del" xfId="41686"/>
    <cellStyle name="_Ass1_IBP by Inv Area_budget risk items" xfId="41687"/>
    <cellStyle name="_Ass1_IBP by Inv Area_VoWD Data" xfId="41688"/>
    <cellStyle name="_Ass1_IBP by Inv Area_VoWD Data by Purpose Code" xfId="41689"/>
    <cellStyle name="_Ass1_Innovation" xfId="41690"/>
    <cellStyle name="_Ass1_Innovation 2" xfId="41691"/>
    <cellStyle name="_Ass1_Innovation_1" xfId="41692"/>
    <cellStyle name="_Ass1_Innovation_1 2" xfId="41693"/>
    <cellStyle name="_Ass1_IT" xfId="41694"/>
    <cellStyle name="_Ass1_IT 2" xfId="41695"/>
    <cellStyle name="_Ass1_IT_1" xfId="41696"/>
    <cellStyle name="_Ass1_IT_1 2" xfId="41697"/>
    <cellStyle name="_Ass1_January 12 R&amp;O Register" xfId="41698"/>
    <cellStyle name="_Ass1_KWFLtd" xfId="41699"/>
    <cellStyle name="_Ass1_KWFLtd 2" xfId="41700"/>
    <cellStyle name="_Ass1_KWHLTD_G" xfId="41701"/>
    <cellStyle name="_Ass1_KWHLTD_G 2" xfId="41702"/>
    <cellStyle name="_Ass1_KWHLTD_G_1" xfId="41703"/>
    <cellStyle name="_Ass1_KWHLTD_G_1 2" xfId="41704"/>
    <cellStyle name="_Ass1_KWHLTD_G_2" xfId="41705"/>
    <cellStyle name="_Ass1_KWHLTD_G_2 2" xfId="41706"/>
    <cellStyle name="_Ass1_Major_ProjectsCON" xfId="41707"/>
    <cellStyle name="_Ass1_Major_ProjectsCON 2" xfId="41708"/>
    <cellStyle name="_Ass1_Management Structure" xfId="41709"/>
    <cellStyle name="_Ass1_Management Structure 2" xfId="41710"/>
    <cellStyle name="_Ass1_Management Structure_1" xfId="41711"/>
    <cellStyle name="_Ass1_Management Structure_1 2" xfId="41712"/>
    <cellStyle name="_Ass1_May 12 R&amp;O Register v2" xfId="41713"/>
    <cellStyle name="_Ass1_Monthly CapEx Reporting - April 12" xfId="41714"/>
    <cellStyle name="_Ass1_Monthly CapEx Reporting - April 12_budget risk items" xfId="41715"/>
    <cellStyle name="_Ass1_Monthly Forecast (1+11) - Final v4 - Values Only copy" xfId="41716"/>
    <cellStyle name="_Ass1_Monthly Forecast (1+11) - Final v5 - Values Only copy" xfId="41717"/>
    <cellStyle name="_Ass1_Monthly Forecast (10+2) - 06Feb12 v2 - Values Only Copy" xfId="41718"/>
    <cellStyle name="_Ass1_Monthly Forecast (11+1) - 06Mar12 v3 - Values Only copy" xfId="41719"/>
    <cellStyle name="_Ass1_Monthly Forecast (2+10) - Final v3 - Values Only copy" xfId="41720"/>
    <cellStyle name="_Ass1_Monthly Forecast (9+3) - 06Jan12 v3" xfId="41721"/>
    <cellStyle name="_Ass1_OHAP Monitoring" xfId="41722"/>
    <cellStyle name="_Ass1_OHAP Reporting 1stMar12" xfId="41723"/>
    <cellStyle name="_Ass1_OHAP Reporting 1stMar12 2" xfId="41724"/>
    <cellStyle name="_Ass1_OHAP Reporting 1stMar12 2_Adjustments" xfId="41725"/>
    <cellStyle name="_Ass1_OHAP Reporting 1stMar12 2_Overall" xfId="41726"/>
    <cellStyle name="_Ass1_OHAP Reporting 1stMar12_B &amp; U by Inv Area &amp; Del" xfId="41727"/>
    <cellStyle name="_Ass1_OHAP Reporting 1stMar12_budget risk items" xfId="41728"/>
    <cellStyle name="_Ass1_OHAP Reporting 1stMar12_VoWD Data" xfId="41729"/>
    <cellStyle name="_Ass1_OHAP Reporting 1stMar12_VoWD Data by Purpose Code" xfId="41730"/>
    <cellStyle name="_Ass1_Operations" xfId="41731"/>
    <cellStyle name="_Ass1_Operations 2" xfId="41732"/>
    <cellStyle name="_Ass1_Operations_1" xfId="41733"/>
    <cellStyle name="_Ass1_Operations_1 2" xfId="41734"/>
    <cellStyle name="_Ass1_Ops contracts" xfId="41735"/>
    <cellStyle name="_Ass1_Ops contracts 2" xfId="41736"/>
    <cellStyle name="_Ass1_Ops contracts_1" xfId="41737"/>
    <cellStyle name="_Ass1_Ops contracts_1 2" xfId="41738"/>
    <cellStyle name="_Ass1_Ops contracts_2" xfId="41739"/>
    <cellStyle name="_Ass1_Ops contracts_2 2" xfId="41740"/>
    <cellStyle name="_Ass1_OtherSS" xfId="41741"/>
    <cellStyle name="_Ass1_OtherSS 2" xfId="41742"/>
    <cellStyle name="_Ass1_OtherSS_1" xfId="41743"/>
    <cellStyle name="_Ass1_OtherSS_1 2" xfId="41744"/>
    <cellStyle name="_Ass1_P&amp;L_AMP5" xfId="41745"/>
    <cellStyle name="_Ass1_P&amp;L_AMP5 2" xfId="41746"/>
    <cellStyle name="_Ass1_P&amp;L_Detail" xfId="41747"/>
    <cellStyle name="_Ass1_P&amp;L_Detail 2" xfId="41748"/>
    <cellStyle name="_Ass1_Power" xfId="41749"/>
    <cellStyle name="_Ass1_Power 2" xfId="41750"/>
    <cellStyle name="_Ass1_Power_1" xfId="41751"/>
    <cellStyle name="_Ass1_Power_1 2" xfId="41752"/>
    <cellStyle name="_Ass1_Property_Facilities" xfId="41753"/>
    <cellStyle name="_Ass1_Property_Facilities 2" xfId="41754"/>
    <cellStyle name="_Ass1_Property_Facilities_1" xfId="41755"/>
    <cellStyle name="_Ass1_Property_Facilities_1 2" xfId="41756"/>
    <cellStyle name="_Ass1_PropertyDisposals" xfId="41757"/>
    <cellStyle name="_Ass1_PropertyDisposals 2" xfId="41758"/>
    <cellStyle name="_Ass1_PropFacilitiesNonApp" xfId="41759"/>
    <cellStyle name="_Ass1_PropFacilitiesNonApp 2" xfId="41760"/>
    <cellStyle name="_Ass1_PropFacilitiesNonApp_1" xfId="41761"/>
    <cellStyle name="_Ass1_PropFacilitiesNonApp_1 2" xfId="41762"/>
    <cellStyle name="_Ass1_PropSearch_Home" xfId="41763"/>
    <cellStyle name="_Ass1_PropSearch_Home 2" xfId="41764"/>
    <cellStyle name="_Ass1_PropSearch_Home_1" xfId="41765"/>
    <cellStyle name="_Ass1_PropSearch_Home_1 2" xfId="41766"/>
    <cellStyle name="_Ass1_QRF 2011 6+6 - Draft - 06Oct11 v15.1 (excl unrealised efficiencies)" xfId="41767"/>
    <cellStyle name="_Ass1_QRF 2011 6+6 - Draft - 06Oct11 v16.2 (incl unrealised efficiencies)" xfId="41768"/>
    <cellStyle name="_Ass1_QRF 2011 6+6 - Final v2 - Values Only Copy" xfId="41769"/>
    <cellStyle name="_Ass1_Record of Manual Changes" xfId="41770"/>
    <cellStyle name="_Ass1_Record of Manual Changes 2" xfId="41771"/>
    <cellStyle name="_Ass1_Record of Manual Changes 2_Adjustments" xfId="41772"/>
    <cellStyle name="_Ass1_Record of Manual Changes 2_Overall" xfId="41773"/>
    <cellStyle name="_Ass1_Record of Manual Changes_B &amp; U by Inv Area &amp; Del" xfId="41774"/>
    <cellStyle name="_Ass1_Record of Manual Changes_budget risk items" xfId="41775"/>
    <cellStyle name="_Ass1_Record of Manual Changes_VoWD Data" xfId="41776"/>
    <cellStyle name="_Ass1_Record of Manual Changes_VoWD Data by Purpose Code" xfId="41777"/>
    <cellStyle name="_Ass1_Retail" xfId="41778"/>
    <cellStyle name="_Ass1_Retail 2" xfId="41779"/>
    <cellStyle name="_Ass1_Retail_1" xfId="41780"/>
    <cellStyle name="_Ass1_Retail_1 2" xfId="41781"/>
    <cellStyle name="_Ass1_Sheet1" xfId="41782"/>
    <cellStyle name="_Ass1_Sheet1 2" xfId="41783"/>
    <cellStyle name="_Ass1_Sheet1 2_Adjustments" xfId="41784"/>
    <cellStyle name="_Ass1_Sheet1 2_Overall" xfId="41785"/>
    <cellStyle name="_Ass1_Sheet1_B &amp; U by Inv Area &amp; Del" xfId="41786"/>
    <cellStyle name="_Ass1_Sheet1_budget risk items" xfId="41787"/>
    <cellStyle name="_Ass1_Sheet1_VoWD Data" xfId="41788"/>
    <cellStyle name="_Ass1_Sheet1_VoWD Data by Purpose Code" xfId="41789"/>
    <cellStyle name="_Ass1_Strategy_Reg" xfId="41790"/>
    <cellStyle name="_Ass1_Strategy_Reg 2" xfId="41791"/>
    <cellStyle name="_Ass1_Strategy_Reg_1" xfId="41792"/>
    <cellStyle name="_Ass1_Strategy_Reg_1 2" xfId="41793"/>
    <cellStyle name="_Ass1_SupplyChain" xfId="41794"/>
    <cellStyle name="_Ass1_SupplyChain 2" xfId="41795"/>
    <cellStyle name="_Ass1_SupplyChain_1" xfId="41796"/>
    <cellStyle name="_Ass1_SupplyChain_1 2" xfId="41797"/>
    <cellStyle name="_Ass1_TWHCON" xfId="41798"/>
    <cellStyle name="_Ass1_TWHCON 2" xfId="41799"/>
    <cellStyle name="_Ass1_TWPROP" xfId="41800"/>
    <cellStyle name="_Ass1_TWPROP 2" xfId="41801"/>
    <cellStyle name="_Ass1_TWPROP_1" xfId="41802"/>
    <cellStyle name="_Ass1_TWPROP_1 2" xfId="41803"/>
    <cellStyle name="_Ass1_TWPROP_2" xfId="41804"/>
    <cellStyle name="_Ass1_TWPROP_2 2" xfId="41805"/>
    <cellStyle name="_Ass1_TWUCOR" xfId="41806"/>
    <cellStyle name="_Ass1_TWUCOR 2" xfId="41807"/>
    <cellStyle name="_Ass1_TWUCOR_1" xfId="41808"/>
    <cellStyle name="_Ass1_TWUCOR_1 2" xfId="41809"/>
    <cellStyle name="_Ass1_TWUL_TOT_UKGAAP" xfId="41810"/>
    <cellStyle name="_Ass1_TWUL_TOT_UKGAAP 2" xfId="41811"/>
    <cellStyle name="_Ass1_TWUL_TOT_UKGAAP_1" xfId="41812"/>
    <cellStyle name="_Ass1_TWUL_TOT_UKGAAP_1 2" xfId="41813"/>
    <cellStyle name="_Ass1_TWULCONJ" xfId="41814"/>
    <cellStyle name="_Ass1_TWULCONJ 2" xfId="41815"/>
    <cellStyle name="_Ass1_Year 3 Budget (Yrs 1&amp; 2 Actuals) - Values Only copy" xfId="41816"/>
    <cellStyle name="_Ass1_Year 3 Efficiency Targets 28thFeb12" xfId="41817"/>
    <cellStyle name="_Ass1_Year 3 Efficiency Targets 28thFeb12_budget risk items" xfId="41818"/>
    <cellStyle name="_Asset Debt Financial Summary (2)" xfId="41819"/>
    <cellStyle name="_Asset Debt Financial Summary (2) 2" xfId="41820"/>
    <cellStyle name="_Asset Debt Financial Summary (2) 2 2" xfId="41821"/>
    <cellStyle name="_Asset Debt Financial Summary (2) 2 3" xfId="41822"/>
    <cellStyle name="_Asset Debt Financial Summary (2) 3" xfId="41823"/>
    <cellStyle name="_Asset Debt Financial Summary (2) 3 2" xfId="41824"/>
    <cellStyle name="_Asset Debt Financial Summary (2) 4" xfId="41825"/>
    <cellStyle name="_Asset Debt Financial Summary (2)_2011 10 Nov R&amp;O Register Reporting (Working Copy) Finance Final" xfId="41826"/>
    <cellStyle name="_Asset Debt Financial Summary (2)_CS Plan Opex AMP5-6 V1 Review Cycle2a" xfId="41827"/>
    <cellStyle name="_Asset Debt Financial Summary (2)_CS Plan Opex AMP5-6 V1 Review Cycle2a 2" xfId="41828"/>
    <cellStyle name="_Asset Debt Financial Summary (2)_CS Plan Opex AMP5-6 V1 Review Cycle2a 3" xfId="41829"/>
    <cellStyle name="_x0013__Asset_ManagementCON" xfId="41830"/>
    <cellStyle name="_x0013__Asset_ManagementCON 2" xfId="41831"/>
    <cellStyle name="_x0013__Asset_ManagementCON_1" xfId="41832"/>
    <cellStyle name="_x0013__Asset_ManagementCON_1 2" xfId="41833"/>
    <cellStyle name="_x0013__Asset_MgmtNonAppoint" xfId="41834"/>
    <cellStyle name="_x0013__Asset_MgmtNonAppoint 2" xfId="41835"/>
    <cellStyle name="_Attachment    - LS&amp;CO Financial BaseCase" xfId="41836"/>
    <cellStyle name="_Attachment    - LS&amp;CO Financial BaseCase 2" xfId="41837"/>
    <cellStyle name="_Attachment E - Base Case and Pricing_08 26 06_RVSD" xfId="41838"/>
    <cellStyle name="_Attachment E - Base Case and Pricing_08 26 06_RVSD 2" xfId="41839"/>
    <cellStyle name="_Attachment G-4 (PPM) needs branch" xfId="41840"/>
    <cellStyle name="_Attachment G-4 (PPM) needs branch 2" xfId="41841"/>
    <cellStyle name="_Attachment G-4 (PPM) needs branch 3" xfId="41842"/>
    <cellStyle name="_August 11 Analysis data" xfId="41843"/>
    <cellStyle name="_August Billing (2)" xfId="41844"/>
    <cellStyle name="_August Billing (2) 2" xfId="41845"/>
    <cellStyle name="_August Billing (2) 3" xfId="41846"/>
    <cellStyle name="_AV AS BOM- PTC" xfId="41847"/>
    <cellStyle name="_AV AS BOM- PTC 2" xfId="41848"/>
    <cellStyle name="_AXA" xfId="41849"/>
    <cellStyle name="_AXA 2" xfId="41850"/>
    <cellStyle name="_baseline" xfId="41851"/>
    <cellStyle name="_baseline 2" xfId="41852"/>
    <cellStyle name="_baseline 3" xfId="41853"/>
    <cellStyle name="_baseline_Advanstar Financials 24 July" xfId="41854"/>
    <cellStyle name="_baseline_Advanstar Financials 24 July 2" xfId="41855"/>
    <cellStyle name="_baseline_Advanstar Financials 24 July 3" xfId="41856"/>
    <cellStyle name="_baseline_Advanstar Financials 24 July v1" xfId="41857"/>
    <cellStyle name="_baseline_Advanstar Financials 24 July v1 2" xfId="41858"/>
    <cellStyle name="_baseline_Advanstar Financials 24 July v1 3" xfId="41859"/>
    <cellStyle name="_baseline_Advanstar Financials 24 July v1_Adv_8oct_Sub Ver 12(4)" xfId="41860"/>
    <cellStyle name="_baseline_Advanstar Financials 24 July v1_Adv_8oct_Sub Ver 12(4) 2" xfId="41861"/>
    <cellStyle name="_baseline_Advanstar Financials 24 July v1_Adv_8oct_Sub Ver 12(4) 3" xfId="41862"/>
    <cellStyle name="_baseline_Advanstar Financials 24 July v1_File for Circulation with Volume Discount Revised" xfId="41863"/>
    <cellStyle name="_baseline_Advanstar Financials 24 July v1_File for Circulation with Volume Discount Revised 2" xfId="41864"/>
    <cellStyle name="_baseline_Advanstar Financials 24 July v1_File for Circulation with Volume Discount Revised 3" xfId="41865"/>
    <cellStyle name="_baseline_Advanstar Financials 24 July v1_HR Assumptions for Pricing2" xfId="41866"/>
    <cellStyle name="_baseline_Advanstar Financials 24 July v1_HR Assumptions for Pricing2 2" xfId="41867"/>
    <cellStyle name="_baseline_Advanstar Financials 24 July v1_HR Assumptions for Pricing2 3" xfId="41868"/>
    <cellStyle name="_baseline_Advanstar Financials 24 July_Adv_8oct_Sub Ver 12(4)" xfId="41869"/>
    <cellStyle name="_baseline_Advanstar Financials 24 July_Adv_8oct_Sub Ver 12(4) 2" xfId="41870"/>
    <cellStyle name="_baseline_Advanstar Financials 24 July_Adv_8oct_Sub Ver 12(4) 3" xfId="41871"/>
    <cellStyle name="_baseline_Advanstar Financials 24 July_File for Circulation with Volume Discount Revised" xfId="41872"/>
    <cellStyle name="_baseline_Advanstar Financials 24 July_File for Circulation with Volume Discount Revised 2" xfId="41873"/>
    <cellStyle name="_baseline_Advanstar Financials 24 July_File for Circulation with Volume Discount Revised 3" xfId="41874"/>
    <cellStyle name="_baseline_Advanstar Financials 24 July_HR Assumptions for Pricing2" xfId="41875"/>
    <cellStyle name="_baseline_Advanstar Financials 24 July_HR Assumptions for Pricing2 2" xfId="41876"/>
    <cellStyle name="_baseline_Advanstar Financials 24 July_HR Assumptions for Pricing2 3" xfId="41877"/>
    <cellStyle name="_bc comp" xfId="41878"/>
    <cellStyle name="_bc comp 2" xfId="41879"/>
    <cellStyle name="_bc comp 3" xfId="41880"/>
    <cellStyle name="_bc comp_Advanstar Financials 24 July" xfId="41881"/>
    <cellStyle name="_bc comp_Advanstar Financials 24 July 2" xfId="41882"/>
    <cellStyle name="_bc comp_Advanstar Financials 24 July 3" xfId="41883"/>
    <cellStyle name="_bc comp_Advanstar Financials 24 July v1" xfId="41884"/>
    <cellStyle name="_bc comp_Advanstar Financials 24 July v1 2" xfId="41885"/>
    <cellStyle name="_bc comp_Advanstar Financials 24 July v1 3" xfId="41886"/>
    <cellStyle name="_bc comp_Advanstar Financials 24 July v1_Adv_8oct_Sub Ver 12(4)" xfId="41887"/>
    <cellStyle name="_bc comp_Advanstar Financials 24 July v1_Adv_8oct_Sub Ver 12(4) 2" xfId="41888"/>
    <cellStyle name="_bc comp_Advanstar Financials 24 July v1_Adv_8oct_Sub Ver 12(4) 3" xfId="41889"/>
    <cellStyle name="_bc comp_Advanstar Financials 24 July v1_File for Circulation with Volume Discount Revised" xfId="41890"/>
    <cellStyle name="_bc comp_Advanstar Financials 24 July v1_File for Circulation with Volume Discount Revised 2" xfId="41891"/>
    <cellStyle name="_bc comp_Advanstar Financials 24 July v1_File for Circulation with Volume Discount Revised 3" xfId="41892"/>
    <cellStyle name="_bc comp_Advanstar Financials 24 July v1_HR Assumptions for Pricing2" xfId="41893"/>
    <cellStyle name="_bc comp_Advanstar Financials 24 July v1_HR Assumptions for Pricing2 2" xfId="41894"/>
    <cellStyle name="_bc comp_Advanstar Financials 24 July v1_HR Assumptions for Pricing2 3" xfId="41895"/>
    <cellStyle name="_bc comp_Advanstar Financials 24 July_Adv_8oct_Sub Ver 12(4)" xfId="41896"/>
    <cellStyle name="_bc comp_Advanstar Financials 24 July_Adv_8oct_Sub Ver 12(4) 2" xfId="41897"/>
    <cellStyle name="_bc comp_Advanstar Financials 24 July_Adv_8oct_Sub Ver 12(4) 3" xfId="41898"/>
    <cellStyle name="_bc comp_Advanstar Financials 24 July_File for Circulation with Volume Discount Revised" xfId="41899"/>
    <cellStyle name="_bc comp_Advanstar Financials 24 July_File for Circulation with Volume Discount Revised 2" xfId="41900"/>
    <cellStyle name="_bc comp_Advanstar Financials 24 July_File for Circulation with Volume Discount Revised 3" xfId="41901"/>
    <cellStyle name="_bc comp_Advanstar Financials 24 July_HR Assumptions for Pricing2" xfId="41902"/>
    <cellStyle name="_bc comp_Advanstar Financials 24 July_HR Assumptions for Pricing2 2" xfId="41903"/>
    <cellStyle name="_bc comp_Advanstar Financials 24 July_HR Assumptions for Pricing2 3" xfId="41904"/>
    <cellStyle name="_BenchMarking Analysis data" xfId="41905"/>
    <cellStyle name="_BenchMarking Analysis data 2" xfId="41906"/>
    <cellStyle name="_BenchMarking Analysis data 3" xfId="41907"/>
    <cellStyle name="_BenchMarking Analysis data_Advanstar Financials 24 July" xfId="41908"/>
    <cellStyle name="_BenchMarking Analysis data_Advanstar Financials 24 July 2" xfId="41909"/>
    <cellStyle name="_BenchMarking Analysis data_Advanstar Financials 24 July 3" xfId="41910"/>
    <cellStyle name="_BenchMarking Analysis data_Advanstar Financials 24 July v1" xfId="41911"/>
    <cellStyle name="_BenchMarking Analysis data_Advanstar Financials 24 July v1 2" xfId="41912"/>
    <cellStyle name="_BenchMarking Analysis data_Advanstar Financials 24 July v1 3" xfId="41913"/>
    <cellStyle name="_BenchMarking Analysis data_Advanstar Financials 24 July v1_Adv_8oct_Sub Ver 12(4)" xfId="41914"/>
    <cellStyle name="_BenchMarking Analysis data_Advanstar Financials 24 July v1_Adv_8oct_Sub Ver 12(4) 2" xfId="41915"/>
    <cellStyle name="_BenchMarking Analysis data_Advanstar Financials 24 July v1_Adv_8oct_Sub Ver 12(4) 3" xfId="41916"/>
    <cellStyle name="_BenchMarking Analysis data_Advanstar Financials 24 July v1_File for Circulation with Volume Discount Revised" xfId="41917"/>
    <cellStyle name="_BenchMarking Analysis data_Advanstar Financials 24 July v1_File for Circulation with Volume Discount Revised 2" xfId="41918"/>
    <cellStyle name="_BenchMarking Analysis data_Advanstar Financials 24 July v1_File for Circulation with Volume Discount Revised 3" xfId="41919"/>
    <cellStyle name="_BenchMarking Analysis data_Advanstar Financials 24 July v1_HR Assumptions for Pricing2" xfId="41920"/>
    <cellStyle name="_BenchMarking Analysis data_Advanstar Financials 24 July v1_HR Assumptions for Pricing2 2" xfId="41921"/>
    <cellStyle name="_BenchMarking Analysis data_Advanstar Financials 24 July v1_HR Assumptions for Pricing2 3" xfId="41922"/>
    <cellStyle name="_BenchMarking Analysis data_Advanstar Financials 24 July_Adv_8oct_Sub Ver 12(4)" xfId="41923"/>
    <cellStyle name="_BenchMarking Analysis data_Advanstar Financials 24 July_Adv_8oct_Sub Ver 12(4) 2" xfId="41924"/>
    <cellStyle name="_BenchMarking Analysis data_Advanstar Financials 24 July_Adv_8oct_Sub Ver 12(4) 3" xfId="41925"/>
    <cellStyle name="_BenchMarking Analysis data_Advanstar Financials 24 July_File for Circulation with Volume Discount Revised" xfId="41926"/>
    <cellStyle name="_BenchMarking Analysis data_Advanstar Financials 24 July_File for Circulation with Volume Discount Revised 2" xfId="41927"/>
    <cellStyle name="_BenchMarking Analysis data_Advanstar Financials 24 July_File for Circulation with Volume Discount Revised 3" xfId="41928"/>
    <cellStyle name="_BenchMarking Analysis data_Advanstar Financials 24 July_HR Assumptions for Pricing2" xfId="41929"/>
    <cellStyle name="_BenchMarking Analysis data_Advanstar Financials 24 July_HR Assumptions for Pricing2 2" xfId="41930"/>
    <cellStyle name="_BenchMarking Analysis data_Advanstar Financials 24 July_HR Assumptions for Pricing2 3" xfId="41931"/>
    <cellStyle name="_BenchMarking Analysis data_FTE Deployment v4" xfId="41932"/>
    <cellStyle name="_BenchMarking Analysis data_FTE Deployment v4 2" xfId="41933"/>
    <cellStyle name="_BenchMarking Analysis data_FTE Deployment v4 3" xfId="41934"/>
    <cellStyle name="_BenchMarking Analysis data_FTE Deployment v4 ramp plan" xfId="41935"/>
    <cellStyle name="_BenchMarking Analysis data_FTE Deployment v4 ramp plan 2" xfId="41936"/>
    <cellStyle name="_BenchMarking Analysis data_FTE Deployment v4 ramp plan 3" xfId="41937"/>
    <cellStyle name="_BenchMarking Analysis data_FTE Deployment v4 ramp plan_Advanstar Financials 24 July" xfId="41938"/>
    <cellStyle name="_BenchMarking Analysis data_FTE Deployment v4 ramp plan_Advanstar Financials 24 July 2" xfId="41939"/>
    <cellStyle name="_BenchMarking Analysis data_FTE Deployment v4 ramp plan_Advanstar Financials 24 July 3" xfId="41940"/>
    <cellStyle name="_BenchMarking Analysis data_FTE Deployment v4 ramp plan_Advanstar Financials 24 July v1" xfId="41941"/>
    <cellStyle name="_BenchMarking Analysis data_FTE Deployment v4 ramp plan_Advanstar Financials 24 July v1 2" xfId="41942"/>
    <cellStyle name="_BenchMarking Analysis data_FTE Deployment v4 ramp plan_Advanstar Financials 24 July v1 3" xfId="41943"/>
    <cellStyle name="_BenchMarking Analysis data_FTE Deployment v4 ramp plan_Finance Input Template V6 1 Sep" xfId="41944"/>
    <cellStyle name="_BenchMarking Analysis data_FTE Deployment v4 ramp plan_Finance Input Template V6 1 Sep 2" xfId="41945"/>
    <cellStyle name="_BenchMarking Analysis data_FTE Deployment v4 ramp plan_Finance Input Template V6 1 Sep 3" xfId="41946"/>
    <cellStyle name="_BenchMarking Analysis data_FTE Deployment v4_Advanstar Financials 24 July" xfId="41947"/>
    <cellStyle name="_BenchMarking Analysis data_FTE Deployment v4_Advanstar Financials 24 July 2" xfId="41948"/>
    <cellStyle name="_BenchMarking Analysis data_FTE Deployment v4_Advanstar Financials 24 July 3" xfId="41949"/>
    <cellStyle name="_BenchMarking Analysis data_FTE Deployment v4_Advanstar Financials 24 July v1" xfId="41950"/>
    <cellStyle name="_BenchMarking Analysis data_FTE Deployment v4_Advanstar Financials 24 July v1 2" xfId="41951"/>
    <cellStyle name="_BenchMarking Analysis data_FTE Deployment v4_Advanstar Financials 24 July v1 3" xfId="41952"/>
    <cellStyle name="_BenchMarking Analysis data_FTE Deployment v4_Finance Input Template V6 1 Sep" xfId="41953"/>
    <cellStyle name="_BenchMarking Analysis data_FTE Deployment v4_Finance Input Template V6 1 Sep 2" xfId="41954"/>
    <cellStyle name="_BenchMarking Analysis data_FTE Deployment v4_Finance Input Template V6 1 Sep 3" xfId="41955"/>
    <cellStyle name="_BenchMarking Analysis data_FTE Deployment v5" xfId="41956"/>
    <cellStyle name="_BenchMarking Analysis data_FTE Deployment v5 2" xfId="41957"/>
    <cellStyle name="_BenchMarking Analysis data_FTE Deployment v5 3" xfId="41958"/>
    <cellStyle name="_BenchMarking Analysis data_FTE Deployment v5_Advanstar Financials 24 July" xfId="41959"/>
    <cellStyle name="_BenchMarking Analysis data_FTE Deployment v5_Advanstar Financials 24 July 2" xfId="41960"/>
    <cellStyle name="_BenchMarking Analysis data_FTE Deployment v5_Advanstar Financials 24 July 3" xfId="41961"/>
    <cellStyle name="_BenchMarking Analysis data_FTE Deployment v5_Advanstar Financials 24 July v1" xfId="41962"/>
    <cellStyle name="_BenchMarking Analysis data_FTE Deployment v5_Advanstar Financials 24 July v1 2" xfId="41963"/>
    <cellStyle name="_BenchMarking Analysis data_FTE Deployment v5_Advanstar Financials 24 July v1 3" xfId="41964"/>
    <cellStyle name="_BenchMarking Analysis data_FTE Deployment v5_Finance Input Template V6 1 Sep" xfId="41965"/>
    <cellStyle name="_BenchMarking Analysis data_FTE Deployment v5_Finance Input Template V6 1 Sep 2" xfId="41966"/>
    <cellStyle name="_BenchMarking Analysis data_FTE Deployment v5_Finance Input Template V6 1 Sep 3" xfId="41967"/>
    <cellStyle name="_BFC_GEO-WISE_LOADING_PKG APPS" xfId="41968"/>
    <cellStyle name="_BFC_GEO-WISE_LOADING_PKG APPS 2" xfId="41969"/>
    <cellStyle name="_billing budget 2012-13 28.09.11 v2" xfId="41970"/>
    <cellStyle name="_billing budget 2012-13 28.09.11 v2 2" xfId="41971"/>
    <cellStyle name="_billing Q2and3-2005" xfId="41972"/>
    <cellStyle name="_billing Q2and3-2005 2" xfId="41973"/>
    <cellStyle name="_billing Q2and3-2005 3" xfId="41974"/>
    <cellStyle name="_Billing-Sales-Cash-Summary BudActFst" xfId="41975"/>
    <cellStyle name="_Billing-Sales-Cash-Summary BudActFst 2" xfId="41976"/>
    <cellStyle name="_Billing-Sales-Cash-Summary BudActFst 2 2" xfId="41977"/>
    <cellStyle name="_Billing-Sales-Cash-Summary BudActFst 2 3" xfId="41978"/>
    <cellStyle name="_Billing-Sales-Cash-Summary BudActFst 3" xfId="41979"/>
    <cellStyle name="_Billing-Sales-Cash-Summary BudActFst_Employment costs" xfId="41980"/>
    <cellStyle name="_Billing-Sales-Cash-Summary BudActFst_Employment costs 2" xfId="41981"/>
    <cellStyle name="_Billing-Sales-Cash-Summary BudActFst_Employment costs_1" xfId="41982"/>
    <cellStyle name="_Billing-Sales-Cash-Summary BudActFst_Employment costs_1 2" xfId="41983"/>
    <cellStyle name="_Billing-Sales-Cash-Summary BudActFst_Employment costs_2" xfId="41984"/>
    <cellStyle name="_Billing-Sales-Cash-Summary BudActFst_Employment costs_2 2" xfId="41985"/>
    <cellStyle name="_Billing-Sales-Cash-Summary BudActFst_Management Structure" xfId="41986"/>
    <cellStyle name="_Billing-Sales-Cash-Summary BudActFst_Management Structure 2" xfId="41987"/>
    <cellStyle name="_Billing-Sales-Cash-Summary BudActFst_Management Structure_1" xfId="41988"/>
    <cellStyle name="_Billing-Sales-Cash-Summary BudActFst_Management Structure_1 2" xfId="41989"/>
    <cellStyle name="_Billing-Sales-Cash-Summary BudActFst_Ops contracts" xfId="41990"/>
    <cellStyle name="_Billing-Sales-Cash-Summary BudActFst_Ops contracts 2" xfId="41991"/>
    <cellStyle name="_Billing-Sales-Cash-Summary BudActFst_Ops contracts_1" xfId="41992"/>
    <cellStyle name="_Billing-Sales-Cash-Summary BudActFst_Ops contracts_1 2" xfId="41993"/>
    <cellStyle name="_Billing-Sales-Cash-Summary BudActFst_Ops contracts_2" xfId="41994"/>
    <cellStyle name="_Billing-Sales-Cash-Summary BudActFst_Ops contracts_2 2" xfId="41995"/>
    <cellStyle name="_Billing-Sales-Cash-Summary BudActFst_Power" xfId="41996"/>
    <cellStyle name="_Billing-Sales-Cash-Summary BudActFst_Power 2" xfId="41997"/>
    <cellStyle name="_Billing-Sales-Cash-Summary BudActFst_Power_1" xfId="41998"/>
    <cellStyle name="_Billing-Sales-Cash-Summary BudActFst_Power_1 2" xfId="41999"/>
    <cellStyle name="_Billing-Sales-Cash-Summary BudActFst_Sheet1" xfId="42000"/>
    <cellStyle name="_Billing-Sales-Cash-Summary BudActFst_Sheet1 2" xfId="42001"/>
    <cellStyle name="_Billing-Sales-Cash-Summary BudActFst_TWUL_TOT_UKGAAP" xfId="42002"/>
    <cellStyle name="_Billing-Sales-Cash-Summary BudActFst_TWUL_TOT_UKGAAP 2" xfId="42003"/>
    <cellStyle name="_Billing-Sales-Cash-Summary BudActFst_TWUL_TOT_UKGAAP_1" xfId="42004"/>
    <cellStyle name="_Billing-Sales-Cash-Summary BudActFst_TWUL_TOT_UKGAAP_1 2" xfId="42005"/>
    <cellStyle name="_BladeFrame Solution Cost" xfId="42006"/>
    <cellStyle name="_BladeFrame Solution Cost 2" xfId="42007"/>
    <cellStyle name="_Book1" xfId="42008"/>
    <cellStyle name="_x0013__Book1" xfId="42009"/>
    <cellStyle name="_Book1 (4)" xfId="42010"/>
    <cellStyle name="_Book1 (4) 2" xfId="42011"/>
    <cellStyle name="_Book1 2" xfId="42012"/>
    <cellStyle name="_Book1 3" xfId="42013"/>
    <cellStyle name="_Book1 4" xfId="42014"/>
    <cellStyle name="_Book1 5" xfId="42015"/>
    <cellStyle name="_Book1 6" xfId="42016"/>
    <cellStyle name="_Book1 7" xfId="42017"/>
    <cellStyle name="_Book1_1" xfId="42018"/>
    <cellStyle name="_Book1_1 2" xfId="42019"/>
    <cellStyle name="_Book1_Book2" xfId="42020"/>
    <cellStyle name="_x0013__Book1_budget risk items" xfId="42021"/>
    <cellStyle name="_Book1_FD Monitoring - Q3 2011 Template v3 17Jan12" xfId="42022"/>
    <cellStyle name="_Book1_FD Waterfall for Budget Presentation 30Nov11" xfId="42023"/>
    <cellStyle name="_Book1_QRF 2011 6+6 - Draft - 06Oct11 v15.1 (excl unrealised efficiencies)" xfId="42024"/>
    <cellStyle name="_Book1_QRF 2011 6+6 - Draft - 06Oct11 v16.2 (incl unrealised efficiencies)" xfId="42025"/>
    <cellStyle name="_Book1_VOWD Summary 17-11-11 V2 (NP)" xfId="42026"/>
    <cellStyle name="_Book2" xfId="42027"/>
    <cellStyle name="_Book2 (10)" xfId="42028"/>
    <cellStyle name="_Book2 (10) 2" xfId="42029"/>
    <cellStyle name="_Book2 (10) 2 2" xfId="42030"/>
    <cellStyle name="_Book2 (10) 3" xfId="42031"/>
    <cellStyle name="_Book2 (10) 3 2" xfId="42032"/>
    <cellStyle name="_Book2 (10) 4" xfId="42033"/>
    <cellStyle name="_Book2 (10) 4 2" xfId="42034"/>
    <cellStyle name="_Book2 (10) 5" xfId="42035"/>
    <cellStyle name="_Book2 (10) 5 2" xfId="42036"/>
    <cellStyle name="_Book2 (10) 6" xfId="42037"/>
    <cellStyle name="_Book2 (10) 6 2" xfId="42038"/>
    <cellStyle name="_Book2 (10) 7" xfId="42039"/>
    <cellStyle name="_Book2 (10) 7 2" xfId="42040"/>
    <cellStyle name="_Book2 (10) 8" xfId="42041"/>
    <cellStyle name="_Book2 2" xfId="42042"/>
    <cellStyle name="_Book2 3" xfId="42043"/>
    <cellStyle name="_Book2 4" xfId="42044"/>
    <cellStyle name="_Book2 5" xfId="42045"/>
    <cellStyle name="_Book2 6" xfId="42046"/>
    <cellStyle name="_Book2 7" xfId="42047"/>
    <cellStyle name="_Book2_Copy of NWT - SR Tables 1-4 - Dataset FD" xfId="42048"/>
    <cellStyle name="_Book2_Copy of NWT - SR Tables 1-4 - Dataset FD 2" xfId="42049"/>
    <cellStyle name="_Book2_Flash model v1 complete model for sensitivities" xfId="42050"/>
    <cellStyle name="_Book2_Flash model v1 complete model for sensitivities 2" xfId="42051"/>
    <cellStyle name="_Book2_Flash pro forma consolidation model" xfId="42052"/>
    <cellStyle name="_Book2_Flash pro forma consolidation model 2" xfId="42053"/>
    <cellStyle name="_Book2_Flash pro forma consolidation model 3" xfId="42054"/>
    <cellStyle name="_Book2_IFRS to UKGAAP to UUW REG_Draft Plan 141209UUCv2" xfId="42055"/>
    <cellStyle name="_Book2_IFRS to UKGAAP to UUW REG_Draft Plan 141209UUCv2 2" xfId="42056"/>
    <cellStyle name="_Book2_IFRS to UKGAAP to UUW REG_Draft Plan 141209UUCv2 3" xfId="42057"/>
    <cellStyle name="_Book2_MASTER Schedule i and ii v4(CL)v2" xfId="42058"/>
    <cellStyle name="_Book2_MASTER Schedule i and ii v4(CL)v2 2" xfId="42059"/>
    <cellStyle name="_Book2_MASTER Schedule i and ii v4(CL)v3" xfId="42060"/>
    <cellStyle name="_Book2_MASTER Schedule i and ii v4(CL)v3 2" xfId="42061"/>
    <cellStyle name="_Book2_RPI Indicies Projections_Draft update for 17 Nov Barclays report" xfId="42062"/>
    <cellStyle name="_Book2_RPI Indicies Projections_Draft update for 17 Nov Barclays report 2" xfId="42063"/>
    <cellStyle name="_Book2_Target check file v1" xfId="42064"/>
    <cellStyle name="_Book2_Target check file v1 2" xfId="42065"/>
    <cellStyle name="_Book3" xfId="42066"/>
    <cellStyle name="_Book3 2" xfId="42067"/>
    <cellStyle name="_Book3 3" xfId="42068"/>
    <cellStyle name="_Book3_~4194202" xfId="42069"/>
    <cellStyle name="_Book3_~9045721" xfId="42070"/>
    <cellStyle name="_Book3_1" xfId="42071"/>
    <cellStyle name="_Book3_1 2" xfId="42072"/>
    <cellStyle name="_Book3_1 2_Adjustments" xfId="42073"/>
    <cellStyle name="_Book3_1 2_Overall" xfId="42074"/>
    <cellStyle name="_Book3_1_B &amp; U by Inv Area &amp; Del" xfId="42075"/>
    <cellStyle name="_Book3_1_budget risk items" xfId="42076"/>
    <cellStyle name="_Book3_1_VoWD Data" xfId="42077"/>
    <cellStyle name="_Book3_1_VoWD Data by Purpose Code" xfId="42078"/>
    <cellStyle name="_Book3_Book1" xfId="42079"/>
    <cellStyle name="_Book3_Book2" xfId="42080"/>
    <cellStyle name="_Book3_FD Monitoring - Q3 2011 Template v3 17Jan12" xfId="42081"/>
    <cellStyle name="_Book3_FD Performance Monitoring - Waste" xfId="42082"/>
    <cellStyle name="_Book3_FD Waterfall for Budget Presentation 30Nov11" xfId="42083"/>
    <cellStyle name="_Book3_QRF 2011 6+6 - Draft - 06Oct11 v15.1 (excl unrealised efficiencies)" xfId="42084"/>
    <cellStyle name="_Book3_QRF 2011 6+6 - Draft - 06Oct11 v16.2 (incl unrealised efficiencies)" xfId="42085"/>
    <cellStyle name="_Book3_Record of Manual Changes" xfId="42086"/>
    <cellStyle name="_Book3_VOWD Summary 17-11-11 V2 (NP)" xfId="42087"/>
    <cellStyle name="_Book5 (5)" xfId="42088"/>
    <cellStyle name="_Book5 (5) 2" xfId="42089"/>
    <cellStyle name="_Book5 (5) 2 2" xfId="42090"/>
    <cellStyle name="_Book5 (5) 3" xfId="42091"/>
    <cellStyle name="_Book5 (5) 3 2" xfId="42092"/>
    <cellStyle name="_Book5 (5) 4" xfId="42093"/>
    <cellStyle name="_Book5 (5) 4 2" xfId="42094"/>
    <cellStyle name="_Book5 (5) 5" xfId="42095"/>
    <cellStyle name="_Book5 (5) 5 2" xfId="42096"/>
    <cellStyle name="_Book5 (5) 6" xfId="42097"/>
    <cellStyle name="_Book5 (5) 6 2" xfId="42098"/>
    <cellStyle name="_Book5 (5) 7" xfId="42099"/>
    <cellStyle name="_Book5 (5) 7 2" xfId="42100"/>
    <cellStyle name="_Book5 (5) 8" xfId="42101"/>
    <cellStyle name="_BT Back Office " xfId="42102"/>
    <cellStyle name="_BT Back Office  2" xfId="42103"/>
    <cellStyle name="_BT Financial 3 Submiited 17th August" xfId="42104"/>
    <cellStyle name="_BT Financial 3 Submiited 17th August 2" xfId="42105"/>
    <cellStyle name="_BT Financial 3 Submiited 17th August 3" xfId="42106"/>
    <cellStyle name="_BTLB Complex Queue Status wef 23rd May" xfId="42107"/>
    <cellStyle name="_BTLB Complex Queue Status wef 23rd May (3)" xfId="42108"/>
    <cellStyle name="_BTLB Complex Queue Status wef 23rd May (3) 2" xfId="42109"/>
    <cellStyle name="_BTLB Complex Queue Status wef 23rd May 2" xfId="42110"/>
    <cellStyle name="_BTLB Queue Complex (10)" xfId="42111"/>
    <cellStyle name="_BTLB Queue Complex (10) 2" xfId="42112"/>
    <cellStyle name="_BTLB Queue Complex (11)" xfId="42113"/>
    <cellStyle name="_BTLB Queue Complex (11) 2" xfId="42114"/>
    <cellStyle name="_BTLB Queue Complex (12)" xfId="42115"/>
    <cellStyle name="_BTLB Queue Complex (12) 2" xfId="42116"/>
    <cellStyle name="_BTLB Queue Complex (13)" xfId="42117"/>
    <cellStyle name="_BTLB Queue Complex (13) 2" xfId="42118"/>
    <cellStyle name="_BTLB Queue Complex (14)" xfId="42119"/>
    <cellStyle name="_BTLB Queue Complex (14) 2" xfId="42120"/>
    <cellStyle name="_BTLB Queue Complex (15)" xfId="42121"/>
    <cellStyle name="_BTLB Queue Complex (15) 2" xfId="42122"/>
    <cellStyle name="_BTLB Queue Complex (16)" xfId="42123"/>
    <cellStyle name="_BTLB Queue Complex (16) 2" xfId="42124"/>
    <cellStyle name="_BTLB Queue Complex (17)" xfId="42125"/>
    <cellStyle name="_BTLB Queue Complex (17) 2" xfId="42126"/>
    <cellStyle name="_BTLB Queue Complex (20)" xfId="42127"/>
    <cellStyle name="_BTLB Queue Complex (20) 2" xfId="42128"/>
    <cellStyle name="_BTLB Queue Complex (22)" xfId="42129"/>
    <cellStyle name="_BTLB Queue Complex (22) 2" xfId="42130"/>
    <cellStyle name="_BTLB Queue Simple" xfId="42131"/>
    <cellStyle name="_BTLB Queue Simple " xfId="42132"/>
    <cellStyle name="_BTLB Queue Simple   " xfId="42133"/>
    <cellStyle name="_BTLB Queue Simple    (3)" xfId="42134"/>
    <cellStyle name="_BTLB Queue Simple    (3) 2" xfId="42135"/>
    <cellStyle name="_BTLB Queue Simple    2" xfId="42136"/>
    <cellStyle name="_BTLB Queue Simple  (10)" xfId="42137"/>
    <cellStyle name="_BTLB Queue Simple  (10) 2" xfId="42138"/>
    <cellStyle name="_BTLB Queue Simple  (12)" xfId="42139"/>
    <cellStyle name="_BTLB Queue Simple  (12) 2" xfId="42140"/>
    <cellStyle name="_BTLB Queue Simple  (17)" xfId="42141"/>
    <cellStyle name="_BTLB Queue Simple  (17) 2" xfId="42142"/>
    <cellStyle name="_BTLB Queue Simple  (2)" xfId="42143"/>
    <cellStyle name="_BTLB Queue Simple  (2) 2" xfId="42144"/>
    <cellStyle name="_BTLB Queue Simple  (3)" xfId="42145"/>
    <cellStyle name="_BTLB Queue Simple  (3) 2" xfId="42146"/>
    <cellStyle name="_BTLB Queue Simple  (4)" xfId="42147"/>
    <cellStyle name="_BTLB Queue Simple  (4) 2" xfId="42148"/>
    <cellStyle name="_BTLB Queue Simple  (5)" xfId="42149"/>
    <cellStyle name="_BTLB Queue Simple  (5) 2" xfId="42150"/>
    <cellStyle name="_BTLB Queue Simple  (6)" xfId="42151"/>
    <cellStyle name="_BTLB Queue Simple  (6) 2" xfId="42152"/>
    <cellStyle name="_BTLB Queue Simple  (7)" xfId="42153"/>
    <cellStyle name="_BTLB Queue Simple  (7) 2" xfId="42154"/>
    <cellStyle name="_BTLB Queue Simple  (8)" xfId="42155"/>
    <cellStyle name="_BTLB Queue Simple  (8) 2" xfId="42156"/>
    <cellStyle name="_BTLB Queue Simple  (9)" xfId="42157"/>
    <cellStyle name="_BTLB Queue Simple  (9) 2" xfId="42158"/>
    <cellStyle name="_BTLB Queue Simple  2" xfId="42159"/>
    <cellStyle name="_BTLB Queue Simple (2)" xfId="42160"/>
    <cellStyle name="_BTLB Queue Simple (2) 2" xfId="42161"/>
    <cellStyle name="_BTLB Queue Simple (3)" xfId="42162"/>
    <cellStyle name="_BTLB Queue Simple (3) 2" xfId="42163"/>
    <cellStyle name="_BTLB Queue Simple (4)" xfId="42164"/>
    <cellStyle name="_BTLB Queue Simple (4) 2" xfId="42165"/>
    <cellStyle name="_BTLB Queue Simple (5)" xfId="42166"/>
    <cellStyle name="_BTLB Queue Simple (5) 2" xfId="42167"/>
    <cellStyle name="_BTLB Queue Simple (6)" xfId="42168"/>
    <cellStyle name="_BTLB Queue Simple (6) 2" xfId="42169"/>
    <cellStyle name="_BTLB Queue Simple (7)" xfId="42170"/>
    <cellStyle name="_BTLB Queue Simple (7) 2" xfId="42171"/>
    <cellStyle name="_BTLB Queue Simple (9)" xfId="42172"/>
    <cellStyle name="_BTLB Queue Simple (9) 2" xfId="42173"/>
    <cellStyle name="_BTLB Queue Simple 1" xfId="42174"/>
    <cellStyle name="_BTLB Queue Simple 1 2" xfId="42175"/>
    <cellStyle name="_BTLB Queue Simple 2" xfId="42176"/>
    <cellStyle name="_Budget 2012_13" xfId="42177"/>
    <cellStyle name="_BUDGET cashflow120209 FOR TREASURYv10 1020 v 1040" xfId="42178"/>
    <cellStyle name="_BUDGET cashflow120209 FOR TREASURYv10 1020 v 1040 2" xfId="42179"/>
    <cellStyle name="_x0013__Budget Finance" xfId="42180"/>
    <cellStyle name="_x0013__Budget Finance 2" xfId="42181"/>
    <cellStyle name="_x0013__Budget Finance 3" xfId="42182"/>
    <cellStyle name="_Budget for Year 2010 - CC_2661 v1.1" xfId="42183"/>
    <cellStyle name="_Budget for Year 2010 - CC_2661 v1.1 2" xfId="42184"/>
    <cellStyle name="_Budget submission(inc plan) - FINAL 2" xfId="42185"/>
    <cellStyle name="_Budget submission(inc plan) - FINAL 2 2" xfId="42186"/>
    <cellStyle name="_Buisness Change Metering TW to Vennsys Fleet list for FAR" xfId="42187"/>
    <cellStyle name="_Buisness Change Metering TW to Vennsys Fleet list for FAR 2" xfId="42188"/>
    <cellStyle name="_Buisness Change Metering TW to Vennsys Fleet list for FAR 2_Adjustments" xfId="42189"/>
    <cellStyle name="_Buisness Change Metering TW to Vennsys Fleet list for FAR 2_Overall" xfId="42190"/>
    <cellStyle name="_Buisness Change Metering TW to Vennsys Fleet list for FAR_VoWD Data" xfId="42191"/>
    <cellStyle name="_Buisness Change Metering TW to Vennsys Fleet list for FAR_VoWD Data by Purpose Code" xfId="42192"/>
    <cellStyle name="_Business plan overview.first submission.15.12.07.v3" xfId="42193"/>
    <cellStyle name="_Business plan overview.first submission.15.12.07.v3 2" xfId="42194"/>
    <cellStyle name="_Business plan overview.first submission.15.12.07.v3 2 2" xfId="42195"/>
    <cellStyle name="_Business plan overview.first submission.15.12.07.v3 2 3" xfId="42196"/>
    <cellStyle name="_Business plan overview.first submission.15.12.07.v3 3" xfId="42197"/>
    <cellStyle name="_Business plan overview.first submission.15.12.07.v3 4" xfId="42198"/>
    <cellStyle name="_BusPlan FS_UUW" xfId="42199"/>
    <cellStyle name="_BusPlan FS_UUW 2" xfId="42200"/>
    <cellStyle name="_BusPlan FS_UUW 3" xfId="42201"/>
    <cellStyle name="_Butler" xfId="42202"/>
    <cellStyle name="_Butler 2" xfId="42203"/>
    <cellStyle name="_Butler 3" xfId="42204"/>
    <cellStyle name="_Capex Slides for Overview - v1 (Group Reporting)" xfId="42205"/>
    <cellStyle name="_Capex Slides for Overview - v1 (Group Reporting)_budget risk items" xfId="42206"/>
    <cellStyle name="_Capex Slides for Overview - v7 12-01-12" xfId="42207"/>
    <cellStyle name="_Capex Slides for Overview - v7 12-01-12 2" xfId="42208"/>
    <cellStyle name="_Capex Slides for Overview - v7 12-01-12 2_Adjustments" xfId="42209"/>
    <cellStyle name="_Capex Slides for Overview - v7 12-01-12 2_Overall" xfId="42210"/>
    <cellStyle name="_Capex Slides for Overview - v7 12-01-12_B &amp; U by Inv Area &amp; Del" xfId="42211"/>
    <cellStyle name="_Capex Slides for Overview - v7 12-01-12_budget risk items" xfId="42212"/>
    <cellStyle name="_Capex Slides for Overview - v7 12-01-12_VoWD Data" xfId="42213"/>
    <cellStyle name="_Capex Slides for Overview - v7 12-01-12_VoWD Data by Purpose Code" xfId="42214"/>
    <cellStyle name="_Capex Slides for Overview (Gillian Waugh e-mail 28-09-11)" xfId="42215"/>
    <cellStyle name="_Capex Slides for Overview (Gillian Waugh e-mail 28-09-11) 2" xfId="42216"/>
    <cellStyle name="_Capex Slides for Overview (Gillian Waugh e-mail 28-09-11) 2_Adjustments" xfId="42217"/>
    <cellStyle name="_Capex Slides for Overview (Gillian Waugh e-mail 28-09-11) 2_Overall" xfId="42218"/>
    <cellStyle name="_Capex Slides for Overview (Gillian Waugh e-mail 28-09-11)_B &amp; U by Inv Area &amp; Del" xfId="42219"/>
    <cellStyle name="_Capex Slides for Overview (Gillian Waugh e-mail 28-09-11)_budget risk items" xfId="42220"/>
    <cellStyle name="_Capex Slides for Overview (Gillian Waugh e-mail 28-09-11)_VoWD Data" xfId="42221"/>
    <cellStyle name="_Capex Slides for Overview (Gillian Waugh e-mail 28-09-11)_VoWD Data by Purpose Code" xfId="42222"/>
    <cellStyle name="_x0013__Capex Year 3 and AMP5 workings Budget v forecast (backup)" xfId="42223"/>
    <cellStyle name="_x0013__Capital_DeliveryCON" xfId="42224"/>
    <cellStyle name="_x0013__Capital_DeliveryCON 2" xfId="42225"/>
    <cellStyle name="_Cash by Charge Basis for Macsv2" xfId="42226"/>
    <cellStyle name="_Cash by Charge Basis for Macsv2 2" xfId="42227"/>
    <cellStyle name="_Cash by Charge Basis for Macsv2 2 2" xfId="42228"/>
    <cellStyle name="_Cash by Charge Basis for Macsv2 2 3" xfId="42229"/>
    <cellStyle name="_Cash by Charge Basis for Macsv2 3" xfId="42230"/>
    <cellStyle name="_Cash by Charge Basis for Macsv2 4" xfId="42231"/>
    <cellStyle name="_Cash Flow Forecast - January 2012 v2" xfId="42232"/>
    <cellStyle name="_Cash Flow Forecast - January 2012 v2 2" xfId="42233"/>
    <cellStyle name="_Cash Flow Forecast - January 2012 v2 2 2" xfId="42234"/>
    <cellStyle name="_Cash Flow Forecast - January 2012 v2 2 3" xfId="42235"/>
    <cellStyle name="_Cash Flow Forecast - January 2012 v2 3" xfId="42236"/>
    <cellStyle name="_Cash Flow Forecast - January 2012 v2 4" xfId="42237"/>
    <cellStyle name="_Cash waterfall" xfId="42238"/>
    <cellStyle name="_Cash waterfall 2" xfId="42239"/>
    <cellStyle name="_Cashflow" xfId="42240"/>
    <cellStyle name="_Cashflow 2" xfId="42241"/>
    <cellStyle name="_Cashflow 2 10" xfId="42242"/>
    <cellStyle name="_Cashflow 2 11" xfId="42243"/>
    <cellStyle name="_Cashflow 2 2" xfId="42244"/>
    <cellStyle name="_Cashflow 2 3" xfId="42245"/>
    <cellStyle name="_Cashflow 2 4" xfId="42246"/>
    <cellStyle name="_Cashflow 2 5" xfId="42247"/>
    <cellStyle name="_Cashflow 2 6" xfId="42248"/>
    <cellStyle name="_Cashflow 2 7" xfId="42249"/>
    <cellStyle name="_Cashflow 2 8" xfId="42250"/>
    <cellStyle name="_Cashflow 2 9" xfId="42251"/>
    <cellStyle name="_Cashflow 2_IBP - COPI Uplift at Investment Area Level 01Feb12" xfId="42252"/>
    <cellStyle name="_Cashflow 3" xfId="42253"/>
    <cellStyle name="_Cashflow 3 10" xfId="42254"/>
    <cellStyle name="_Cashflow 3 2" xfId="42255"/>
    <cellStyle name="_Cashflow 3 3" xfId="42256"/>
    <cellStyle name="_Cashflow 3 4" xfId="42257"/>
    <cellStyle name="_Cashflow 3 5" xfId="42258"/>
    <cellStyle name="_Cashflow 3 6" xfId="42259"/>
    <cellStyle name="_Cashflow 3 7" xfId="42260"/>
    <cellStyle name="_Cashflow 3 8" xfId="42261"/>
    <cellStyle name="_Cashflow 3 9" xfId="42262"/>
    <cellStyle name="_Cashflow 3_IBP - COPI Uplift at Investment Area Level 01Feb12" xfId="42263"/>
    <cellStyle name="_Cashflow 4" xfId="42264"/>
    <cellStyle name="_Cashflow 4 2" xfId="42265"/>
    <cellStyle name="_Cashflow 4_Adjustments" xfId="42266"/>
    <cellStyle name="_Cashflow 4_Overall" xfId="42267"/>
    <cellStyle name="_Cashflow 5" xfId="42268"/>
    <cellStyle name="_Cashflow 5 2" xfId="42269"/>
    <cellStyle name="_Cashflow 5_Adjustments" xfId="42270"/>
    <cellStyle name="_Cashflow 5_Overall" xfId="42271"/>
    <cellStyle name="_Cashflow 6" xfId="42272"/>
    <cellStyle name="_Cashflow 6 2" xfId="42273"/>
    <cellStyle name="_Cashflow 6_Adjustments" xfId="42274"/>
    <cellStyle name="_Cashflow 6_Overall" xfId="42275"/>
    <cellStyle name="_Cashflow 7" xfId="42276"/>
    <cellStyle name="_Cashflow 7 2" xfId="42277"/>
    <cellStyle name="_Cashflow 8" xfId="42278"/>
    <cellStyle name="_Cashflow Budget 0910 v1" xfId="42279"/>
    <cellStyle name="_Cashflow Budget 0910 v1 2" xfId="42280"/>
    <cellStyle name="_Cashflow Budget 0910 v1_Salaries &amp; Wages" xfId="42281"/>
    <cellStyle name="_Cashflow Budget 0910 v1_Salaries &amp; Wages 2" xfId="42282"/>
    <cellStyle name="_Cashflow_~7661871" xfId="42283"/>
    <cellStyle name="_Cashflow_~9045721" xfId="42284"/>
    <cellStyle name="_Cashflow_~9045721 2" xfId="42285"/>
    <cellStyle name="_Cashflow_~9996090" xfId="42286"/>
    <cellStyle name="_Cashflow_2+10 Draft IC Presentation 25Jun12 v7.3" xfId="42287"/>
    <cellStyle name="_Cashflow_2+10 Draft IC Presentation 25Jun12 v7.3_budget risk items" xfId="42288"/>
    <cellStyle name="_Cashflow_2011 10 Nov R&amp;O Register Reporting (Working Copy) Finance Draft" xfId="42289"/>
    <cellStyle name="_Cashflow_2011 10 Nov R&amp;O Register Reporting (Working Copy) Finance Final" xfId="42290"/>
    <cellStyle name="_Cashflow_2012 01 Feb R&amp;O Register Reporting (Finance v1)" xfId="42291"/>
    <cellStyle name="_Cashflow_2012 04 April R&amp;O Register IC Reporting" xfId="42292"/>
    <cellStyle name="_Cashflow_5+7 Oct 11 Flying Bricks v1.0 budget review v11 21-11-11" xfId="42293"/>
    <cellStyle name="_Cashflow_5+7 Oct 11 Flying Bricks v1.0 budget review v11 21-11-11 2" xfId="42294"/>
    <cellStyle name="_Cashflow_5+7 Oct 11 Flying Bricks v1.0 budget review v11 21-11-11 2_Adjustments" xfId="42295"/>
    <cellStyle name="_Cashflow_5+7 Oct 11 Flying Bricks v1.0 budget review v11 21-11-11 2_Overall" xfId="42296"/>
    <cellStyle name="_Cashflow_5+7 Oct 11 Flying Bricks v1.0 budget review v11 21-11-11_B &amp; U by Inv Area &amp; Del" xfId="42297"/>
    <cellStyle name="_Cashflow_5+7 Oct 11 Flying Bricks v1.0 budget review v11 21-11-11_budget risk items" xfId="42298"/>
    <cellStyle name="_Cashflow_5+7 Oct 11 Flying Bricks v1.0 budget review v11 21-11-11_VoWD Data" xfId="42299"/>
    <cellStyle name="_Cashflow_5+7 Oct 11 Flying Bricks v1.0 budget review v11 21-11-11_VoWD Data by Purpose Code" xfId="42300"/>
    <cellStyle name="_Cashflow_5+7 Oct 11 Flying Bricks v1.0 budget review v12 29-11-11" xfId="42301"/>
    <cellStyle name="_Cashflow_5+7 Oct 11 Flying Bricks v1.0 budget review v12 29-11-11 2" xfId="42302"/>
    <cellStyle name="_Cashflow_5+7 Oct 11 Flying Bricks v1.0 budget review v12 29-11-11 2_Adjustments" xfId="42303"/>
    <cellStyle name="_Cashflow_5+7 Oct 11 Flying Bricks v1.0 budget review v12 29-11-11 2_Overall" xfId="42304"/>
    <cellStyle name="_Cashflow_5+7 Oct 11 Flying Bricks v1.0 budget review v12 29-11-11 cd change mockup" xfId="42305"/>
    <cellStyle name="_Cashflow_5+7 Oct 11 Flying Bricks v1.0 budget review v12 29-11-11 cd change mockup 2" xfId="42306"/>
    <cellStyle name="_Cashflow_5+7 Oct 11 Flying Bricks v1.0 budget review v12 29-11-11 cd change mockup 2_Adjustments" xfId="42307"/>
    <cellStyle name="_Cashflow_5+7 Oct 11 Flying Bricks v1.0 budget review v12 29-11-11 cd change mockup 2_Overall" xfId="42308"/>
    <cellStyle name="_Cashflow_5+7 Oct 11 Flying Bricks v1.0 budget review v12 29-11-11 cd change mockup_B &amp; U by Inv Area &amp; Del" xfId="42309"/>
    <cellStyle name="_Cashflow_5+7 Oct 11 Flying Bricks v1.0 budget review v12 29-11-11 cd change mockup_budget risk items" xfId="42310"/>
    <cellStyle name="_Cashflow_5+7 Oct 11 Flying Bricks v1.0 budget review v12 29-11-11 cd change mockup_VoWD Data" xfId="42311"/>
    <cellStyle name="_Cashflow_5+7 Oct 11 Flying Bricks v1.0 budget review v12 29-11-11 cd change mockup_VoWD Data by Purpose Code" xfId="42312"/>
    <cellStyle name="_Cashflow_5+7 Oct 11 Flying Bricks v1.0 budget review v12 29-11-11_B &amp; U by Inv Area &amp; Del" xfId="42313"/>
    <cellStyle name="_Cashflow_5+7 Oct 11 Flying Bricks v1.0 budget review v12 29-11-11_budget risk items" xfId="42314"/>
    <cellStyle name="_Cashflow_5+7 Oct 11 Flying Bricks v1.0 budget review v12 29-11-11_VoWD Data" xfId="42315"/>
    <cellStyle name="_Cashflow_5+7 Oct 11 Flying Bricks v1.0 budget review v12 29-11-11_VoWD Data by Purpose Code" xfId="42316"/>
    <cellStyle name="_Cashflow_5+7 Oct 11 Flying Bricks v1.0 budget review v19 23-12-11 Bob Collington meeting" xfId="42317"/>
    <cellStyle name="_Cashflow_5+7 Oct 11 Flying Bricks v1.0 budget review v19 23-12-11 Bob Collington meeting 2" xfId="42318"/>
    <cellStyle name="_Cashflow_5+7 Oct 11 Flying Bricks v1.0 budget review v19 23-12-11 Bob Collington meeting 2_Adjustments" xfId="42319"/>
    <cellStyle name="_Cashflow_5+7 Oct 11 Flying Bricks v1.0 budget review v19 23-12-11 Bob Collington meeting 2_Overall" xfId="42320"/>
    <cellStyle name="_Cashflow_5+7 Oct 11 Flying Bricks v1.0 budget review v19 23-12-11 Bob Collington meeting_B &amp; U by Inv Area &amp; Del" xfId="42321"/>
    <cellStyle name="_Cashflow_5+7 Oct 11 Flying Bricks v1.0 budget review v19 23-12-11 Bob Collington meeting_budget risk items" xfId="42322"/>
    <cellStyle name="_Cashflow_5+7 Oct 11 Flying Bricks v1.0 budget review v19 23-12-11 Bob Collington meeting_VoWD Data" xfId="42323"/>
    <cellStyle name="_Cashflow_5+7 Oct 11 Flying Bricks v1.0 budget review v19 23-12-11 Bob Collington meeting_VoWD Data by Purpose Code" xfId="42324"/>
    <cellStyle name="_Cashflow_5+7 Oct 11 Flying Bricks v1.0 budget review v21 04-01-12 Bob Collington meeting" xfId="42325"/>
    <cellStyle name="_Cashflow_5+7 Oct 11 Flying Bricks v1.0 budget review v21 04-01-12 Bob Collington meeting 2" xfId="42326"/>
    <cellStyle name="_Cashflow_5+7 Oct 11 Flying Bricks v1.0 budget review v21 04-01-12 Bob Collington meeting 2_Adjustments" xfId="42327"/>
    <cellStyle name="_Cashflow_5+7 Oct 11 Flying Bricks v1.0 budget review v21 04-01-12 Bob Collington meeting 2_Overall" xfId="42328"/>
    <cellStyle name="_Cashflow_5+7 Oct 11 Flying Bricks v1.0 budget review v21 04-01-12 Bob Collington meeting_B &amp; U by Inv Area &amp; Del" xfId="42329"/>
    <cellStyle name="_Cashflow_5+7 Oct 11 Flying Bricks v1.0 budget review v21 04-01-12 Bob Collington meeting_budget risk items" xfId="42330"/>
    <cellStyle name="_Cashflow_5+7 Oct 11 Flying Bricks v1.0 budget review v21 04-01-12 Bob Collington meeting_VoWD Data" xfId="42331"/>
    <cellStyle name="_Cashflow_5+7 Oct 11 Flying Bricks v1.0 budget review v21 04-01-12 Bob Collington meeting_VoWD Data by Purpose Code" xfId="42332"/>
    <cellStyle name="_Cashflow_5+7 Oct 11 Flying Bricks v1.0 budget review v22 06-01-12 Bob C meet PR14 change" xfId="42333"/>
    <cellStyle name="_Cashflow_5+7 Oct 11 Flying Bricks v1.0 budget review v22 06-01-12 Bob C meet PR14 change 2" xfId="42334"/>
    <cellStyle name="_Cashflow_5+7 Oct 11 Flying Bricks v1.0 budget review v22 06-01-12 Bob C meet PR14 change 2_Adjustments" xfId="42335"/>
    <cellStyle name="_Cashflow_5+7 Oct 11 Flying Bricks v1.0 budget review v22 06-01-12 Bob C meet PR14 change 2_Overall" xfId="42336"/>
    <cellStyle name="_Cashflow_5+7 Oct 11 Flying Bricks v1.0 budget review v22 06-01-12 Bob C meet PR14 change_B &amp; U by Inv Area &amp; Del" xfId="42337"/>
    <cellStyle name="_Cashflow_5+7 Oct 11 Flying Bricks v1.0 budget review v22 06-01-12 Bob C meet PR14 change_budget risk items" xfId="42338"/>
    <cellStyle name="_Cashflow_5+7 Oct 11 Flying Bricks v1.0 budget review v22 06-01-12 Bob C meet PR14 change_VoWD Data" xfId="42339"/>
    <cellStyle name="_Cashflow_5+7 Oct 11 Flying Bricks v1.0 budget review v22 06-01-12 Bob C meet PR14 change_VoWD Data by Purpose Code" xfId="42340"/>
    <cellStyle name="_Cashflow_5+7 Oct 11 v23 12-01-12 Bob C meet PR14 change" xfId="42341"/>
    <cellStyle name="_Cashflow_5+7 Oct 11 v23 12-01-12 Bob C meet PR14 change 2" xfId="42342"/>
    <cellStyle name="_Cashflow_5+7 Oct 11 v23 12-01-12 Bob C meet PR14 change 2_Adjustments" xfId="42343"/>
    <cellStyle name="_Cashflow_5+7 Oct 11 v23 12-01-12 Bob C meet PR14 change 2_Overall" xfId="42344"/>
    <cellStyle name="_Cashflow_5+7 Oct 11 v23 12-01-12 Bob C meet PR14 change_B &amp; U by Inv Area &amp; Del" xfId="42345"/>
    <cellStyle name="_Cashflow_5+7 Oct 11 v23 12-01-12 Bob C meet PR14 change_budget risk items" xfId="42346"/>
    <cellStyle name="_Cashflow_5+7 Oct 11 v23 12-01-12 Bob C meet PR14 change_VoWD Data" xfId="42347"/>
    <cellStyle name="_Cashflow_5+7 Oct 11 v23 12-01-12 Bob C meet PR14 change_VoWD Data by Purpose Code" xfId="42348"/>
    <cellStyle name="_Cashflow_AMP5 Forecast-Budget (Dec COPI)" xfId="42349"/>
    <cellStyle name="_Cashflow_B &amp; U by Inv Area &amp; Del" xfId="42350"/>
    <cellStyle name="_Cashflow_Book1" xfId="42351"/>
    <cellStyle name="_Cashflow_Book1 2" xfId="42352"/>
    <cellStyle name="_Cashflow_Book1 2_Adjustments" xfId="42353"/>
    <cellStyle name="_Cashflow_Book1 2_Overall" xfId="42354"/>
    <cellStyle name="_Cashflow_Book1_B &amp; U by Inv Area &amp; Del" xfId="42355"/>
    <cellStyle name="_Cashflow_Book1_budget risk items" xfId="42356"/>
    <cellStyle name="_Cashflow_Book1_VoWD Data" xfId="42357"/>
    <cellStyle name="_Cashflow_Book1_VoWD Data by Purpose Code" xfId="42358"/>
    <cellStyle name="_Cashflow_Book2" xfId="42359"/>
    <cellStyle name="_Cashflow_Book2 2" xfId="42360"/>
    <cellStyle name="_Cashflow_Book2 2_Adjustments" xfId="42361"/>
    <cellStyle name="_Cashflow_Book2 2_Overall" xfId="42362"/>
    <cellStyle name="_Cashflow_Book2_~7719401" xfId="42363"/>
    <cellStyle name="_Cashflow_Book2_B &amp; U by Inv Area &amp; Del" xfId="42364"/>
    <cellStyle name="_Cashflow_Book2_Book1" xfId="42365"/>
    <cellStyle name="_Cashflow_Book2_budget risk items" xfId="42366"/>
    <cellStyle name="_Cashflow_Book2_Corporate Commentary April 12" xfId="42367"/>
    <cellStyle name="_Cashflow_Book2_Forecast March 2012 (FINAL On SAP 8th Mar 2012)" xfId="42368"/>
    <cellStyle name="_Cashflow_Book2_Forecast March 2012 (FINAL On SAP 8th Mar 2012)_budget risk items" xfId="42369"/>
    <cellStyle name="_Cashflow_Book2_Monthly CapEx Reporting - April 12" xfId="42370"/>
    <cellStyle name="_Cashflow_Book2_Monthly CapEx Reporting - April 12_budget risk items" xfId="42371"/>
    <cellStyle name="_Cashflow_Book2_VoWD Data" xfId="42372"/>
    <cellStyle name="_Cashflow_Book2_VoWD Data by Purpose Code" xfId="42373"/>
    <cellStyle name="_Cashflow_Book3" xfId="42374"/>
    <cellStyle name="_Cashflow_Book3 2" xfId="42375"/>
    <cellStyle name="_Cashflow_Book3_03 CY Actuals adjustments" xfId="42376"/>
    <cellStyle name="_Cashflow_Book3_03 CY Actuals adjustments 2" xfId="42377"/>
    <cellStyle name="_Cashflow_Book3_03 CY Actuals adjustments 2_Adjustments" xfId="42378"/>
    <cellStyle name="_Cashflow_Book3_03 CY Actuals adjustments 2_Overall" xfId="42379"/>
    <cellStyle name="_Cashflow_Book3_03 CY Actuals adjustments_VoWD Data" xfId="42380"/>
    <cellStyle name="_Cashflow_Book3_03 CY Actuals adjustments_VoWD Data by Purpose Code" xfId="42381"/>
    <cellStyle name="_Cashflow_Book3_Adjustments" xfId="42382"/>
    <cellStyle name="_Cashflow_Book3_Adjustments 2" xfId="42383"/>
    <cellStyle name="_Cashflow_Book3_Adjustments 2_Adjustments" xfId="42384"/>
    <cellStyle name="_Cashflow_Book3_Adjustments 2_Overall" xfId="42385"/>
    <cellStyle name="_Cashflow_Book3_Adjustments_B &amp; U by Inv Area &amp; Del" xfId="42386"/>
    <cellStyle name="_Cashflow_Book3_Adjustments_budget risk items" xfId="42387"/>
    <cellStyle name="_Cashflow_Book3_Adjustments_VoWD Data" xfId="42388"/>
    <cellStyle name="_Cashflow_Book3_Adjustments_VoWD Data by Purpose Code" xfId="42389"/>
    <cellStyle name="_Cashflow_Book3_AMP6" xfId="42390"/>
    <cellStyle name="_Cashflow_Book3_AMP6 2" xfId="42391"/>
    <cellStyle name="_Cashflow_Book3_AMP6 2_Adjustments" xfId="42392"/>
    <cellStyle name="_Cashflow_Book3_AMP6 2_Overall" xfId="42393"/>
    <cellStyle name="_Cashflow_Book3_AMP6_B &amp; U by Inv Area &amp; Del" xfId="42394"/>
    <cellStyle name="_Cashflow_Book3_AMP6_budget risk items" xfId="42395"/>
    <cellStyle name="_Cashflow_Book3_AMP6_VoWD Data" xfId="42396"/>
    <cellStyle name="_Cashflow_Book3_AMP6_VoWD Data by Purpose Code" xfId="42397"/>
    <cellStyle name="_Cashflow_Book3_B &amp; U by Inv Area &amp; Del" xfId="42398"/>
    <cellStyle name="_Cashflow_Book3_Book1" xfId="42399"/>
    <cellStyle name="_Cashflow_Book3_Budget" xfId="42400"/>
    <cellStyle name="_Cashflow_Book3_Budget 2" xfId="42401"/>
    <cellStyle name="_Cashflow_Book3_Budget 2_Adjustments" xfId="42402"/>
    <cellStyle name="_Cashflow_Book3_Budget 2_Overall" xfId="42403"/>
    <cellStyle name="_Cashflow_Book3_Budget Project Totals" xfId="42404"/>
    <cellStyle name="_Cashflow_Book3_budget risk items" xfId="42405"/>
    <cellStyle name="_Cashflow_Book3_Budget_B &amp; U by Inv Area &amp; Del" xfId="42406"/>
    <cellStyle name="_Cashflow_Book3_Budget_budget risk items" xfId="42407"/>
    <cellStyle name="_Cashflow_Book3_Budget_VoWD Data" xfId="42408"/>
    <cellStyle name="_Cashflow_Book3_Budget_VoWD Data by Purpose Code" xfId="42409"/>
    <cellStyle name="_Cashflow_Book3_Capex Year 3 and AMP5 workings Budget v forecast (backup)" xfId="42410"/>
    <cellStyle name="_Cashflow_Book3_Capex Year 3 and AMP5 workings Budget v forecast (backup)_budget risk items" xfId="42411"/>
    <cellStyle name="_Cashflow_Book3_Corporate Commentary April 12" xfId="42412"/>
    <cellStyle name="_Cashflow_Book3_Corporate waterfall stuart ledger +LBE month end March 12v1" xfId="42413"/>
    <cellStyle name="_Cashflow_Book3_Corporate waterfall stuart ledger +LBE month end March 12v2 19-04-2012" xfId="42414"/>
    <cellStyle name="_Cashflow_Book3_Forecast March 2012 (FINAL On SAP 8th Mar 2012)" xfId="42415"/>
    <cellStyle name="_Cashflow_Book3_Forecast March 2012 (FINAL On SAP 8th Mar 2012)_budget risk items" xfId="42416"/>
    <cellStyle name="_Cashflow_Book3_Format for MacQuarie's Report" xfId="42417"/>
    <cellStyle name="_Cashflow_Book3_Format for MacQuarie's Report 2" xfId="42418"/>
    <cellStyle name="_Cashflow_Book3_Format for Variances Graphs" xfId="42419"/>
    <cellStyle name="_Cashflow_Book3_IBP by Inv Area" xfId="42420"/>
    <cellStyle name="_Cashflow_Book3_IBP by Inv Area 2" xfId="42421"/>
    <cellStyle name="_Cashflow_Book3_Income Data by Inv Area" xfId="42422"/>
    <cellStyle name="_Cashflow_Book3_Income Data by Inv Area 2" xfId="42423"/>
    <cellStyle name="_Cashflow_Book3_Index" xfId="42424"/>
    <cellStyle name="_Cashflow_Book3_Index 2" xfId="42425"/>
    <cellStyle name="_Cashflow_Book3_Inv Area Targets" xfId="42426"/>
    <cellStyle name="_Cashflow_Book3_Inv Area Targets 2" xfId="42427"/>
    <cellStyle name="_Cashflow_Book3_Inv Area Targets 2_Adjustments" xfId="42428"/>
    <cellStyle name="_Cashflow_Book3_Inv Area Targets 2_Overall" xfId="42429"/>
    <cellStyle name="_Cashflow_Book3_Inv Area Targets_B &amp; U by Inv Area &amp; Del" xfId="42430"/>
    <cellStyle name="_Cashflow_Book3_Inv Area Targets_budget risk items" xfId="42431"/>
    <cellStyle name="_Cashflow_Book3_Inv Area Targets_VoWD Data" xfId="42432"/>
    <cellStyle name="_Cashflow_Book3_Inv Area Targets_VoWD Data by Purpose Code" xfId="42433"/>
    <cellStyle name="_Cashflow_Book3_LM Proj Var" xfId="42434"/>
    <cellStyle name="_Cashflow_Book3_LM Proj Var 2" xfId="42435"/>
    <cellStyle name="_Cashflow_Book3_LM Proj Var 2_Adjustments" xfId="42436"/>
    <cellStyle name="_Cashflow_Book3_LM Proj Var 2_Overall" xfId="42437"/>
    <cellStyle name="_Cashflow_Book3_LM Proj Var_B &amp; U by Inv Area &amp; Del" xfId="42438"/>
    <cellStyle name="_Cashflow_Book3_LM Proj Var_budget risk items" xfId="42439"/>
    <cellStyle name="_Cashflow_Book3_LM Proj Var_VoWD Data" xfId="42440"/>
    <cellStyle name="_Cashflow_Book3_LM Proj Var_VoWD Data by Purpose Code" xfId="42441"/>
    <cellStyle name="_Cashflow_Book3_Monthly CapEx Reporting - April 12" xfId="42442"/>
    <cellStyle name="_Cashflow_Book3_Monthly CapEx Reporting - April 12_budget risk items" xfId="42443"/>
    <cellStyle name="_Cashflow_Book3_Monthly Forecast (10+2) - 06Feb12" xfId="42444"/>
    <cellStyle name="_Cashflow_Book3_Monthly Forecast (10+2) - 06Feb12 v2 - Values Only Copy" xfId="42445"/>
    <cellStyle name="_Cashflow_Book3_Monthly Forecast (10+2) - 06Feb12 v2 - Values Only Copy_budget risk items" xfId="42446"/>
    <cellStyle name="_Cashflow_Book3_Monthly Forecast (10+2) - 06Feb12_budget risk items" xfId="42447"/>
    <cellStyle name="_Cashflow_Book3_Monthly Forecast (11+1) - 06Mar12 v3 - Values Only copy" xfId="42448"/>
    <cellStyle name="_Cashflow_Book3_Monthly Forecast (11+1) - 06Mar12 v3 - Values Only copy_budget risk items" xfId="42449"/>
    <cellStyle name="_Cashflow_Book3_Net Data by Inv Area" xfId="42450"/>
    <cellStyle name="_Cashflow_Book3_Net Data by Inv Area 2" xfId="42451"/>
    <cellStyle name="_Cashflow_Book3_Net Inv Data" xfId="42452"/>
    <cellStyle name="_Cashflow_Book3_Net Inv Data 2" xfId="42453"/>
    <cellStyle name="_Cashflow_Book3_Net Inv Data 2_Adjustments" xfId="42454"/>
    <cellStyle name="_Cashflow_Book3_Net Inv Data 2_Overall" xfId="42455"/>
    <cellStyle name="_Cashflow_Book3_Net Inv Data_B &amp; U by Inv Area &amp; Del" xfId="42456"/>
    <cellStyle name="_Cashflow_Book3_Net Inv Data_budget risk items" xfId="42457"/>
    <cellStyle name="_Cashflow_Book3_Net Inv Data_VoWD Data" xfId="42458"/>
    <cellStyle name="_Cashflow_Book3_Net Inv Data_VoWD Data by Purpose Code" xfId="42459"/>
    <cellStyle name="_Cashflow_Book3_Project Controls" xfId="42460"/>
    <cellStyle name="_Cashflow_Book3_Project Controls 2" xfId="42461"/>
    <cellStyle name="_Cashflow_Book3_Project Controls 2_Adjustments" xfId="42462"/>
    <cellStyle name="_Cashflow_Book3_Project Controls 2_Overall" xfId="42463"/>
    <cellStyle name="_Cashflow_Book3_Project Controls_B &amp; U by Inv Area &amp; Del" xfId="42464"/>
    <cellStyle name="_Cashflow_Book3_Project Controls_budget risk items" xfId="42465"/>
    <cellStyle name="_Cashflow_Book3_Project Controls_VoWD Data" xfId="42466"/>
    <cellStyle name="_Cashflow_Book3_Project Controls_VoWD Data by Purpose Code" xfId="42467"/>
    <cellStyle name="_Cashflow_Book3_Project Milestones" xfId="42468"/>
    <cellStyle name="_Cashflow_Book3_Project Milestones 2" xfId="42469"/>
    <cellStyle name="_Cashflow_Book3_Project Totals" xfId="42470"/>
    <cellStyle name="_Cashflow_Book3_Project Totals 2" xfId="42471"/>
    <cellStyle name="_Cashflow_Book3_Project Variances" xfId="42472"/>
    <cellStyle name="_Cashflow_Book3_Project Variances 2" xfId="42473"/>
    <cellStyle name="_Cashflow_Book3_Project Variances 2_Adjustments" xfId="42474"/>
    <cellStyle name="_Cashflow_Book3_Project Variances 2_Overall" xfId="42475"/>
    <cellStyle name="_Cashflow_Book3_Project Variances_B &amp; U by Inv Area &amp; Del" xfId="42476"/>
    <cellStyle name="_Cashflow_Book3_Project Variances_budget risk items" xfId="42477"/>
    <cellStyle name="_Cashflow_Book3_Project Variances_VoWD Data" xfId="42478"/>
    <cellStyle name="_Cashflow_Book3_Project Variances_VoWD Data by Purpose Code" xfId="42479"/>
    <cellStyle name="_Cashflow_Book3_Q2RF Project Controls" xfId="42480"/>
    <cellStyle name="_Cashflow_Book3_Q2RF Project Controls 2" xfId="42481"/>
    <cellStyle name="_Cashflow_Book3_Q2RF Project Controls 2_Adjustments" xfId="42482"/>
    <cellStyle name="_Cashflow_Book3_Q2RF Project Controls 2_Overall" xfId="42483"/>
    <cellStyle name="_Cashflow_Book3_Q2RF Project Controls_B &amp; U by Inv Area &amp; Del" xfId="42484"/>
    <cellStyle name="_Cashflow_Book3_Q2RF Project Controls_budget risk items" xfId="42485"/>
    <cellStyle name="_Cashflow_Book3_Q2RF Project Controls_VoWD Data" xfId="42486"/>
    <cellStyle name="_Cashflow_Book3_Q2RF Project Controls_VoWD Data by Purpose Code" xfId="42487"/>
    <cellStyle name="_Cashflow_Book3_QRF1 Project Totals" xfId="42488"/>
    <cellStyle name="_Cashflow_Book3_QRF2 Project Totals" xfId="42489"/>
    <cellStyle name="_Cashflow_Book3_Rest of AMP5" xfId="42490"/>
    <cellStyle name="_Cashflow_Book3_Rest of AMP5 2" xfId="42491"/>
    <cellStyle name="_Cashflow_Book3_Rest of AMP5 2_Adjustments" xfId="42492"/>
    <cellStyle name="_Cashflow_Book3_Rest of AMP5 2_Overall" xfId="42493"/>
    <cellStyle name="_Cashflow_Book3_Rest of AMP5_B &amp; U by Inv Area &amp; Del" xfId="42494"/>
    <cellStyle name="_Cashflow_Book3_Rest of AMP5_budget risk items" xfId="42495"/>
    <cellStyle name="_Cashflow_Book3_Rest of AMP5_VoWD Data" xfId="42496"/>
    <cellStyle name="_Cashflow_Book3_Rest of AMP5_VoWD Data by Purpose Code" xfId="42497"/>
    <cellStyle name="_Cashflow_Book3_SAP Milestones - Actual Dates" xfId="42498"/>
    <cellStyle name="_Cashflow_Book3_SAP Milestones - Actual Dates 2" xfId="42499"/>
    <cellStyle name="_Cashflow_Book3_SAP Milestones - Actual Dates 2_Adjustments" xfId="42500"/>
    <cellStyle name="_Cashflow_Book3_SAP Milestones - Actual Dates 2_Overall" xfId="42501"/>
    <cellStyle name="_Cashflow_Book3_SAP Milestones - Actual Dates_VoWD Data" xfId="42502"/>
    <cellStyle name="_Cashflow_Book3_SAP Milestones - Actual Dates_VoWD Data by Purpose Code" xfId="42503"/>
    <cellStyle name="_Cashflow_Book3_SAP Profiles - CM" xfId="42504"/>
    <cellStyle name="_Cashflow_Book3_SAP Profiles - CM 2" xfId="42505"/>
    <cellStyle name="_Cashflow_Book3_SAP Profiles - CM 2_Adjustments" xfId="42506"/>
    <cellStyle name="_Cashflow_Book3_SAP Profiles - CM 2_Overall" xfId="42507"/>
    <cellStyle name="_Cashflow_Book3_SAP Profiles - CM_B &amp; U by Inv Area &amp; Del" xfId="42508"/>
    <cellStyle name="_Cashflow_Book3_SAP Profiles - CM_budget risk items" xfId="42509"/>
    <cellStyle name="_Cashflow_Book3_SAP Profiles - CM_VoWD Data" xfId="42510"/>
    <cellStyle name="_Cashflow_Book3_SAP Profiles - CM_VoWD Data by Purpose Code" xfId="42511"/>
    <cellStyle name="_Cashflow_Book3_SAP Profiles - NY" xfId="42512"/>
    <cellStyle name="_Cashflow_Book3_SAP Profiles - NY 2" xfId="42513"/>
    <cellStyle name="_Cashflow_Book3_SAP Profiles - NY 2_Adjustments" xfId="42514"/>
    <cellStyle name="_Cashflow_Book3_SAP Profiles - NY 2_Overall" xfId="42515"/>
    <cellStyle name="_Cashflow_Book3_SAP Profiles - NY_B &amp; U by Inv Area &amp; Del" xfId="42516"/>
    <cellStyle name="_Cashflow_Book3_SAP Profiles - NY_budget risk items" xfId="42517"/>
    <cellStyle name="_Cashflow_Book3_SAP Profiles - NY_VoWD Data" xfId="42518"/>
    <cellStyle name="_Cashflow_Book3_SAP Profiles - NY_VoWD Data by Purpose Code" xfId="42519"/>
    <cellStyle name="_Cashflow_Book3_Sheet1" xfId="42520"/>
    <cellStyle name="_Cashflow_Book3_Sheet1 2" xfId="42521"/>
    <cellStyle name="_Cashflow_Book3_Sheet1_1" xfId="42522"/>
    <cellStyle name="_Cashflow_Book3_Sheet1_1 2" xfId="42523"/>
    <cellStyle name="_Cashflow_Book3_Sheet1_1 2_Adjustments" xfId="42524"/>
    <cellStyle name="_Cashflow_Book3_Sheet1_1 2_Overall" xfId="42525"/>
    <cellStyle name="_Cashflow_Book3_Sheet1_1_VoWD Data" xfId="42526"/>
    <cellStyle name="_Cashflow_Book3_Sheet1_1_VoWD Data by Purpose Code" xfId="42527"/>
    <cellStyle name="_Cashflow_Book3_Sheet2" xfId="42528"/>
    <cellStyle name="_Cashflow_Book3_Sheet2 2" xfId="42529"/>
    <cellStyle name="_Cashflow_Book3_Sheet2_1" xfId="42530"/>
    <cellStyle name="_Cashflow_Book3_Sheet2_1 2" xfId="42531"/>
    <cellStyle name="_Cashflow_Book3_Sheet2_1 2_Adjustments" xfId="42532"/>
    <cellStyle name="_Cashflow_Book3_Sheet2_1 2_Overall" xfId="42533"/>
    <cellStyle name="_Cashflow_Book3_Sheet2_1_B &amp; U by Inv Area &amp; Del" xfId="42534"/>
    <cellStyle name="_Cashflow_Book3_Sheet2_1_budget risk items" xfId="42535"/>
    <cellStyle name="_Cashflow_Book3_Sheet2_1_VoWD Data" xfId="42536"/>
    <cellStyle name="_Cashflow_Book3_Sheet2_1_VoWD Data by Purpose Code" xfId="42537"/>
    <cellStyle name="_Cashflow_Book3_Sheet3" xfId="42538"/>
    <cellStyle name="_Cashflow_Book3_Sheet3 2" xfId="42539"/>
    <cellStyle name="_Cashflow_Book3_Sheet4" xfId="42540"/>
    <cellStyle name="_Cashflow_Book3_Sheet4 2" xfId="42541"/>
    <cellStyle name="_Cashflow_Book3_Summary" xfId="42542"/>
    <cellStyle name="_Cashflow_Book3_Summary 2" xfId="42543"/>
    <cellStyle name="_Cashflow_Book3_Summary 2_Adjustments" xfId="42544"/>
    <cellStyle name="_Cashflow_Book3_Summary 2_Overall" xfId="42545"/>
    <cellStyle name="_Cashflow_Book3_Summary for CD" xfId="42546"/>
    <cellStyle name="_Cashflow_Book3_Summary_B &amp; U by Inv Area &amp; Del" xfId="42547"/>
    <cellStyle name="_Cashflow_Book3_Summary_budget risk items" xfId="42548"/>
    <cellStyle name="_Cashflow_Book3_Summary_VoWD Data" xfId="42549"/>
    <cellStyle name="_Cashflow_Book3_Summary_VoWD Data by Purpose Code" xfId="42550"/>
    <cellStyle name="_Cashflow_Book3_VoWD Data" xfId="42551"/>
    <cellStyle name="_Cashflow_Book3_VoWD Data 2" xfId="42552"/>
    <cellStyle name="_Cashflow_Book3_VoWD Data by Inv Area" xfId="42553"/>
    <cellStyle name="_Cashflow_Book3_VoWD Data by Inv Area 2" xfId="42554"/>
    <cellStyle name="_Cashflow_Book3_VoWD Data by Purpose Code" xfId="42555"/>
    <cellStyle name="_Cashflow_Book3_VoWD Data by Purpose Code 2" xfId="42556"/>
    <cellStyle name="_Cashflow_Book3_VoWD Data by Purpose Code_1" xfId="42557"/>
    <cellStyle name="_Cashflow_Book3_VoWD Data_1" xfId="42558"/>
    <cellStyle name="_Cashflow_Book3_VoWD Sign-Off Sheet" xfId="42559"/>
    <cellStyle name="_Cashflow_Book3_VoWD Sign-Off Sheet 2" xfId="42560"/>
    <cellStyle name="_Cashflow_budget risk items" xfId="42561"/>
    <cellStyle name="_Cashflow_Capex Slides for Overview - v1 (Group Reporting)" xfId="42562"/>
    <cellStyle name="_Cashflow_Capex Slides for Overview - v7 12-01-12" xfId="42563"/>
    <cellStyle name="_Cashflow_Capex Slides for Overview - v7 12-01-12 2" xfId="42564"/>
    <cellStyle name="_Cashflow_Capex Slides for Overview (Gillian Waugh e-mail 28-09-11)" xfId="42565"/>
    <cellStyle name="_Cashflow_Capex Slides for Overview (Gillian Waugh e-mail 28-09-11) 2" xfId="42566"/>
    <cellStyle name="_Cashflow_Depreciation Profit &amp; Loss Accounts Reconciliation April 11" xfId="42567"/>
    <cellStyle name="_Cashflow_Depreciation Profit &amp; Loss Accounts Reconciliation April 11 2" xfId="42568"/>
    <cellStyle name="_Cashflow_Depreciation Profit &amp; Loss Accounts Reconciliation April 11 2_Adjustments" xfId="42569"/>
    <cellStyle name="_Cashflow_Depreciation Profit &amp; Loss Accounts Reconciliation April 11 2_Overall" xfId="42570"/>
    <cellStyle name="_Cashflow_Depreciation Profit &amp; Loss Accounts Reconciliation April 11_VoWD Data" xfId="42571"/>
    <cellStyle name="_Cashflow_Depreciation Profit &amp; Loss Accounts Reconciliation April 11_VoWD Data by Purpose Code" xfId="42572"/>
    <cellStyle name="_Cashflow_Eff by Del" xfId="42573"/>
    <cellStyle name="_Cashflow_Efficiency challenge slide sent to Gillian Waugh 30-11-11" xfId="42574"/>
    <cellStyle name="_Cashflow_Efficiency challenge slide sent to Gillian Waugh 30-11-11 2" xfId="42575"/>
    <cellStyle name="_Cashflow_Efficiency challenge slide sent to Gillian Waugh 30-11-11 2_Adjustments" xfId="42576"/>
    <cellStyle name="_Cashflow_Efficiency challenge slide sent to Gillian Waugh 30-11-11 2_Overall" xfId="42577"/>
    <cellStyle name="_Cashflow_Efficiency challenge slide sent to Gillian Waugh 30-11-11_B &amp; U by Inv Area &amp; Del" xfId="42578"/>
    <cellStyle name="_Cashflow_Efficiency challenge slide sent to Gillian Waugh 30-11-11_budget risk items" xfId="42579"/>
    <cellStyle name="_Cashflow_Efficiency challenge slide sent to Gillian Waugh 30-11-11_VoWD Data" xfId="42580"/>
    <cellStyle name="_Cashflow_Efficiency challenge slide sent to Gillian Waugh 30-11-11_VoWD Data by Purpose Code" xfId="42581"/>
    <cellStyle name="_Cashflow_FD Monitoring - Q3 2011 Template v3 17Jan12" xfId="42582"/>
    <cellStyle name="_Cashflow_FD Monitoring - Q3 2011 Template v3 17Jan12 2" xfId="42583"/>
    <cellStyle name="_Cashflow_FD Monitoring AMP5 - Q2 (6 monthly) 2011-12 v0.2 1page Simon McSweeney" xfId="42584"/>
    <cellStyle name="_Cashflow_FD Monitoring AMP5 - Q2 (6 monthly) 2011-12 v0.2 1page Simon McSweeney 2" xfId="42585"/>
    <cellStyle name="_Cashflow_Finance scorecard by inv area" xfId="42586"/>
    <cellStyle name="_Cashflow_IBP by Inv Area" xfId="42587"/>
    <cellStyle name="_Cashflow_IBP Steve Roberts file 19-01-12 (Inc Dec11 COPI)" xfId="42588"/>
    <cellStyle name="_Cashflow_IBP Steve Roberts file 19-01-12 (Inc Dec11 COPI) 2" xfId="42589"/>
    <cellStyle name="_Cashflow_Indices - Sept" xfId="42590"/>
    <cellStyle name="_Cashflow_Indices - Sept 2" xfId="42591"/>
    <cellStyle name="_Cashflow_January 12 R&amp;O Register" xfId="42592"/>
    <cellStyle name="_Cashflow_May 12 R&amp;O Register v2" xfId="42593"/>
    <cellStyle name="_Cashflow_Oct 11 Analysis data" xfId="42594"/>
    <cellStyle name="_Cashflow_Oct 11 Analysis data 2" xfId="42595"/>
    <cellStyle name="_Cashflow_QRF 2011 5+7 - Draft - 06Sep11" xfId="42596"/>
    <cellStyle name="_Cashflow_QRF 2011 5+7 - Draft - 06Sep11 2" xfId="42597"/>
    <cellStyle name="_Cashflow_QRF 2011 5+7 - Draft - 06Sep11 2_Adjustments" xfId="42598"/>
    <cellStyle name="_Cashflow_QRF 2011 5+7 - Draft - 06Sep11 2_Overall" xfId="42599"/>
    <cellStyle name="_Cashflow_QRF 2011 5+7 - Draft - 06Sep11 v4" xfId="42600"/>
    <cellStyle name="_Cashflow_QRF 2011 5+7 - Draft - 06Sep11 v4 2" xfId="42601"/>
    <cellStyle name="_Cashflow_QRF 2011 5+7 - Draft - 06Sep11 v4 2_Adjustments" xfId="42602"/>
    <cellStyle name="_Cashflow_QRF 2011 5+7 - Draft - 06Sep11 v4 2_Overall" xfId="42603"/>
    <cellStyle name="_Cashflow_QRF 2011 5+7 - Draft - 06Sep11 v4_B &amp; U by Inv Area &amp; Del" xfId="42604"/>
    <cellStyle name="_Cashflow_QRF 2011 5+7 - Draft - 06Sep11 v4_budget risk items" xfId="42605"/>
    <cellStyle name="_Cashflow_QRF 2011 5+7 - Draft - 06Sep11 v4_VoWD Data" xfId="42606"/>
    <cellStyle name="_Cashflow_QRF 2011 5+7 - Draft - 06Sep11 v4_VoWD Data by Purpose Code" xfId="42607"/>
    <cellStyle name="_Cashflow_QRF 2011 5+7 - Draft - 06Sep11_B &amp; U by Inv Area &amp; Del" xfId="42608"/>
    <cellStyle name="_Cashflow_QRF 2011 5+7 - Draft - 06Sep11_budget risk items" xfId="42609"/>
    <cellStyle name="_Cashflow_QRF 2011 5+7 - Draft - 06Sep11_VoWD Data" xfId="42610"/>
    <cellStyle name="_Cashflow_QRF 2011 5+7 - Draft - 06Sep11_VoWD Data by Purpose Code" xfId="42611"/>
    <cellStyle name="_Cashflow_QRF 2011 5+7 - Draft - 30Aug11" xfId="42612"/>
    <cellStyle name="_Cashflow_QRF 2011 5+7 - Draft - 30Aug11 2" xfId="42613"/>
    <cellStyle name="_Cashflow_QRF 2011 5+7 - Draft - 30Aug11 2_Adjustments" xfId="42614"/>
    <cellStyle name="_Cashflow_QRF 2011 5+7 - Draft - 30Aug11 2_Overall" xfId="42615"/>
    <cellStyle name="_Cashflow_QRF 2011 5+7 - Draft - 30Aug11_B &amp; U by Inv Area &amp; Del" xfId="42616"/>
    <cellStyle name="_Cashflow_QRF 2011 5+7 - Draft - 30Aug11_budget risk items" xfId="42617"/>
    <cellStyle name="_Cashflow_QRF 2011 5+7 - Draft - 30Aug11_VoWD Data" xfId="42618"/>
    <cellStyle name="_Cashflow_QRF 2011 5+7 - Draft - 30Aug11_VoWD Data by Purpose Code" xfId="42619"/>
    <cellStyle name="_Cashflow_QRF 2011 6+6 - Draft - 06Oct11 v15.1 (excl unrealised efficiencies)" xfId="42620"/>
    <cellStyle name="_Cashflow_QRF 2011 6+6 - Draft - 06Oct11 v15.1 (excl unrealised efficiencies) 2" xfId="42621"/>
    <cellStyle name="_Cashflow_QRF 2011 6+6 - Draft - 06Oct11 v15.1 (excl unrealised efficiencies) 2_Adjustments" xfId="42622"/>
    <cellStyle name="_Cashflow_QRF 2011 6+6 - Draft - 06Oct11 v15.1 (excl unrealised efficiencies) 2_Overall" xfId="42623"/>
    <cellStyle name="_Cashflow_QRF 2011 6+6 - Draft - 06Oct11 v15.1 (excl unrealised efficiencies)_B &amp; U by Inv Area &amp; Del" xfId="42624"/>
    <cellStyle name="_Cashflow_QRF 2011 6+6 - Draft - 06Oct11 v15.1 (excl unrealised efficiencies)_budget risk items" xfId="42625"/>
    <cellStyle name="_Cashflow_QRF 2011 6+6 - Draft - 06Oct11 v15.1 (excl unrealised efficiencies)_VoWD Data" xfId="42626"/>
    <cellStyle name="_Cashflow_QRF 2011 6+6 - Draft - 06Oct11 v15.1 (excl unrealised efficiencies)_VoWD Data by Purpose Code" xfId="42627"/>
    <cellStyle name="_Cashflow_QRF 2011 6+6 - Draft - 06Oct11 v16.2 (incl unrealised efficiencies)" xfId="42628"/>
    <cellStyle name="_Cashflow_QRF 2011 6+6 - Draft - 06Oct11 v16.2 (incl unrealised efficiencies) 2" xfId="42629"/>
    <cellStyle name="_Cashflow_QRF 2011 6+6 - Draft - 06Oct11 v16.2 (incl unrealised efficiencies) 2_Adjustments" xfId="42630"/>
    <cellStyle name="_Cashflow_QRF 2011 6+6 - Draft - 06Oct11 v16.2 (incl unrealised efficiencies) 2_Overall" xfId="42631"/>
    <cellStyle name="_Cashflow_QRF 2011 6+6 - Draft - 06Oct11 v16.2 (incl unrealised efficiencies)_B &amp; U by Inv Area &amp; Del" xfId="42632"/>
    <cellStyle name="_Cashflow_QRF 2011 6+6 - Draft - 06Oct11 v16.2 (incl unrealised efficiencies)_budget risk items" xfId="42633"/>
    <cellStyle name="_Cashflow_QRF 2011 6+6 - Draft - 06Oct11 v16.2 (incl unrealised efficiencies)_VoWD Data" xfId="42634"/>
    <cellStyle name="_Cashflow_QRF 2011 6+6 - Draft - 06Oct11 v16.2 (incl unrealised efficiencies)_VoWD Data by Purpose Code" xfId="42635"/>
    <cellStyle name="_Cashflow_QRF 2011 6+6 - Draft - 06Oct11 v3" xfId="42636"/>
    <cellStyle name="_Cashflow_QRF 2011 6+6 - Draft - 06Oct11 v3 2" xfId="42637"/>
    <cellStyle name="_Cashflow_QRF 2011 6+6 - Draft - 06Oct11 v3 2_Adjustments" xfId="42638"/>
    <cellStyle name="_Cashflow_QRF 2011 6+6 - Draft - 06Oct11 v3 2_Overall" xfId="42639"/>
    <cellStyle name="_Cashflow_QRF 2011 6+6 - Draft - 06Oct11 v3_B &amp; U by Inv Area &amp; Del" xfId="42640"/>
    <cellStyle name="_Cashflow_QRF 2011 6+6 - Draft - 06Oct11 v3_budget risk items" xfId="42641"/>
    <cellStyle name="_Cashflow_QRF 2011 6+6 - Draft - 06Oct11 v3_VoWD Data" xfId="42642"/>
    <cellStyle name="_Cashflow_QRF 2011 6+6 - Draft - 06Oct11 v3_VoWD Data by Purpose Code" xfId="42643"/>
    <cellStyle name="_Cashflow_QRF 2011 6+6 - Draft - 06Oct11 v4" xfId="42644"/>
    <cellStyle name="_Cashflow_QRF 2011 6+6 - Draft - 06Oct11 v4 2" xfId="42645"/>
    <cellStyle name="_Cashflow_QRF 2011 6+6 - Draft - 06Oct11 v4 2_Adjustments" xfId="42646"/>
    <cellStyle name="_Cashflow_QRF 2011 6+6 - Draft - 06Oct11 v4 2_Overall" xfId="42647"/>
    <cellStyle name="_Cashflow_QRF 2011 6+6 - Draft - 06Oct11 v4_B &amp; U by Inv Area &amp; Del" xfId="42648"/>
    <cellStyle name="_Cashflow_QRF 2011 6+6 - Draft - 06Oct11 v4_budget risk items" xfId="42649"/>
    <cellStyle name="_Cashflow_QRF 2011 6+6 - Draft - 06Oct11 v4_VoWD Data" xfId="42650"/>
    <cellStyle name="_Cashflow_QRF 2011 6+6 - Draft - 06Oct11 v4_VoWD Data by Purpose Code" xfId="42651"/>
    <cellStyle name="_Cashflow_QRF1 2011 2+10 - Final" xfId="42652"/>
    <cellStyle name="_Cashflow_QRF1 2011 2+10 - Final 2" xfId="42653"/>
    <cellStyle name="_Cashflow_QRF1 2011 2+10 - Final 2_Adjustments" xfId="42654"/>
    <cellStyle name="_Cashflow_QRF1 2011 2+10 - Final 2_Overall" xfId="42655"/>
    <cellStyle name="_Cashflow_QRF1 2011 2+10 - Final_B &amp; U by Inv Area &amp; Del" xfId="42656"/>
    <cellStyle name="_Cashflow_QRF1 2011 2+10 - Final_budget risk items" xfId="42657"/>
    <cellStyle name="_Cashflow_QRF1 2011 2+10 - Final_VoWD Data" xfId="42658"/>
    <cellStyle name="_Cashflow_QRF1 2011 2+10 - Final_VoWD Data by Purpose Code" xfId="42659"/>
    <cellStyle name="_Cashflow_Rec No.2. LS Vs GL Reconciliation FEB 12" xfId="42660"/>
    <cellStyle name="_Cashflow_Rec No.2. LS Vs GL Reconciliation FEB 12 2" xfId="42661"/>
    <cellStyle name="_Cashflow_Rec No.2. LS Vs GL Reconciliation FEB 12 2_Adjustments" xfId="42662"/>
    <cellStyle name="_Cashflow_Rec No.2. LS Vs GL Reconciliation FEB 12 2_Overall" xfId="42663"/>
    <cellStyle name="_Cashflow_Rec No.2. LS Vs GL Reconciliation FEB 12_VoWD Data" xfId="42664"/>
    <cellStyle name="_Cashflow_Rec No.2. LS Vs GL Reconciliation FEB 12_VoWD Data by Purpose Code" xfId="42665"/>
    <cellStyle name="_Cashflow_Rec No.20 Disposal of fixed asset July 12" xfId="42666"/>
    <cellStyle name="_Cashflow_Rec No.20 Disposal of fixed asset July 12 2" xfId="42667"/>
    <cellStyle name="_Cashflow_Record of Manual Changes" xfId="42668"/>
    <cellStyle name="_Cashflow_Sheet1" xfId="42669"/>
    <cellStyle name="_Cashflow_Sheet4" xfId="42670"/>
    <cellStyle name="_Cashflow_Spencer 7+5 Update 17 Nov" xfId="42671"/>
    <cellStyle name="_Cashflow_Spencer 7+5 Update 17 Nov 2" xfId="42672"/>
    <cellStyle name="_Cashflow_Table - Deliverer" xfId="42673"/>
    <cellStyle name="_Cashflow_Table - Deliverer_1" xfId="42674"/>
    <cellStyle name="_Cashflow_TT FD" xfId="42675"/>
    <cellStyle name="_Cashflow_VoWD Data" xfId="42676"/>
    <cellStyle name="_Cashflow_VoWD Data by Purpose Code" xfId="42677"/>
    <cellStyle name="_Cashflow_VoWD Sign-Off Sheet" xfId="42678"/>
    <cellStyle name="_Cashflow_VOWD Summary 17-11-11 V2 (NP)" xfId="42679"/>
    <cellStyle name="_Cashflow_VOWD Summary 17-11-11 V2 (NP) 2" xfId="42680"/>
    <cellStyle name="_Cashflow_VOWD Summary 17-11-11 V2 (NP) 2_Adjustments" xfId="42681"/>
    <cellStyle name="_Cashflow_VOWD Summary 17-11-11 V2 (NP) 2_Overall" xfId="42682"/>
    <cellStyle name="_Cashflow_VOWD Summary 17-11-11 V2 (NP)_B &amp; U by Inv Area &amp; Del" xfId="42683"/>
    <cellStyle name="_Cashflow_VOWD Summary 17-11-11 V2 (NP)_budget risk items" xfId="42684"/>
    <cellStyle name="_Cashflow_VOWD Summary 17-11-11 V2 (NP)_VoWD Data" xfId="42685"/>
    <cellStyle name="_Cashflow_VOWD Summary 17-11-11 V2 (NP)_VoWD Data by Purpose Code" xfId="42686"/>
    <cellStyle name="_Cashflow_Waterfalls for budget 2 Dec 2011" xfId="42687"/>
    <cellStyle name="_Cashflow_Waterfalls for budget 2 Dec 2011 2" xfId="42688"/>
    <cellStyle name="_Cashflow_Waterfalls for budget 2 Dec 2011 2_Adjustments" xfId="42689"/>
    <cellStyle name="_Cashflow_Waterfalls for budget 2 Dec 2011 2_Overall" xfId="42690"/>
    <cellStyle name="_Cashflow_Waterfalls for budget 2 Dec 2011_B &amp; U by Inv Area &amp; Del" xfId="42691"/>
    <cellStyle name="_Cashflow_Waterfalls for budget 2 Dec 2011_budget risk items" xfId="42692"/>
    <cellStyle name="_Cashflow_Waterfalls for budget 2 Dec 2011_VoWD Data" xfId="42693"/>
    <cellStyle name="_Cashflow_Waterfalls for budget 2 Dec 2011_VoWD Data by Purpose Code" xfId="42694"/>
    <cellStyle name="_CBS Billing &amp; Cash 5+7 Forecast 11" xfId="42695"/>
    <cellStyle name="_CBS Billing &amp; Cash 5+7 Forecast 11 2" xfId="42696"/>
    <cellStyle name="_CBS Billing &amp; Cash 5+7 Reforecast 10-11" xfId="42697"/>
    <cellStyle name="_CBS Billing &amp; Cash 5+7 Reforecast 10-11 2" xfId="42698"/>
    <cellStyle name="_CBS Billing &amp; Cash 5+7 Reforecast 10-11 2 2" xfId="42699"/>
    <cellStyle name="_CBS Billing &amp; Cash 5+7 Reforecast 10-11 2 3" xfId="42700"/>
    <cellStyle name="_CBS Billing &amp; Cash 5+7 Reforecast 10-11 3" xfId="42701"/>
    <cellStyle name="_CBS Billing &amp; Cash Budget 11-12" xfId="42702"/>
    <cellStyle name="_CBS Billing &amp; Cash Budget 11-12 2" xfId="42703"/>
    <cellStyle name="_CBS Billing &amp; Cash Budget 11-12 2 2" xfId="42704"/>
    <cellStyle name="_CBS Billing &amp; Cash Budget 11-12 2 3" xfId="42705"/>
    <cellStyle name="_CBS Billing &amp; Cash Budget 11-12 3" xfId="42706"/>
    <cellStyle name="_CBS Billing &amp; Cash forecast at Feb 11" xfId="42707"/>
    <cellStyle name="_CBS Billing &amp; Cash forecast at Feb 11 2" xfId="42708"/>
    <cellStyle name="_CBS Billing &amp; Cash Forecast June 12" xfId="42709"/>
    <cellStyle name="_CBS Billing &amp; Cash Forecast June 12 2" xfId="42710"/>
    <cellStyle name="_CBS Billing &amp; Cash Forecast Oct 11" xfId="42711"/>
    <cellStyle name="_CBS Billing &amp; Cash Forecast Oct 11 2" xfId="42712"/>
    <cellStyle name="_CBS Billing &amp; Cash Reforecast 10-11" xfId="42713"/>
    <cellStyle name="_CBS Billing &amp; Cash Reforecast 10-11 2" xfId="42714"/>
    <cellStyle name="_CBS Billing &amp; Cash Reforecast 10-11 2 2" xfId="42715"/>
    <cellStyle name="_CBS Billing &amp; Cash Reforecast 10-11 2 3" xfId="42716"/>
    <cellStyle name="_CBS Billing &amp; Cash Reforecast 10-11 3" xfId="42717"/>
    <cellStyle name="_CBS Billing &amp; Cash tracker to 5+7" xfId="42718"/>
    <cellStyle name="_CBS Billing &amp; Cash tracker to 5+7 2" xfId="42719"/>
    <cellStyle name="_CBS Billing &amp; Cash tracker to 5+7 2 2" xfId="42720"/>
    <cellStyle name="_CBS Billing &amp; Cash tracker to 5+7 2 3" xfId="42721"/>
    <cellStyle name="_CBS Billing &amp; Cash tracker to 5+7 3" xfId="42722"/>
    <cellStyle name="_CBS Billing &amp; Cash tracker to 5+7_Employment costs" xfId="42723"/>
    <cellStyle name="_CBS Billing &amp; Cash tracker to 5+7_Employment costs 2" xfId="42724"/>
    <cellStyle name="_CBS Billing &amp; Cash tracker to 5+7_Employment costs_1" xfId="42725"/>
    <cellStyle name="_CBS Billing &amp; Cash tracker to 5+7_Employment costs_1 2" xfId="42726"/>
    <cellStyle name="_CBS Billing &amp; Cash tracker to 5+7_Employment costs_2" xfId="42727"/>
    <cellStyle name="_CBS Billing &amp; Cash tracker to 5+7_Employment costs_2 2" xfId="42728"/>
    <cellStyle name="_CBS Billing &amp; Cash tracker to 5+7_Management Structure" xfId="42729"/>
    <cellStyle name="_CBS Billing &amp; Cash tracker to 5+7_Management Structure 2" xfId="42730"/>
    <cellStyle name="_CBS Billing &amp; Cash tracker to 5+7_Management Structure_1" xfId="42731"/>
    <cellStyle name="_CBS Billing &amp; Cash tracker to 5+7_Management Structure_1 2" xfId="42732"/>
    <cellStyle name="_CBS Billing &amp; Cash tracker to 5+7_Ops contracts" xfId="42733"/>
    <cellStyle name="_CBS Billing &amp; Cash tracker to 5+7_Ops contracts 2" xfId="42734"/>
    <cellStyle name="_CBS Billing &amp; Cash tracker to 5+7_Ops contracts_1" xfId="42735"/>
    <cellStyle name="_CBS Billing &amp; Cash tracker to 5+7_Ops contracts_1 2" xfId="42736"/>
    <cellStyle name="_CBS Billing &amp; Cash tracker to 5+7_Ops contracts_2" xfId="42737"/>
    <cellStyle name="_CBS Billing &amp; Cash tracker to 5+7_Ops contracts_2 2" xfId="42738"/>
    <cellStyle name="_CBS Billing &amp; Cash tracker to 5+7_Power" xfId="42739"/>
    <cellStyle name="_CBS Billing &amp; Cash tracker to 5+7_Power 2" xfId="42740"/>
    <cellStyle name="_CBS Billing &amp; Cash tracker to 5+7_Power_1" xfId="42741"/>
    <cellStyle name="_CBS Billing &amp; Cash tracker to 5+7_Power_1 2" xfId="42742"/>
    <cellStyle name="_CBS Billing &amp; Cash tracker to 5+7_Sheet1" xfId="42743"/>
    <cellStyle name="_CBS Billing &amp; Cash tracker to 5+7_Sheet1 2" xfId="42744"/>
    <cellStyle name="_CBS Billing &amp; Cash tracker to 5+7_TWUL_TOT_UKGAAP" xfId="42745"/>
    <cellStyle name="_CBS Billing &amp; Cash tracker to 5+7_TWUL_TOT_UKGAAP 2" xfId="42746"/>
    <cellStyle name="_CBS Billing &amp; Cash tracker to 5+7_TWUL_TOT_UKGAAP_1" xfId="42747"/>
    <cellStyle name="_CBS Billing &amp; Cash tracker to 5+7_TWUL_TOT_UKGAAP_1 2" xfId="42748"/>
    <cellStyle name="_CBS Cash budget 2011_12" xfId="42749"/>
    <cellStyle name="_CBS Cash budget 2011_12 2" xfId="42750"/>
    <cellStyle name="_CBS Cash budget 2012_13" xfId="42751"/>
    <cellStyle name="_CBS Cash budget 2012_13 2" xfId="42752"/>
    <cellStyle name="_CBS DPM ForecastV2" xfId="42753"/>
    <cellStyle name="_CBS DPM ForecastV2 2" xfId="42754"/>
    <cellStyle name="_CBS Pack 200510" xfId="42755"/>
    <cellStyle name="_CBS Pack 200510 2" xfId="42756"/>
    <cellStyle name="_CBS Pack 200510 2 2" xfId="42757"/>
    <cellStyle name="_CBS Pack 200510 2 3" xfId="42758"/>
    <cellStyle name="_CBS Pack 200510 3" xfId="42759"/>
    <cellStyle name="_CBS Pack 200510_Employment costs" xfId="42760"/>
    <cellStyle name="_CBS Pack 200510_Employment costs 2" xfId="42761"/>
    <cellStyle name="_CBS Pack 200510_Employment costs_1" xfId="42762"/>
    <cellStyle name="_CBS Pack 200510_Employment costs_1 2" xfId="42763"/>
    <cellStyle name="_CBS Pack 200510_Employment costs_2" xfId="42764"/>
    <cellStyle name="_CBS Pack 200510_Employment costs_2 2" xfId="42765"/>
    <cellStyle name="_CBS Pack 200510_Management Structure" xfId="42766"/>
    <cellStyle name="_CBS Pack 200510_Management Structure 2" xfId="42767"/>
    <cellStyle name="_CBS Pack 200510_Management Structure_1" xfId="42768"/>
    <cellStyle name="_CBS Pack 200510_Management Structure_1 2" xfId="42769"/>
    <cellStyle name="_CBS Pack 200510_Ops contracts" xfId="42770"/>
    <cellStyle name="_CBS Pack 200510_Ops contracts 2" xfId="42771"/>
    <cellStyle name="_CBS Pack 200510_Ops contracts_1" xfId="42772"/>
    <cellStyle name="_CBS Pack 200510_Ops contracts_1 2" xfId="42773"/>
    <cellStyle name="_CBS Pack 200510_Ops contracts_2" xfId="42774"/>
    <cellStyle name="_CBS Pack 200510_Ops contracts_2 2" xfId="42775"/>
    <cellStyle name="_CBS Pack 200510_Power" xfId="42776"/>
    <cellStyle name="_CBS Pack 200510_Power 2" xfId="42777"/>
    <cellStyle name="_CBS Pack 200510_Power_1" xfId="42778"/>
    <cellStyle name="_CBS Pack 200510_Power_1 2" xfId="42779"/>
    <cellStyle name="_CBS Pack 200510_Sheet1" xfId="42780"/>
    <cellStyle name="_CBS Pack 200510_Sheet1 2" xfId="42781"/>
    <cellStyle name="_CBS Pack 200510_TWUL_TOT_UKGAAP" xfId="42782"/>
    <cellStyle name="_CBS Pack 200510_TWUL_TOT_UKGAAP 2" xfId="42783"/>
    <cellStyle name="_CBS Pack 200510_TWUL_TOT_UKGAAP_1" xfId="42784"/>
    <cellStyle name="_CBS Pack 200510_TWUL_TOT_UKGAAP_1 2" xfId="42785"/>
    <cellStyle name="_CC April  Billing (3)" xfId="42786"/>
    <cellStyle name="_CC April  Billing (3) 2" xfId="42787"/>
    <cellStyle name="_CC April  Billing (3) 3" xfId="42788"/>
    <cellStyle name="_CC Aug Billing (4)" xfId="42789"/>
    <cellStyle name="_CC Aug Billing (4) 2" xfId="42790"/>
    <cellStyle name="_CC Aug Billing (4) 3" xfId="42791"/>
    <cellStyle name="_CC July Billing (6)" xfId="42792"/>
    <cellStyle name="_CC July Billing (6) 2" xfId="42793"/>
    <cellStyle name="_CC July Billing (6) 3" xfId="42794"/>
    <cellStyle name="_CC June  Billing (4)" xfId="42795"/>
    <cellStyle name="_CC June  Billing (4) 2" xfId="42796"/>
    <cellStyle name="_CC June  Billing (4) 3" xfId="42797"/>
    <cellStyle name="_CC May  Billing (2)" xfId="42798"/>
    <cellStyle name="_CC May  Billing (2) 2" xfId="42799"/>
    <cellStyle name="_CC May  Billing (2) 3" xfId="42800"/>
    <cellStyle name="_CC Sept Billing" xfId="42801"/>
    <cellStyle name="_CC Sept Billing 2" xfId="42802"/>
    <cellStyle name="_CC Sept Billing 3" xfId="42803"/>
    <cellStyle name="_CCC Billing Resultswk533" xfId="42804"/>
    <cellStyle name="_CCC Billing Resultswk533 2" xfId="42805"/>
    <cellStyle name="_CCC Billing Resultswk533 3" xfId="42806"/>
    <cellStyle name="_CCCWPR - Week 20 v2" xfId="42807"/>
    <cellStyle name="_CCCWPR - Week 20 v2 2" xfId="42808"/>
    <cellStyle name="_CCCWPR - Week 20 v2 3" xfId="42809"/>
    <cellStyle name="_CCCWPR Template Q1 v1" xfId="42810"/>
    <cellStyle name="_CCCWPR Template Q1 v1 2" xfId="42811"/>
    <cellStyle name="_CCCWPR Template Q1 v1 3" xfId="42812"/>
    <cellStyle name="_CCCWPR Template Q1 v2" xfId="42813"/>
    <cellStyle name="_CCCWPR Template Q1 v2 2" xfId="42814"/>
    <cellStyle name="_CCCWPR Template Q1 v2 3" xfId="42815"/>
    <cellStyle name="_CCCWPR Template Q3 v3" xfId="42816"/>
    <cellStyle name="_CCCWPR Template Q3 v3 2" xfId="42817"/>
    <cellStyle name="_CCCWPR Template Q3 v3 3" xfId="42818"/>
    <cellStyle name="_CCS  TRN Milestones 02 13 2007" xfId="42819"/>
    <cellStyle name="_CCS  TRN Milestones 02 13 2007 2" xfId="42820"/>
    <cellStyle name="_CCS-IBM Financial Responsibility Matrix  Draft 01_08_2007" xfId="42821"/>
    <cellStyle name="_CCS-IBM Financial Responsibility Matrix  Draft 01_08_2007 2" xfId="42822"/>
    <cellStyle name="_CCS-IBM Financial Responsibility Matrix  Draft 01_08_2007 3" xfId="42823"/>
    <cellStyle name="_CCS-IBM Financial Responsibility Matrix  Draft 01_08_2007_Advanstar Financials 24 July" xfId="42824"/>
    <cellStyle name="_CCS-IBM Financial Responsibility Matrix  Draft 01_08_2007_Advanstar Financials 24 July 2" xfId="42825"/>
    <cellStyle name="_CCS-IBM Financial Responsibility Matrix  Draft 01_08_2007_Advanstar Financials 24 July 3" xfId="42826"/>
    <cellStyle name="_CCS-IBM Financial Responsibility Matrix  Draft 01_08_2007_Advanstar Financials 24 July v1" xfId="42827"/>
    <cellStyle name="_CCS-IBM Financial Responsibility Matrix  Draft 01_08_2007_Advanstar Financials 24 July v1 2" xfId="42828"/>
    <cellStyle name="_CCS-IBM Financial Responsibility Matrix  Draft 01_08_2007_Advanstar Financials 24 July v1 3" xfId="42829"/>
    <cellStyle name="_CCS-IBM Financial Responsibility Matrix  Draft 01_08_2007_Advanstar Financials 24 July v1_Adv_8oct_Sub Ver 12(4)" xfId="42830"/>
    <cellStyle name="_CCS-IBM Financial Responsibility Matrix  Draft 01_08_2007_Advanstar Financials 24 July v1_Adv_8oct_Sub Ver 12(4) 2" xfId="42831"/>
    <cellStyle name="_CCS-IBM Financial Responsibility Matrix  Draft 01_08_2007_Advanstar Financials 24 July v1_Adv_8oct_Sub Ver 12(4) 3" xfId="42832"/>
    <cellStyle name="_CCS-IBM Financial Responsibility Matrix  Draft 01_08_2007_Advanstar Financials 24 July v1_File for Circulation with Volume Discount Revised" xfId="42833"/>
    <cellStyle name="_CCS-IBM Financial Responsibility Matrix  Draft 01_08_2007_Advanstar Financials 24 July v1_File for Circulation with Volume Discount Revised 2" xfId="42834"/>
    <cellStyle name="_CCS-IBM Financial Responsibility Matrix  Draft 01_08_2007_Advanstar Financials 24 July v1_File for Circulation with Volume Discount Revised 3" xfId="42835"/>
    <cellStyle name="_CCS-IBM Financial Responsibility Matrix  Draft 01_08_2007_Advanstar Financials 24 July v1_HR Assumptions for Pricing2" xfId="42836"/>
    <cellStyle name="_CCS-IBM Financial Responsibility Matrix  Draft 01_08_2007_Advanstar Financials 24 July v1_HR Assumptions for Pricing2 2" xfId="42837"/>
    <cellStyle name="_CCS-IBM Financial Responsibility Matrix  Draft 01_08_2007_Advanstar Financials 24 July v1_HR Assumptions for Pricing2 3" xfId="42838"/>
    <cellStyle name="_CCS-IBM Financial Responsibility Matrix  Draft 01_08_2007_Advanstar Financials 24 July_Adv_8oct_Sub Ver 12(4)" xfId="42839"/>
    <cellStyle name="_CCS-IBM Financial Responsibility Matrix  Draft 01_08_2007_Advanstar Financials 24 July_Adv_8oct_Sub Ver 12(4) 2" xfId="42840"/>
    <cellStyle name="_CCS-IBM Financial Responsibility Matrix  Draft 01_08_2007_Advanstar Financials 24 July_Adv_8oct_Sub Ver 12(4) 3" xfId="42841"/>
    <cellStyle name="_CCS-IBM Financial Responsibility Matrix  Draft 01_08_2007_Advanstar Financials 24 July_File for Circulation with Volume Discount Revised" xfId="42842"/>
    <cellStyle name="_CCS-IBM Financial Responsibility Matrix  Draft 01_08_2007_Advanstar Financials 24 July_File for Circulation with Volume Discount Revised 2" xfId="42843"/>
    <cellStyle name="_CCS-IBM Financial Responsibility Matrix  Draft 01_08_2007_Advanstar Financials 24 July_File for Circulation with Volume Discount Revised 3" xfId="42844"/>
    <cellStyle name="_CCS-IBM Financial Responsibility Matrix  Draft 01_08_2007_Advanstar Financials 24 July_HR Assumptions for Pricing2" xfId="42845"/>
    <cellStyle name="_CCS-IBM Financial Responsibility Matrix  Draft 01_08_2007_Advanstar Financials 24 July_HR Assumptions for Pricing2 2" xfId="42846"/>
    <cellStyle name="_CCS-IBM Financial Responsibility Matrix  Draft 01_08_2007_Advanstar Financials 24 July_HR Assumptions for Pricing2 3" xfId="42847"/>
    <cellStyle name="_Celestica" xfId="42848"/>
    <cellStyle name="_Celestica 2" xfId="42849"/>
    <cellStyle name="_Celestica 2 2" xfId="42850"/>
    <cellStyle name="_Celestica 2 3" xfId="42851"/>
    <cellStyle name="_Celestica 2_BOT pricing v.1.0" xfId="42852"/>
    <cellStyle name="_Celestica 2_BOT pricing v.1.0 2" xfId="42853"/>
    <cellStyle name="_Celestica 2_BOT pricing v.1.0 3" xfId="42854"/>
    <cellStyle name="_Celestica 2_Financial Model - Apps V 1.0-06-09-08" xfId="42855"/>
    <cellStyle name="_Celestica 2_Financial Model - Apps V 1.0-06-09-08 2" xfId="42856"/>
    <cellStyle name="_Celestica 2_Financial Model - Apps V 1.0-06-09-08 3" xfId="42857"/>
    <cellStyle name="_Celestica 3" xfId="42858"/>
    <cellStyle name="_Celestica 4" xfId="42859"/>
    <cellStyle name="_x0013__Central_Items" xfId="42860"/>
    <cellStyle name="_x0013__Central_Items 2" xfId="42861"/>
    <cellStyle name="_x0013__Central_Items_1" xfId="42862"/>
    <cellStyle name="_x0013__Central_Items_1 2" xfId="42863"/>
    <cellStyle name="_x0013__Central_Items_2" xfId="42864"/>
    <cellStyle name="_x0013__Central_Items_2 2" xfId="42865"/>
    <cellStyle name="_x0013__CENTRE" xfId="42866"/>
    <cellStyle name="_x0013__CENTRE 2" xfId="42867"/>
    <cellStyle name="_x0013__CENTRE_1" xfId="42868"/>
    <cellStyle name="_x0013__CENTRE_1 2" xfId="42869"/>
    <cellStyle name="_x0013__CENTRE_2" xfId="42870"/>
    <cellStyle name="_x0013__CENTRE_2 2" xfId="42871"/>
    <cellStyle name="_x0013__CENTRE_Check" xfId="42872"/>
    <cellStyle name="_x0013__CENTRE_Check 2" xfId="42873"/>
    <cellStyle name="_x0013__CENTRE_TWPROP" xfId="42874"/>
    <cellStyle name="_x0013__CENTRE_TWPROP 2" xfId="42875"/>
    <cellStyle name="_Channel Total Calendarisation" xfId="42876"/>
    <cellStyle name="_Channel Total Calendarisation 2" xfId="42877"/>
    <cellStyle name="_Channel Total Calendarisation 3" xfId="42878"/>
    <cellStyle name="_Channel Total Calendarisation v28" xfId="42879"/>
    <cellStyle name="_Channel Total Calendarisation v28 2" xfId="42880"/>
    <cellStyle name="_Channel Total Calendarisation v28 3" xfId="42881"/>
    <cellStyle name="_Charter Sept 05  Invoice" xfId="42882"/>
    <cellStyle name="_Charter Sept 05  Invoice 2" xfId="42883"/>
    <cellStyle name="_Charter Sept 05  Invoice 3" xfId="42884"/>
    <cellStyle name="_x0013__Check" xfId="42885"/>
    <cellStyle name="_x0013__Check 2" xfId="42886"/>
    <cellStyle name="_Checklist of requirements" xfId="42887"/>
    <cellStyle name="_Checklist of requirements (2)" xfId="42888"/>
    <cellStyle name="_Checklist of requirements (2) 2" xfId="42889"/>
    <cellStyle name="_Checklist of requirements (2) 3" xfId="42890"/>
    <cellStyle name="_Checklist of requirements (2)_Advanstar Financials 24 July" xfId="42891"/>
    <cellStyle name="_Checklist of requirements (2)_Advanstar Financials 24 July 2" xfId="42892"/>
    <cellStyle name="_Checklist of requirements (2)_Advanstar Financials 24 July 3" xfId="42893"/>
    <cellStyle name="_Checklist of requirements (2)_Advanstar Financials 24 July v1" xfId="42894"/>
    <cellStyle name="_Checklist of requirements (2)_Advanstar Financials 24 July v1 2" xfId="42895"/>
    <cellStyle name="_Checklist of requirements (2)_Advanstar Financials 24 July v1 3" xfId="42896"/>
    <cellStyle name="_Checklist of requirements (2)_Advanstar Financials 24 July v1_Adv_8oct_Sub Ver 12(4)" xfId="42897"/>
    <cellStyle name="_Checklist of requirements (2)_Advanstar Financials 24 July v1_Adv_8oct_Sub Ver 12(4) 2" xfId="42898"/>
    <cellStyle name="_Checklist of requirements (2)_Advanstar Financials 24 July v1_Adv_8oct_Sub Ver 12(4) 3" xfId="42899"/>
    <cellStyle name="_Checklist of requirements (2)_Advanstar Financials 24 July v1_File for Circulation with Volume Discount Revised" xfId="42900"/>
    <cellStyle name="_Checklist of requirements (2)_Advanstar Financials 24 July v1_File for Circulation with Volume Discount Revised 2" xfId="42901"/>
    <cellStyle name="_Checklist of requirements (2)_Advanstar Financials 24 July v1_File for Circulation with Volume Discount Revised 3" xfId="42902"/>
    <cellStyle name="_Checklist of requirements (2)_Advanstar Financials 24 July v1_HR Assumptions for Pricing2" xfId="42903"/>
    <cellStyle name="_Checklist of requirements (2)_Advanstar Financials 24 July v1_HR Assumptions for Pricing2 2" xfId="42904"/>
    <cellStyle name="_Checklist of requirements (2)_Advanstar Financials 24 July v1_HR Assumptions for Pricing2 3" xfId="42905"/>
    <cellStyle name="_Checklist of requirements (2)_Advanstar Financials 24 July_Adv_8oct_Sub Ver 12(4)" xfId="42906"/>
    <cellStyle name="_Checklist of requirements (2)_Advanstar Financials 24 July_Adv_8oct_Sub Ver 12(4) 2" xfId="42907"/>
    <cellStyle name="_Checklist of requirements (2)_Advanstar Financials 24 July_Adv_8oct_Sub Ver 12(4) 3" xfId="42908"/>
    <cellStyle name="_Checklist of requirements (2)_Advanstar Financials 24 July_File for Circulation with Volume Discount Revised" xfId="42909"/>
    <cellStyle name="_Checklist of requirements (2)_Advanstar Financials 24 July_File for Circulation with Volume Discount Revised 2" xfId="42910"/>
    <cellStyle name="_Checklist of requirements (2)_Advanstar Financials 24 July_File for Circulation with Volume Discount Revised 3" xfId="42911"/>
    <cellStyle name="_Checklist of requirements (2)_Advanstar Financials 24 July_HR Assumptions for Pricing2" xfId="42912"/>
    <cellStyle name="_Checklist of requirements (2)_Advanstar Financials 24 July_HR Assumptions for Pricing2 2" xfId="42913"/>
    <cellStyle name="_Checklist of requirements (2)_Advanstar Financials 24 July_HR Assumptions for Pricing2 3" xfId="42914"/>
    <cellStyle name="_Checklist of requirements (2)_FTE Deployment v4" xfId="42915"/>
    <cellStyle name="_Checklist of requirements (2)_FTE Deployment v4 2" xfId="42916"/>
    <cellStyle name="_Checklist of requirements (2)_FTE Deployment v4 3" xfId="42917"/>
    <cellStyle name="_Checklist of requirements (2)_FTE Deployment v4 ramp plan" xfId="42918"/>
    <cellStyle name="_Checklist of requirements (2)_FTE Deployment v4 ramp plan 2" xfId="42919"/>
    <cellStyle name="_Checklist of requirements (2)_FTE Deployment v4 ramp plan 3" xfId="42920"/>
    <cellStyle name="_Checklist of requirements (2)_FTE Deployment v4 ramp plan_Advanstar Financials 24 July" xfId="42921"/>
    <cellStyle name="_Checklist of requirements (2)_FTE Deployment v4 ramp plan_Advanstar Financials 24 July 2" xfId="42922"/>
    <cellStyle name="_Checklist of requirements (2)_FTE Deployment v4 ramp plan_Advanstar Financials 24 July 3" xfId="42923"/>
    <cellStyle name="_Checklist of requirements (2)_FTE Deployment v4 ramp plan_Advanstar Financials 24 July v1" xfId="42924"/>
    <cellStyle name="_Checklist of requirements (2)_FTE Deployment v4 ramp plan_Advanstar Financials 24 July v1 2" xfId="42925"/>
    <cellStyle name="_Checklist of requirements (2)_FTE Deployment v4 ramp plan_Advanstar Financials 24 July v1 3" xfId="42926"/>
    <cellStyle name="_Checklist of requirements (2)_FTE Deployment v4 ramp plan_Finance Input Template V6 1 Sep" xfId="42927"/>
    <cellStyle name="_Checklist of requirements (2)_FTE Deployment v4 ramp plan_Finance Input Template V6 1 Sep 2" xfId="42928"/>
    <cellStyle name="_Checklist of requirements (2)_FTE Deployment v4 ramp plan_Finance Input Template V6 1 Sep 3" xfId="42929"/>
    <cellStyle name="_Checklist of requirements (2)_FTE Deployment v4_Advanstar Financials 24 July" xfId="42930"/>
    <cellStyle name="_Checklist of requirements (2)_FTE Deployment v4_Advanstar Financials 24 July 2" xfId="42931"/>
    <cellStyle name="_Checklist of requirements (2)_FTE Deployment v4_Advanstar Financials 24 July 3" xfId="42932"/>
    <cellStyle name="_Checklist of requirements (2)_FTE Deployment v4_Advanstar Financials 24 July v1" xfId="42933"/>
    <cellStyle name="_Checklist of requirements (2)_FTE Deployment v4_Advanstar Financials 24 July v1 2" xfId="42934"/>
    <cellStyle name="_Checklist of requirements (2)_FTE Deployment v4_Advanstar Financials 24 July v1 3" xfId="42935"/>
    <cellStyle name="_Checklist of requirements (2)_FTE Deployment v4_Finance Input Template V6 1 Sep" xfId="42936"/>
    <cellStyle name="_Checklist of requirements (2)_FTE Deployment v4_Finance Input Template V6 1 Sep 2" xfId="42937"/>
    <cellStyle name="_Checklist of requirements (2)_FTE Deployment v4_Finance Input Template V6 1 Sep 3" xfId="42938"/>
    <cellStyle name="_Checklist of requirements (2)_FTE Deployment v5" xfId="42939"/>
    <cellStyle name="_Checklist of requirements (2)_FTE Deployment v5 2" xfId="42940"/>
    <cellStyle name="_Checklist of requirements (2)_FTE Deployment v5 3" xfId="42941"/>
    <cellStyle name="_Checklist of requirements (2)_FTE Deployment v5_Advanstar Financials 24 July" xfId="42942"/>
    <cellStyle name="_Checklist of requirements (2)_FTE Deployment v5_Advanstar Financials 24 July 2" xfId="42943"/>
    <cellStyle name="_Checklist of requirements (2)_FTE Deployment v5_Advanstar Financials 24 July 3" xfId="42944"/>
    <cellStyle name="_Checklist of requirements (2)_FTE Deployment v5_Advanstar Financials 24 July v1" xfId="42945"/>
    <cellStyle name="_Checklist of requirements (2)_FTE Deployment v5_Advanstar Financials 24 July v1 2" xfId="42946"/>
    <cellStyle name="_Checklist of requirements (2)_FTE Deployment v5_Advanstar Financials 24 July v1 3" xfId="42947"/>
    <cellStyle name="_Checklist of requirements (2)_FTE Deployment v5_Finance Input Template V6 1 Sep" xfId="42948"/>
    <cellStyle name="_Checklist of requirements (2)_FTE Deployment v5_Finance Input Template V6 1 Sep 2" xfId="42949"/>
    <cellStyle name="_Checklist of requirements (2)_FTE Deployment v5_Finance Input Template V6 1 Sep 3" xfId="42950"/>
    <cellStyle name="_Checklist of requirements (2)_Pricing Norway Post2" xfId="42951"/>
    <cellStyle name="_Checklist of requirements (2)_Pricing Norway Post2 2" xfId="42952"/>
    <cellStyle name="_Checklist of requirements (2)_Pricing Norway Post2 3" xfId="42953"/>
    <cellStyle name="_Checklist of requirements (2)_Salary Rate Card_v1 0" xfId="42954"/>
    <cellStyle name="_Checklist of requirements (2)_Salary Rate Card_v1 0 2" xfId="42955"/>
    <cellStyle name="_Checklist of requirements (2)_Salary Rate Card_v1 0 3" xfId="42956"/>
    <cellStyle name="_Checklist of requirements (2)_Seat Cost calculation 150110 SkyIt" xfId="42957"/>
    <cellStyle name="_Checklist of requirements (2)_Seat Cost calculation 150110 SkyIt 2" xfId="42958"/>
    <cellStyle name="_Checklist of requirements (2)_Seat Cost calculation 150110 SkyIt 3" xfId="42959"/>
    <cellStyle name="_Checklist of requirements 2" xfId="42960"/>
    <cellStyle name="_Checklist of requirements 3" xfId="42961"/>
    <cellStyle name="_Checklist of requirements 4" xfId="42962"/>
    <cellStyle name="_Checklist of requirements 5" xfId="42963"/>
    <cellStyle name="_Checklist of requirements 6" xfId="42964"/>
    <cellStyle name="_Checklist of requirements_Advanstar Financials 24 July" xfId="42965"/>
    <cellStyle name="_Checklist of requirements_Advanstar Financials 24 July 2" xfId="42966"/>
    <cellStyle name="_Checklist of requirements_Advanstar Financials 24 July 3" xfId="42967"/>
    <cellStyle name="_Checklist of requirements_Advanstar Financials 24 July v1" xfId="42968"/>
    <cellStyle name="_Checklist of requirements_Advanstar Financials 24 July v1 2" xfId="42969"/>
    <cellStyle name="_Checklist of requirements_Advanstar Financials 24 July v1 3" xfId="42970"/>
    <cellStyle name="_Checklist of requirements_Advanstar Financials 24 July v1_Adv_8oct_Sub Ver 12(4)" xfId="42971"/>
    <cellStyle name="_Checklist of requirements_Advanstar Financials 24 July v1_Adv_8oct_Sub Ver 12(4) 2" xfId="42972"/>
    <cellStyle name="_Checklist of requirements_Advanstar Financials 24 July v1_Adv_8oct_Sub Ver 12(4) 3" xfId="42973"/>
    <cellStyle name="_Checklist of requirements_Advanstar Financials 24 July v1_File for Circulation with Volume Discount Revised" xfId="42974"/>
    <cellStyle name="_Checklist of requirements_Advanstar Financials 24 July v1_File for Circulation with Volume Discount Revised 2" xfId="42975"/>
    <cellStyle name="_Checklist of requirements_Advanstar Financials 24 July v1_File for Circulation with Volume Discount Revised 3" xfId="42976"/>
    <cellStyle name="_Checklist of requirements_Advanstar Financials 24 July v1_HR Assumptions for Pricing2" xfId="42977"/>
    <cellStyle name="_Checklist of requirements_Advanstar Financials 24 July v1_HR Assumptions for Pricing2 2" xfId="42978"/>
    <cellStyle name="_Checklist of requirements_Advanstar Financials 24 July v1_HR Assumptions for Pricing2 3" xfId="42979"/>
    <cellStyle name="_Checklist of requirements_Advanstar Financials 24 July_Adv_8oct_Sub Ver 12(4)" xfId="42980"/>
    <cellStyle name="_Checklist of requirements_Advanstar Financials 24 July_Adv_8oct_Sub Ver 12(4) 2" xfId="42981"/>
    <cellStyle name="_Checklist of requirements_Advanstar Financials 24 July_Adv_8oct_Sub Ver 12(4) 3" xfId="42982"/>
    <cellStyle name="_Checklist of requirements_Advanstar Financials 24 July_File for Circulation with Volume Discount Revised" xfId="42983"/>
    <cellStyle name="_Checklist of requirements_Advanstar Financials 24 July_File for Circulation with Volume Discount Revised 2" xfId="42984"/>
    <cellStyle name="_Checklist of requirements_Advanstar Financials 24 July_File for Circulation with Volume Discount Revised 3" xfId="42985"/>
    <cellStyle name="_Checklist of requirements_Advanstar Financials 24 July_HR Assumptions for Pricing2" xfId="42986"/>
    <cellStyle name="_Checklist of requirements_Advanstar Financials 24 July_HR Assumptions for Pricing2 2" xfId="42987"/>
    <cellStyle name="_Checklist of requirements_Advanstar Financials 24 July_HR Assumptions for Pricing2 3" xfId="42988"/>
    <cellStyle name="_Checklist of requirements_FTE Deployment v4" xfId="42989"/>
    <cellStyle name="_Checklist of requirements_FTE Deployment v4 2" xfId="42990"/>
    <cellStyle name="_Checklist of requirements_FTE Deployment v4 3" xfId="42991"/>
    <cellStyle name="_Checklist of requirements_FTE Deployment v4 ramp plan" xfId="42992"/>
    <cellStyle name="_Checklist of requirements_FTE Deployment v4 ramp plan 2" xfId="42993"/>
    <cellStyle name="_Checklist of requirements_FTE Deployment v4 ramp plan 3" xfId="42994"/>
    <cellStyle name="_Checklist of requirements_FTE Deployment v4 ramp plan_Advanstar Financials 24 July" xfId="42995"/>
    <cellStyle name="_Checklist of requirements_FTE Deployment v4 ramp plan_Advanstar Financials 24 July 2" xfId="42996"/>
    <cellStyle name="_Checklist of requirements_FTE Deployment v4 ramp plan_Advanstar Financials 24 July 3" xfId="42997"/>
    <cellStyle name="_Checklist of requirements_FTE Deployment v4 ramp plan_Advanstar Financials 24 July v1" xfId="42998"/>
    <cellStyle name="_Checklist of requirements_FTE Deployment v4 ramp plan_Advanstar Financials 24 July v1 2" xfId="42999"/>
    <cellStyle name="_Checklist of requirements_FTE Deployment v4 ramp plan_Advanstar Financials 24 July v1 3" xfId="43000"/>
    <cellStyle name="_Checklist of requirements_FTE Deployment v4 ramp plan_Finance Input Template V6 1 Sep" xfId="43001"/>
    <cellStyle name="_Checklist of requirements_FTE Deployment v4 ramp plan_Finance Input Template V6 1 Sep 2" xfId="43002"/>
    <cellStyle name="_Checklist of requirements_FTE Deployment v4 ramp plan_Finance Input Template V6 1 Sep 3" xfId="43003"/>
    <cellStyle name="_Checklist of requirements_FTE Deployment v4_Advanstar Financials 24 July" xfId="43004"/>
    <cellStyle name="_Checklist of requirements_FTE Deployment v4_Advanstar Financials 24 July 2" xfId="43005"/>
    <cellStyle name="_Checklist of requirements_FTE Deployment v4_Advanstar Financials 24 July 3" xfId="43006"/>
    <cellStyle name="_Checklist of requirements_FTE Deployment v4_Advanstar Financials 24 July v1" xfId="43007"/>
    <cellStyle name="_Checklist of requirements_FTE Deployment v4_Advanstar Financials 24 July v1 2" xfId="43008"/>
    <cellStyle name="_Checklist of requirements_FTE Deployment v4_Advanstar Financials 24 July v1 3" xfId="43009"/>
    <cellStyle name="_Checklist of requirements_FTE Deployment v4_Finance Input Template V6 1 Sep" xfId="43010"/>
    <cellStyle name="_Checklist of requirements_FTE Deployment v4_Finance Input Template V6 1 Sep 2" xfId="43011"/>
    <cellStyle name="_Checklist of requirements_FTE Deployment v4_Finance Input Template V6 1 Sep 3" xfId="43012"/>
    <cellStyle name="_Checklist of requirements_FTE Deployment v5" xfId="43013"/>
    <cellStyle name="_Checklist of requirements_FTE Deployment v5 2" xfId="43014"/>
    <cellStyle name="_Checklist of requirements_FTE Deployment v5 3" xfId="43015"/>
    <cellStyle name="_Checklist of requirements_FTE Deployment v5_Advanstar Financials 24 July" xfId="43016"/>
    <cellStyle name="_Checklist of requirements_FTE Deployment v5_Advanstar Financials 24 July 2" xfId="43017"/>
    <cellStyle name="_Checklist of requirements_FTE Deployment v5_Advanstar Financials 24 July 3" xfId="43018"/>
    <cellStyle name="_Checklist of requirements_FTE Deployment v5_Advanstar Financials 24 July v1" xfId="43019"/>
    <cellStyle name="_Checklist of requirements_FTE Deployment v5_Advanstar Financials 24 July v1 2" xfId="43020"/>
    <cellStyle name="_Checklist of requirements_FTE Deployment v5_Advanstar Financials 24 July v1 3" xfId="43021"/>
    <cellStyle name="_Checklist of requirements_FTE Deployment v5_Finance Input Template V6 1 Sep" xfId="43022"/>
    <cellStyle name="_Checklist of requirements_FTE Deployment v5_Finance Input Template V6 1 Sep 2" xfId="43023"/>
    <cellStyle name="_Checklist of requirements_FTE Deployment v5_Finance Input Template V6 1 Sep 3" xfId="43024"/>
    <cellStyle name="_Checklist of requirements_Pricing Norway Post2" xfId="43025"/>
    <cellStyle name="_Checklist of requirements_Pricing Norway Post2 2" xfId="43026"/>
    <cellStyle name="_Checklist of requirements_Pricing Norway Post2 3" xfId="43027"/>
    <cellStyle name="_Checklist of requirements_Salary Rate Card_v1 0" xfId="43028"/>
    <cellStyle name="_Checklist of requirements_Salary Rate Card_v1 0 2" xfId="43029"/>
    <cellStyle name="_Checklist of requirements_Salary Rate Card_v1 0 3" xfId="43030"/>
    <cellStyle name="_Checklist of requirements_Seat Cost calculation 150110 SkyIt" xfId="43031"/>
    <cellStyle name="_Checklist of requirements_Seat Cost calculation 150110 SkyIt 2" xfId="43032"/>
    <cellStyle name="_Checklist of requirements_Seat Cost calculation 150110 SkyIt 3" xfId="43033"/>
    <cellStyle name="_Claire Parker Sep09 TWUL Net Opex Split" xfId="43034"/>
    <cellStyle name="_Claire Parker Sep09 TWUL Net Opex Split 2" xfId="43035"/>
    <cellStyle name="_Claire Parker Sep09 TWUL Net Opex Split 2 2" xfId="43036"/>
    <cellStyle name="_Claire Parker Sep09 TWUL Net Opex Split 2 3" xfId="43037"/>
    <cellStyle name="_Claire Parker Sep09 TWUL Net Opex Split 3" xfId="43038"/>
    <cellStyle name="_Claire Parker Sep09 TWUL Net Opex Split 3 2" xfId="43039"/>
    <cellStyle name="_Claire Parker Sep09 TWUL Net Opex Split 4" xfId="43040"/>
    <cellStyle name="_Claire Parker Sep09 TWUL Net Opex Split 4 2" xfId="43041"/>
    <cellStyle name="_Claire Parker Sep09 TWUL Net Opex Split 5" xfId="43042"/>
    <cellStyle name="_Claire Parker Sep09 TWUL Net Opex Split 5 2" xfId="43043"/>
    <cellStyle name="_Claire Parker Sep09 TWUL Net Opex Split 6" xfId="43044"/>
    <cellStyle name="_Claire Parker Sep09 TWUL Net Opex Split 6 2" xfId="43045"/>
    <cellStyle name="_Claire Parker Sep09 TWUL Net Opex Split 7" xfId="43046"/>
    <cellStyle name="_Claire Parker Sep09 TWUL Net Opex Split 7 2" xfId="43047"/>
    <cellStyle name="_Claire Parker Sep09 TWUL Net Opex Split 8" xfId="43048"/>
    <cellStyle name="_CMCK Financial Model." xfId="43049"/>
    <cellStyle name="_CMCK Financial Model. 2" xfId="43050"/>
    <cellStyle name="_CMCK Financial Model. 3" xfId="43051"/>
    <cellStyle name="_CMCK Financial Model._Adapt response DC Pricing Format (2)" xfId="43052"/>
    <cellStyle name="_CMCK Financial Model._Adapt response DC Pricing Format (2) 2" xfId="43053"/>
    <cellStyle name="_CMCK Financial Model._Adapt response DC Pricing Format (2) 3" xfId="43054"/>
    <cellStyle name="_CMCK Financial Model._UMG Financial Model - Apps V 2.0" xfId="43055"/>
    <cellStyle name="_CMCK Financial Model._UMG Financial Model - Apps V 2.0 2" xfId="43056"/>
    <cellStyle name="_CMCK Financial Model._UMG Financial Model - Apps V 2.0 3" xfId="43057"/>
    <cellStyle name="_CMCK Financial Model._UMG_ Pricing Model - Final" xfId="43058"/>
    <cellStyle name="_CMCK Financial Model._UMG_ Pricing Model - Final 2" xfId="43059"/>
    <cellStyle name="_CMCK Financial Model._UMG_ Pricing Model - Final 3" xfId="43060"/>
    <cellStyle name="_Cognos download 1" xfId="43061"/>
    <cellStyle name="_Cognos download 1 2" xfId="43062"/>
    <cellStyle name="_Cognos download 1 3" xfId="43063"/>
    <cellStyle name="_Combined British Gas MI 201106" xfId="43064"/>
    <cellStyle name="_Combined British Gas MI 201106 2" xfId="43065"/>
    <cellStyle name="_Combined British Gas MI 201106_~2627895" xfId="43066"/>
    <cellStyle name="_Combined British Gas MI 201106_~2627895 2" xfId="43067"/>
    <cellStyle name="_Combined British Gas MI 201106_Book2" xfId="43068"/>
    <cellStyle name="_Combined British Gas MI 201106_Book2 2" xfId="43069"/>
    <cellStyle name="_Combined British Gas MI 201106_Book2_Budget Finance" xfId="43070"/>
    <cellStyle name="_Combined British Gas MI 201106_Book2_Budget Finance 2" xfId="43071"/>
    <cellStyle name="_Combined British Gas MI 201106_Book2_Forecast_scenarios_010512" xfId="43072"/>
    <cellStyle name="_Combined British Gas MI 201106_Book2_Forecast_scenarios_010512 2" xfId="43073"/>
    <cellStyle name="_Combined British Gas MI 201106_Fst-Bud Summary" xfId="43074"/>
    <cellStyle name="_Combined British Gas MI 201106_Fst-Bud Summary 2" xfId="43075"/>
    <cellStyle name="_Combined British Gas MI 201106_HCL Operational BAU 2013-14" xfId="43076"/>
    <cellStyle name="_Combined British Gas MI 201106_HCL Operational BAU 2013-14 2" xfId="43077"/>
    <cellStyle name="_Combined British Gas MI 201106_Steria Operational BAU 2013-14" xfId="43078"/>
    <cellStyle name="_Combined British Gas MI 201106_Steria Operational BAU 2013-14 2" xfId="43079"/>
    <cellStyle name="_x0013__CommCentral" xfId="43080"/>
    <cellStyle name="_x0013__CommCentral 2" xfId="43081"/>
    <cellStyle name="_x0013__CommCentral_1" xfId="43082"/>
    <cellStyle name="_x0013__CommCentral_1 2" xfId="43083"/>
    <cellStyle name="_x0013__commentary 16 Feb 2012" xfId="43084"/>
    <cellStyle name="_x0013__CommProjects" xfId="43085"/>
    <cellStyle name="_x0013__CommProjects 2" xfId="43086"/>
    <cellStyle name="_x0013__CommProjects_1" xfId="43087"/>
    <cellStyle name="_x0013__CommProjects_1 2" xfId="43088"/>
    <cellStyle name="_x0013__CONSOL_G" xfId="43089"/>
    <cellStyle name="_x0013__CONSOL_G 2" xfId="43090"/>
    <cellStyle name="_Consolidated Business Cases" xfId="43091"/>
    <cellStyle name="_Consolidated Business Cases 2" xfId="43092"/>
    <cellStyle name="_Consolidated Business Cases 3" xfId="43093"/>
    <cellStyle name="_Consolidated P&amp;L June'09" xfId="43094"/>
    <cellStyle name="_Consolidated P&amp;L June'09 2" xfId="43095"/>
    <cellStyle name="_Consolidated R&amp;Os for COO 2008_09" xfId="43096"/>
    <cellStyle name="_Consolidated R&amp;Os for COO 2008_09 2" xfId="43097"/>
    <cellStyle name="_Consolidated R&amp;Os for COO 2008_09 2 2" xfId="43098"/>
    <cellStyle name="_Consolidated R&amp;Os for COO 2008_09 3" xfId="43099"/>
    <cellStyle name="_Consolidated R&amp;Os for COO 2008_09 3 2" xfId="43100"/>
    <cellStyle name="_Consolidated R&amp;Os for COO 2008_09 4" xfId="43101"/>
    <cellStyle name="_Consolidated R&amp;Os for COO 2008_09 4 2" xfId="43102"/>
    <cellStyle name="_Consolidated R&amp;Os for COO 2008_09 5" xfId="43103"/>
    <cellStyle name="_Consolidated R&amp;Os for COO 2008_09 5 2" xfId="43104"/>
    <cellStyle name="_Consolidated R&amp;Os for COO 2008_09 6" xfId="43105"/>
    <cellStyle name="_Consolidated R&amp;Os for COO 2008_09 6 2" xfId="43106"/>
    <cellStyle name="_Consolidated R&amp;Os for COO 2008_09 7" xfId="43107"/>
    <cellStyle name="_Consolidated R&amp;Os for COO 2008_09 7 2" xfId="43108"/>
    <cellStyle name="_Consolidated R&amp;Os for COO 2008_09 8" xfId="43109"/>
    <cellStyle name="_Consolidated R&amp;Os for COO 2008_09_~4194202" xfId="43110"/>
    <cellStyle name="_Consolidated R&amp;Os for COO 2008_09_~9045721" xfId="43111"/>
    <cellStyle name="_Consolidated R&amp;Os for COO 2008_09_5+7 Oct 11 Flying Bricks v1.0 budget review v12 29-11-11" xfId="43112"/>
    <cellStyle name="_Consolidated R&amp;Os for COO 2008_09_AffinPartner" xfId="43113"/>
    <cellStyle name="_Consolidated R&amp;Os for COO 2008_09_AffinPartner 2" xfId="43114"/>
    <cellStyle name="_Consolidated R&amp;Os for COO 2008_09_AffinPartner_1" xfId="43115"/>
    <cellStyle name="_Consolidated R&amp;Os for COO 2008_09_AffinPartner_1 2" xfId="43116"/>
    <cellStyle name="_Consolidated R&amp;Os for COO 2008_09_Asset_ManagementCON" xfId="43117"/>
    <cellStyle name="_Consolidated R&amp;Os for COO 2008_09_Asset_ManagementCON 2" xfId="43118"/>
    <cellStyle name="_Consolidated R&amp;Os for COO 2008_09_Asset_ManagementCON_1" xfId="43119"/>
    <cellStyle name="_Consolidated R&amp;Os for COO 2008_09_Asset_ManagementCON_1 2" xfId="43120"/>
    <cellStyle name="_Consolidated R&amp;Os for COO 2008_09_Asset_MgmtNonAppoint" xfId="43121"/>
    <cellStyle name="_Consolidated R&amp;Os for COO 2008_09_Asset_MgmtNonAppoint 2" xfId="43122"/>
    <cellStyle name="_Consolidated R&amp;Os for COO 2008_09_Book1" xfId="43123"/>
    <cellStyle name="_Consolidated R&amp;Os for COO 2008_09_Book2" xfId="43124"/>
    <cellStyle name="_Consolidated R&amp;Os for COO 2008_09_Book3" xfId="43125"/>
    <cellStyle name="_Consolidated R&amp;Os for COO 2008_09_Book3 2" xfId="43126"/>
    <cellStyle name="_Consolidated R&amp;Os for COO 2008_09_Book3 2_Adjustments" xfId="43127"/>
    <cellStyle name="_Consolidated R&amp;Os for COO 2008_09_Book3 2_Overall" xfId="43128"/>
    <cellStyle name="_Consolidated R&amp;Os for COO 2008_09_Book3_B &amp; U by Inv Area &amp; Del" xfId="43129"/>
    <cellStyle name="_Consolidated R&amp;Os for COO 2008_09_Book3_budget risk items" xfId="43130"/>
    <cellStyle name="_Consolidated R&amp;Os for COO 2008_09_Book3_VoWD Data" xfId="43131"/>
    <cellStyle name="_Consolidated R&amp;Os for COO 2008_09_Book3_VoWD Data by Purpose Code" xfId="43132"/>
    <cellStyle name="_Consolidated R&amp;Os for COO 2008_09_Budget Finance" xfId="43133"/>
    <cellStyle name="_Consolidated R&amp;Os for COO 2008_09_Budget Finance 2" xfId="43134"/>
    <cellStyle name="_Consolidated R&amp;Os for COO 2008_09_Budget Finance 3" xfId="43135"/>
    <cellStyle name="_Consolidated R&amp;Os for COO 2008_09_Capital_DeliveryCON" xfId="43136"/>
    <cellStyle name="_Consolidated R&amp;Os for COO 2008_09_Capital_DeliveryCON 2" xfId="43137"/>
    <cellStyle name="_Consolidated R&amp;Os for COO 2008_09_Central_Items" xfId="43138"/>
    <cellStyle name="_Consolidated R&amp;Os for COO 2008_09_Central_Items 2" xfId="43139"/>
    <cellStyle name="_Consolidated R&amp;Os for COO 2008_09_Central_Items_1" xfId="43140"/>
    <cellStyle name="_Consolidated R&amp;Os for COO 2008_09_Central_Items_1 2" xfId="43141"/>
    <cellStyle name="_Consolidated R&amp;Os for COO 2008_09_Central_Items_2" xfId="43142"/>
    <cellStyle name="_Consolidated R&amp;Os for COO 2008_09_Central_Items_2 2" xfId="43143"/>
    <cellStyle name="_Consolidated R&amp;Os for COO 2008_09_CENTRE" xfId="43144"/>
    <cellStyle name="_Consolidated R&amp;Os for COO 2008_09_CENTRE 2" xfId="43145"/>
    <cellStyle name="_Consolidated R&amp;Os for COO 2008_09_CENTRE_1" xfId="43146"/>
    <cellStyle name="_Consolidated R&amp;Os for COO 2008_09_CENTRE_1 2" xfId="43147"/>
    <cellStyle name="_Consolidated R&amp;Os for COO 2008_09_CENTRE_2" xfId="43148"/>
    <cellStyle name="_Consolidated R&amp;Os for COO 2008_09_CENTRE_2 2" xfId="43149"/>
    <cellStyle name="_Consolidated R&amp;Os for COO 2008_09_CENTRE_Check" xfId="43150"/>
    <cellStyle name="_Consolidated R&amp;Os for COO 2008_09_CENTRE_Check 2" xfId="43151"/>
    <cellStyle name="_Consolidated R&amp;Os for COO 2008_09_CENTRE_TWPROP" xfId="43152"/>
    <cellStyle name="_Consolidated R&amp;Os for COO 2008_09_CENTRE_TWPROP 2" xfId="43153"/>
    <cellStyle name="_Consolidated R&amp;Os for COO 2008_09_Check" xfId="43154"/>
    <cellStyle name="_Consolidated R&amp;Os for COO 2008_09_Check 2" xfId="43155"/>
    <cellStyle name="_Consolidated R&amp;Os for COO 2008_09_CommCentral" xfId="43156"/>
    <cellStyle name="_Consolidated R&amp;Os for COO 2008_09_CommCentral 2" xfId="43157"/>
    <cellStyle name="_Consolidated R&amp;Os for COO 2008_09_CommCentral_1" xfId="43158"/>
    <cellStyle name="_Consolidated R&amp;Os for COO 2008_09_CommCentral_1 2" xfId="43159"/>
    <cellStyle name="_Consolidated R&amp;Os for COO 2008_09_CommProjects" xfId="43160"/>
    <cellStyle name="_Consolidated R&amp;Os for COO 2008_09_CommProjects 2" xfId="43161"/>
    <cellStyle name="_Consolidated R&amp;Os for COO 2008_09_CommProjects_1" xfId="43162"/>
    <cellStyle name="_Consolidated R&amp;Os for COO 2008_09_CommProjects_1 2" xfId="43163"/>
    <cellStyle name="_Consolidated R&amp;Os for COO 2008_09_CONSOL_G" xfId="43164"/>
    <cellStyle name="_Consolidated R&amp;Os for COO 2008_09_CONSOL_G 2" xfId="43165"/>
    <cellStyle name="_Consolidated R&amp;Os for COO 2008_09_CServices_SwindonCON" xfId="43166"/>
    <cellStyle name="_Consolidated R&amp;Os for COO 2008_09_CServices_SwindonCON 2" xfId="43167"/>
    <cellStyle name="_Consolidated R&amp;Os for COO 2008_09_Employment costs" xfId="43168"/>
    <cellStyle name="_Consolidated R&amp;Os for COO 2008_09_Employment costs 2" xfId="43169"/>
    <cellStyle name="_Consolidated R&amp;Os for COO 2008_09_Employment costs_1" xfId="43170"/>
    <cellStyle name="_Consolidated R&amp;Os for COO 2008_09_Employment costs_1 2" xfId="43171"/>
    <cellStyle name="_Consolidated R&amp;Os for COO 2008_09_Employment costs_2" xfId="43172"/>
    <cellStyle name="_Consolidated R&amp;Os for COO 2008_09_Employment costs_2 2" xfId="43173"/>
    <cellStyle name="_Consolidated R&amp;Os for COO 2008_09_External_Affairs" xfId="43174"/>
    <cellStyle name="_Consolidated R&amp;Os for COO 2008_09_External_Affairs 2" xfId="43175"/>
    <cellStyle name="_Consolidated R&amp;Os for COO 2008_09_External_Affairs_1" xfId="43176"/>
    <cellStyle name="_Consolidated R&amp;Os for COO 2008_09_External_Affairs_1 2" xfId="43177"/>
    <cellStyle name="_Consolidated R&amp;Os for COO 2008_09_FD Monitoring - Q3 2011 Template v3 17Jan12" xfId="43178"/>
    <cellStyle name="_Consolidated R&amp;Os for COO 2008_09_FD Monitoring - Q3 2011 Template v3 17Jan12 2" xfId="43179"/>
    <cellStyle name="_Consolidated R&amp;Os for COO 2008_09_FD Monitoring - Q3 2011 Template v3 17Jan12 2_Adjustments" xfId="43180"/>
    <cellStyle name="_Consolidated R&amp;Os for COO 2008_09_FD Monitoring - Q3 2011 Template v3 17Jan12 2_Overall" xfId="43181"/>
    <cellStyle name="_Consolidated R&amp;Os for COO 2008_09_FD Monitoring - Q3 2011 Template v3 17Jan12_B &amp; U by Inv Area &amp; Del" xfId="43182"/>
    <cellStyle name="_Consolidated R&amp;Os for COO 2008_09_FD Monitoring - Q3 2011 Template v3 17Jan12_budget risk items" xfId="43183"/>
    <cellStyle name="_Consolidated R&amp;Os for COO 2008_09_FD Monitoring - Q3 2011 Template v3 17Jan12_VoWD Data" xfId="43184"/>
    <cellStyle name="_Consolidated R&amp;Os for COO 2008_09_FD Monitoring - Q3 2011 Template v3 17Jan12_VoWD Data by Purpose Code" xfId="43185"/>
    <cellStyle name="_Consolidated R&amp;Os for COO 2008_09_FD Monitoring AMP5 - Q2 (6 monthly) 2011-12 v0.2 1page Simon McSweeney" xfId="43186"/>
    <cellStyle name="_Consolidated R&amp;Os for COO 2008_09_FD Monitoring AMP5 - Q2 (6 monthly) 2011-12 v0.2 1page Simon McSweeney 2" xfId="43187"/>
    <cellStyle name="_Consolidated R&amp;Os for COO 2008_09_FD Monitoring AMP5 - Q2 (6 monthly) 2011-12 v0.2 1page Simon McSweeney 2_Adjustments" xfId="43188"/>
    <cellStyle name="_Consolidated R&amp;Os for COO 2008_09_FD Monitoring AMP5 - Q2 (6 monthly) 2011-12 v0.2 1page Simon McSweeney 2_Overall" xfId="43189"/>
    <cellStyle name="_Consolidated R&amp;Os for COO 2008_09_FD Monitoring AMP5 - Q2 (6 monthly) 2011-12 v0.2 1page Simon McSweeney_B &amp; U by Inv Area &amp; Del" xfId="43190"/>
    <cellStyle name="_Consolidated R&amp;Os for COO 2008_09_FD Monitoring AMP5 - Q2 (6 monthly) 2011-12 v0.2 1page Simon McSweeney_budget risk items" xfId="43191"/>
    <cellStyle name="_Consolidated R&amp;Os for COO 2008_09_FD Monitoring AMP5 - Q2 (6 monthly) 2011-12 v0.2 1page Simon McSweeney_VoWD Data" xfId="43192"/>
    <cellStyle name="_Consolidated R&amp;Os for COO 2008_09_FD Monitoring AMP5 - Q2 (6 monthly) 2011-12 v0.2 1page Simon McSweeney_VoWD Data by Purpose Code" xfId="43193"/>
    <cellStyle name="_Consolidated R&amp;Os for COO 2008_09_Finance" xfId="43194"/>
    <cellStyle name="_Consolidated R&amp;Os for COO 2008_09_Finance 2" xfId="43195"/>
    <cellStyle name="_Consolidated R&amp;Os for COO 2008_09_Finance_1" xfId="43196"/>
    <cellStyle name="_Consolidated R&amp;Os for COO 2008_09_Finance_1 2" xfId="43197"/>
    <cellStyle name="_Consolidated R&amp;Os for COO 2008_09_Fleet" xfId="43198"/>
    <cellStyle name="_Consolidated R&amp;Os for COO 2008_09_Fleet 2" xfId="43199"/>
    <cellStyle name="_Consolidated R&amp;Os for COO 2008_09_Fleet_1" xfId="43200"/>
    <cellStyle name="_Consolidated R&amp;Os for COO 2008_09_Fleet_1 2" xfId="43201"/>
    <cellStyle name="_Consolidated R&amp;Os for COO 2008_09_Fst-Bud Summary" xfId="43202"/>
    <cellStyle name="_Consolidated R&amp;Os for COO 2008_09_Fst-Bud Summary 2" xfId="43203"/>
    <cellStyle name="_Consolidated R&amp;Os for COO 2008_09_Fst-Bud Summary 3" xfId="43204"/>
    <cellStyle name="_Consolidated R&amp;Os for COO 2008_09_General_Councel" xfId="43205"/>
    <cellStyle name="_Consolidated R&amp;Os for COO 2008_09_General_Councel 2" xfId="43206"/>
    <cellStyle name="_Consolidated R&amp;Os for COO 2008_09_General_Councel_1" xfId="43207"/>
    <cellStyle name="_Consolidated R&amp;Os for COO 2008_09_General_Councel_1 2" xfId="43208"/>
    <cellStyle name="_Consolidated R&amp;Os for COO 2008_09_Human_Resources" xfId="43209"/>
    <cellStyle name="_Consolidated R&amp;Os for COO 2008_09_Human_Resources 2" xfId="43210"/>
    <cellStyle name="_Consolidated R&amp;Os for COO 2008_09_Human_Resources_1" xfId="43211"/>
    <cellStyle name="_Consolidated R&amp;Os for COO 2008_09_Human_Resources_1 2" xfId="43212"/>
    <cellStyle name="_Consolidated R&amp;Os for COO 2008_09_IBP by Inv Area" xfId="43213"/>
    <cellStyle name="_Consolidated R&amp;Os for COO 2008_09_IBP by Inv Area 2" xfId="43214"/>
    <cellStyle name="_Consolidated R&amp;Os for COO 2008_09_IBP by Inv Area 2_Adjustments" xfId="43215"/>
    <cellStyle name="_Consolidated R&amp;Os for COO 2008_09_IBP by Inv Area 2_Overall" xfId="43216"/>
    <cellStyle name="_Consolidated R&amp;Os for COO 2008_09_IBP by Inv Area_B &amp; U by Inv Area &amp; Del" xfId="43217"/>
    <cellStyle name="_Consolidated R&amp;Os for COO 2008_09_IBP by Inv Area_budget risk items" xfId="43218"/>
    <cellStyle name="_Consolidated R&amp;Os for COO 2008_09_IBP by Inv Area_VoWD Data" xfId="43219"/>
    <cellStyle name="_Consolidated R&amp;Os for COO 2008_09_IBP by Inv Area_VoWD Data by Purpose Code" xfId="43220"/>
    <cellStyle name="_Consolidated R&amp;Os for COO 2008_09_IBP Steve Roberts file 19-01-12 (Inc Dec11 COPI)" xfId="43221"/>
    <cellStyle name="_Consolidated R&amp;Os for COO 2008_09_IBP Steve Roberts file 19-01-12 (Inc Dec11 COPI) 2" xfId="43222"/>
    <cellStyle name="_Consolidated R&amp;Os for COO 2008_09_IBP Steve Roberts file 19-01-12 (Inc Dec11 COPI) 2_Adjustments" xfId="43223"/>
    <cellStyle name="_Consolidated R&amp;Os for COO 2008_09_IBP Steve Roberts file 19-01-12 (Inc Dec11 COPI) 2_Overall" xfId="43224"/>
    <cellStyle name="_Consolidated R&amp;Os for COO 2008_09_IBP Steve Roberts file 19-01-12 (Inc Dec11 COPI)_B &amp; U by Inv Area &amp; Del" xfId="43225"/>
    <cellStyle name="_Consolidated R&amp;Os for COO 2008_09_IBP Steve Roberts file 19-01-12 (Inc Dec11 COPI)_budget risk items" xfId="43226"/>
    <cellStyle name="_Consolidated R&amp;Os for COO 2008_09_IBP Steve Roberts file 19-01-12 (Inc Dec11 COPI)_VoWD Data" xfId="43227"/>
    <cellStyle name="_Consolidated R&amp;Os for COO 2008_09_IBP Steve Roberts file 19-01-12 (Inc Dec11 COPI)_VoWD Data by Purpose Code" xfId="43228"/>
    <cellStyle name="_Consolidated R&amp;Os for COO 2008_09_Innovation" xfId="43229"/>
    <cellStyle name="_Consolidated R&amp;Os for COO 2008_09_Innovation 2" xfId="43230"/>
    <cellStyle name="_Consolidated R&amp;Os for COO 2008_09_Innovation_1" xfId="43231"/>
    <cellStyle name="_Consolidated R&amp;Os for COO 2008_09_Innovation_1 2" xfId="43232"/>
    <cellStyle name="_Consolidated R&amp;Os for COO 2008_09_IT" xfId="43233"/>
    <cellStyle name="_Consolidated R&amp;Os for COO 2008_09_IT 2" xfId="43234"/>
    <cellStyle name="_Consolidated R&amp;Os for COO 2008_09_IT_1" xfId="43235"/>
    <cellStyle name="_Consolidated R&amp;Os for COO 2008_09_IT_1 2" xfId="43236"/>
    <cellStyle name="_Consolidated R&amp;Os for COO 2008_09_KWFLtd" xfId="43237"/>
    <cellStyle name="_Consolidated R&amp;Os for COO 2008_09_KWFLtd 2" xfId="43238"/>
    <cellStyle name="_Consolidated R&amp;Os for COO 2008_09_KWHLTD_G" xfId="43239"/>
    <cellStyle name="_Consolidated R&amp;Os for COO 2008_09_KWHLTD_G 2" xfId="43240"/>
    <cellStyle name="_Consolidated R&amp;Os for COO 2008_09_KWHLTD_G_1" xfId="43241"/>
    <cellStyle name="_Consolidated R&amp;Os for COO 2008_09_KWHLTD_G_1 2" xfId="43242"/>
    <cellStyle name="_Consolidated R&amp;Os for COO 2008_09_KWHLTD_G_2" xfId="43243"/>
    <cellStyle name="_Consolidated R&amp;Os for COO 2008_09_KWHLTD_G_2 2" xfId="43244"/>
    <cellStyle name="_Consolidated R&amp;Os for COO 2008_09_Major_ProjectsCON" xfId="43245"/>
    <cellStyle name="_Consolidated R&amp;Os for COO 2008_09_Major_ProjectsCON 2" xfId="43246"/>
    <cellStyle name="_Consolidated R&amp;Os for COO 2008_09_Management Structure" xfId="43247"/>
    <cellStyle name="_Consolidated R&amp;Os for COO 2008_09_Management Structure 2" xfId="43248"/>
    <cellStyle name="_Consolidated R&amp;Os for COO 2008_09_Management Structure_1" xfId="43249"/>
    <cellStyle name="_Consolidated R&amp;Os for COO 2008_09_Management Structure_1 2" xfId="43250"/>
    <cellStyle name="_Consolidated R&amp;Os for COO 2008_09_Operations" xfId="43251"/>
    <cellStyle name="_Consolidated R&amp;Os for COO 2008_09_Operations 2" xfId="43252"/>
    <cellStyle name="_Consolidated R&amp;Os for COO 2008_09_Operations_1" xfId="43253"/>
    <cellStyle name="_Consolidated R&amp;Os for COO 2008_09_Operations_1 2" xfId="43254"/>
    <cellStyle name="_Consolidated R&amp;Os for COO 2008_09_Ops contracts" xfId="43255"/>
    <cellStyle name="_Consolidated R&amp;Os for COO 2008_09_Ops contracts 2" xfId="43256"/>
    <cellStyle name="_Consolidated R&amp;Os for COO 2008_09_Ops contracts_1" xfId="43257"/>
    <cellStyle name="_Consolidated R&amp;Os for COO 2008_09_Ops contracts_1 2" xfId="43258"/>
    <cellStyle name="_Consolidated R&amp;Os for COO 2008_09_Ops contracts_2" xfId="43259"/>
    <cellStyle name="_Consolidated R&amp;Os for COO 2008_09_Ops contracts_2 2" xfId="43260"/>
    <cellStyle name="_Consolidated R&amp;Os for COO 2008_09_OtherSS" xfId="43261"/>
    <cellStyle name="_Consolidated R&amp;Os for COO 2008_09_OtherSS 2" xfId="43262"/>
    <cellStyle name="_Consolidated R&amp;Os for COO 2008_09_OtherSS_1" xfId="43263"/>
    <cellStyle name="_Consolidated R&amp;Os for COO 2008_09_OtherSS_1 2" xfId="43264"/>
    <cellStyle name="_Consolidated R&amp;Os for COO 2008_09_P&amp;L_AMP5" xfId="43265"/>
    <cellStyle name="_Consolidated R&amp;Os for COO 2008_09_P&amp;L_AMP5 2" xfId="43266"/>
    <cellStyle name="_Consolidated R&amp;Os for COO 2008_09_Power" xfId="43267"/>
    <cellStyle name="_Consolidated R&amp;Os for COO 2008_09_Power 2" xfId="43268"/>
    <cellStyle name="_Consolidated R&amp;Os for COO 2008_09_Power_1" xfId="43269"/>
    <cellStyle name="_Consolidated R&amp;Os for COO 2008_09_Power_1 2" xfId="43270"/>
    <cellStyle name="_Consolidated R&amp;Os for COO 2008_09_Property_Facilities" xfId="43271"/>
    <cellStyle name="_Consolidated R&amp;Os for COO 2008_09_Property_Facilities 2" xfId="43272"/>
    <cellStyle name="_Consolidated R&amp;Os for COO 2008_09_Property_Facilities_1" xfId="43273"/>
    <cellStyle name="_Consolidated R&amp;Os for COO 2008_09_Property_Facilities_1 2" xfId="43274"/>
    <cellStyle name="_Consolidated R&amp;Os for COO 2008_09_PropertyDisposals" xfId="43275"/>
    <cellStyle name="_Consolidated R&amp;Os for COO 2008_09_PropertyDisposals 2" xfId="43276"/>
    <cellStyle name="_Consolidated R&amp;Os for COO 2008_09_PropFacilitiesNonApp" xfId="43277"/>
    <cellStyle name="_Consolidated R&amp;Os for COO 2008_09_PropFacilitiesNonApp 2" xfId="43278"/>
    <cellStyle name="_Consolidated R&amp;Os for COO 2008_09_PropFacilitiesNonApp_1" xfId="43279"/>
    <cellStyle name="_Consolidated R&amp;Os for COO 2008_09_PropFacilitiesNonApp_1 2" xfId="43280"/>
    <cellStyle name="_Consolidated R&amp;Os for COO 2008_09_PropSearch_Home" xfId="43281"/>
    <cellStyle name="_Consolidated R&amp;Os for COO 2008_09_PropSearch_Home 2" xfId="43282"/>
    <cellStyle name="_Consolidated R&amp;Os for COO 2008_09_PropSearch_Home_1" xfId="43283"/>
    <cellStyle name="_Consolidated R&amp;Os for COO 2008_09_PropSearch_Home_1 2" xfId="43284"/>
    <cellStyle name="_Consolidated R&amp;Os for COO 2008_09_QRF 2011 6+6 - Draft - 06Oct11 v15.1 (excl unrealised efficiencies)" xfId="43285"/>
    <cellStyle name="_Consolidated R&amp;Os for COO 2008_09_QRF 2011 6+6 - Draft - 06Oct11 v16.2 (incl unrealised efficiencies)" xfId="43286"/>
    <cellStyle name="_Consolidated R&amp;Os for COO 2008_09_Record of Manual Changes" xfId="43287"/>
    <cellStyle name="_Consolidated R&amp;Os for COO 2008_09_Record of Manual Changes 2" xfId="43288"/>
    <cellStyle name="_Consolidated R&amp;Os for COO 2008_09_Record of Manual Changes 2_Adjustments" xfId="43289"/>
    <cellStyle name="_Consolidated R&amp;Os for COO 2008_09_Record of Manual Changes 2_Overall" xfId="43290"/>
    <cellStyle name="_Consolidated R&amp;Os for COO 2008_09_Record of Manual Changes_B &amp; U by Inv Area &amp; Del" xfId="43291"/>
    <cellStyle name="_Consolidated R&amp;Os for COO 2008_09_Record of Manual Changes_budget risk items" xfId="43292"/>
    <cellStyle name="_Consolidated R&amp;Os for COO 2008_09_Record of Manual Changes_VoWD Data" xfId="43293"/>
    <cellStyle name="_Consolidated R&amp;Os for COO 2008_09_Record of Manual Changes_VoWD Data by Purpose Code" xfId="43294"/>
    <cellStyle name="_Consolidated R&amp;Os for COO 2008_09_Retail" xfId="43295"/>
    <cellStyle name="_Consolidated R&amp;Os for COO 2008_09_Retail 2" xfId="43296"/>
    <cellStyle name="_Consolidated R&amp;Os for COO 2008_09_Retail_1" xfId="43297"/>
    <cellStyle name="_Consolidated R&amp;Os for COO 2008_09_Retail_1 2" xfId="43298"/>
    <cellStyle name="_Consolidated R&amp;Os for COO 2008_09_Sheet1" xfId="43299"/>
    <cellStyle name="_Consolidated R&amp;Os for COO 2008_09_Sheet1 2" xfId="43300"/>
    <cellStyle name="_Consolidated R&amp;Os for COO 2008_09_Strategy_Reg" xfId="43301"/>
    <cellStyle name="_Consolidated R&amp;Os for COO 2008_09_Strategy_Reg 2" xfId="43302"/>
    <cellStyle name="_Consolidated R&amp;Os for COO 2008_09_Strategy_Reg_1" xfId="43303"/>
    <cellStyle name="_Consolidated R&amp;Os for COO 2008_09_Strategy_Reg_1 2" xfId="43304"/>
    <cellStyle name="_Consolidated R&amp;Os for COO 2008_09_SupplyChain" xfId="43305"/>
    <cellStyle name="_Consolidated R&amp;Os for COO 2008_09_SupplyChain 2" xfId="43306"/>
    <cellStyle name="_Consolidated R&amp;Os for COO 2008_09_SupplyChain_1" xfId="43307"/>
    <cellStyle name="_Consolidated R&amp;Os for COO 2008_09_SupplyChain_1 2" xfId="43308"/>
    <cellStyle name="_Consolidated R&amp;Os for COO 2008_09_TWHCON" xfId="43309"/>
    <cellStyle name="_Consolidated R&amp;Os for COO 2008_09_TWHCON 2" xfId="43310"/>
    <cellStyle name="_Consolidated R&amp;Os for COO 2008_09_TWPROP" xfId="43311"/>
    <cellStyle name="_Consolidated R&amp;Os for COO 2008_09_TWPROP 2" xfId="43312"/>
    <cellStyle name="_Consolidated R&amp;Os for COO 2008_09_TWPROP_1" xfId="43313"/>
    <cellStyle name="_Consolidated R&amp;Os for COO 2008_09_TWPROP_1 2" xfId="43314"/>
    <cellStyle name="_Consolidated R&amp;Os for COO 2008_09_TWPROP_2" xfId="43315"/>
    <cellStyle name="_Consolidated R&amp;Os for COO 2008_09_TWPROP_2 2" xfId="43316"/>
    <cellStyle name="_Consolidated R&amp;Os for COO 2008_09_TWUCOR" xfId="43317"/>
    <cellStyle name="_Consolidated R&amp;Os for COO 2008_09_TWUCOR 2" xfId="43318"/>
    <cellStyle name="_Consolidated R&amp;Os for COO 2008_09_TWUCOR_1" xfId="43319"/>
    <cellStyle name="_Consolidated R&amp;Os for COO 2008_09_TWUCOR_1 2" xfId="43320"/>
    <cellStyle name="_Consolidated R&amp;Os for COO 2008_09_TWUL_TOT_UKGAAP" xfId="43321"/>
    <cellStyle name="_Consolidated R&amp;Os for COO 2008_09_TWUL_TOT_UKGAAP 2" xfId="43322"/>
    <cellStyle name="_Consolidated R&amp;Os for COO 2008_09_TWUL_TOT_UKGAAP_1" xfId="43323"/>
    <cellStyle name="_Consolidated R&amp;Os for COO 2008_09_TWUL_TOT_UKGAAP_1 2" xfId="43324"/>
    <cellStyle name="_Consolidated R&amp;Os for COO 2008_09_TWULCONJ" xfId="43325"/>
    <cellStyle name="_Consolidated R&amp;Os for COO 2008_09_TWULCONJ 2" xfId="43326"/>
    <cellStyle name="_Consolidated R&amp;Os for COO 2008_09_VOWD Summary 17-11-11 V2 (NP)" xfId="43327"/>
    <cellStyle name="_Consolidated R&amp;Os V2" xfId="43328"/>
    <cellStyle name="_Consolidated R&amp;Os V2 2" xfId="43329"/>
    <cellStyle name="_Consolidated R&amp;Os V2 2 2" xfId="43330"/>
    <cellStyle name="_Consolidated R&amp;Os V2 3" xfId="43331"/>
    <cellStyle name="_Consolidated R&amp;Os V2 3 2" xfId="43332"/>
    <cellStyle name="_Consolidated R&amp;Os V2 4" xfId="43333"/>
    <cellStyle name="_Consolidated R&amp;Os V2 4 2" xfId="43334"/>
    <cellStyle name="_Consolidated R&amp;Os V2 5" xfId="43335"/>
    <cellStyle name="_Consolidated R&amp;Os V2 5 2" xfId="43336"/>
    <cellStyle name="_Consolidated R&amp;Os V2 6" xfId="43337"/>
    <cellStyle name="_Consolidated R&amp;Os V2 6 2" xfId="43338"/>
    <cellStyle name="_Consolidated R&amp;Os V2 7" xfId="43339"/>
    <cellStyle name="_Consolidated R&amp;Os V2 7 2" xfId="43340"/>
    <cellStyle name="_Consolidated R&amp;Os V2 8" xfId="43341"/>
    <cellStyle name="_Consolidated R&amp;Os V2_~4194202" xfId="43342"/>
    <cellStyle name="_Consolidated R&amp;Os V2_~9045721" xfId="43343"/>
    <cellStyle name="_Consolidated R&amp;Os V2_5+7 Oct 11 Flying Bricks v1.0 budget review v12 29-11-11" xfId="43344"/>
    <cellStyle name="_Consolidated R&amp;Os V2_AffinPartner" xfId="43345"/>
    <cellStyle name="_Consolidated R&amp;Os V2_AffinPartner 2" xfId="43346"/>
    <cellStyle name="_Consolidated R&amp;Os V2_AffinPartner_1" xfId="43347"/>
    <cellStyle name="_Consolidated R&amp;Os V2_AffinPartner_1 2" xfId="43348"/>
    <cellStyle name="_Consolidated R&amp;Os V2_Asset_ManagementCON" xfId="43349"/>
    <cellStyle name="_Consolidated R&amp;Os V2_Asset_ManagementCON 2" xfId="43350"/>
    <cellStyle name="_Consolidated R&amp;Os V2_Asset_ManagementCON_1" xfId="43351"/>
    <cellStyle name="_Consolidated R&amp;Os V2_Asset_ManagementCON_1 2" xfId="43352"/>
    <cellStyle name="_Consolidated R&amp;Os V2_Asset_MgmtNonAppoint" xfId="43353"/>
    <cellStyle name="_Consolidated R&amp;Os V2_Asset_MgmtNonAppoint 2" xfId="43354"/>
    <cellStyle name="_Consolidated R&amp;Os V2_Book1" xfId="43355"/>
    <cellStyle name="_Consolidated R&amp;Os V2_Book2" xfId="43356"/>
    <cellStyle name="_Consolidated R&amp;Os V2_Book3" xfId="43357"/>
    <cellStyle name="_Consolidated R&amp;Os V2_Book3 2" xfId="43358"/>
    <cellStyle name="_Consolidated R&amp;Os V2_Book3 2_Adjustments" xfId="43359"/>
    <cellStyle name="_Consolidated R&amp;Os V2_Book3 2_Overall" xfId="43360"/>
    <cellStyle name="_Consolidated R&amp;Os V2_Book3_B &amp; U by Inv Area &amp; Del" xfId="43361"/>
    <cellStyle name="_Consolidated R&amp;Os V2_Book3_budget risk items" xfId="43362"/>
    <cellStyle name="_Consolidated R&amp;Os V2_Book3_VoWD Data" xfId="43363"/>
    <cellStyle name="_Consolidated R&amp;Os V2_Book3_VoWD Data by Purpose Code" xfId="43364"/>
    <cellStyle name="_Consolidated R&amp;Os V2_Budget Finance" xfId="43365"/>
    <cellStyle name="_Consolidated R&amp;Os V2_Budget Finance 2" xfId="43366"/>
    <cellStyle name="_Consolidated R&amp;Os V2_Budget Finance 3" xfId="43367"/>
    <cellStyle name="_Consolidated R&amp;Os V2_Capital_DeliveryCON" xfId="43368"/>
    <cellStyle name="_Consolidated R&amp;Os V2_Capital_DeliveryCON 2" xfId="43369"/>
    <cellStyle name="_Consolidated R&amp;Os V2_Central_Items" xfId="43370"/>
    <cellStyle name="_Consolidated R&amp;Os V2_Central_Items 2" xfId="43371"/>
    <cellStyle name="_Consolidated R&amp;Os V2_Central_Items_1" xfId="43372"/>
    <cellStyle name="_Consolidated R&amp;Os V2_Central_Items_1 2" xfId="43373"/>
    <cellStyle name="_Consolidated R&amp;Os V2_Central_Items_2" xfId="43374"/>
    <cellStyle name="_Consolidated R&amp;Os V2_Central_Items_2 2" xfId="43375"/>
    <cellStyle name="_Consolidated R&amp;Os V2_CENTRE" xfId="43376"/>
    <cellStyle name="_Consolidated R&amp;Os V2_CENTRE 2" xfId="43377"/>
    <cellStyle name="_Consolidated R&amp;Os V2_CENTRE_1" xfId="43378"/>
    <cellStyle name="_Consolidated R&amp;Os V2_CENTRE_1 2" xfId="43379"/>
    <cellStyle name="_Consolidated R&amp;Os V2_CENTRE_2" xfId="43380"/>
    <cellStyle name="_Consolidated R&amp;Os V2_CENTRE_2 2" xfId="43381"/>
    <cellStyle name="_Consolidated R&amp;Os V2_CENTRE_Check" xfId="43382"/>
    <cellStyle name="_Consolidated R&amp;Os V2_CENTRE_Check 2" xfId="43383"/>
    <cellStyle name="_Consolidated R&amp;Os V2_CENTRE_TWPROP" xfId="43384"/>
    <cellStyle name="_Consolidated R&amp;Os V2_CENTRE_TWPROP 2" xfId="43385"/>
    <cellStyle name="_Consolidated R&amp;Os V2_Check" xfId="43386"/>
    <cellStyle name="_Consolidated R&amp;Os V2_Check 2" xfId="43387"/>
    <cellStyle name="_Consolidated R&amp;Os V2_CommCentral" xfId="43388"/>
    <cellStyle name="_Consolidated R&amp;Os V2_CommCentral 2" xfId="43389"/>
    <cellStyle name="_Consolidated R&amp;Os V2_CommCentral_1" xfId="43390"/>
    <cellStyle name="_Consolidated R&amp;Os V2_CommCentral_1 2" xfId="43391"/>
    <cellStyle name="_Consolidated R&amp;Os V2_CommProjects" xfId="43392"/>
    <cellStyle name="_Consolidated R&amp;Os V2_CommProjects 2" xfId="43393"/>
    <cellStyle name="_Consolidated R&amp;Os V2_CommProjects_1" xfId="43394"/>
    <cellStyle name="_Consolidated R&amp;Os V2_CommProjects_1 2" xfId="43395"/>
    <cellStyle name="_Consolidated R&amp;Os V2_CONSOL_G" xfId="43396"/>
    <cellStyle name="_Consolidated R&amp;Os V2_CONSOL_G 2" xfId="43397"/>
    <cellStyle name="_Consolidated R&amp;Os V2_CServices_SwindonCON" xfId="43398"/>
    <cellStyle name="_Consolidated R&amp;Os V2_CServices_SwindonCON 2" xfId="43399"/>
    <cellStyle name="_Consolidated R&amp;Os V2_Employment costs" xfId="43400"/>
    <cellStyle name="_Consolidated R&amp;Os V2_Employment costs 2" xfId="43401"/>
    <cellStyle name="_Consolidated R&amp;Os V2_Employment costs_1" xfId="43402"/>
    <cellStyle name="_Consolidated R&amp;Os V2_Employment costs_1 2" xfId="43403"/>
    <cellStyle name="_Consolidated R&amp;Os V2_Employment costs_2" xfId="43404"/>
    <cellStyle name="_Consolidated R&amp;Os V2_Employment costs_2 2" xfId="43405"/>
    <cellStyle name="_Consolidated R&amp;Os V2_External_Affairs" xfId="43406"/>
    <cellStyle name="_Consolidated R&amp;Os V2_External_Affairs 2" xfId="43407"/>
    <cellStyle name="_Consolidated R&amp;Os V2_External_Affairs_1" xfId="43408"/>
    <cellStyle name="_Consolidated R&amp;Os V2_External_Affairs_1 2" xfId="43409"/>
    <cellStyle name="_Consolidated R&amp;Os V2_FD Monitoring - Q3 2011 Template v3 17Jan12" xfId="43410"/>
    <cellStyle name="_Consolidated R&amp;Os V2_FD Monitoring - Q3 2011 Template v3 17Jan12 2" xfId="43411"/>
    <cellStyle name="_Consolidated R&amp;Os V2_FD Monitoring - Q3 2011 Template v3 17Jan12 2_Adjustments" xfId="43412"/>
    <cellStyle name="_Consolidated R&amp;Os V2_FD Monitoring - Q3 2011 Template v3 17Jan12 2_Overall" xfId="43413"/>
    <cellStyle name="_Consolidated R&amp;Os V2_FD Monitoring - Q3 2011 Template v3 17Jan12_B &amp; U by Inv Area &amp; Del" xfId="43414"/>
    <cellStyle name="_Consolidated R&amp;Os V2_FD Monitoring - Q3 2011 Template v3 17Jan12_budget risk items" xfId="43415"/>
    <cellStyle name="_Consolidated R&amp;Os V2_FD Monitoring - Q3 2011 Template v3 17Jan12_VoWD Data" xfId="43416"/>
    <cellStyle name="_Consolidated R&amp;Os V2_FD Monitoring - Q3 2011 Template v3 17Jan12_VoWD Data by Purpose Code" xfId="43417"/>
    <cellStyle name="_Consolidated R&amp;Os V2_FD Monitoring AMP5 - Q2 (6 monthly) 2011-12 v0.2 1page Simon McSweeney" xfId="43418"/>
    <cellStyle name="_Consolidated R&amp;Os V2_FD Monitoring AMP5 - Q2 (6 monthly) 2011-12 v0.2 1page Simon McSweeney 2" xfId="43419"/>
    <cellStyle name="_Consolidated R&amp;Os V2_FD Monitoring AMP5 - Q2 (6 monthly) 2011-12 v0.2 1page Simon McSweeney 2_Adjustments" xfId="43420"/>
    <cellStyle name="_Consolidated R&amp;Os V2_FD Monitoring AMP5 - Q2 (6 monthly) 2011-12 v0.2 1page Simon McSweeney 2_Overall" xfId="43421"/>
    <cellStyle name="_Consolidated R&amp;Os V2_FD Monitoring AMP5 - Q2 (6 monthly) 2011-12 v0.2 1page Simon McSweeney_B &amp; U by Inv Area &amp; Del" xfId="43422"/>
    <cellStyle name="_Consolidated R&amp;Os V2_FD Monitoring AMP5 - Q2 (6 monthly) 2011-12 v0.2 1page Simon McSweeney_budget risk items" xfId="43423"/>
    <cellStyle name="_Consolidated R&amp;Os V2_FD Monitoring AMP5 - Q2 (6 monthly) 2011-12 v0.2 1page Simon McSweeney_VoWD Data" xfId="43424"/>
    <cellStyle name="_Consolidated R&amp;Os V2_FD Monitoring AMP5 - Q2 (6 monthly) 2011-12 v0.2 1page Simon McSweeney_VoWD Data by Purpose Code" xfId="43425"/>
    <cellStyle name="_Consolidated R&amp;Os V2_Finance" xfId="43426"/>
    <cellStyle name="_Consolidated R&amp;Os V2_Finance 2" xfId="43427"/>
    <cellStyle name="_Consolidated R&amp;Os V2_Finance_1" xfId="43428"/>
    <cellStyle name="_Consolidated R&amp;Os V2_Finance_1 2" xfId="43429"/>
    <cellStyle name="_Consolidated R&amp;Os V2_Fleet" xfId="43430"/>
    <cellStyle name="_Consolidated R&amp;Os V2_Fleet 2" xfId="43431"/>
    <cellStyle name="_Consolidated R&amp;Os V2_Fleet_1" xfId="43432"/>
    <cellStyle name="_Consolidated R&amp;Os V2_Fleet_1 2" xfId="43433"/>
    <cellStyle name="_Consolidated R&amp;Os V2_Fst-Bud Summary" xfId="43434"/>
    <cellStyle name="_Consolidated R&amp;Os V2_Fst-Bud Summary 2" xfId="43435"/>
    <cellStyle name="_Consolidated R&amp;Os V2_Fst-Bud Summary 3" xfId="43436"/>
    <cellStyle name="_Consolidated R&amp;Os V2_General_Councel" xfId="43437"/>
    <cellStyle name="_Consolidated R&amp;Os V2_General_Councel 2" xfId="43438"/>
    <cellStyle name="_Consolidated R&amp;Os V2_General_Councel_1" xfId="43439"/>
    <cellStyle name="_Consolidated R&amp;Os V2_General_Councel_1 2" xfId="43440"/>
    <cellStyle name="_Consolidated R&amp;Os V2_Human_Resources" xfId="43441"/>
    <cellStyle name="_Consolidated R&amp;Os V2_Human_Resources 2" xfId="43442"/>
    <cellStyle name="_Consolidated R&amp;Os V2_Human_Resources_1" xfId="43443"/>
    <cellStyle name="_Consolidated R&amp;Os V2_Human_Resources_1 2" xfId="43444"/>
    <cellStyle name="_Consolidated R&amp;Os V2_IBP by Inv Area" xfId="43445"/>
    <cellStyle name="_Consolidated R&amp;Os V2_IBP by Inv Area 2" xfId="43446"/>
    <cellStyle name="_Consolidated R&amp;Os V2_IBP by Inv Area 2_Adjustments" xfId="43447"/>
    <cellStyle name="_Consolidated R&amp;Os V2_IBP by Inv Area 2_Overall" xfId="43448"/>
    <cellStyle name="_Consolidated R&amp;Os V2_IBP by Inv Area_B &amp; U by Inv Area &amp; Del" xfId="43449"/>
    <cellStyle name="_Consolidated R&amp;Os V2_IBP by Inv Area_budget risk items" xfId="43450"/>
    <cellStyle name="_Consolidated R&amp;Os V2_IBP by Inv Area_VoWD Data" xfId="43451"/>
    <cellStyle name="_Consolidated R&amp;Os V2_IBP by Inv Area_VoWD Data by Purpose Code" xfId="43452"/>
    <cellStyle name="_Consolidated R&amp;Os V2_IBP Steve Roberts file 19-01-12 (Inc Dec11 COPI)" xfId="43453"/>
    <cellStyle name="_Consolidated R&amp;Os V2_IBP Steve Roberts file 19-01-12 (Inc Dec11 COPI) 2" xfId="43454"/>
    <cellStyle name="_Consolidated R&amp;Os V2_IBP Steve Roberts file 19-01-12 (Inc Dec11 COPI) 2_Adjustments" xfId="43455"/>
    <cellStyle name="_Consolidated R&amp;Os V2_IBP Steve Roberts file 19-01-12 (Inc Dec11 COPI) 2_Overall" xfId="43456"/>
    <cellStyle name="_Consolidated R&amp;Os V2_IBP Steve Roberts file 19-01-12 (Inc Dec11 COPI)_B &amp; U by Inv Area &amp; Del" xfId="43457"/>
    <cellStyle name="_Consolidated R&amp;Os V2_IBP Steve Roberts file 19-01-12 (Inc Dec11 COPI)_budget risk items" xfId="43458"/>
    <cellStyle name="_Consolidated R&amp;Os V2_IBP Steve Roberts file 19-01-12 (Inc Dec11 COPI)_VoWD Data" xfId="43459"/>
    <cellStyle name="_Consolidated R&amp;Os V2_IBP Steve Roberts file 19-01-12 (Inc Dec11 COPI)_VoWD Data by Purpose Code" xfId="43460"/>
    <cellStyle name="_Consolidated R&amp;Os V2_Innovation" xfId="43461"/>
    <cellStyle name="_Consolidated R&amp;Os V2_Innovation 2" xfId="43462"/>
    <cellStyle name="_Consolidated R&amp;Os V2_Innovation_1" xfId="43463"/>
    <cellStyle name="_Consolidated R&amp;Os V2_Innovation_1 2" xfId="43464"/>
    <cellStyle name="_Consolidated R&amp;Os V2_IT" xfId="43465"/>
    <cellStyle name="_Consolidated R&amp;Os V2_IT 2" xfId="43466"/>
    <cellStyle name="_Consolidated R&amp;Os V2_IT_1" xfId="43467"/>
    <cellStyle name="_Consolidated R&amp;Os V2_IT_1 2" xfId="43468"/>
    <cellStyle name="_Consolidated R&amp;Os V2_KWFLtd" xfId="43469"/>
    <cellStyle name="_Consolidated R&amp;Os V2_KWFLtd 2" xfId="43470"/>
    <cellStyle name="_Consolidated R&amp;Os V2_KWHLTD_G" xfId="43471"/>
    <cellStyle name="_Consolidated R&amp;Os V2_KWHLTD_G 2" xfId="43472"/>
    <cellStyle name="_Consolidated R&amp;Os V2_KWHLTD_G_1" xfId="43473"/>
    <cellStyle name="_Consolidated R&amp;Os V2_KWHLTD_G_1 2" xfId="43474"/>
    <cellStyle name="_Consolidated R&amp;Os V2_KWHLTD_G_2" xfId="43475"/>
    <cellStyle name="_Consolidated R&amp;Os V2_KWHLTD_G_2 2" xfId="43476"/>
    <cellStyle name="_Consolidated R&amp;Os V2_Major_ProjectsCON" xfId="43477"/>
    <cellStyle name="_Consolidated R&amp;Os V2_Major_ProjectsCON 2" xfId="43478"/>
    <cellStyle name="_Consolidated R&amp;Os V2_Management Structure" xfId="43479"/>
    <cellStyle name="_Consolidated R&amp;Os V2_Management Structure 2" xfId="43480"/>
    <cellStyle name="_Consolidated R&amp;Os V2_Management Structure_1" xfId="43481"/>
    <cellStyle name="_Consolidated R&amp;Os V2_Management Structure_1 2" xfId="43482"/>
    <cellStyle name="_Consolidated R&amp;Os V2_Operations" xfId="43483"/>
    <cellStyle name="_Consolidated R&amp;Os V2_Operations 2" xfId="43484"/>
    <cellStyle name="_Consolidated R&amp;Os V2_Operations_1" xfId="43485"/>
    <cellStyle name="_Consolidated R&amp;Os V2_Operations_1 2" xfId="43486"/>
    <cellStyle name="_Consolidated R&amp;Os V2_Ops contracts" xfId="43487"/>
    <cellStyle name="_Consolidated R&amp;Os V2_Ops contracts 2" xfId="43488"/>
    <cellStyle name="_Consolidated R&amp;Os V2_Ops contracts_1" xfId="43489"/>
    <cellStyle name="_Consolidated R&amp;Os V2_Ops contracts_1 2" xfId="43490"/>
    <cellStyle name="_Consolidated R&amp;Os V2_Ops contracts_2" xfId="43491"/>
    <cellStyle name="_Consolidated R&amp;Os V2_Ops contracts_2 2" xfId="43492"/>
    <cellStyle name="_Consolidated R&amp;Os V2_OtherSS" xfId="43493"/>
    <cellStyle name="_Consolidated R&amp;Os V2_OtherSS 2" xfId="43494"/>
    <cellStyle name="_Consolidated R&amp;Os V2_OtherSS_1" xfId="43495"/>
    <cellStyle name="_Consolidated R&amp;Os V2_OtherSS_1 2" xfId="43496"/>
    <cellStyle name="_Consolidated R&amp;Os V2_P&amp;L_AMP5" xfId="43497"/>
    <cellStyle name="_Consolidated R&amp;Os V2_P&amp;L_AMP5 2" xfId="43498"/>
    <cellStyle name="_Consolidated R&amp;Os V2_Power" xfId="43499"/>
    <cellStyle name="_Consolidated R&amp;Os V2_Power 2" xfId="43500"/>
    <cellStyle name="_Consolidated R&amp;Os V2_Power_1" xfId="43501"/>
    <cellStyle name="_Consolidated R&amp;Os V2_Power_1 2" xfId="43502"/>
    <cellStyle name="_Consolidated R&amp;Os V2_Property_Facilities" xfId="43503"/>
    <cellStyle name="_Consolidated R&amp;Os V2_Property_Facilities 2" xfId="43504"/>
    <cellStyle name="_Consolidated R&amp;Os V2_Property_Facilities_1" xfId="43505"/>
    <cellStyle name="_Consolidated R&amp;Os V2_Property_Facilities_1 2" xfId="43506"/>
    <cellStyle name="_Consolidated R&amp;Os V2_PropertyDisposals" xfId="43507"/>
    <cellStyle name="_Consolidated R&amp;Os V2_PropertyDisposals 2" xfId="43508"/>
    <cellStyle name="_Consolidated R&amp;Os V2_PropFacilitiesNonApp" xfId="43509"/>
    <cellStyle name="_Consolidated R&amp;Os V2_PropFacilitiesNonApp 2" xfId="43510"/>
    <cellStyle name="_Consolidated R&amp;Os V2_PropFacilitiesNonApp_1" xfId="43511"/>
    <cellStyle name="_Consolidated R&amp;Os V2_PropFacilitiesNonApp_1 2" xfId="43512"/>
    <cellStyle name="_Consolidated R&amp;Os V2_PropSearch_Home" xfId="43513"/>
    <cellStyle name="_Consolidated R&amp;Os V2_PropSearch_Home 2" xfId="43514"/>
    <cellStyle name="_Consolidated R&amp;Os V2_PropSearch_Home_1" xfId="43515"/>
    <cellStyle name="_Consolidated R&amp;Os V2_PropSearch_Home_1 2" xfId="43516"/>
    <cellStyle name="_Consolidated R&amp;Os V2_QRF 2011 6+6 - Draft - 06Oct11 v15.1 (excl unrealised efficiencies)" xfId="43517"/>
    <cellStyle name="_Consolidated R&amp;Os V2_QRF 2011 6+6 - Draft - 06Oct11 v16.2 (incl unrealised efficiencies)" xfId="43518"/>
    <cellStyle name="_Consolidated R&amp;Os V2_Record of Manual Changes" xfId="43519"/>
    <cellStyle name="_Consolidated R&amp;Os V2_Record of Manual Changes 2" xfId="43520"/>
    <cellStyle name="_Consolidated R&amp;Os V2_Record of Manual Changes 2_Adjustments" xfId="43521"/>
    <cellStyle name="_Consolidated R&amp;Os V2_Record of Manual Changes 2_Overall" xfId="43522"/>
    <cellStyle name="_Consolidated R&amp;Os V2_Record of Manual Changes_B &amp; U by Inv Area &amp; Del" xfId="43523"/>
    <cellStyle name="_Consolidated R&amp;Os V2_Record of Manual Changes_budget risk items" xfId="43524"/>
    <cellStyle name="_Consolidated R&amp;Os V2_Record of Manual Changes_VoWD Data" xfId="43525"/>
    <cellStyle name="_Consolidated R&amp;Os V2_Record of Manual Changes_VoWD Data by Purpose Code" xfId="43526"/>
    <cellStyle name="_Consolidated R&amp;Os V2_Retail" xfId="43527"/>
    <cellStyle name="_Consolidated R&amp;Os V2_Retail 2" xfId="43528"/>
    <cellStyle name="_Consolidated R&amp;Os V2_Retail_1" xfId="43529"/>
    <cellStyle name="_Consolidated R&amp;Os V2_Retail_1 2" xfId="43530"/>
    <cellStyle name="_Consolidated R&amp;Os V2_Sheet1" xfId="43531"/>
    <cellStyle name="_Consolidated R&amp;Os V2_Sheet1 2" xfId="43532"/>
    <cellStyle name="_Consolidated R&amp;Os V2_Strategy_Reg" xfId="43533"/>
    <cellStyle name="_Consolidated R&amp;Os V2_Strategy_Reg 2" xfId="43534"/>
    <cellStyle name="_Consolidated R&amp;Os V2_Strategy_Reg_1" xfId="43535"/>
    <cellStyle name="_Consolidated R&amp;Os V2_Strategy_Reg_1 2" xfId="43536"/>
    <cellStyle name="_Consolidated R&amp;Os V2_SupplyChain" xfId="43537"/>
    <cellStyle name="_Consolidated R&amp;Os V2_SupplyChain 2" xfId="43538"/>
    <cellStyle name="_Consolidated R&amp;Os V2_SupplyChain_1" xfId="43539"/>
    <cellStyle name="_Consolidated R&amp;Os V2_SupplyChain_1 2" xfId="43540"/>
    <cellStyle name="_Consolidated R&amp;Os V2_TWHCON" xfId="43541"/>
    <cellStyle name="_Consolidated R&amp;Os V2_TWHCON 2" xfId="43542"/>
    <cellStyle name="_Consolidated R&amp;Os V2_TWPROP" xfId="43543"/>
    <cellStyle name="_Consolidated R&amp;Os V2_TWPROP 2" xfId="43544"/>
    <cellStyle name="_Consolidated R&amp;Os V2_TWPROP_1" xfId="43545"/>
    <cellStyle name="_Consolidated R&amp;Os V2_TWPROP_1 2" xfId="43546"/>
    <cellStyle name="_Consolidated R&amp;Os V2_TWPROP_2" xfId="43547"/>
    <cellStyle name="_Consolidated R&amp;Os V2_TWPROP_2 2" xfId="43548"/>
    <cellStyle name="_Consolidated R&amp;Os V2_TWUCOR" xfId="43549"/>
    <cellStyle name="_Consolidated R&amp;Os V2_TWUCOR 2" xfId="43550"/>
    <cellStyle name="_Consolidated R&amp;Os V2_TWUCOR_1" xfId="43551"/>
    <cellStyle name="_Consolidated R&amp;Os V2_TWUCOR_1 2" xfId="43552"/>
    <cellStyle name="_Consolidated R&amp;Os V2_TWUL_TOT_UKGAAP" xfId="43553"/>
    <cellStyle name="_Consolidated R&amp;Os V2_TWUL_TOT_UKGAAP 2" xfId="43554"/>
    <cellStyle name="_Consolidated R&amp;Os V2_TWUL_TOT_UKGAAP_1" xfId="43555"/>
    <cellStyle name="_Consolidated R&amp;Os V2_TWUL_TOT_UKGAAP_1 2" xfId="43556"/>
    <cellStyle name="_Consolidated R&amp;Os V2_TWULCONJ" xfId="43557"/>
    <cellStyle name="_Consolidated R&amp;Os V2_TWULCONJ 2" xfId="43558"/>
    <cellStyle name="_Consolidated R&amp;Os V2_VOWD Summary 17-11-11 V2 (NP)" xfId="43559"/>
    <cellStyle name="_Consumer Marketing Business Plan 2011-12 - draftv3" xfId="43560"/>
    <cellStyle name="_Consumer Marketing Business Plan 2011-12 - draftv3 2" xfId="43561"/>
    <cellStyle name="_Consumer Marketing Business Plan 2011-12 - draftv3 2 2" xfId="43562"/>
    <cellStyle name="_Consumer Marketing Business Plan 2011-12 - draftv3 2 3" xfId="43563"/>
    <cellStyle name="_Consumer Marketing Business Plan 2011-12 - draftv3 3" xfId="43564"/>
    <cellStyle name="_Consumer Marketing Business Plan 2011-12 - draftv3_Employment costs" xfId="43565"/>
    <cellStyle name="_Consumer Marketing Business Plan 2011-12 - draftv3_Employment costs 2" xfId="43566"/>
    <cellStyle name="_Consumer Marketing Business Plan 2011-12 - draftv3_Employment costs_1" xfId="43567"/>
    <cellStyle name="_Consumer Marketing Business Plan 2011-12 - draftv3_Employment costs_1 2" xfId="43568"/>
    <cellStyle name="_Consumer Marketing Business Plan 2011-12 - draftv3_Employment costs_2" xfId="43569"/>
    <cellStyle name="_Consumer Marketing Business Plan 2011-12 - draftv3_Employment costs_2 2" xfId="43570"/>
    <cellStyle name="_Consumer Marketing Business Plan 2011-12 - draftv3_Management Structure" xfId="43571"/>
    <cellStyle name="_Consumer Marketing Business Plan 2011-12 - draftv3_Management Structure 2" xfId="43572"/>
    <cellStyle name="_Consumer Marketing Business Plan 2011-12 - draftv3_Management Structure_1" xfId="43573"/>
    <cellStyle name="_Consumer Marketing Business Plan 2011-12 - draftv3_Management Structure_1 2" xfId="43574"/>
    <cellStyle name="_Consumer Marketing Business Plan 2011-12 - draftv3_Ops contracts" xfId="43575"/>
    <cellStyle name="_Consumer Marketing Business Plan 2011-12 - draftv3_Ops contracts 2" xfId="43576"/>
    <cellStyle name="_Consumer Marketing Business Plan 2011-12 - draftv3_Ops contracts_1" xfId="43577"/>
    <cellStyle name="_Consumer Marketing Business Plan 2011-12 - draftv3_Ops contracts_1 2" xfId="43578"/>
    <cellStyle name="_Consumer Marketing Business Plan 2011-12 - draftv3_Ops contracts_2" xfId="43579"/>
    <cellStyle name="_Consumer Marketing Business Plan 2011-12 - draftv3_Ops contracts_2 2" xfId="43580"/>
    <cellStyle name="_Consumer Marketing Business Plan 2011-12 - draftv3_Power" xfId="43581"/>
    <cellStyle name="_Consumer Marketing Business Plan 2011-12 - draftv3_Power 2" xfId="43582"/>
    <cellStyle name="_Consumer Marketing Business Plan 2011-12 - draftv3_Power_1" xfId="43583"/>
    <cellStyle name="_Consumer Marketing Business Plan 2011-12 - draftv3_Power_1 2" xfId="43584"/>
    <cellStyle name="_Consumer Marketing Business Plan 2011-12 - draftv3_Sheet1" xfId="43585"/>
    <cellStyle name="_Consumer Marketing Business Plan 2011-12 - draftv3_Sheet1 2" xfId="43586"/>
    <cellStyle name="_Consumer Marketing Business Plan 2011-12 - draftv3_TWUL_TOT_UKGAAP" xfId="43587"/>
    <cellStyle name="_Consumer Marketing Business Plan 2011-12 - draftv3_TWUL_TOT_UKGAAP 2" xfId="43588"/>
    <cellStyle name="_Consumer Marketing Business Plan 2011-12 - draftv3_TWUL_TOT_UKGAAP_1" xfId="43589"/>
    <cellStyle name="_Consumer Marketing Business Plan 2011-12 - draftv3_TWUL_TOT_UKGAAP_1 2" xfId="43590"/>
    <cellStyle name="_CONTRACT MGT AUGUST 2011 (PAUL BROWN SCHEDULE) 06-09-11" xfId="43591"/>
    <cellStyle name="_CONTRACT MGT AUGUST 2011 (PAUL BROWN SCHEDULE) 06-09-11 2" xfId="43592"/>
    <cellStyle name="_COO target.14.02.08" xfId="43593"/>
    <cellStyle name="_COO target.14.02.08 2" xfId="43594"/>
    <cellStyle name="_COO target.14.02.08 2 2" xfId="43595"/>
    <cellStyle name="_COO target.14.02.08 2 3" xfId="43596"/>
    <cellStyle name="_COO target.14.02.08 3" xfId="43597"/>
    <cellStyle name="_COO target.14.02.08 4" xfId="43598"/>
    <cellStyle name="_Copy of Cindrella P  L BFC- Version 3 (2)" xfId="43599"/>
    <cellStyle name="_Copy of Cindrella P  L BFC- Version 3 (2) 2" xfId="43600"/>
    <cellStyle name="_Copy of Cindrella P  L BFC- Version 3 (2) 3" xfId="43601"/>
    <cellStyle name="_Copy of Cindrella P  L BFC- Version 3 (2)_Adapt response DC Pricing Format (2)" xfId="43602"/>
    <cellStyle name="_Copy of Cindrella P  L BFC- Version 3 (2)_Adapt response DC Pricing Format (2) 2" xfId="43603"/>
    <cellStyle name="_Copy of Cindrella P  L BFC- Version 3 (2)_Adapt response DC Pricing Format (2) 3" xfId="43604"/>
    <cellStyle name="_Copy of Cindrella P  L BFC- Version 3 (2)_Advanstar Financials" xfId="43605"/>
    <cellStyle name="_Copy of Cindrella P  L BFC- Version 3 (2)_Advanstar Financials 2" xfId="43606"/>
    <cellStyle name="_Copy of Cindrella P  L BFC- Version 3 (2)_Advanstar Financials 24 July" xfId="43607"/>
    <cellStyle name="_Copy of Cindrella P  L BFC- Version 3 (2)_Advanstar Financials 24 July 2" xfId="43608"/>
    <cellStyle name="_Copy of Cindrella P  L BFC- Version 3 (2)_Advanstar Financials 24 July 3" xfId="43609"/>
    <cellStyle name="_Copy of Cindrella P  L BFC- Version 3 (2)_Advanstar Financials 24 July v1" xfId="43610"/>
    <cellStyle name="_Copy of Cindrella P  L BFC- Version 3 (2)_Advanstar Financials 24 July v1 2" xfId="43611"/>
    <cellStyle name="_Copy of Cindrella P  L BFC- Version 3 (2)_Advanstar Financials 24 July v1 3" xfId="43612"/>
    <cellStyle name="_Copy of Cindrella P  L BFC- Version 3 (2)_Advanstar Financials 24 July v1_Adv_8oct_Sub Ver 12(4)" xfId="43613"/>
    <cellStyle name="_Copy of Cindrella P  L BFC- Version 3 (2)_Advanstar Financials 24 July v1_Adv_8oct_Sub Ver 12(4) 2" xfId="43614"/>
    <cellStyle name="_Copy of Cindrella P  L BFC- Version 3 (2)_Advanstar Financials 24 July v1_Adv_8oct_Sub Ver 12(4) 3" xfId="43615"/>
    <cellStyle name="_Copy of Cindrella P  L BFC- Version 3 (2)_Advanstar Financials 24 July v1_File for Circulation with Volume Discount Revised" xfId="43616"/>
    <cellStyle name="_Copy of Cindrella P  L BFC- Version 3 (2)_Advanstar Financials 24 July v1_File for Circulation with Volume Discount Revised 2" xfId="43617"/>
    <cellStyle name="_Copy of Cindrella P  L BFC- Version 3 (2)_Advanstar Financials 24 July v1_File for Circulation with Volume Discount Revised 3" xfId="43618"/>
    <cellStyle name="_Copy of Cindrella P  L BFC- Version 3 (2)_Advanstar Financials 24 July v1_HR Assumptions for Pricing2" xfId="43619"/>
    <cellStyle name="_Copy of Cindrella P  L BFC- Version 3 (2)_Advanstar Financials 24 July v1_HR Assumptions for Pricing2 2" xfId="43620"/>
    <cellStyle name="_Copy of Cindrella P  L BFC- Version 3 (2)_Advanstar Financials 24 July v1_HR Assumptions for Pricing2 3" xfId="43621"/>
    <cellStyle name="_Copy of Cindrella P  L BFC- Version 3 (2)_Advanstar Financials 24 July_Adv_8oct_Sub Ver 12(4)" xfId="43622"/>
    <cellStyle name="_Copy of Cindrella P  L BFC- Version 3 (2)_Advanstar Financials 24 July_Adv_8oct_Sub Ver 12(4) 2" xfId="43623"/>
    <cellStyle name="_Copy of Cindrella P  L BFC- Version 3 (2)_Advanstar Financials 24 July_Adv_8oct_Sub Ver 12(4) 3" xfId="43624"/>
    <cellStyle name="_Copy of Cindrella P  L BFC- Version 3 (2)_Advanstar Financials 24 July_File for Circulation with Volume Discount Revised" xfId="43625"/>
    <cellStyle name="_Copy of Cindrella P  L BFC- Version 3 (2)_Advanstar Financials 24 July_File for Circulation with Volume Discount Revised 2" xfId="43626"/>
    <cellStyle name="_Copy of Cindrella P  L BFC- Version 3 (2)_Advanstar Financials 24 July_File for Circulation with Volume Discount Revised 3" xfId="43627"/>
    <cellStyle name="_Copy of Cindrella P  L BFC- Version 3 (2)_Advanstar Financials 24 July_HR Assumptions for Pricing2" xfId="43628"/>
    <cellStyle name="_Copy of Cindrella P  L BFC- Version 3 (2)_Advanstar Financials 24 July_HR Assumptions for Pricing2 2" xfId="43629"/>
    <cellStyle name="_Copy of Cindrella P  L BFC- Version 3 (2)_Advanstar Financials 24 July_HR Assumptions for Pricing2 3" xfId="43630"/>
    <cellStyle name="_Copy of Cindrella P  L BFC- Version 3 (2)_Advanstar Financials 3" xfId="43631"/>
    <cellStyle name="_Copy of Cindrella P  L BFC- Version 3 (2)_Advanstar Financials_Adv_8oct_Sub Ver 12(4)" xfId="43632"/>
    <cellStyle name="_Copy of Cindrella P  L BFC- Version 3 (2)_Advanstar Financials_Adv_8oct_Sub Ver 12(4) 2" xfId="43633"/>
    <cellStyle name="_Copy of Cindrella P  L BFC- Version 3 (2)_Advanstar Financials_Adv_8oct_Sub Ver 12(4) 3" xfId="43634"/>
    <cellStyle name="_Copy of Cindrella P  L BFC- Version 3 (2)_Advanstar Financials_File for Circulation with Volume Discount Revised" xfId="43635"/>
    <cellStyle name="_Copy of Cindrella P  L BFC- Version 3 (2)_Advanstar Financials_File for Circulation with Volume Discount Revised 2" xfId="43636"/>
    <cellStyle name="_Copy of Cindrella P  L BFC- Version 3 (2)_Advanstar Financials_File for Circulation with Volume Discount Revised 3" xfId="43637"/>
    <cellStyle name="_Copy of Cindrella P  L BFC- Version 3 (2)_Advanstar Financials_HR Assumptions for Pricing2" xfId="43638"/>
    <cellStyle name="_Copy of Cindrella P  L BFC- Version 3 (2)_Advanstar Financials_HR Assumptions for Pricing2 2" xfId="43639"/>
    <cellStyle name="_Copy of Cindrella P  L BFC- Version 3 (2)_Advanstar Financials_HR Assumptions for Pricing2 3" xfId="43640"/>
    <cellStyle name="_Copy of Cindrella P  L BFC- Version 3 (2)_Finance Input Template" xfId="43641"/>
    <cellStyle name="_Copy of Cindrella P  L BFC- Version 3 (2)_Finance Input Template 2" xfId="43642"/>
    <cellStyle name="_Copy of Cindrella P  L BFC- Version 3 (2)_Finance Input Template 3" xfId="43643"/>
    <cellStyle name="_Copy of Cindrella P  L BFC- Version 3 (2)_Finance Input Template_Adv_8oct_Sub Ver 12(4)" xfId="43644"/>
    <cellStyle name="_Copy of Cindrella P  L BFC- Version 3 (2)_Finance Input Template_Adv_8oct_Sub Ver 12(4) 2" xfId="43645"/>
    <cellStyle name="_Copy of Cindrella P  L BFC- Version 3 (2)_Finance Input Template_Adv_8oct_Sub Ver 12(4) 3" xfId="43646"/>
    <cellStyle name="_Copy of Cindrella P  L BFC- Version 3 (2)_Finance Input Template_File for Circulation with Volume Discount Revised" xfId="43647"/>
    <cellStyle name="_Copy of Cindrella P  L BFC- Version 3 (2)_Finance Input Template_File for Circulation with Volume Discount Revised 2" xfId="43648"/>
    <cellStyle name="_Copy of Cindrella P  L BFC- Version 3 (2)_Finance Input Template_File for Circulation with Volume Discount Revised 3" xfId="43649"/>
    <cellStyle name="_Copy of Cindrella P  L BFC- Version 3 (2)_Finance Input Template_HR Assumptions for Pricing2" xfId="43650"/>
    <cellStyle name="_Copy of Cindrella P  L BFC- Version 3 (2)_Finance Input Template_HR Assumptions for Pricing2 2" xfId="43651"/>
    <cellStyle name="_Copy of Cindrella P  L BFC- Version 3 (2)_Finance Input Template_HR Assumptions for Pricing2 3" xfId="43652"/>
    <cellStyle name="_Copy of Cindrella P  L BFC- Version 3 (2)_Financials Preston Offshoring V11" xfId="43653"/>
    <cellStyle name="_Copy of Cindrella P  L BFC- Version 3 (2)_Financials Preston Offshoring V11 2" xfId="43654"/>
    <cellStyle name="_Copy of Cindrella P  L BFC- Version 3 (2)_Financials Preston Offshoring V11 3" xfId="43655"/>
    <cellStyle name="_Copy of Cindrella P  L BFC- Version 3 (2)_Financials Preston Offshoring V11_Advanstar Financials 24 July" xfId="43656"/>
    <cellStyle name="_Copy of Cindrella P  L BFC- Version 3 (2)_Financials Preston Offshoring V11_Advanstar Financials 24 July 2" xfId="43657"/>
    <cellStyle name="_Copy of Cindrella P  L BFC- Version 3 (2)_Financials Preston Offshoring V11_Advanstar Financials 24 July 3" xfId="43658"/>
    <cellStyle name="_Copy of Cindrella P  L BFC- Version 3 (2)_Financials Preston Offshoring V11_Advanstar Financials 24 July v1" xfId="43659"/>
    <cellStyle name="_Copy of Cindrella P  L BFC- Version 3 (2)_Financials Preston Offshoring V11_Advanstar Financials 24 July v1 2" xfId="43660"/>
    <cellStyle name="_Copy of Cindrella P  L BFC- Version 3 (2)_Financials Preston Offshoring V11_Advanstar Financials 24 July v1 3" xfId="43661"/>
    <cellStyle name="_Copy of Cindrella P  L BFC- Version 3 (2)_Financials Preston Offshoring V11_Advanstar Financials 24 July v1_Adv_8oct_Sub Ver 12(4)" xfId="43662"/>
    <cellStyle name="_Copy of Cindrella P  L BFC- Version 3 (2)_Financials Preston Offshoring V11_Advanstar Financials 24 July v1_Adv_8oct_Sub Ver 12(4) 2" xfId="43663"/>
    <cellStyle name="_Copy of Cindrella P  L BFC- Version 3 (2)_Financials Preston Offshoring V11_Advanstar Financials 24 July v1_Adv_8oct_Sub Ver 12(4) 3" xfId="43664"/>
    <cellStyle name="_Copy of Cindrella P  L BFC- Version 3 (2)_Financials Preston Offshoring V11_Advanstar Financials 24 July v1_File for Circulation with Volume Discount Revised" xfId="43665"/>
    <cellStyle name="_Copy of Cindrella P  L BFC- Version 3 (2)_Financials Preston Offshoring V11_Advanstar Financials 24 July v1_File for Circulation with Volume Discount Revised 2" xfId="43666"/>
    <cellStyle name="_Copy of Cindrella P  L BFC- Version 3 (2)_Financials Preston Offshoring V11_Advanstar Financials 24 July v1_File for Circulation with Volume Discount Revised 3" xfId="43667"/>
    <cellStyle name="_Copy of Cindrella P  L BFC- Version 3 (2)_Financials Preston Offshoring V11_Advanstar Financials 24 July v1_HR Assumptions for Pricing2" xfId="43668"/>
    <cellStyle name="_Copy of Cindrella P  L BFC- Version 3 (2)_Financials Preston Offshoring V11_Advanstar Financials 24 July v1_HR Assumptions for Pricing2 2" xfId="43669"/>
    <cellStyle name="_Copy of Cindrella P  L BFC- Version 3 (2)_Financials Preston Offshoring V11_Advanstar Financials 24 July v1_HR Assumptions for Pricing2 3" xfId="43670"/>
    <cellStyle name="_Copy of Cindrella P  L BFC- Version 3 (2)_Financials Preston Offshoring V11_Advanstar Financials 24 July_Adv_8oct_Sub Ver 12(4)" xfId="43671"/>
    <cellStyle name="_Copy of Cindrella P  L BFC- Version 3 (2)_Financials Preston Offshoring V11_Advanstar Financials 24 July_Adv_8oct_Sub Ver 12(4) 2" xfId="43672"/>
    <cellStyle name="_Copy of Cindrella P  L BFC- Version 3 (2)_Financials Preston Offshoring V11_Advanstar Financials 24 July_Adv_8oct_Sub Ver 12(4) 3" xfId="43673"/>
    <cellStyle name="_Copy of Cindrella P  L BFC- Version 3 (2)_Financials Preston Offshoring V11_Advanstar Financials 24 July_File for Circulation with Volume Discount Revised" xfId="43674"/>
    <cellStyle name="_Copy of Cindrella P  L BFC- Version 3 (2)_Financials Preston Offshoring V11_Advanstar Financials 24 July_File for Circulation with Volume Discount Revised 2" xfId="43675"/>
    <cellStyle name="_Copy of Cindrella P  L BFC- Version 3 (2)_Financials Preston Offshoring V11_Advanstar Financials 24 July_File for Circulation with Volume Discount Revised 3" xfId="43676"/>
    <cellStyle name="_Copy of Cindrella P  L BFC- Version 3 (2)_Financials Preston Offshoring V11_Advanstar Financials 24 July_HR Assumptions for Pricing2" xfId="43677"/>
    <cellStyle name="_Copy of Cindrella P  L BFC- Version 3 (2)_Financials Preston Offshoring V11_Advanstar Financials 24 July_HR Assumptions for Pricing2 2" xfId="43678"/>
    <cellStyle name="_Copy of Cindrella P  L BFC- Version 3 (2)_Financials Preston Offshoring V11_Advanstar Financials 24 July_HR Assumptions for Pricing2 3" xfId="43679"/>
    <cellStyle name="_Copy of Cindrella P  L BFC- Version 3 (2)_Financials Preston Offshoring V11_HR Workings Break-up (2)" xfId="43680"/>
    <cellStyle name="_Copy of Cindrella P  L BFC- Version 3 (2)_Financials Preston Offshoring V11_HR Workings Break-up (2) 2" xfId="43681"/>
    <cellStyle name="_Copy of Cindrella P  L BFC- Version 3 (2)_Financials Preston Offshoring V11_HR Workings Break-up (2) 3" xfId="43682"/>
    <cellStyle name="_Copy of Cindrella P  L BFC- Version 3 (2)_Financials Preston Offshoring V11_HR Workings Break-up (2)_Adv_8oct_Sub Ver 12(4)" xfId="43683"/>
    <cellStyle name="_Copy of Cindrella P  L BFC- Version 3 (2)_Financials Preston Offshoring V11_HR Workings Break-up (2)_Adv_8oct_Sub Ver 12(4) 2" xfId="43684"/>
    <cellStyle name="_Copy of Cindrella P  L BFC- Version 3 (2)_Financials Preston Offshoring V11_HR Workings Break-up (2)_Adv_8oct_Sub Ver 12(4) 3" xfId="43685"/>
    <cellStyle name="_Copy of Cindrella P  L BFC- Version 3 (2)_Financials Preston Offshoring V11_HR Workings Break-up (2)_File for Circulation with Volume Discount Revised" xfId="43686"/>
    <cellStyle name="_Copy of Cindrella P  L BFC- Version 3 (2)_Financials Preston Offshoring V11_HR Workings Break-up (2)_File for Circulation with Volume Discount Revised 2" xfId="43687"/>
    <cellStyle name="_Copy of Cindrella P  L BFC- Version 3 (2)_Financials Preston Offshoring V11_HR Workings Break-up (2)_File for Circulation with Volume Discount Revised 3" xfId="43688"/>
    <cellStyle name="_Copy of Cindrella P  L BFC- Version 3 (2)_Financials Preston Offshoring V11_HR Workings Break-up (2)_HR Assumptions for Pricing2" xfId="43689"/>
    <cellStyle name="_Copy of Cindrella P  L BFC- Version 3 (2)_Financials Preston Offshoring V11_HR Workings Break-up (2)_HR Assumptions for Pricing2 2" xfId="43690"/>
    <cellStyle name="_Copy of Cindrella P  L BFC- Version 3 (2)_Financials Preston Offshoring V11_HR Workings Break-up (2)_HR Assumptions for Pricing2 3" xfId="43691"/>
    <cellStyle name="_Copy of Cindrella P  L BFC- Version 3 (2)_Financials Preston Offshoring V11_Ramp Plan _ RDA_Editorial" xfId="43692"/>
    <cellStyle name="_Copy of Cindrella P  L BFC- Version 3 (2)_Financials Preston Offshoring V11_Ramp Plan _ RDA_Editorial 2" xfId="43693"/>
    <cellStyle name="_Copy of Cindrella P  L BFC- Version 3 (2)_Financials Preston Offshoring V11_Ramp Plan _ RDA_Editorial 3" xfId="43694"/>
    <cellStyle name="_Copy of Cindrella P  L BFC- Version 3 (2)_Financials Preston Offshoring V11_Ramp Plan _ RDA_Editorial_Adv_8oct_Sub Ver 12(4)" xfId="43695"/>
    <cellStyle name="_Copy of Cindrella P  L BFC- Version 3 (2)_Financials Preston Offshoring V11_Ramp Plan _ RDA_Editorial_Adv_8oct_Sub Ver 12(4) 2" xfId="43696"/>
    <cellStyle name="_Copy of Cindrella P  L BFC- Version 3 (2)_Financials Preston Offshoring V11_Ramp Plan _ RDA_Editorial_Adv_8oct_Sub Ver 12(4) 3" xfId="43697"/>
    <cellStyle name="_Copy of Cindrella P  L BFC- Version 3 (2)_Financials Preston Offshoring V11_Ramp Plan _ RDA_Editorial_File for Circulation with Volume Discount Revised" xfId="43698"/>
    <cellStyle name="_Copy of Cindrella P  L BFC- Version 3 (2)_Financials Preston Offshoring V11_Ramp Plan _ RDA_Editorial_File for Circulation with Volume Discount Revised 2" xfId="43699"/>
    <cellStyle name="_Copy of Cindrella P  L BFC- Version 3 (2)_Financials Preston Offshoring V11_Ramp Plan _ RDA_Editorial_File for Circulation with Volume Discount Revised 3" xfId="43700"/>
    <cellStyle name="_Copy of Cindrella P  L BFC- Version 3 (2)_Financials Preston Offshoring V11_Ramp Plan _ RDA_Editorial_HR Assumptions for Pricing2" xfId="43701"/>
    <cellStyle name="_Copy of Cindrella P  L BFC- Version 3 (2)_Financials Preston Offshoring V11_Ramp Plan _ RDA_Editorial_HR Assumptions for Pricing2 2" xfId="43702"/>
    <cellStyle name="_Copy of Cindrella P  L BFC- Version 3 (2)_Financials Preston Offshoring V11_Ramp Plan _ RDA_Editorial_HR Assumptions for Pricing2 3" xfId="43703"/>
    <cellStyle name="_Copy of Cindrella P  L BFC- Version 3 (2)_FTE Deployment v4" xfId="43704"/>
    <cellStyle name="_Copy of Cindrella P  L BFC- Version 3 (2)_FTE Deployment v4 2" xfId="43705"/>
    <cellStyle name="_Copy of Cindrella P  L BFC- Version 3 (2)_FTE Deployment v4 3" xfId="43706"/>
    <cellStyle name="_Copy of Cindrella P  L BFC- Version 3 (2)_FTE Deployment v4 ramp plan" xfId="43707"/>
    <cellStyle name="_Copy of Cindrella P  L BFC- Version 3 (2)_FTE Deployment v4 ramp plan 2" xfId="43708"/>
    <cellStyle name="_Copy of Cindrella P  L BFC- Version 3 (2)_FTE Deployment v4 ramp plan 3" xfId="43709"/>
    <cellStyle name="_Copy of Cindrella P  L BFC- Version 3 (2)_FTE Deployment v4 ramp plan_Advanstar Financials 24 July" xfId="43710"/>
    <cellStyle name="_Copy of Cindrella P  L BFC- Version 3 (2)_FTE Deployment v4 ramp plan_Advanstar Financials 24 July 2" xfId="43711"/>
    <cellStyle name="_Copy of Cindrella P  L BFC- Version 3 (2)_FTE Deployment v4 ramp plan_Advanstar Financials 24 July 3" xfId="43712"/>
    <cellStyle name="_Copy of Cindrella P  L BFC- Version 3 (2)_FTE Deployment v4 ramp plan_Advanstar Financials 24 July v1" xfId="43713"/>
    <cellStyle name="_Copy of Cindrella P  L BFC- Version 3 (2)_FTE Deployment v4 ramp plan_Advanstar Financials 24 July v1 2" xfId="43714"/>
    <cellStyle name="_Copy of Cindrella P  L BFC- Version 3 (2)_FTE Deployment v4 ramp plan_Advanstar Financials 24 July v1 3" xfId="43715"/>
    <cellStyle name="_Copy of Cindrella P  L BFC- Version 3 (2)_FTE Deployment v4 ramp plan_Finance Input Template V6 1 Sep" xfId="43716"/>
    <cellStyle name="_Copy of Cindrella P  L BFC- Version 3 (2)_FTE Deployment v4 ramp plan_Finance Input Template V6 1 Sep 2" xfId="43717"/>
    <cellStyle name="_Copy of Cindrella P  L BFC- Version 3 (2)_FTE Deployment v4 ramp plan_Finance Input Template V6 1 Sep 3" xfId="43718"/>
    <cellStyle name="_Copy of Cindrella P  L BFC- Version 3 (2)_FTE Deployment v4_Advanstar Financials 24 July" xfId="43719"/>
    <cellStyle name="_Copy of Cindrella P  L BFC- Version 3 (2)_FTE Deployment v4_Advanstar Financials 24 July 2" xfId="43720"/>
    <cellStyle name="_Copy of Cindrella P  L BFC- Version 3 (2)_FTE Deployment v4_Advanstar Financials 24 July 3" xfId="43721"/>
    <cellStyle name="_Copy of Cindrella P  L BFC- Version 3 (2)_FTE Deployment v4_Advanstar Financials 24 July v1" xfId="43722"/>
    <cellStyle name="_Copy of Cindrella P  L BFC- Version 3 (2)_FTE Deployment v4_Advanstar Financials 24 July v1 2" xfId="43723"/>
    <cellStyle name="_Copy of Cindrella P  L BFC- Version 3 (2)_FTE Deployment v4_Advanstar Financials 24 July v1 3" xfId="43724"/>
    <cellStyle name="_Copy of Cindrella P  L BFC- Version 3 (2)_FTE Deployment v4_Finance Input Template V6 1 Sep" xfId="43725"/>
    <cellStyle name="_Copy of Cindrella P  L BFC- Version 3 (2)_FTE Deployment v4_Finance Input Template V6 1 Sep 2" xfId="43726"/>
    <cellStyle name="_Copy of Cindrella P  L BFC- Version 3 (2)_FTE Deployment v4_Finance Input Template V6 1 Sep 3" xfId="43727"/>
    <cellStyle name="_Copy of Cindrella P  L BFC- Version 3 (2)_FTE Deployment v5" xfId="43728"/>
    <cellStyle name="_Copy of Cindrella P  L BFC- Version 3 (2)_FTE Deployment v5 2" xfId="43729"/>
    <cellStyle name="_Copy of Cindrella P  L BFC- Version 3 (2)_FTE Deployment v5 3" xfId="43730"/>
    <cellStyle name="_Copy of Cindrella P  L BFC- Version 3 (2)_FTE Deployment v5_Advanstar Financials 24 July" xfId="43731"/>
    <cellStyle name="_Copy of Cindrella P  L BFC- Version 3 (2)_FTE Deployment v5_Advanstar Financials 24 July 2" xfId="43732"/>
    <cellStyle name="_Copy of Cindrella P  L BFC- Version 3 (2)_FTE Deployment v5_Advanstar Financials 24 July 3" xfId="43733"/>
    <cellStyle name="_Copy of Cindrella P  L BFC- Version 3 (2)_FTE Deployment v5_Advanstar Financials 24 July v1" xfId="43734"/>
    <cellStyle name="_Copy of Cindrella P  L BFC- Version 3 (2)_FTE Deployment v5_Advanstar Financials 24 July v1 2" xfId="43735"/>
    <cellStyle name="_Copy of Cindrella P  L BFC- Version 3 (2)_FTE Deployment v5_Advanstar Financials 24 July v1 3" xfId="43736"/>
    <cellStyle name="_Copy of Cindrella P  L BFC- Version 3 (2)_FTE Deployment v5_Finance Input Template V6 1 Sep" xfId="43737"/>
    <cellStyle name="_Copy of Cindrella P  L BFC- Version 3 (2)_FTE Deployment v5_Finance Input Template V6 1 Sep 2" xfId="43738"/>
    <cellStyle name="_Copy of Cindrella P  L BFC- Version 3 (2)_FTE Deployment v5_Finance Input Template V6 1 Sep 3" xfId="43739"/>
    <cellStyle name="_Copy of Cindrella P  L BFC- Version 3 (2)_Newspaper degitation" xfId="43740"/>
    <cellStyle name="_Copy of Cindrella P  L BFC- Version 3 (2)_Newspaper degitation 2" xfId="43741"/>
    <cellStyle name="_Copy of Cindrella P  L BFC- Version 3 (2)_Newspaper degitation 3" xfId="43742"/>
    <cellStyle name="_Copy of Cindrella P  L BFC- Version 3 (2)_PB Carveout" xfId="43743"/>
    <cellStyle name="_Copy of Cindrella P  L BFC- Version 3 (2)_PB Carveout 2" xfId="43744"/>
    <cellStyle name="_Copy of Cindrella P  L BFC- Version 3 (2)_PB Carveout 3" xfId="43745"/>
    <cellStyle name="_Copy of Cindrella P  L BFC- Version 3 (2)_PB Carveout_Advanstar Financials 24 July" xfId="43746"/>
    <cellStyle name="_Copy of Cindrella P  L BFC- Version 3 (2)_PB Carveout_Advanstar Financials 24 July 2" xfId="43747"/>
    <cellStyle name="_Copy of Cindrella P  L BFC- Version 3 (2)_PB Carveout_Advanstar Financials 24 July 3" xfId="43748"/>
    <cellStyle name="_Copy of Cindrella P  L BFC- Version 3 (2)_PB Carveout_Advanstar Financials 24 July v1" xfId="43749"/>
    <cellStyle name="_Copy of Cindrella P  L BFC- Version 3 (2)_PB Carveout_Advanstar Financials 24 July v1 2" xfId="43750"/>
    <cellStyle name="_Copy of Cindrella P  L BFC- Version 3 (2)_PB Carveout_Advanstar Financials 24 July v1 3" xfId="43751"/>
    <cellStyle name="_Copy of Cindrella P  L BFC- Version 3 (2)_PB Carveout_Advanstar Financials 24 July v1_Adv_8oct_Sub Ver 12(4)" xfId="43752"/>
    <cellStyle name="_Copy of Cindrella P  L BFC- Version 3 (2)_PB Carveout_Advanstar Financials 24 July v1_Adv_8oct_Sub Ver 12(4) 2" xfId="43753"/>
    <cellStyle name="_Copy of Cindrella P  L BFC- Version 3 (2)_PB Carveout_Advanstar Financials 24 July v1_Adv_8oct_Sub Ver 12(4) 3" xfId="43754"/>
    <cellStyle name="_Copy of Cindrella P  L BFC- Version 3 (2)_PB Carveout_Advanstar Financials 24 July v1_File for Circulation with Volume Discount Revised" xfId="43755"/>
    <cellStyle name="_Copy of Cindrella P  L BFC- Version 3 (2)_PB Carveout_Advanstar Financials 24 July v1_File for Circulation with Volume Discount Revised 2" xfId="43756"/>
    <cellStyle name="_Copy of Cindrella P  L BFC- Version 3 (2)_PB Carveout_Advanstar Financials 24 July v1_File for Circulation with Volume Discount Revised 3" xfId="43757"/>
    <cellStyle name="_Copy of Cindrella P  L BFC- Version 3 (2)_PB Carveout_Advanstar Financials 24 July v1_HR Assumptions for Pricing2" xfId="43758"/>
    <cellStyle name="_Copy of Cindrella P  L BFC- Version 3 (2)_PB Carveout_Advanstar Financials 24 July v1_HR Assumptions for Pricing2 2" xfId="43759"/>
    <cellStyle name="_Copy of Cindrella P  L BFC- Version 3 (2)_PB Carveout_Advanstar Financials 24 July v1_HR Assumptions for Pricing2 3" xfId="43760"/>
    <cellStyle name="_Copy of Cindrella P  L BFC- Version 3 (2)_PB Carveout_Advanstar Financials 24 July_Adv_8oct_Sub Ver 12(4)" xfId="43761"/>
    <cellStyle name="_Copy of Cindrella P  L BFC- Version 3 (2)_PB Carveout_Advanstar Financials 24 July_Adv_8oct_Sub Ver 12(4) 2" xfId="43762"/>
    <cellStyle name="_Copy of Cindrella P  L BFC- Version 3 (2)_PB Carveout_Advanstar Financials 24 July_Adv_8oct_Sub Ver 12(4) 3" xfId="43763"/>
    <cellStyle name="_Copy of Cindrella P  L BFC- Version 3 (2)_PB Carveout_Advanstar Financials 24 July_File for Circulation with Volume Discount Revised" xfId="43764"/>
    <cellStyle name="_Copy of Cindrella P  L BFC- Version 3 (2)_PB Carveout_Advanstar Financials 24 July_File for Circulation with Volume Discount Revised 2" xfId="43765"/>
    <cellStyle name="_Copy of Cindrella P  L BFC- Version 3 (2)_PB Carveout_Advanstar Financials 24 July_File for Circulation with Volume Discount Revised 3" xfId="43766"/>
    <cellStyle name="_Copy of Cindrella P  L BFC- Version 3 (2)_PB Carveout_Advanstar Financials 24 July_HR Assumptions for Pricing2" xfId="43767"/>
    <cellStyle name="_Copy of Cindrella P  L BFC- Version 3 (2)_PB Carveout_Advanstar Financials 24 July_HR Assumptions for Pricing2 2" xfId="43768"/>
    <cellStyle name="_Copy of Cindrella P  L BFC- Version 3 (2)_PB Carveout_Advanstar Financials 24 July_HR Assumptions for Pricing2 3" xfId="43769"/>
    <cellStyle name="_Copy of Cindrella P  L BFC- Version 3 (2)_PB Carveout_HR Workings Break-up (2)" xfId="43770"/>
    <cellStyle name="_Copy of Cindrella P  L BFC- Version 3 (2)_PB Carveout_HR Workings Break-up (2) 2" xfId="43771"/>
    <cellStyle name="_Copy of Cindrella P  L BFC- Version 3 (2)_PB Carveout_HR Workings Break-up (2) 3" xfId="43772"/>
    <cellStyle name="_Copy of Cindrella P  L BFC- Version 3 (2)_PB Carveout_HR Workings Break-up (2)_Adv_8oct_Sub Ver 12(4)" xfId="43773"/>
    <cellStyle name="_Copy of Cindrella P  L BFC- Version 3 (2)_PB Carveout_HR Workings Break-up (2)_Adv_8oct_Sub Ver 12(4) 2" xfId="43774"/>
    <cellStyle name="_Copy of Cindrella P  L BFC- Version 3 (2)_PB Carveout_HR Workings Break-up (2)_Adv_8oct_Sub Ver 12(4) 3" xfId="43775"/>
    <cellStyle name="_Copy of Cindrella P  L BFC- Version 3 (2)_PB Carveout_HR Workings Break-up (2)_File for Circulation with Volume Discount Revised" xfId="43776"/>
    <cellStyle name="_Copy of Cindrella P  L BFC- Version 3 (2)_PB Carveout_HR Workings Break-up (2)_File for Circulation with Volume Discount Revised 2" xfId="43777"/>
    <cellStyle name="_Copy of Cindrella P  L BFC- Version 3 (2)_PB Carveout_HR Workings Break-up (2)_File for Circulation with Volume Discount Revised 3" xfId="43778"/>
    <cellStyle name="_Copy of Cindrella P  L BFC- Version 3 (2)_PB Carveout_HR Workings Break-up (2)_HR Assumptions for Pricing2" xfId="43779"/>
    <cellStyle name="_Copy of Cindrella P  L BFC- Version 3 (2)_PB Carveout_HR Workings Break-up (2)_HR Assumptions for Pricing2 2" xfId="43780"/>
    <cellStyle name="_Copy of Cindrella P  L BFC- Version 3 (2)_PB Carveout_HR Workings Break-up (2)_HR Assumptions for Pricing2 3" xfId="43781"/>
    <cellStyle name="_Copy of Cindrella P  L BFC- Version 3 (2)_PB Carveout_Ramp Plan _ RDA_Editorial" xfId="43782"/>
    <cellStyle name="_Copy of Cindrella P  L BFC- Version 3 (2)_PB Carveout_Ramp Plan _ RDA_Editorial 2" xfId="43783"/>
    <cellStyle name="_Copy of Cindrella P  L BFC- Version 3 (2)_PB Carveout_Ramp Plan _ RDA_Editorial 3" xfId="43784"/>
    <cellStyle name="_Copy of Cindrella P  L BFC- Version 3 (2)_PB Carveout_Ramp Plan _ RDA_Editorial_Adv_8oct_Sub Ver 12(4)" xfId="43785"/>
    <cellStyle name="_Copy of Cindrella P  L BFC- Version 3 (2)_PB Carveout_Ramp Plan _ RDA_Editorial_Adv_8oct_Sub Ver 12(4) 2" xfId="43786"/>
    <cellStyle name="_Copy of Cindrella P  L BFC- Version 3 (2)_PB Carveout_Ramp Plan _ RDA_Editorial_Adv_8oct_Sub Ver 12(4) 3" xfId="43787"/>
    <cellStyle name="_Copy of Cindrella P  L BFC- Version 3 (2)_PB Carveout_Ramp Plan _ RDA_Editorial_File for Circulation with Volume Discount Revised" xfId="43788"/>
    <cellStyle name="_Copy of Cindrella P  L BFC- Version 3 (2)_PB Carveout_Ramp Plan _ RDA_Editorial_File for Circulation with Volume Discount Revised 2" xfId="43789"/>
    <cellStyle name="_Copy of Cindrella P  L BFC- Version 3 (2)_PB Carveout_Ramp Plan _ RDA_Editorial_File for Circulation with Volume Discount Revised 3" xfId="43790"/>
    <cellStyle name="_Copy of Cindrella P  L BFC- Version 3 (2)_PB Carveout_Ramp Plan _ RDA_Editorial_HR Assumptions for Pricing2" xfId="43791"/>
    <cellStyle name="_Copy of Cindrella P  L BFC- Version 3 (2)_PB Carveout_Ramp Plan _ RDA_Editorial_HR Assumptions for Pricing2 2" xfId="43792"/>
    <cellStyle name="_Copy of Cindrella P  L BFC- Version 3 (2)_PB Carveout_Ramp Plan _ RDA_Editorial_HR Assumptions for Pricing2 3" xfId="43793"/>
    <cellStyle name="_Copy of Cindrella P  L BFC- Version 3 (2)_Pricing Norway Post2" xfId="43794"/>
    <cellStyle name="_Copy of Cindrella P  L BFC- Version 3 (2)_Pricing Norway Post2 2" xfId="43795"/>
    <cellStyle name="_Copy of Cindrella P  L BFC- Version 3 (2)_Pricing Norway Post2 3" xfId="43796"/>
    <cellStyle name="_Copy of Cindrella P  L BFC- Version 3 (2)_Salary Rate Card_v1 0" xfId="43797"/>
    <cellStyle name="_Copy of Cindrella P  L BFC- Version 3 (2)_Salary Rate Card_v1 0 2" xfId="43798"/>
    <cellStyle name="_Copy of Cindrella P  L BFC- Version 3 (2)_Salary Rate Card_v1 0 3" xfId="43799"/>
    <cellStyle name="_Copy of Cindrella P  L BFC- Version 3 (2)_Seat Cost calculation 150110 SkyIt" xfId="43800"/>
    <cellStyle name="_Copy of Cindrella P  L BFC- Version 3 (2)_Seat Cost calculation 150110 SkyIt 2" xfId="43801"/>
    <cellStyle name="_Copy of Cindrella P  L BFC- Version 3 (2)_Seat Cost calculation 150110 SkyIt 3" xfId="43802"/>
    <cellStyle name="_Copy of Cindrella P  L BFC- Version 3 (2)_UMG Financial Model - Apps V 2.0" xfId="43803"/>
    <cellStyle name="_Copy of Cindrella P  L BFC- Version 3 (2)_UMG Financial Model - Apps V 2.0 2" xfId="43804"/>
    <cellStyle name="_Copy of Cindrella P  L BFC- Version 3 (2)_UMG Financial Model - Apps V 2.0 3" xfId="43805"/>
    <cellStyle name="_Copy of Cindrella P  L BFC- Version 3 (2)_UMG_ Pricing Model - Final" xfId="43806"/>
    <cellStyle name="_Copy of Cindrella P  L BFC- Version 3 (2)_UMG_ Pricing Model - Final 2" xfId="43807"/>
    <cellStyle name="_Copy of Cindrella P  L BFC- Version 3 (2)_UMG_ Pricing Model - Final 3" xfId="43808"/>
    <cellStyle name="_Copy of Copy_of_Rob_PA_calculations_PG_Final_Version(1)" xfId="43809"/>
    <cellStyle name="_Copy of Copy_of_Rob_PA_calculations_PG_Final_Version(1) 2" xfId="43810"/>
    <cellStyle name="_x0013__Copy of Corporate waterfall stuart ledger +LBE 10-1-12 month end Jan 12 v3 16-02-12" xfId="43811"/>
    <cellStyle name="_x0013__Copy of Corporate waterfall stuart ledger +LBE 10-1-12 month end Jan 12 v3 16-02-12_budget risk items" xfId="43812"/>
    <cellStyle name="_Copy of Flash pro forma template v3.1" xfId="43813"/>
    <cellStyle name="_Copy of Flash pro forma template v3.1 2" xfId="43814"/>
    <cellStyle name="_Copy of NWT - SR Tables 1-4 - Dataset FD" xfId="43815"/>
    <cellStyle name="_Copy of NWT - SR Tables 1-4 - Dataset FD 2" xfId="43816"/>
    <cellStyle name="_Copy of NWT - SR Tables 1-4 - Dataset FD 3" xfId="43817"/>
    <cellStyle name="_Copy of Operations.23.12.09" xfId="43818"/>
    <cellStyle name="_Copy of Operations.23.12.09 2" xfId="43819"/>
    <cellStyle name="_Copy of Operations.23.12.09 3" xfId="43820"/>
    <cellStyle name="_Copy of Operations.23.12.09 4" xfId="43821"/>
    <cellStyle name="_Copy of Original Sheet final" xfId="43822"/>
    <cellStyle name="_Copy of Original Sheet final 2" xfId="43823"/>
    <cellStyle name="_Copy of Original Sheet final 3" xfId="43824"/>
    <cellStyle name="_Copy of UUW financial model DD v5.030.2.000 20090818" xfId="43825"/>
    <cellStyle name="_Copy of UUW financial model DD v5.030.2.000 20090818 2" xfId="43826"/>
    <cellStyle name="_Copy of UUW financial model DD v5.030.2.000 20090818 3" xfId="43827"/>
    <cellStyle name="_x0013__Corporate waterfall stuart ledger +LBE month end March 12v1" xfId="43828"/>
    <cellStyle name="_x0013__Corporate waterfall stuart ledger +LBE month end March 12v1_budget risk items" xfId="43829"/>
    <cellStyle name="_x0013__Corporate waterfall stuart ledger +LBE month end March 12v2 19-04-2012" xfId="43830"/>
    <cellStyle name="_x0013__Corporate waterfall stuart ledger +LBE month end March 12v2 19-04-2012_budget risk items" xfId="43831"/>
    <cellStyle name="_x0013__Corporate waterfall stuart ledger 10-1-12 month end Dec 11" xfId="43832"/>
    <cellStyle name="_x0013__Corporate waterfall stuart ledger 10-1-12 month end Dec 11 2" xfId="43833"/>
    <cellStyle name="_x0013__Corporate waterfall stuart ledger 10-1-12 month end Dec 11 2_Adjustments" xfId="43834"/>
    <cellStyle name="_x0013__Corporate waterfall stuart ledger 10-1-12 month end Dec 11 2_Overall" xfId="43835"/>
    <cellStyle name="_x0013__Corporate waterfall stuart ledger 10-1-12 month end Dec 11_B &amp; U by Inv Area &amp; Del" xfId="43836"/>
    <cellStyle name="_x0013__Corporate waterfall stuart ledger 10-1-12 month end Dec 11_budget risk items" xfId="43837"/>
    <cellStyle name="_x0013__Corporate waterfall stuart ledger 10-1-12 month end Dec 11_VoWD Data" xfId="43838"/>
    <cellStyle name="_x0013__Corporate waterfall stuart ledger 10-1-12 month end Dec 11_VoWD Data by Purpose Code" xfId="43839"/>
    <cellStyle name="_Cost model supporting info" xfId="43840"/>
    <cellStyle name="_Cost model supporting info 2" xfId="43841"/>
    <cellStyle name="_CPW Shared Capex 1 cover" xfId="43842"/>
    <cellStyle name="_CPW Shared Capex 1 cover 2" xfId="43843"/>
    <cellStyle name="_CPW Shared CAPEX 2" xfId="43844"/>
    <cellStyle name="_CPW Shared CAPEX 2 2" xfId="43845"/>
    <cellStyle name="_CS fte Waterfalls JL working v1" xfId="43846"/>
    <cellStyle name="_CS Opex AMP5 Waterfalls JL working v1" xfId="43847"/>
    <cellStyle name="_CS Opex AMP5 Waterfalls JL working v2" xfId="43848"/>
    <cellStyle name="_x0013__CServices_SwindonCON" xfId="43849"/>
    <cellStyle name="_x0013__CServices_SwindonCON 2" xfId="43850"/>
    <cellStyle name="_Cum KSB1 30030461v2" xfId="43851"/>
    <cellStyle name="_Cum KSB1 30030461v2 2" xfId="43852"/>
    <cellStyle name="_Customer Service  - Cost and Volume file - 18 05 2009v1" xfId="43853"/>
    <cellStyle name="_Customer Service  - Cost and Volume file - 18 05 2009v1 2" xfId="43854"/>
    <cellStyle name="_Customer Service  - Cost and Volume file - 18 05 2009v1 3" xfId="43855"/>
    <cellStyle name="_DB Financials. 8April 07" xfId="43856"/>
    <cellStyle name="_DB Financials. 8April 07 2" xfId="43857"/>
    <cellStyle name="_DB Financials. 8April 07 3" xfId="43858"/>
    <cellStyle name="_DB Financials. 8April 07_Adapt response DC Pricing Format (2)" xfId="43859"/>
    <cellStyle name="_DB Financials. 8April 07_Adapt response DC Pricing Format (2) 2" xfId="43860"/>
    <cellStyle name="_DB Financials. 8April 07_Adapt response DC Pricing Format (2) 3" xfId="43861"/>
    <cellStyle name="_DB Financials. 8April 07_UMG Financial Model - Apps V 2.0" xfId="43862"/>
    <cellStyle name="_DB Financials. 8April 07_UMG Financial Model - Apps V 2.0 2" xfId="43863"/>
    <cellStyle name="_DB Financials. 8April 07_UMG Financial Model - Apps V 2.0 3" xfId="43864"/>
    <cellStyle name="_DB Financials. 8April 07_UMG_ Pricing Model - Final" xfId="43865"/>
    <cellStyle name="_DB Financials. 8April 07_UMG_ Pricing Model - Final 2" xfId="43866"/>
    <cellStyle name="_DB Financials. 8April 07_UMG_ Pricing Model - Final 3" xfId="43867"/>
    <cellStyle name="_Deal Summary - Novartis V6" xfId="43868"/>
    <cellStyle name="_Deal Summary - Novartis V6 2" xfId="43869"/>
    <cellStyle name="_Deal Summary - Novartis V6 3" xfId="43870"/>
    <cellStyle name="_Deal Summary - Novartis V6_Advanstar Financials 24 July" xfId="43871"/>
    <cellStyle name="_Deal Summary - Novartis V6_Advanstar Financials 24 July 2" xfId="43872"/>
    <cellStyle name="_Deal Summary - Novartis V6_Advanstar Financials 24 July 3" xfId="43873"/>
    <cellStyle name="_Deal Summary - Novartis V6_Advanstar Financials 24 July v1" xfId="43874"/>
    <cellStyle name="_Deal Summary - Novartis V6_Advanstar Financials 24 July v1 2" xfId="43875"/>
    <cellStyle name="_Deal Summary - Novartis V6_Advanstar Financials 24 July v1 3" xfId="43876"/>
    <cellStyle name="_Deal Summary - Novartis V6_Advanstar Financials 24 July v1_Adv_8oct_Sub Ver 12(4)" xfId="43877"/>
    <cellStyle name="_Deal Summary - Novartis V6_Advanstar Financials 24 July v1_Adv_8oct_Sub Ver 12(4) 2" xfId="43878"/>
    <cellStyle name="_Deal Summary - Novartis V6_Advanstar Financials 24 July v1_Adv_8oct_Sub Ver 12(4) 3" xfId="43879"/>
    <cellStyle name="_Deal Summary - Novartis V6_Advanstar Financials 24 July v1_File for Circulation with Volume Discount Revised" xfId="43880"/>
    <cellStyle name="_Deal Summary - Novartis V6_Advanstar Financials 24 July v1_File for Circulation with Volume Discount Revised 2" xfId="43881"/>
    <cellStyle name="_Deal Summary - Novartis V6_Advanstar Financials 24 July v1_File for Circulation with Volume Discount Revised 3" xfId="43882"/>
    <cellStyle name="_Deal Summary - Novartis V6_Advanstar Financials 24 July v1_HR Assumptions for Pricing2" xfId="43883"/>
    <cellStyle name="_Deal Summary - Novartis V6_Advanstar Financials 24 July v1_HR Assumptions for Pricing2 2" xfId="43884"/>
    <cellStyle name="_Deal Summary - Novartis V6_Advanstar Financials 24 July v1_HR Assumptions for Pricing2 3" xfId="43885"/>
    <cellStyle name="_Deal Summary - Novartis V6_Advanstar Financials 24 July_Adv_8oct_Sub Ver 12(4)" xfId="43886"/>
    <cellStyle name="_Deal Summary - Novartis V6_Advanstar Financials 24 July_Adv_8oct_Sub Ver 12(4) 2" xfId="43887"/>
    <cellStyle name="_Deal Summary - Novartis V6_Advanstar Financials 24 July_Adv_8oct_Sub Ver 12(4) 3" xfId="43888"/>
    <cellStyle name="_Deal Summary - Novartis V6_Advanstar Financials 24 July_File for Circulation with Volume Discount Revised" xfId="43889"/>
    <cellStyle name="_Deal Summary - Novartis V6_Advanstar Financials 24 July_File for Circulation with Volume Discount Revised 2" xfId="43890"/>
    <cellStyle name="_Deal Summary - Novartis V6_Advanstar Financials 24 July_File for Circulation with Volume Discount Revised 3" xfId="43891"/>
    <cellStyle name="_Deal Summary - Novartis V6_Advanstar Financials 24 July_HR Assumptions for Pricing2" xfId="43892"/>
    <cellStyle name="_Deal Summary - Novartis V6_Advanstar Financials 24 July_HR Assumptions for Pricing2 2" xfId="43893"/>
    <cellStyle name="_Deal Summary - Novartis V6_Advanstar Financials 24 July_HR Assumptions for Pricing2 3" xfId="43894"/>
    <cellStyle name="_Deal Summary - Novartis V6_FTE Deployment v4" xfId="43895"/>
    <cellStyle name="_Deal Summary - Novartis V6_FTE Deployment v4 2" xfId="43896"/>
    <cellStyle name="_Deal Summary - Novartis V6_FTE Deployment v4 3" xfId="43897"/>
    <cellStyle name="_Deal Summary - Novartis V6_FTE Deployment v4 ramp plan" xfId="43898"/>
    <cellStyle name="_Deal Summary - Novartis V6_FTE Deployment v4 ramp plan 2" xfId="43899"/>
    <cellStyle name="_Deal Summary - Novartis V6_FTE Deployment v4 ramp plan 3" xfId="43900"/>
    <cellStyle name="_Deal Summary - Novartis V6_FTE Deployment v4 ramp plan_Advanstar Financials 24 July" xfId="43901"/>
    <cellStyle name="_Deal Summary - Novartis V6_FTE Deployment v4 ramp plan_Advanstar Financials 24 July 2" xfId="43902"/>
    <cellStyle name="_Deal Summary - Novartis V6_FTE Deployment v4 ramp plan_Advanstar Financials 24 July 3" xfId="43903"/>
    <cellStyle name="_Deal Summary - Novartis V6_FTE Deployment v4 ramp plan_Advanstar Financials 24 July v1" xfId="43904"/>
    <cellStyle name="_Deal Summary - Novartis V6_FTE Deployment v4 ramp plan_Advanstar Financials 24 July v1 2" xfId="43905"/>
    <cellStyle name="_Deal Summary - Novartis V6_FTE Deployment v4 ramp plan_Advanstar Financials 24 July v1 3" xfId="43906"/>
    <cellStyle name="_Deal Summary - Novartis V6_FTE Deployment v4 ramp plan_Finance Input Template V6 1 Sep" xfId="43907"/>
    <cellStyle name="_Deal Summary - Novartis V6_FTE Deployment v4 ramp plan_Finance Input Template V6 1 Sep 2" xfId="43908"/>
    <cellStyle name="_Deal Summary - Novartis V6_FTE Deployment v4 ramp plan_Finance Input Template V6 1 Sep 3" xfId="43909"/>
    <cellStyle name="_Deal Summary - Novartis V6_FTE Deployment v4_Advanstar Financials 24 July" xfId="43910"/>
    <cellStyle name="_Deal Summary - Novartis V6_FTE Deployment v4_Advanstar Financials 24 July 2" xfId="43911"/>
    <cellStyle name="_Deal Summary - Novartis V6_FTE Deployment v4_Advanstar Financials 24 July 3" xfId="43912"/>
    <cellStyle name="_Deal Summary - Novartis V6_FTE Deployment v4_Advanstar Financials 24 July v1" xfId="43913"/>
    <cellStyle name="_Deal Summary - Novartis V6_FTE Deployment v4_Advanstar Financials 24 July v1 2" xfId="43914"/>
    <cellStyle name="_Deal Summary - Novartis V6_FTE Deployment v4_Advanstar Financials 24 July v1 3" xfId="43915"/>
    <cellStyle name="_Deal Summary - Novartis V6_FTE Deployment v4_Finance Input Template V6 1 Sep" xfId="43916"/>
    <cellStyle name="_Deal Summary - Novartis V6_FTE Deployment v4_Finance Input Template V6 1 Sep 2" xfId="43917"/>
    <cellStyle name="_Deal Summary - Novartis V6_FTE Deployment v4_Finance Input Template V6 1 Sep 3" xfId="43918"/>
    <cellStyle name="_Deal Summary - Novartis V6_FTE Deployment v5" xfId="43919"/>
    <cellStyle name="_Deal Summary - Novartis V6_FTE Deployment v5 2" xfId="43920"/>
    <cellStyle name="_Deal Summary - Novartis V6_FTE Deployment v5 3" xfId="43921"/>
    <cellStyle name="_Deal Summary - Novartis V6_FTE Deployment v5_Advanstar Financials 24 July" xfId="43922"/>
    <cellStyle name="_Deal Summary - Novartis V6_FTE Deployment v5_Advanstar Financials 24 July 2" xfId="43923"/>
    <cellStyle name="_Deal Summary - Novartis V6_FTE Deployment v5_Advanstar Financials 24 July 3" xfId="43924"/>
    <cellStyle name="_Deal Summary - Novartis V6_FTE Deployment v5_Advanstar Financials 24 July v1" xfId="43925"/>
    <cellStyle name="_Deal Summary - Novartis V6_FTE Deployment v5_Advanstar Financials 24 July v1 2" xfId="43926"/>
    <cellStyle name="_Deal Summary - Novartis V6_FTE Deployment v5_Advanstar Financials 24 July v1 3" xfId="43927"/>
    <cellStyle name="_Deal Summary - Novartis V6_FTE Deployment v5_Finance Input Template V6 1 Sep" xfId="43928"/>
    <cellStyle name="_Deal Summary - Novartis V6_FTE Deployment v5_Finance Input Template V6 1 Sep 2" xfId="43929"/>
    <cellStyle name="_Deal Summary - Novartis V6_FTE Deployment v5_Finance Input Template V6 1 Sep 3" xfId="43930"/>
    <cellStyle name="_Deal Summary - Novartis V6_Pricing Norway Post2" xfId="43931"/>
    <cellStyle name="_Deal Summary - Novartis V6_Pricing Norway Post2 2" xfId="43932"/>
    <cellStyle name="_Deal Summary - Novartis V6_Pricing Norway Post2 3" xfId="43933"/>
    <cellStyle name="_Deal Summary - Novartis V6_Salary Rate Card_v1 0" xfId="43934"/>
    <cellStyle name="_Deal Summary - Novartis V6_Salary Rate Card_v1 0 2" xfId="43935"/>
    <cellStyle name="_Deal Summary - Novartis V6_Salary Rate Card_v1 0 3" xfId="43936"/>
    <cellStyle name="_Deal Summary - Novartis V6_Seat Cost calculation 150110 SkyIt" xfId="43937"/>
    <cellStyle name="_Deal Summary - Novartis V6_Seat Cost calculation 150110 SkyIt 2" xfId="43938"/>
    <cellStyle name="_Deal Summary - Novartis V6_Seat Cost calculation 150110 SkyIt 3" xfId="43939"/>
    <cellStyle name="_Debt Summary M11" xfId="43940"/>
    <cellStyle name="_Debt Summary M11 2" xfId="43941"/>
    <cellStyle name="_Dec Bad Debt Projection Waterfall" xfId="43942"/>
    <cellStyle name="_Dec Bad Debt Projection Waterfall 2" xfId="43943"/>
    <cellStyle name="_Depreciation Profit &amp; Loss Accounts Reconciliation April 11" xfId="43944"/>
    <cellStyle name="_detail" xfId="43945"/>
    <cellStyle name="_detail 2" xfId="43946"/>
    <cellStyle name="_Developer Services headcount inc Vacancy Challenge" xfId="43947"/>
    <cellStyle name="_Developer Services headcount inc Vacancy Challenge 2" xfId="43948"/>
    <cellStyle name="_Developer Services headcount inc Vacancy Challenge 2 2" xfId="43949"/>
    <cellStyle name="_Developer Services headcount inc Vacancy Challenge 2 3" xfId="43950"/>
    <cellStyle name="_Developer Services headcount inc Vacancy Challenge 3" xfId="43951"/>
    <cellStyle name="_Developer Services headcount inc Vacancy Challenge 4" xfId="43952"/>
    <cellStyle name="_Directly Managed Waterfall Template v 6+6" xfId="43953"/>
    <cellStyle name="_Dividends 2010_Draft post FDv2 080110" xfId="43954"/>
    <cellStyle name="_Dividends 2010_Draft post FDv2 080110 2" xfId="43955"/>
    <cellStyle name="_DN Sale Model 040611 Sydney AL" xfId="43956"/>
    <cellStyle name="_DN Sale Model 040611 Sydney AL 2" xfId="43957"/>
    <cellStyle name="_DN Sale Model 040611 Sydney AL 2 2" xfId="43958"/>
    <cellStyle name="_DN Sale Model 040611 Sydney AL 3" xfId="43959"/>
    <cellStyle name="_DN Sale Model 040611 Sydney AL 3 2" xfId="43960"/>
    <cellStyle name="_DN Sale Model 040611 Sydney AL 4" xfId="43961"/>
    <cellStyle name="_DN Sale Model 040611 Sydney AL 4 2" xfId="43962"/>
    <cellStyle name="_DN Sale Model 040611 Sydney AL 5" xfId="43963"/>
    <cellStyle name="_DN Sale Model 040611 Sydney AL 5 2" xfId="43964"/>
    <cellStyle name="_DN Sale Model 040611 Sydney AL 6" xfId="43965"/>
    <cellStyle name="_DN Sale Model 040611 Sydney AL 6 2" xfId="43966"/>
    <cellStyle name="_DN Sale Model 040611 Sydney AL 7" xfId="43967"/>
    <cellStyle name="_DN Sale Model 040611 Sydney AL 7 2" xfId="43968"/>
    <cellStyle name="_DN Sale Model 040611 Sydney AL 8" xfId="43969"/>
    <cellStyle name="_DN Sale Model 040611 Sydney AL_~9868926" xfId="43970"/>
    <cellStyle name="_DN Sale Model 040611 Sydney AL_2011 10 Nov R&amp;O Register Reporting (Working Copy) Finance Draft" xfId="43971"/>
    <cellStyle name="_DN Sale Model 040611 Sydney AL_2011 10 Nov R&amp;O Register Reporting (Working Copy) Finance Final" xfId="43972"/>
    <cellStyle name="_DN Sale Model 040611 Sydney AL_2012 04 April R&amp;O Register IC Reporting" xfId="43973"/>
    <cellStyle name="_DN Sale Model 040611 Sydney AL_6+6 Forecast Backup Worksheets" xfId="43974"/>
    <cellStyle name="_DN Sale Model 040611 Sydney AL_7+5 waterfall DMC" xfId="43975"/>
    <cellStyle name="_DN Sale Model 040611 Sydney AL_Adjustments" xfId="43976"/>
    <cellStyle name="_DN Sale Model 040611 Sydney AL_Adjustments 2" xfId="43977"/>
    <cellStyle name="_DN Sale Model 040611 Sydney AL_Adjustments 2_Adjustments" xfId="43978"/>
    <cellStyle name="_DN Sale Model 040611 Sydney AL_Adjustments 2_Overall" xfId="43979"/>
    <cellStyle name="_DN Sale Model 040611 Sydney AL_Adjustments_VoWD Data" xfId="43980"/>
    <cellStyle name="_DN Sale Model 040611 Sydney AL_Adjustments_VoWD Data by Purpose Code" xfId="43981"/>
    <cellStyle name="_DN Sale Model 040611 Sydney AL_AffinPartner" xfId="43982"/>
    <cellStyle name="_DN Sale Model 040611 Sydney AL_AffinPartner 2" xfId="43983"/>
    <cellStyle name="_DN Sale Model 040611 Sydney AL_AffinPartner_1" xfId="43984"/>
    <cellStyle name="_DN Sale Model 040611 Sydney AL_AffinPartner_1 2" xfId="43985"/>
    <cellStyle name="_DN Sale Model 040611 Sydney AL_Asset_ManagementCON" xfId="43986"/>
    <cellStyle name="_DN Sale Model 040611 Sydney AL_Asset_ManagementCON 2" xfId="43987"/>
    <cellStyle name="_DN Sale Model 040611 Sydney AL_Asset_ManagementCON_1" xfId="43988"/>
    <cellStyle name="_DN Sale Model 040611 Sydney AL_Asset_ManagementCON_1 2" xfId="43989"/>
    <cellStyle name="_DN Sale Model 040611 Sydney AL_Asset_MgmtNonAppoint" xfId="43990"/>
    <cellStyle name="_DN Sale Model 040611 Sydney AL_Asset_MgmtNonAppoint 2" xfId="43991"/>
    <cellStyle name="_DN Sale Model 040611 Sydney AL_Book1" xfId="43992"/>
    <cellStyle name="_DN Sale Model 040611 Sydney AL_Book2" xfId="43993"/>
    <cellStyle name="_DN Sale Model 040611 Sydney AL_Book3" xfId="43994"/>
    <cellStyle name="_DN Sale Model 040611 Sydney AL_Book3 2" xfId="43995"/>
    <cellStyle name="_DN Sale Model 040611 Sydney AL_Book3 2_Adjustments" xfId="43996"/>
    <cellStyle name="_DN Sale Model 040611 Sydney AL_Book3 2_Overall" xfId="43997"/>
    <cellStyle name="_DN Sale Model 040611 Sydney AL_Book3_B &amp; U by Inv Area &amp; Del" xfId="43998"/>
    <cellStyle name="_DN Sale Model 040611 Sydney AL_Book3_budget risk items" xfId="43999"/>
    <cellStyle name="_DN Sale Model 040611 Sydney AL_Book3_VoWD Data" xfId="44000"/>
    <cellStyle name="_DN Sale Model 040611 Sydney AL_Book3_VoWD Data by Purpose Code" xfId="44001"/>
    <cellStyle name="_DN Sale Model 040611 Sydney AL_Budget Finance" xfId="44002"/>
    <cellStyle name="_DN Sale Model 040611 Sydney AL_Budget Finance 2" xfId="44003"/>
    <cellStyle name="_DN Sale Model 040611 Sydney AL_Budget Finance 3" xfId="44004"/>
    <cellStyle name="_DN Sale Model 040611 Sydney AL_budget risk items" xfId="44005"/>
    <cellStyle name="_DN Sale Model 040611 Sydney AL_Capital_DeliveryCON" xfId="44006"/>
    <cellStyle name="_DN Sale Model 040611 Sydney AL_Capital_DeliveryCON 2" xfId="44007"/>
    <cellStyle name="_DN Sale Model 040611 Sydney AL_Central_Items" xfId="44008"/>
    <cellStyle name="_DN Sale Model 040611 Sydney AL_Central_Items 2" xfId="44009"/>
    <cellStyle name="_DN Sale Model 040611 Sydney AL_Central_Items_1" xfId="44010"/>
    <cellStyle name="_DN Sale Model 040611 Sydney AL_Central_Items_1 2" xfId="44011"/>
    <cellStyle name="_DN Sale Model 040611 Sydney AL_Central_Items_2" xfId="44012"/>
    <cellStyle name="_DN Sale Model 040611 Sydney AL_Central_Items_2 2" xfId="44013"/>
    <cellStyle name="_DN Sale Model 040611 Sydney AL_CENTRE" xfId="44014"/>
    <cellStyle name="_DN Sale Model 040611 Sydney AL_CENTRE 2" xfId="44015"/>
    <cellStyle name="_DN Sale Model 040611 Sydney AL_CENTRE_1" xfId="44016"/>
    <cellStyle name="_DN Sale Model 040611 Sydney AL_CENTRE_1 2" xfId="44017"/>
    <cellStyle name="_DN Sale Model 040611 Sydney AL_CENTRE_2" xfId="44018"/>
    <cellStyle name="_DN Sale Model 040611 Sydney AL_CENTRE_2 2" xfId="44019"/>
    <cellStyle name="_DN Sale Model 040611 Sydney AL_CENTRE_Check" xfId="44020"/>
    <cellStyle name="_DN Sale Model 040611 Sydney AL_CENTRE_Check 2" xfId="44021"/>
    <cellStyle name="_DN Sale Model 040611 Sydney AL_CENTRE_TWPROP" xfId="44022"/>
    <cellStyle name="_DN Sale Model 040611 Sydney AL_CENTRE_TWPROP 2" xfId="44023"/>
    <cellStyle name="_DN Sale Model 040611 Sydney AL_Check" xfId="44024"/>
    <cellStyle name="_DN Sale Model 040611 Sydney AL_Check 2" xfId="44025"/>
    <cellStyle name="_DN Sale Model 040611 Sydney AL_CommCentral" xfId="44026"/>
    <cellStyle name="_DN Sale Model 040611 Sydney AL_CommCentral 2" xfId="44027"/>
    <cellStyle name="_DN Sale Model 040611 Sydney AL_CommCentral_1" xfId="44028"/>
    <cellStyle name="_DN Sale Model 040611 Sydney AL_CommCentral_1 2" xfId="44029"/>
    <cellStyle name="_DN Sale Model 040611 Sydney AL_commentary 16 Feb 2012" xfId="44030"/>
    <cellStyle name="_DN Sale Model 040611 Sydney AL_CommProjects" xfId="44031"/>
    <cellStyle name="_DN Sale Model 040611 Sydney AL_CommProjects 2" xfId="44032"/>
    <cellStyle name="_DN Sale Model 040611 Sydney AL_CommProjects_1" xfId="44033"/>
    <cellStyle name="_DN Sale Model 040611 Sydney AL_CommProjects_1 2" xfId="44034"/>
    <cellStyle name="_DN Sale Model 040611 Sydney AL_CONSOL_G" xfId="44035"/>
    <cellStyle name="_DN Sale Model 040611 Sydney AL_CONSOL_G 2" xfId="44036"/>
    <cellStyle name="_DN Sale Model 040611 Sydney AL_Copy of Corporate waterfall stuart ledger +LBE 10-1-12 month end Jan 12 v3 16-02-12" xfId="44037"/>
    <cellStyle name="_DN Sale Model 040611 Sydney AL_Copy of Corporate waterfall stuart ledger +LBE 10-1-12 month end Jan 12 v3 16-02-12_budget risk items" xfId="44038"/>
    <cellStyle name="_DN Sale Model 040611 Sydney AL_Copy of QRF 2011 6+6 - Final v5.1 - Recut of v4 with uplifted IS &amp; IRE overhead rates" xfId="44039"/>
    <cellStyle name="_DN Sale Model 040611 Sydney AL_Corporate Commentary April 12" xfId="44040"/>
    <cellStyle name="_DN Sale Model 040611 Sydney AL_Corporate Sub AMP5 Net Profiles" xfId="44041"/>
    <cellStyle name="_DN Sale Model 040611 Sydney AL_Corporate waterfall stuart ledger 10-1-12 month end Dec 11" xfId="44042"/>
    <cellStyle name="_DN Sale Model 040611 Sydney AL_Corporate waterfall stuart ledger 10-1-12 month end Dec 11 2" xfId="44043"/>
    <cellStyle name="_DN Sale Model 040611 Sydney AL_Corporate waterfall stuart ledger 10-1-12 month end Dec 11 2_Adjustments" xfId="44044"/>
    <cellStyle name="_DN Sale Model 040611 Sydney AL_Corporate waterfall stuart ledger 10-1-12 month end Dec 11 2_Overall" xfId="44045"/>
    <cellStyle name="_DN Sale Model 040611 Sydney AL_Corporate waterfall stuart ledger 10-1-12 month end Dec 11_B &amp; U by Inv Area &amp; Del" xfId="44046"/>
    <cellStyle name="_DN Sale Model 040611 Sydney AL_Corporate waterfall stuart ledger 10-1-12 month end Dec 11_budget risk items" xfId="44047"/>
    <cellStyle name="_DN Sale Model 040611 Sydney AL_Corporate waterfall stuart ledger 10-1-12 month end Dec 11_VoWD Data" xfId="44048"/>
    <cellStyle name="_DN Sale Model 040611 Sydney AL_Corporate waterfall stuart ledger 10-1-12 month end Dec 11_VoWD Data by Purpose Code" xfId="44049"/>
    <cellStyle name="_DN Sale Model 040611 Sydney AL_CServices_SwindonCON" xfId="44050"/>
    <cellStyle name="_DN Sale Model 040611 Sydney AL_CServices_SwindonCON 2" xfId="44051"/>
    <cellStyle name="_DN Sale Model 040611 Sydney AL_Developer Services Waterfall Template v 2+10" xfId="44052"/>
    <cellStyle name="_DN Sale Model 040611 Sydney AL_Employment costs" xfId="44053"/>
    <cellStyle name="_DN Sale Model 040611 Sydney AL_Employment costs 2" xfId="44054"/>
    <cellStyle name="_DN Sale Model 040611 Sydney AL_Employment costs_1" xfId="44055"/>
    <cellStyle name="_DN Sale Model 040611 Sydney AL_Employment costs_1 2" xfId="44056"/>
    <cellStyle name="_DN Sale Model 040611 Sydney AL_Employment costs_2" xfId="44057"/>
    <cellStyle name="_DN Sale Model 040611 Sydney AL_Employment costs_2 2" xfId="44058"/>
    <cellStyle name="_DN Sale Model 040611 Sydney AL_External_Affairs" xfId="44059"/>
    <cellStyle name="_DN Sale Model 040611 Sydney AL_External_Affairs 2" xfId="44060"/>
    <cellStyle name="_DN Sale Model 040611 Sydney AL_External_Affairs_1" xfId="44061"/>
    <cellStyle name="_DN Sale Model 040611 Sydney AL_External_Affairs_1 2" xfId="44062"/>
    <cellStyle name="_DN Sale Model 040611 Sydney AL_FD Monitoring AMP5 - Q2 (6 monthly) 2011-12 v0.2 1page Simon McSweeney" xfId="44063"/>
    <cellStyle name="_DN Sale Model 040611 Sydney AL_FD Monitoring AMP5 - Q2 (6 monthly) 2011-12 v0.2 1page Simon McSweeney 2" xfId="44064"/>
    <cellStyle name="_DN Sale Model 040611 Sydney AL_FD Monitoring AMP5 - Q2 (6 monthly) 2011-12 v0.2 1page Simon McSweeney 2_Adjustments" xfId="44065"/>
    <cellStyle name="_DN Sale Model 040611 Sydney AL_FD Monitoring AMP5 - Q2 (6 monthly) 2011-12 v0.2 1page Simon McSweeney 2_Overall" xfId="44066"/>
    <cellStyle name="_DN Sale Model 040611 Sydney AL_FD Monitoring AMP5 - Q2 (6 monthly) 2011-12 v0.2 1page Simon McSweeney_B &amp; U by Inv Area &amp; Del" xfId="44067"/>
    <cellStyle name="_DN Sale Model 040611 Sydney AL_FD Monitoring AMP5 - Q2 (6 monthly) 2011-12 v0.2 1page Simon McSweeney_budget risk items" xfId="44068"/>
    <cellStyle name="_DN Sale Model 040611 Sydney AL_FD Monitoring AMP5 - Q2 (6 monthly) 2011-12 v0.2 1page Simon McSweeney_VoWD Data" xfId="44069"/>
    <cellStyle name="_DN Sale Model 040611 Sydney AL_FD Monitoring AMP5 - Q2 (6 monthly) 2011-12 v0.2 1page Simon McSweeney_VoWD Data by Purpose Code" xfId="44070"/>
    <cellStyle name="_DN Sale Model 040611 Sydney AL_Finance" xfId="44071"/>
    <cellStyle name="_DN Sale Model 040611 Sydney AL_Finance 2" xfId="44072"/>
    <cellStyle name="_DN Sale Model 040611 Sydney AL_Finance_1" xfId="44073"/>
    <cellStyle name="_DN Sale Model 040611 Sydney AL_Finance_1 2" xfId="44074"/>
    <cellStyle name="_DN Sale Model 040611 Sydney AL_Flash Report - 12 - Mar12 - Draft - 03Apr12 pm - Values Only copy" xfId="44075"/>
    <cellStyle name="_DN Sale Model 040611 Sydney AL_Fleet" xfId="44076"/>
    <cellStyle name="_DN Sale Model 040611 Sydney AL_Fleet 2" xfId="44077"/>
    <cellStyle name="_DN Sale Model 040611 Sydney AL_Fleet_1" xfId="44078"/>
    <cellStyle name="_DN Sale Model 040611 Sydney AL_Fleet_1 2" xfId="44079"/>
    <cellStyle name="_DN Sale Model 040611 Sydney AL_Forecast March 2012 (FINAL On SAP 8th Mar 2012)" xfId="44080"/>
    <cellStyle name="_DN Sale Model 040611 Sydney AL_Forecast November 2011 (data from QRF file)v4 (as per NP file, some Oct still forecast)" xfId="44081"/>
    <cellStyle name="_DN Sale Model 040611 Sydney AL_Fst-Bud Summary" xfId="44082"/>
    <cellStyle name="_DN Sale Model 040611 Sydney AL_Fst-Bud Summary 2" xfId="44083"/>
    <cellStyle name="_DN Sale Model 040611 Sydney AL_Fst-Bud Summary 3" xfId="44084"/>
    <cellStyle name="_DN Sale Model 040611 Sydney AL_General_Councel" xfId="44085"/>
    <cellStyle name="_DN Sale Model 040611 Sydney AL_General_Councel 2" xfId="44086"/>
    <cellStyle name="_DN Sale Model 040611 Sydney AL_General_Councel_1" xfId="44087"/>
    <cellStyle name="_DN Sale Model 040611 Sydney AL_General_Councel_1 2" xfId="44088"/>
    <cellStyle name="_DN Sale Model 040611 Sydney AL_Human_Resources" xfId="44089"/>
    <cellStyle name="_DN Sale Model 040611 Sydney AL_Human_Resources 2" xfId="44090"/>
    <cellStyle name="_DN Sale Model 040611 Sydney AL_Human_Resources_1" xfId="44091"/>
    <cellStyle name="_DN Sale Model 040611 Sydney AL_Human_Resources_1 2" xfId="44092"/>
    <cellStyle name="_DN Sale Model 040611 Sydney AL_IBP by Inv Area" xfId="44093"/>
    <cellStyle name="_DN Sale Model 040611 Sydney AL_IBP by Inv Area 2" xfId="44094"/>
    <cellStyle name="_DN Sale Model 040611 Sydney AL_IBP by Inv Area 2_Adjustments" xfId="44095"/>
    <cellStyle name="_DN Sale Model 040611 Sydney AL_IBP by Inv Area 2_Overall" xfId="44096"/>
    <cellStyle name="_DN Sale Model 040611 Sydney AL_IBP by Inv Area_B &amp; U by Inv Area &amp; Del" xfId="44097"/>
    <cellStyle name="_DN Sale Model 040611 Sydney AL_IBP by Inv Area_budget risk items" xfId="44098"/>
    <cellStyle name="_DN Sale Model 040611 Sydney AL_IBP by Inv Area_VoWD Data" xfId="44099"/>
    <cellStyle name="_DN Sale Model 040611 Sydney AL_IBP by Inv Area_VoWD Data by Purpose Code" xfId="44100"/>
    <cellStyle name="_DN Sale Model 040611 Sydney AL_Innovation" xfId="44101"/>
    <cellStyle name="_DN Sale Model 040611 Sydney AL_Innovation 2" xfId="44102"/>
    <cellStyle name="_DN Sale Model 040611 Sydney AL_Innovation_1" xfId="44103"/>
    <cellStyle name="_DN Sale Model 040611 Sydney AL_Innovation_1 2" xfId="44104"/>
    <cellStyle name="_DN Sale Model 040611 Sydney AL_IT" xfId="44105"/>
    <cellStyle name="_DN Sale Model 040611 Sydney AL_IT 2" xfId="44106"/>
    <cellStyle name="_DN Sale Model 040611 Sydney AL_IT_1" xfId="44107"/>
    <cellStyle name="_DN Sale Model 040611 Sydney AL_IT_1 2" xfId="44108"/>
    <cellStyle name="_DN Sale Model 040611 Sydney AL_January 12 R&amp;O Register" xfId="44109"/>
    <cellStyle name="_DN Sale Model 040611 Sydney AL_KWFLtd" xfId="44110"/>
    <cellStyle name="_DN Sale Model 040611 Sydney AL_KWFLtd 2" xfId="44111"/>
    <cellStyle name="_DN Sale Model 040611 Sydney AL_KWHLTD_G" xfId="44112"/>
    <cellStyle name="_DN Sale Model 040611 Sydney AL_KWHLTD_G 2" xfId="44113"/>
    <cellStyle name="_DN Sale Model 040611 Sydney AL_KWHLTD_G_1" xfId="44114"/>
    <cellStyle name="_DN Sale Model 040611 Sydney AL_KWHLTD_G_1 2" xfId="44115"/>
    <cellStyle name="_DN Sale Model 040611 Sydney AL_KWHLTD_G_2" xfId="44116"/>
    <cellStyle name="_DN Sale Model 040611 Sydney AL_KWHLTD_G_2 2" xfId="44117"/>
    <cellStyle name="_DN Sale Model 040611 Sydney AL_Major_ProjectsCON" xfId="44118"/>
    <cellStyle name="_DN Sale Model 040611 Sydney AL_Major_ProjectsCON 2" xfId="44119"/>
    <cellStyle name="_DN Sale Model 040611 Sydney AL_Management Structure" xfId="44120"/>
    <cellStyle name="_DN Sale Model 040611 Sydney AL_Management Structure 2" xfId="44121"/>
    <cellStyle name="_DN Sale Model 040611 Sydney AL_Management Structure_1" xfId="44122"/>
    <cellStyle name="_DN Sale Model 040611 Sydney AL_Management Structure_1 2" xfId="44123"/>
    <cellStyle name="_DN Sale Model 040611 Sydney AL_May 12 R&amp;O Register v2" xfId="44124"/>
    <cellStyle name="_DN Sale Model 040611 Sydney AL_Monthly CapEx Reporting - April 12" xfId="44125"/>
    <cellStyle name="_DN Sale Model 040611 Sydney AL_Monthly CapEx Reporting - April 12_budget risk items" xfId="44126"/>
    <cellStyle name="_DN Sale Model 040611 Sydney AL_Monthly Forecast (1+11) - Final v4 - Values Only copy" xfId="44127"/>
    <cellStyle name="_DN Sale Model 040611 Sydney AL_Monthly Forecast (1+11) - Final v5 - Values Only copy" xfId="44128"/>
    <cellStyle name="_DN Sale Model 040611 Sydney AL_Monthly Forecast (10+2) - 06Feb12 v2 - Values Only Copy" xfId="44129"/>
    <cellStyle name="_DN Sale Model 040611 Sydney AL_Monthly Forecast (11+1) - 06Mar12 v3 - Values Only copy" xfId="44130"/>
    <cellStyle name="_DN Sale Model 040611 Sydney AL_Monthly Forecast (2+10) - Final v3 - Values Only copy" xfId="44131"/>
    <cellStyle name="_DN Sale Model 040611 Sydney AL_Monthly Forecast (9+3) - 06Jan12 v3" xfId="44132"/>
    <cellStyle name="_DN Sale Model 040611 Sydney AL_OHAP Monitoring" xfId="44133"/>
    <cellStyle name="_DN Sale Model 040611 Sydney AL_OHAP Reporting 1stMar12" xfId="44134"/>
    <cellStyle name="_DN Sale Model 040611 Sydney AL_OHAP Reporting 1stMar12 2" xfId="44135"/>
    <cellStyle name="_DN Sale Model 040611 Sydney AL_OHAP Reporting 1stMar12 2_Adjustments" xfId="44136"/>
    <cellStyle name="_DN Sale Model 040611 Sydney AL_OHAP Reporting 1stMar12 2_Overall" xfId="44137"/>
    <cellStyle name="_DN Sale Model 040611 Sydney AL_OHAP Reporting 1stMar12_B &amp; U by Inv Area &amp; Del" xfId="44138"/>
    <cellStyle name="_DN Sale Model 040611 Sydney AL_OHAP Reporting 1stMar12_budget risk items" xfId="44139"/>
    <cellStyle name="_DN Sale Model 040611 Sydney AL_OHAP Reporting 1stMar12_VoWD Data" xfId="44140"/>
    <cellStyle name="_DN Sale Model 040611 Sydney AL_OHAP Reporting 1stMar12_VoWD Data by Purpose Code" xfId="44141"/>
    <cellStyle name="_DN Sale Model 040611 Sydney AL_Operations" xfId="44142"/>
    <cellStyle name="_DN Sale Model 040611 Sydney AL_Operations 2" xfId="44143"/>
    <cellStyle name="_DN Sale Model 040611 Sydney AL_Operations_1" xfId="44144"/>
    <cellStyle name="_DN Sale Model 040611 Sydney AL_Operations_1 2" xfId="44145"/>
    <cellStyle name="_DN Sale Model 040611 Sydney AL_Ops contracts" xfId="44146"/>
    <cellStyle name="_DN Sale Model 040611 Sydney AL_Ops contracts 2" xfId="44147"/>
    <cellStyle name="_DN Sale Model 040611 Sydney AL_Ops contracts_1" xfId="44148"/>
    <cellStyle name="_DN Sale Model 040611 Sydney AL_Ops contracts_1 2" xfId="44149"/>
    <cellStyle name="_DN Sale Model 040611 Sydney AL_Ops contracts_2" xfId="44150"/>
    <cellStyle name="_DN Sale Model 040611 Sydney AL_Ops contracts_2 2" xfId="44151"/>
    <cellStyle name="_DN Sale Model 040611 Sydney AL_OtherSS" xfId="44152"/>
    <cellStyle name="_DN Sale Model 040611 Sydney AL_OtherSS 2" xfId="44153"/>
    <cellStyle name="_DN Sale Model 040611 Sydney AL_OtherSS_1" xfId="44154"/>
    <cellStyle name="_DN Sale Model 040611 Sydney AL_OtherSS_1 2" xfId="44155"/>
    <cellStyle name="_DN Sale Model 040611 Sydney AL_P&amp;L_AMP5" xfId="44156"/>
    <cellStyle name="_DN Sale Model 040611 Sydney AL_P&amp;L_AMP5 2" xfId="44157"/>
    <cellStyle name="_DN Sale Model 040611 Sydney AL_P&amp;L_Detail" xfId="44158"/>
    <cellStyle name="_DN Sale Model 040611 Sydney AL_P&amp;L_Detail 2" xfId="44159"/>
    <cellStyle name="_DN Sale Model 040611 Sydney AL_Power" xfId="44160"/>
    <cellStyle name="_DN Sale Model 040611 Sydney AL_Power 2" xfId="44161"/>
    <cellStyle name="_DN Sale Model 040611 Sydney AL_Power_1" xfId="44162"/>
    <cellStyle name="_DN Sale Model 040611 Sydney AL_Power_1 2" xfId="44163"/>
    <cellStyle name="_DN Sale Model 040611 Sydney AL_Property_Facilities" xfId="44164"/>
    <cellStyle name="_DN Sale Model 040611 Sydney AL_Property_Facilities 2" xfId="44165"/>
    <cellStyle name="_DN Sale Model 040611 Sydney AL_Property_Facilities_1" xfId="44166"/>
    <cellStyle name="_DN Sale Model 040611 Sydney AL_Property_Facilities_1 2" xfId="44167"/>
    <cellStyle name="_DN Sale Model 040611 Sydney AL_PropertyDisposals" xfId="44168"/>
    <cellStyle name="_DN Sale Model 040611 Sydney AL_PropertyDisposals 2" xfId="44169"/>
    <cellStyle name="_DN Sale Model 040611 Sydney AL_PropFacilitiesNonApp" xfId="44170"/>
    <cellStyle name="_DN Sale Model 040611 Sydney AL_PropFacilitiesNonApp 2" xfId="44171"/>
    <cellStyle name="_DN Sale Model 040611 Sydney AL_PropFacilitiesNonApp_1" xfId="44172"/>
    <cellStyle name="_DN Sale Model 040611 Sydney AL_PropFacilitiesNonApp_1 2" xfId="44173"/>
    <cellStyle name="_DN Sale Model 040611 Sydney AL_PropSearch_Home" xfId="44174"/>
    <cellStyle name="_DN Sale Model 040611 Sydney AL_PropSearch_Home 2" xfId="44175"/>
    <cellStyle name="_DN Sale Model 040611 Sydney AL_PropSearch_Home_1" xfId="44176"/>
    <cellStyle name="_DN Sale Model 040611 Sydney AL_PropSearch_Home_1 2" xfId="44177"/>
    <cellStyle name="_DN Sale Model 040611 Sydney AL_QRF 2011 6+6 - Draft - 06Oct11 v15.1 (excl unrealised efficiencies)" xfId="44178"/>
    <cellStyle name="_DN Sale Model 040611 Sydney AL_QRF 2011 6+6 - Draft - 06Oct11 v16.2 (incl unrealised efficiencies)" xfId="44179"/>
    <cellStyle name="_DN Sale Model 040611 Sydney AL_QRF 2011 6+6 - Final v2 - Values Only Copy" xfId="44180"/>
    <cellStyle name="_DN Sale Model 040611 Sydney AL_Record of Manual Changes" xfId="44181"/>
    <cellStyle name="_DN Sale Model 040611 Sydney AL_Record of Manual Changes 2" xfId="44182"/>
    <cellStyle name="_DN Sale Model 040611 Sydney AL_Record of Manual Changes 2_Adjustments" xfId="44183"/>
    <cellStyle name="_DN Sale Model 040611 Sydney AL_Record of Manual Changes 2_Overall" xfId="44184"/>
    <cellStyle name="_DN Sale Model 040611 Sydney AL_Record of Manual Changes_B &amp; U by Inv Area &amp; Del" xfId="44185"/>
    <cellStyle name="_DN Sale Model 040611 Sydney AL_Record of Manual Changes_budget risk items" xfId="44186"/>
    <cellStyle name="_DN Sale Model 040611 Sydney AL_Record of Manual Changes_VoWD Data" xfId="44187"/>
    <cellStyle name="_DN Sale Model 040611 Sydney AL_Record of Manual Changes_VoWD Data by Purpose Code" xfId="44188"/>
    <cellStyle name="_DN Sale Model 040611 Sydney AL_Retail" xfId="44189"/>
    <cellStyle name="_DN Sale Model 040611 Sydney AL_Retail 2" xfId="44190"/>
    <cellStyle name="_DN Sale Model 040611 Sydney AL_Retail_1" xfId="44191"/>
    <cellStyle name="_DN Sale Model 040611 Sydney AL_Retail_1 2" xfId="44192"/>
    <cellStyle name="_DN Sale Model 040611 Sydney AL_Sheet1" xfId="44193"/>
    <cellStyle name="_DN Sale Model 040611 Sydney AL_Sheet1 2" xfId="44194"/>
    <cellStyle name="_DN Sale Model 040611 Sydney AL_Sheet1 2_Adjustments" xfId="44195"/>
    <cellStyle name="_DN Sale Model 040611 Sydney AL_Sheet1 2_Overall" xfId="44196"/>
    <cellStyle name="_DN Sale Model 040611 Sydney AL_Sheet1_Adjustments" xfId="44197"/>
    <cellStyle name="_DN Sale Model 040611 Sydney AL_Sheet1_B &amp; U by Inv Area &amp; Del" xfId="44198"/>
    <cellStyle name="_DN Sale Model 040611 Sydney AL_Sheet1_budget risk items" xfId="44199"/>
    <cellStyle name="_DN Sale Model 040611 Sydney AL_Sheet1_VoWD Data" xfId="44200"/>
    <cellStyle name="_DN Sale Model 040611 Sydney AL_Sheet1_VoWD Data by Purpose Code" xfId="44201"/>
    <cellStyle name="_DN Sale Model 040611 Sydney AL_Strategy_Reg" xfId="44202"/>
    <cellStyle name="_DN Sale Model 040611 Sydney AL_Strategy_Reg 2" xfId="44203"/>
    <cellStyle name="_DN Sale Model 040611 Sydney AL_Strategy_Reg_1" xfId="44204"/>
    <cellStyle name="_DN Sale Model 040611 Sydney AL_Strategy_Reg_1 2" xfId="44205"/>
    <cellStyle name="_DN Sale Model 040611 Sydney AL_SupplyChain" xfId="44206"/>
    <cellStyle name="_DN Sale Model 040611 Sydney AL_SupplyChain 2" xfId="44207"/>
    <cellStyle name="_DN Sale Model 040611 Sydney AL_SupplyChain_1" xfId="44208"/>
    <cellStyle name="_DN Sale Model 040611 Sydney AL_SupplyChain_1 2" xfId="44209"/>
    <cellStyle name="_DN Sale Model 040611 Sydney AL_TWHCON" xfId="44210"/>
    <cellStyle name="_DN Sale Model 040611 Sydney AL_TWHCON 2" xfId="44211"/>
    <cellStyle name="_DN Sale Model 040611 Sydney AL_TWPROP" xfId="44212"/>
    <cellStyle name="_DN Sale Model 040611 Sydney AL_TWPROP 2" xfId="44213"/>
    <cellStyle name="_DN Sale Model 040611 Sydney AL_TWPROP_1" xfId="44214"/>
    <cellStyle name="_DN Sale Model 040611 Sydney AL_TWPROP_1 2" xfId="44215"/>
    <cellStyle name="_DN Sale Model 040611 Sydney AL_TWPROP_2" xfId="44216"/>
    <cellStyle name="_DN Sale Model 040611 Sydney AL_TWPROP_2 2" xfId="44217"/>
    <cellStyle name="_DN Sale Model 040611 Sydney AL_TWUCOR" xfId="44218"/>
    <cellStyle name="_DN Sale Model 040611 Sydney AL_TWUCOR 2" xfId="44219"/>
    <cellStyle name="_DN Sale Model 040611 Sydney AL_TWUCOR_1" xfId="44220"/>
    <cellStyle name="_DN Sale Model 040611 Sydney AL_TWUCOR_1 2" xfId="44221"/>
    <cellStyle name="_DN Sale Model 040611 Sydney AL_TWUL_TOT_UKGAAP" xfId="44222"/>
    <cellStyle name="_DN Sale Model 040611 Sydney AL_TWUL_TOT_UKGAAP 2" xfId="44223"/>
    <cellStyle name="_DN Sale Model 040611 Sydney AL_TWUL_TOT_UKGAAP_1" xfId="44224"/>
    <cellStyle name="_DN Sale Model 040611 Sydney AL_TWUL_TOT_UKGAAP_1 2" xfId="44225"/>
    <cellStyle name="_DN Sale Model 040611 Sydney AL_TWULCONJ" xfId="44226"/>
    <cellStyle name="_DN Sale Model 040611 Sydney AL_TWULCONJ 2" xfId="44227"/>
    <cellStyle name="_DN Sale Model 040611 Sydney AL_Year 3 Budget (Yrs 1&amp; 2 Actuals) - Values Only copy" xfId="44228"/>
    <cellStyle name="_DN Sale Model 040611 Sydney AL_Year 3 Efficiency Targets 28thFeb12" xfId="44229"/>
    <cellStyle name="_DN Sale Model 040611 Sydney AL_Year 3 Efficiency Targets 28thFeb12_budget risk items" xfId="44230"/>
    <cellStyle name="_Draft Management Accounts format May 07" xfId="44231"/>
    <cellStyle name="_Draft Management Accounts format May 07 2" xfId="44232"/>
    <cellStyle name="_Draft_1_budget_submission_(inc_plan)_Final (with AP's updates 23.12.08)" xfId="44233"/>
    <cellStyle name="_Draft_1_budget_submission_(inc_plan)_Final (with AP's updates 23.12.08) 2" xfId="44234"/>
    <cellStyle name="_Draft_1_budget_submission_(inc_plan)_Final (with AP's updates 23.12.08)_Salaries &amp; Wages" xfId="44235"/>
    <cellStyle name="_Draft_1_budget_submission_(inc_plan)_Final (with AP's updates 23.12.08)_Salaries &amp; Wages 2" xfId="44236"/>
    <cellStyle name="_DTE-Base Case v1" xfId="44237"/>
    <cellStyle name="_DTE-Base Case v1 2" xfId="44238"/>
    <cellStyle name="_ECON Temp" xfId="44239"/>
    <cellStyle name="_ECON Temp 2" xfId="44240"/>
    <cellStyle name="_ECON Temp 3" xfId="44241"/>
    <cellStyle name="_ECS(Butler)" xfId="44242"/>
    <cellStyle name="_ECS(Butler) 2" xfId="44243"/>
    <cellStyle name="_ECS(Butler) 3" xfId="44244"/>
    <cellStyle name="_Efficiency challenge slide sent to Gillian Waugh 30-11-11" xfId="44245"/>
    <cellStyle name="_EMI New York Pricingv0 4" xfId="44246"/>
    <cellStyle name="_EMI New York Pricingv0 4 2" xfId="44247"/>
    <cellStyle name="_EMI New York Pricingv0 4 3" xfId="44248"/>
    <cellStyle name="_x0013__Employment costs" xfId="44249"/>
    <cellStyle name="_x0013__Employment costs 2" xfId="44250"/>
    <cellStyle name="_x0013__Employment costs_1" xfId="44251"/>
    <cellStyle name="_x0013__Employment costs_1 2" xfId="44252"/>
    <cellStyle name="_x0013__Employment costs_2" xfId="44253"/>
    <cellStyle name="_x0013__Employment costs_2 2" xfId="44254"/>
    <cellStyle name="_Enduser 2626" xfId="44255"/>
    <cellStyle name="_Enduser 2626 2" xfId="44256"/>
    <cellStyle name="_EPRL" xfId="44257"/>
    <cellStyle name="_EPRL 2" xfId="44258"/>
    <cellStyle name="_EPRL 2 2" xfId="44259"/>
    <cellStyle name="_EPRL 3" xfId="44260"/>
    <cellStyle name="_EPRL 3 2" xfId="44261"/>
    <cellStyle name="_EPRL 4" xfId="44262"/>
    <cellStyle name="_EPRL 4 2" xfId="44263"/>
    <cellStyle name="_EPRL 5" xfId="44264"/>
    <cellStyle name="_EPRL 5 2" xfId="44265"/>
    <cellStyle name="_EPRL 6" xfId="44266"/>
    <cellStyle name="_EPRL 6 2" xfId="44267"/>
    <cellStyle name="_EPRL 7" xfId="44268"/>
    <cellStyle name="_EPRL 7 2" xfId="44269"/>
    <cellStyle name="_EPRL 8" xfId="44270"/>
    <cellStyle name="_Exhibit C-5 (Pricing Template 2)_Infra" xfId="44271"/>
    <cellStyle name="_Exhibit C-5 (Pricing Template 2)_Infra 2" xfId="44272"/>
    <cellStyle name="_x0013__External_Affairs" xfId="44273"/>
    <cellStyle name="_x0013__External_Affairs 2" xfId="44274"/>
    <cellStyle name="_x0013__External_Affairs_1" xfId="44275"/>
    <cellStyle name="_x0013__External_Affairs_1 2" xfId="44276"/>
    <cellStyle name="_FB Billing (3)" xfId="44277"/>
    <cellStyle name="_FB Billing (3) 2" xfId="44278"/>
    <cellStyle name="_FB Billing (3) 3" xfId="44279"/>
    <cellStyle name="_FD Monitoring - Q3 2011 Template v3 17Jan12" xfId="44280"/>
    <cellStyle name="_FD Monitoring - Q3 2011 Template v3 17Jan12 2" xfId="44281"/>
    <cellStyle name="_FD Monitoring - Q3 2011 Template v3 17Jan12 2_Adjustments" xfId="44282"/>
    <cellStyle name="_FD Monitoring - Q3 2011 Template v3 17Jan12 2_Overall" xfId="44283"/>
    <cellStyle name="_FD Monitoring - Q3 2011 Template v3 17Jan12_B &amp; U by Inv Area &amp; Del" xfId="44284"/>
    <cellStyle name="_FD Monitoring - Q3 2011 Template v3 17Jan12_budget risk items" xfId="44285"/>
    <cellStyle name="_FD Monitoring - Q3 2011 Template v3 17Jan12_VoWD Data" xfId="44286"/>
    <cellStyle name="_FD Monitoring - Q3 2011 Template v3 17Jan12_VoWD Data by Purpose Code" xfId="44287"/>
    <cellStyle name="_FD Monitoring AMP5 - Q2 (6 monthly) 2011-12 v0.2 1page Simon McSweeney" xfId="44288"/>
    <cellStyle name="_FD Monitoring AMP5 - Q2 (6 monthly) 2011-12 v0.2 1page Simon McSweeney 2" xfId="44289"/>
    <cellStyle name="_FD Monitoring AMP5 - Q2 (6 monthly) 2011-12 v0.2 1page Simon McSweeney 2_Adjustments" xfId="44290"/>
    <cellStyle name="_FD Monitoring AMP5 - Q2 (6 monthly) 2011-12 v0.2 1page Simon McSweeney 2_Overall" xfId="44291"/>
    <cellStyle name="_FD Monitoring AMP5 - Q2 (6 monthly) 2011-12 v0.2 1page Simon McSweeney_B &amp; U by Inv Area &amp; Del" xfId="44292"/>
    <cellStyle name="_FD Monitoring AMP5 - Q2 (6 monthly) 2011-12 v0.2 1page Simon McSweeney_budget risk items" xfId="44293"/>
    <cellStyle name="_FD Monitoring AMP5 - Q2 (6 monthly) 2011-12 v0.2 1page Simon McSweeney_VoWD Data" xfId="44294"/>
    <cellStyle name="_FD Monitoring AMP5 - Q2 (6 monthly) 2011-12 v0.2 1page Simon McSweeney_VoWD Data by Purpose Code" xfId="44295"/>
    <cellStyle name="_Fees" xfId="44296"/>
    <cellStyle name="_Fees 2" xfId="44297"/>
    <cellStyle name="_Fees 2 2" xfId="44298"/>
    <cellStyle name="_Fees 3" xfId="44299"/>
    <cellStyle name="_Fees 3 2" xfId="44300"/>
    <cellStyle name="_Fees 4" xfId="44301"/>
    <cellStyle name="_Fees 4 2" xfId="44302"/>
    <cellStyle name="_Fees 5" xfId="44303"/>
    <cellStyle name="_Fees 5 2" xfId="44304"/>
    <cellStyle name="_Fees 6" xfId="44305"/>
    <cellStyle name="_Fees 6 2" xfId="44306"/>
    <cellStyle name="_Fees 7" xfId="44307"/>
    <cellStyle name="_Fees 7 2" xfId="44308"/>
    <cellStyle name="_Fees 8" xfId="44309"/>
    <cellStyle name="_x0013__Finance" xfId="44310"/>
    <cellStyle name="_x0013__Finance 2" xfId="44311"/>
    <cellStyle name="_x0013__Finance_1" xfId="44312"/>
    <cellStyle name="_x0013__Finance_1 2" xfId="44313"/>
    <cellStyle name="_Financial Responsibility_5-18-07" xfId="44314"/>
    <cellStyle name="_Financial Responsibility_5-18-07 2" xfId="44315"/>
    <cellStyle name="_Financial template-E-bay V12_Redesigned" xfId="44316"/>
    <cellStyle name="_Financial template-E-bay V12_Redesigned 2" xfId="44317"/>
    <cellStyle name="_Financial template-E-bay V12_Redesigned 3" xfId="44318"/>
    <cellStyle name="_FinancialRatios260808" xfId="44319"/>
    <cellStyle name="_FinancialRatios260808 2" xfId="44320"/>
    <cellStyle name="_x0013__Flash Report - 12 - Mar12 - Draft - 03Apr12 pm - Values Only copy" xfId="44321"/>
    <cellStyle name="_Flash Report No 3" xfId="44322"/>
    <cellStyle name="_Flash Report No 3 - April 2012" xfId="44323"/>
    <cellStyle name="_Flash Report No 3 - April 2012 2" xfId="44324"/>
    <cellStyle name="_Flash Report No 3 2" xfId="44325"/>
    <cellStyle name="_Flash Report No 3 3" xfId="44326"/>
    <cellStyle name="_Flash Report No 3 4" xfId="44327"/>
    <cellStyle name="_Flash Report No 3 5" xfId="44328"/>
    <cellStyle name="_Flash Report No 3 6" xfId="44329"/>
    <cellStyle name="_x0013__Fleet" xfId="44330"/>
    <cellStyle name="_x0013__Fleet 2" xfId="44331"/>
    <cellStyle name="_x0013__Fleet_1" xfId="44332"/>
    <cellStyle name="_x0013__Fleet_1 2" xfId="44333"/>
    <cellStyle name="_x0013__Forecast March 2012 (FINAL On SAP 8th Mar 2012)" xfId="44334"/>
    <cellStyle name="_Forecast Workings 31 Jan 2009" xfId="44335"/>
    <cellStyle name="_Forecast Workings 31 Jan 2009 2" xfId="44336"/>
    <cellStyle name="_Forecast Workings 31 Jan 2009 2 2" xfId="44337"/>
    <cellStyle name="_Forecast Workings 31 Jan 2009 2 3" xfId="44338"/>
    <cellStyle name="_Forecast Workings 31 Jan 2009 2 4" xfId="44339"/>
    <cellStyle name="_Forecast Workings 31 Jan 2009 2 5" xfId="44340"/>
    <cellStyle name="_Forecast Workings 31 Jan 2009 2 6" xfId="44341"/>
    <cellStyle name="_Forecast Workings 31 Jan 2009 2 7" xfId="44342"/>
    <cellStyle name="_Forecast Workings 31 Jan 2009 2 8" xfId="44343"/>
    <cellStyle name="_Forecast Workings 31 Jan 2009 2 9" xfId="44344"/>
    <cellStyle name="_Forecast Workings 31 Jan 2009 2_IBP - COPI Uplift at Investment Area Level 01Feb12" xfId="44345"/>
    <cellStyle name="_Forecast Workings 31 Jan 2009 3" xfId="44346"/>
    <cellStyle name="_Forecast Workings 31 Jan 2009 3 2" xfId="44347"/>
    <cellStyle name="_Forecast Workings 31 Jan 2009 3 3" xfId="44348"/>
    <cellStyle name="_Forecast Workings 31 Jan 2009 3 4" xfId="44349"/>
    <cellStyle name="_Forecast Workings 31 Jan 2009 3 5" xfId="44350"/>
    <cellStyle name="_Forecast Workings 31 Jan 2009 3 6" xfId="44351"/>
    <cellStyle name="_Forecast Workings 31 Jan 2009 3 7" xfId="44352"/>
    <cellStyle name="_Forecast Workings 31 Jan 2009 3 8" xfId="44353"/>
    <cellStyle name="_Forecast Workings 31 Jan 2009 3 9" xfId="44354"/>
    <cellStyle name="_Forecast Workings 31 Jan 2009 3_IBP - COPI Uplift at Investment Area Level 01Feb12" xfId="44355"/>
    <cellStyle name="_Forecast Workings 31 Jan 2009 4" xfId="44356"/>
    <cellStyle name="_Forecast Workings 31 Jan 2009 4_Adjustments" xfId="44357"/>
    <cellStyle name="_Forecast Workings 31 Jan 2009 4_Overall" xfId="44358"/>
    <cellStyle name="_Forecast Workings 31 Jan 2009 5" xfId="44359"/>
    <cellStyle name="_Forecast Workings 31 Jan 2009 5_Adjustments" xfId="44360"/>
    <cellStyle name="_Forecast Workings 31 Jan 2009 5_Overall" xfId="44361"/>
    <cellStyle name="_Forecast Workings 31 Jan 2009 6" xfId="44362"/>
    <cellStyle name="_Forecast Workings 31 Jan 2009 6_Adjustments" xfId="44363"/>
    <cellStyle name="_Forecast Workings 31 Jan 2009 6_Overall" xfId="44364"/>
    <cellStyle name="_Forecast Workings 31 Jan 2009 7" xfId="44365"/>
    <cellStyle name="_Forecast Workings 31 Jan 2009 8" xfId="44366"/>
    <cellStyle name="_Forecast Workings 31 Jan 2009_B &amp; U by Inv Area &amp; Del" xfId="44367"/>
    <cellStyle name="_Forecast Workings 31 Jan 2009_budget risk items" xfId="44368"/>
    <cellStyle name="_Forecast Workings 31 Jan 2009_IBP by Inv Area" xfId="44369"/>
    <cellStyle name="_Forecast Workings 31 Jan 2009_Record of Manual Changes" xfId="44370"/>
    <cellStyle name="_Forecast Workings 31 Jan 2009_Table - Deliverer" xfId="44371"/>
    <cellStyle name="_Forecast Workings 31 Jan 2009_TT FD" xfId="44372"/>
    <cellStyle name="_Forecast Workings 31 Jan 2009_VoWD Data" xfId="44373"/>
    <cellStyle name="_Forecast Workings 31 Jan 2009_VoWD Data by Purpose Code" xfId="44374"/>
    <cellStyle name="_Forecast Workings 31 Jan 2009_VoWD Sign-Off Sheet" xfId="44375"/>
    <cellStyle name="_FP Transformation Costing (2)" xfId="44376"/>
    <cellStyle name="_FP Transformation Costing (2) 2" xfId="44377"/>
    <cellStyle name="_FP Transformation Costing (2) 3" xfId="44378"/>
    <cellStyle name="_FP Transformation Costing (2)_UMG Financial Model - Apps V 2.0" xfId="44379"/>
    <cellStyle name="_FP Transformation Costing (2)_UMG Financial Model - Apps V 2.0 2" xfId="44380"/>
    <cellStyle name="_FP Transformation Costing (2)_UMG Financial Model - Apps V 2.0 3" xfId="44381"/>
    <cellStyle name="_FP Transformation Costing (2)_UMG_ Pricing Model - Final" xfId="44382"/>
    <cellStyle name="_FP Transformation Costing (2)_UMG_ Pricing Model - Final 2" xfId="44383"/>
    <cellStyle name="_FP Transformation Costing (2)_UMG_ Pricing Model - Final 3" xfId="44384"/>
    <cellStyle name="_FRM - SW Custom Code" xfId="44385"/>
    <cellStyle name="_FRM - SW Custom Code 2" xfId="44386"/>
    <cellStyle name="_FTE Sizing" xfId="44387"/>
    <cellStyle name="_FTE Sizing 2" xfId="44388"/>
    <cellStyle name="_FTE.OLT.08.02.2010" xfId="44389"/>
    <cellStyle name="_FTE.OLT.08.02.2010 2" xfId="44390"/>
    <cellStyle name="_FTE.OLT.08.02.2010 3" xfId="44391"/>
    <cellStyle name="_GE Checklist_of_requirements" xfId="44392"/>
    <cellStyle name="_GE Checklist_of_requirements 2" xfId="44393"/>
    <cellStyle name="_GE Checklist_of_requirements 3" xfId="44394"/>
    <cellStyle name="_GE Checklist_of_requirements_Advanstar Financials 24 July" xfId="44395"/>
    <cellStyle name="_GE Checklist_of_requirements_Advanstar Financials 24 July 2" xfId="44396"/>
    <cellStyle name="_GE Checklist_of_requirements_Advanstar Financials 24 July 3" xfId="44397"/>
    <cellStyle name="_GE Checklist_of_requirements_Advanstar Financials 24 July v1" xfId="44398"/>
    <cellStyle name="_GE Checklist_of_requirements_Advanstar Financials 24 July v1 2" xfId="44399"/>
    <cellStyle name="_GE Checklist_of_requirements_Advanstar Financials 24 July v1 3" xfId="44400"/>
    <cellStyle name="_GE Checklist_of_requirements_Advanstar Financials 24 July v1_Adv_8oct_Sub Ver 12(4)" xfId="44401"/>
    <cellStyle name="_GE Checklist_of_requirements_Advanstar Financials 24 July v1_Adv_8oct_Sub Ver 12(4) 2" xfId="44402"/>
    <cellStyle name="_GE Checklist_of_requirements_Advanstar Financials 24 July v1_Adv_8oct_Sub Ver 12(4) 3" xfId="44403"/>
    <cellStyle name="_GE Checklist_of_requirements_Advanstar Financials 24 July v1_File for Circulation with Volume Discount Revised" xfId="44404"/>
    <cellStyle name="_GE Checklist_of_requirements_Advanstar Financials 24 July v1_File for Circulation with Volume Discount Revised 2" xfId="44405"/>
    <cellStyle name="_GE Checklist_of_requirements_Advanstar Financials 24 July v1_File for Circulation with Volume Discount Revised 3" xfId="44406"/>
    <cellStyle name="_GE Checklist_of_requirements_Advanstar Financials 24 July v1_HR Assumptions for Pricing2" xfId="44407"/>
    <cellStyle name="_GE Checklist_of_requirements_Advanstar Financials 24 July v1_HR Assumptions for Pricing2 2" xfId="44408"/>
    <cellStyle name="_GE Checklist_of_requirements_Advanstar Financials 24 July v1_HR Assumptions for Pricing2 3" xfId="44409"/>
    <cellStyle name="_GE Checklist_of_requirements_Advanstar Financials 24 July_Adv_8oct_Sub Ver 12(4)" xfId="44410"/>
    <cellStyle name="_GE Checklist_of_requirements_Advanstar Financials 24 July_Adv_8oct_Sub Ver 12(4) 2" xfId="44411"/>
    <cellStyle name="_GE Checklist_of_requirements_Advanstar Financials 24 July_Adv_8oct_Sub Ver 12(4) 3" xfId="44412"/>
    <cellStyle name="_GE Checklist_of_requirements_Advanstar Financials 24 July_File for Circulation with Volume Discount Revised" xfId="44413"/>
    <cellStyle name="_GE Checklist_of_requirements_Advanstar Financials 24 July_File for Circulation with Volume Discount Revised 2" xfId="44414"/>
    <cellStyle name="_GE Checklist_of_requirements_Advanstar Financials 24 July_File for Circulation with Volume Discount Revised 3" xfId="44415"/>
    <cellStyle name="_GE Checklist_of_requirements_Advanstar Financials 24 July_HR Assumptions for Pricing2" xfId="44416"/>
    <cellStyle name="_GE Checklist_of_requirements_Advanstar Financials 24 July_HR Assumptions for Pricing2 2" xfId="44417"/>
    <cellStyle name="_GE Checklist_of_requirements_Advanstar Financials 24 July_HR Assumptions for Pricing2 3" xfId="44418"/>
    <cellStyle name="_GE Checklist_of_requirements_FTE Deployment v4" xfId="44419"/>
    <cellStyle name="_GE Checklist_of_requirements_FTE Deployment v4 2" xfId="44420"/>
    <cellStyle name="_GE Checklist_of_requirements_FTE Deployment v4 3" xfId="44421"/>
    <cellStyle name="_GE Checklist_of_requirements_FTE Deployment v4 ramp plan" xfId="44422"/>
    <cellStyle name="_GE Checklist_of_requirements_FTE Deployment v4 ramp plan 2" xfId="44423"/>
    <cellStyle name="_GE Checklist_of_requirements_FTE Deployment v4 ramp plan 3" xfId="44424"/>
    <cellStyle name="_GE Checklist_of_requirements_FTE Deployment v4 ramp plan_Advanstar Financials 24 July" xfId="44425"/>
    <cellStyle name="_GE Checklist_of_requirements_FTE Deployment v4 ramp plan_Advanstar Financials 24 July 2" xfId="44426"/>
    <cellStyle name="_GE Checklist_of_requirements_FTE Deployment v4 ramp plan_Advanstar Financials 24 July 3" xfId="44427"/>
    <cellStyle name="_GE Checklist_of_requirements_FTE Deployment v4 ramp plan_Advanstar Financials 24 July v1" xfId="44428"/>
    <cellStyle name="_GE Checklist_of_requirements_FTE Deployment v4 ramp plan_Advanstar Financials 24 July v1 2" xfId="44429"/>
    <cellStyle name="_GE Checklist_of_requirements_FTE Deployment v4 ramp plan_Advanstar Financials 24 July v1 3" xfId="44430"/>
    <cellStyle name="_GE Checklist_of_requirements_FTE Deployment v4 ramp plan_Finance Input Template V6 1 Sep" xfId="44431"/>
    <cellStyle name="_GE Checklist_of_requirements_FTE Deployment v4 ramp plan_Finance Input Template V6 1 Sep 2" xfId="44432"/>
    <cellStyle name="_GE Checklist_of_requirements_FTE Deployment v4 ramp plan_Finance Input Template V6 1 Sep 3" xfId="44433"/>
    <cellStyle name="_GE Checklist_of_requirements_FTE Deployment v4_Advanstar Financials 24 July" xfId="44434"/>
    <cellStyle name="_GE Checklist_of_requirements_FTE Deployment v4_Advanstar Financials 24 July 2" xfId="44435"/>
    <cellStyle name="_GE Checklist_of_requirements_FTE Deployment v4_Advanstar Financials 24 July 3" xfId="44436"/>
    <cellStyle name="_GE Checklist_of_requirements_FTE Deployment v4_Advanstar Financials 24 July v1" xfId="44437"/>
    <cellStyle name="_GE Checklist_of_requirements_FTE Deployment v4_Advanstar Financials 24 July v1 2" xfId="44438"/>
    <cellStyle name="_GE Checklist_of_requirements_FTE Deployment v4_Advanstar Financials 24 July v1 3" xfId="44439"/>
    <cellStyle name="_GE Checklist_of_requirements_FTE Deployment v4_Finance Input Template V6 1 Sep" xfId="44440"/>
    <cellStyle name="_GE Checklist_of_requirements_FTE Deployment v4_Finance Input Template V6 1 Sep 2" xfId="44441"/>
    <cellStyle name="_GE Checklist_of_requirements_FTE Deployment v4_Finance Input Template V6 1 Sep 3" xfId="44442"/>
    <cellStyle name="_GE Checklist_of_requirements_FTE Deployment v5" xfId="44443"/>
    <cellStyle name="_GE Checklist_of_requirements_FTE Deployment v5 2" xfId="44444"/>
    <cellStyle name="_GE Checklist_of_requirements_FTE Deployment v5 3" xfId="44445"/>
    <cellStyle name="_GE Checklist_of_requirements_FTE Deployment v5_Advanstar Financials 24 July" xfId="44446"/>
    <cellStyle name="_GE Checklist_of_requirements_FTE Deployment v5_Advanstar Financials 24 July 2" xfId="44447"/>
    <cellStyle name="_GE Checklist_of_requirements_FTE Deployment v5_Advanstar Financials 24 July 3" xfId="44448"/>
    <cellStyle name="_GE Checklist_of_requirements_FTE Deployment v5_Advanstar Financials 24 July v1" xfId="44449"/>
    <cellStyle name="_GE Checklist_of_requirements_FTE Deployment v5_Advanstar Financials 24 July v1 2" xfId="44450"/>
    <cellStyle name="_GE Checklist_of_requirements_FTE Deployment v5_Advanstar Financials 24 July v1 3" xfId="44451"/>
    <cellStyle name="_GE Checklist_of_requirements_FTE Deployment v5_Finance Input Template V6 1 Sep" xfId="44452"/>
    <cellStyle name="_GE Checklist_of_requirements_FTE Deployment v5_Finance Input Template V6 1 Sep 2" xfId="44453"/>
    <cellStyle name="_GE Checklist_of_requirements_FTE Deployment v5_Finance Input Template V6 1 Sep 3" xfId="44454"/>
    <cellStyle name="_GE Checklist_of_requirements_Pricing Norway Post2" xfId="44455"/>
    <cellStyle name="_GE Checklist_of_requirements_Pricing Norway Post2 2" xfId="44456"/>
    <cellStyle name="_GE Checklist_of_requirements_Pricing Norway Post2 3" xfId="44457"/>
    <cellStyle name="_GE Checklist_of_requirements_Salary Rate Card_v1 0" xfId="44458"/>
    <cellStyle name="_GE Checklist_of_requirements_Salary Rate Card_v1 0 2" xfId="44459"/>
    <cellStyle name="_GE Checklist_of_requirements_Salary Rate Card_v1 0 3" xfId="44460"/>
    <cellStyle name="_GE Checklist_of_requirements_Seat Cost calculation 150110 SkyIt" xfId="44461"/>
    <cellStyle name="_GE Checklist_of_requirements_Seat Cost calculation 150110 SkyIt 2" xfId="44462"/>
    <cellStyle name="_GE Checklist_of_requirements_Seat Cost calculation 150110 SkyIt 3" xfId="44463"/>
    <cellStyle name="_x0013__General_Councel" xfId="44464"/>
    <cellStyle name="_x0013__General_Councel 2" xfId="44465"/>
    <cellStyle name="_x0013__General_Councel_1" xfId="44466"/>
    <cellStyle name="_x0013__General_Councel_1 2" xfId="44467"/>
    <cellStyle name="_GroupMaster" xfId="44468"/>
    <cellStyle name="_GroupMaster 2" xfId="44469"/>
    <cellStyle name="_GroupMaster_Salaries &amp; Wages" xfId="44470"/>
    <cellStyle name="_GroupMaster_Salaries &amp; Wages 2" xfId="44471"/>
    <cellStyle name="_Growth Track Consolidation - 10 Jan.Growth track data" xfId="44472"/>
    <cellStyle name="_Growth Track Consolidation - 10 Jan.Growth track data 2" xfId="44473"/>
    <cellStyle name="_Growth Track Consolidation - 10 Jan.Growth track data 2 2" xfId="44474"/>
    <cellStyle name="_Growth Track Consolidation - 10 Jan.Growth track data 3" xfId="44475"/>
    <cellStyle name="_Growth Track Consolidation - 10 Jan.Growth track data 3 2" xfId="44476"/>
    <cellStyle name="_Growth Track Consolidation - 10 Jan.Growth track data 4" xfId="44477"/>
    <cellStyle name="_Growth Track Consolidation - 10 Jan.Growth track data 4 2" xfId="44478"/>
    <cellStyle name="_Growth Track Consolidation - 10 Jan.Growth track data 5" xfId="44479"/>
    <cellStyle name="_Growth Track Consolidation - 10 Jan.Growth track data 5 2" xfId="44480"/>
    <cellStyle name="_Growth Track Consolidation - 10 Jan.Growth track data 6" xfId="44481"/>
    <cellStyle name="_Growth Track Consolidation - 10 Jan.Growth track data 6 2" xfId="44482"/>
    <cellStyle name="_Growth Track Consolidation - 10 Jan.Growth track data 7" xfId="44483"/>
    <cellStyle name="_Growth Track Consolidation - 10 Jan.Growth track data 7 2" xfId="44484"/>
    <cellStyle name="_Growth Track Consolidation - 10 Jan.Growth track data 8" xfId="44485"/>
    <cellStyle name="_Growth Track Consolidation - 10 Jan.Growth track data_~4194202" xfId="44486"/>
    <cellStyle name="_Growth Track Consolidation - 10 Jan.Growth track data_~9045721" xfId="44487"/>
    <cellStyle name="_Growth Track Consolidation - 10 Jan.Growth track data_5+7 Oct 11 Flying Bricks v1.0 budget review v12 29-11-11" xfId="44488"/>
    <cellStyle name="_Growth Track Consolidation - 10 Jan.Growth track data_AffinPartner" xfId="44489"/>
    <cellStyle name="_Growth Track Consolidation - 10 Jan.Growth track data_AffinPartner 2" xfId="44490"/>
    <cellStyle name="_Growth Track Consolidation - 10 Jan.Growth track data_AffinPartner_1" xfId="44491"/>
    <cellStyle name="_Growth Track Consolidation - 10 Jan.Growth track data_AffinPartner_1 2" xfId="44492"/>
    <cellStyle name="_Growth Track Consolidation - 10 Jan.Growth track data_Asset_ManagementCON" xfId="44493"/>
    <cellStyle name="_Growth Track Consolidation - 10 Jan.Growth track data_Asset_ManagementCON 2" xfId="44494"/>
    <cellStyle name="_Growth Track Consolidation - 10 Jan.Growth track data_Asset_ManagementCON_1" xfId="44495"/>
    <cellStyle name="_Growth Track Consolidation - 10 Jan.Growth track data_Asset_ManagementCON_1 2" xfId="44496"/>
    <cellStyle name="_Growth Track Consolidation - 10 Jan.Growth track data_Asset_MgmtNonAppoint" xfId="44497"/>
    <cellStyle name="_Growth Track Consolidation - 10 Jan.Growth track data_Asset_MgmtNonAppoint 2" xfId="44498"/>
    <cellStyle name="_Growth Track Consolidation - 10 Jan.Growth track data_Book1" xfId="44499"/>
    <cellStyle name="_Growth Track Consolidation - 10 Jan.Growth track data_Book2" xfId="44500"/>
    <cellStyle name="_Growth Track Consolidation - 10 Jan.Growth track data_Book3" xfId="44501"/>
    <cellStyle name="_Growth Track Consolidation - 10 Jan.Growth track data_Book3 2" xfId="44502"/>
    <cellStyle name="_Growth Track Consolidation - 10 Jan.Growth track data_Book3 2_Adjustments" xfId="44503"/>
    <cellStyle name="_Growth Track Consolidation - 10 Jan.Growth track data_Book3 2_Overall" xfId="44504"/>
    <cellStyle name="_Growth Track Consolidation - 10 Jan.Growth track data_Book3_B &amp; U by Inv Area &amp; Del" xfId="44505"/>
    <cellStyle name="_Growth Track Consolidation - 10 Jan.Growth track data_Book3_budget risk items" xfId="44506"/>
    <cellStyle name="_Growth Track Consolidation - 10 Jan.Growth track data_Book3_VoWD Data" xfId="44507"/>
    <cellStyle name="_Growth Track Consolidation - 10 Jan.Growth track data_Book3_VoWD Data by Purpose Code" xfId="44508"/>
    <cellStyle name="_Growth Track Consolidation - 10 Jan.Growth track data_Budget Finance" xfId="44509"/>
    <cellStyle name="_Growth Track Consolidation - 10 Jan.Growth track data_Budget Finance 2" xfId="44510"/>
    <cellStyle name="_Growth Track Consolidation - 10 Jan.Growth track data_Budget Finance 3" xfId="44511"/>
    <cellStyle name="_Growth Track Consolidation - 10 Jan.Growth track data_Capital_DeliveryCON" xfId="44512"/>
    <cellStyle name="_Growth Track Consolidation - 10 Jan.Growth track data_Capital_DeliveryCON 2" xfId="44513"/>
    <cellStyle name="_Growth Track Consolidation - 10 Jan.Growth track data_Central_Items" xfId="44514"/>
    <cellStyle name="_Growth Track Consolidation - 10 Jan.Growth track data_Central_Items 2" xfId="44515"/>
    <cellStyle name="_Growth Track Consolidation - 10 Jan.Growth track data_Central_Items_1" xfId="44516"/>
    <cellStyle name="_Growth Track Consolidation - 10 Jan.Growth track data_Central_Items_1 2" xfId="44517"/>
    <cellStyle name="_Growth Track Consolidation - 10 Jan.Growth track data_Central_Items_2" xfId="44518"/>
    <cellStyle name="_Growth Track Consolidation - 10 Jan.Growth track data_Central_Items_2 2" xfId="44519"/>
    <cellStyle name="_Growth Track Consolidation - 10 Jan.Growth track data_CENTRE" xfId="44520"/>
    <cellStyle name="_Growth Track Consolidation - 10 Jan.Growth track data_CENTRE 2" xfId="44521"/>
    <cellStyle name="_Growth Track Consolidation - 10 Jan.Growth track data_CENTRE_1" xfId="44522"/>
    <cellStyle name="_Growth Track Consolidation - 10 Jan.Growth track data_CENTRE_1 2" xfId="44523"/>
    <cellStyle name="_Growth Track Consolidation - 10 Jan.Growth track data_CENTRE_2" xfId="44524"/>
    <cellStyle name="_Growth Track Consolidation - 10 Jan.Growth track data_CENTRE_2 2" xfId="44525"/>
    <cellStyle name="_Growth Track Consolidation - 10 Jan.Growth track data_CENTRE_Check" xfId="44526"/>
    <cellStyle name="_Growth Track Consolidation - 10 Jan.Growth track data_CENTRE_Check 2" xfId="44527"/>
    <cellStyle name="_Growth Track Consolidation - 10 Jan.Growth track data_CENTRE_TWPROP" xfId="44528"/>
    <cellStyle name="_Growth Track Consolidation - 10 Jan.Growth track data_CENTRE_TWPROP 2" xfId="44529"/>
    <cellStyle name="_Growth Track Consolidation - 10 Jan.Growth track data_Check" xfId="44530"/>
    <cellStyle name="_Growth Track Consolidation - 10 Jan.Growth track data_Check 2" xfId="44531"/>
    <cellStyle name="_Growth Track Consolidation - 10 Jan.Growth track data_CommCentral" xfId="44532"/>
    <cellStyle name="_Growth Track Consolidation - 10 Jan.Growth track data_CommCentral 2" xfId="44533"/>
    <cellStyle name="_Growth Track Consolidation - 10 Jan.Growth track data_CommCentral_1" xfId="44534"/>
    <cellStyle name="_Growth Track Consolidation - 10 Jan.Growth track data_CommCentral_1 2" xfId="44535"/>
    <cellStyle name="_Growth Track Consolidation - 10 Jan.Growth track data_CommProjects" xfId="44536"/>
    <cellStyle name="_Growth Track Consolidation - 10 Jan.Growth track data_CommProjects 2" xfId="44537"/>
    <cellStyle name="_Growth Track Consolidation - 10 Jan.Growth track data_CommProjects_1" xfId="44538"/>
    <cellStyle name="_Growth Track Consolidation - 10 Jan.Growth track data_CommProjects_1 2" xfId="44539"/>
    <cellStyle name="_Growth Track Consolidation - 10 Jan.Growth track data_CONSOL_G" xfId="44540"/>
    <cellStyle name="_Growth Track Consolidation - 10 Jan.Growth track data_CONSOL_G 2" xfId="44541"/>
    <cellStyle name="_Growth Track Consolidation - 10 Jan.Growth track data_CServices_SwindonCON" xfId="44542"/>
    <cellStyle name="_Growth Track Consolidation - 10 Jan.Growth track data_CServices_SwindonCON 2" xfId="44543"/>
    <cellStyle name="_Growth Track Consolidation - 10 Jan.Growth track data_Employment costs" xfId="44544"/>
    <cellStyle name="_Growth Track Consolidation - 10 Jan.Growth track data_Employment costs 2" xfId="44545"/>
    <cellStyle name="_Growth Track Consolidation - 10 Jan.Growth track data_Employment costs_1" xfId="44546"/>
    <cellStyle name="_Growth Track Consolidation - 10 Jan.Growth track data_Employment costs_1 2" xfId="44547"/>
    <cellStyle name="_Growth Track Consolidation - 10 Jan.Growth track data_Employment costs_2" xfId="44548"/>
    <cellStyle name="_Growth Track Consolidation - 10 Jan.Growth track data_Employment costs_2 2" xfId="44549"/>
    <cellStyle name="_Growth Track Consolidation - 10 Jan.Growth track data_External_Affairs" xfId="44550"/>
    <cellStyle name="_Growth Track Consolidation - 10 Jan.Growth track data_External_Affairs 2" xfId="44551"/>
    <cellStyle name="_Growth Track Consolidation - 10 Jan.Growth track data_External_Affairs_1" xfId="44552"/>
    <cellStyle name="_Growth Track Consolidation - 10 Jan.Growth track data_External_Affairs_1 2" xfId="44553"/>
    <cellStyle name="_Growth Track Consolidation - 10 Jan.Growth track data_FD Monitoring - Q3 2011 Template v3 17Jan12" xfId="44554"/>
    <cellStyle name="_Growth Track Consolidation - 10 Jan.Growth track data_FD Monitoring - Q3 2011 Template v3 17Jan12 2" xfId="44555"/>
    <cellStyle name="_Growth Track Consolidation - 10 Jan.Growth track data_FD Monitoring - Q3 2011 Template v3 17Jan12 2_Adjustments" xfId="44556"/>
    <cellStyle name="_Growth Track Consolidation - 10 Jan.Growth track data_FD Monitoring - Q3 2011 Template v3 17Jan12 2_Overall" xfId="44557"/>
    <cellStyle name="_Growth Track Consolidation - 10 Jan.Growth track data_FD Monitoring - Q3 2011 Template v3 17Jan12_B &amp; U by Inv Area &amp; Del" xfId="44558"/>
    <cellStyle name="_Growth Track Consolidation - 10 Jan.Growth track data_FD Monitoring - Q3 2011 Template v3 17Jan12_budget risk items" xfId="44559"/>
    <cellStyle name="_Growth Track Consolidation - 10 Jan.Growth track data_FD Monitoring - Q3 2011 Template v3 17Jan12_VoWD Data" xfId="44560"/>
    <cellStyle name="_Growth Track Consolidation - 10 Jan.Growth track data_FD Monitoring - Q3 2011 Template v3 17Jan12_VoWD Data by Purpose Code" xfId="44561"/>
    <cellStyle name="_Growth Track Consolidation - 10 Jan.Growth track data_FD Monitoring AMP5 - Q2 (6 monthly) 2011-12 v0.2 1page Simon McSweeney" xfId="44562"/>
    <cellStyle name="_Growth Track Consolidation - 10 Jan.Growth track data_FD Monitoring AMP5 - Q2 (6 monthly) 2011-12 v0.2 1page Simon McSweeney 2" xfId="44563"/>
    <cellStyle name="_Growth Track Consolidation - 10 Jan.Growth track data_FD Monitoring AMP5 - Q2 (6 monthly) 2011-12 v0.2 1page Simon McSweeney 2_Adjustments" xfId="44564"/>
    <cellStyle name="_Growth Track Consolidation - 10 Jan.Growth track data_FD Monitoring AMP5 - Q2 (6 monthly) 2011-12 v0.2 1page Simon McSweeney 2_Overall" xfId="44565"/>
    <cellStyle name="_Growth Track Consolidation - 10 Jan.Growth track data_FD Monitoring AMP5 - Q2 (6 monthly) 2011-12 v0.2 1page Simon McSweeney_B &amp; U by Inv Area &amp; Del" xfId="44566"/>
    <cellStyle name="_Growth Track Consolidation - 10 Jan.Growth track data_FD Monitoring AMP5 - Q2 (6 monthly) 2011-12 v0.2 1page Simon McSweeney_budget risk items" xfId="44567"/>
    <cellStyle name="_Growth Track Consolidation - 10 Jan.Growth track data_FD Monitoring AMP5 - Q2 (6 monthly) 2011-12 v0.2 1page Simon McSweeney_VoWD Data" xfId="44568"/>
    <cellStyle name="_Growth Track Consolidation - 10 Jan.Growth track data_FD Monitoring AMP5 - Q2 (6 monthly) 2011-12 v0.2 1page Simon McSweeney_VoWD Data by Purpose Code" xfId="44569"/>
    <cellStyle name="_Growth Track Consolidation - 10 Jan.Growth track data_Finance" xfId="44570"/>
    <cellStyle name="_Growth Track Consolidation - 10 Jan.Growth track data_Finance 2" xfId="44571"/>
    <cellStyle name="_Growth Track Consolidation - 10 Jan.Growth track data_Finance_1" xfId="44572"/>
    <cellStyle name="_Growth Track Consolidation - 10 Jan.Growth track data_Finance_1 2" xfId="44573"/>
    <cellStyle name="_Growth Track Consolidation - 10 Jan.Growth track data_Fleet" xfId="44574"/>
    <cellStyle name="_Growth Track Consolidation - 10 Jan.Growth track data_Fleet 2" xfId="44575"/>
    <cellStyle name="_Growth Track Consolidation - 10 Jan.Growth track data_Fleet_1" xfId="44576"/>
    <cellStyle name="_Growth Track Consolidation - 10 Jan.Growth track data_Fleet_1 2" xfId="44577"/>
    <cellStyle name="_Growth Track Consolidation - 10 Jan.Growth track data_Fst-Bud Summary" xfId="44578"/>
    <cellStyle name="_Growth Track Consolidation - 10 Jan.Growth track data_Fst-Bud Summary 2" xfId="44579"/>
    <cellStyle name="_Growth Track Consolidation - 10 Jan.Growth track data_Fst-Bud Summary 3" xfId="44580"/>
    <cellStyle name="_Growth Track Consolidation - 10 Jan.Growth track data_General_Councel" xfId="44581"/>
    <cellStyle name="_Growth Track Consolidation - 10 Jan.Growth track data_General_Councel 2" xfId="44582"/>
    <cellStyle name="_Growth Track Consolidation - 10 Jan.Growth track data_General_Councel_1" xfId="44583"/>
    <cellStyle name="_Growth Track Consolidation - 10 Jan.Growth track data_General_Councel_1 2" xfId="44584"/>
    <cellStyle name="_Growth Track Consolidation - 10 Jan.Growth track data_Human_Resources" xfId="44585"/>
    <cellStyle name="_Growth Track Consolidation - 10 Jan.Growth track data_Human_Resources 2" xfId="44586"/>
    <cellStyle name="_Growth Track Consolidation - 10 Jan.Growth track data_Human_Resources_1" xfId="44587"/>
    <cellStyle name="_Growth Track Consolidation - 10 Jan.Growth track data_Human_Resources_1 2" xfId="44588"/>
    <cellStyle name="_Growth Track Consolidation - 10 Jan.Growth track data_IBP by Inv Area" xfId="44589"/>
    <cellStyle name="_Growth Track Consolidation - 10 Jan.Growth track data_IBP by Inv Area 2" xfId="44590"/>
    <cellStyle name="_Growth Track Consolidation - 10 Jan.Growth track data_IBP by Inv Area 2_Adjustments" xfId="44591"/>
    <cellStyle name="_Growth Track Consolidation - 10 Jan.Growth track data_IBP by Inv Area 2_Overall" xfId="44592"/>
    <cellStyle name="_Growth Track Consolidation - 10 Jan.Growth track data_IBP by Inv Area_B &amp; U by Inv Area &amp; Del" xfId="44593"/>
    <cellStyle name="_Growth Track Consolidation - 10 Jan.Growth track data_IBP by Inv Area_budget risk items" xfId="44594"/>
    <cellStyle name="_Growth Track Consolidation - 10 Jan.Growth track data_IBP by Inv Area_VoWD Data" xfId="44595"/>
    <cellStyle name="_Growth Track Consolidation - 10 Jan.Growth track data_IBP by Inv Area_VoWD Data by Purpose Code" xfId="44596"/>
    <cellStyle name="_Growth Track Consolidation - 10 Jan.Growth track data_IBP Steve Roberts file 19-01-12 (Inc Dec11 COPI)" xfId="44597"/>
    <cellStyle name="_Growth Track Consolidation - 10 Jan.Growth track data_IBP Steve Roberts file 19-01-12 (Inc Dec11 COPI) 2" xfId="44598"/>
    <cellStyle name="_Growth Track Consolidation - 10 Jan.Growth track data_IBP Steve Roberts file 19-01-12 (Inc Dec11 COPI) 2_Adjustments" xfId="44599"/>
    <cellStyle name="_Growth Track Consolidation - 10 Jan.Growth track data_IBP Steve Roberts file 19-01-12 (Inc Dec11 COPI) 2_Overall" xfId="44600"/>
    <cellStyle name="_Growth Track Consolidation - 10 Jan.Growth track data_IBP Steve Roberts file 19-01-12 (Inc Dec11 COPI)_B &amp; U by Inv Area &amp; Del" xfId="44601"/>
    <cellStyle name="_Growth Track Consolidation - 10 Jan.Growth track data_IBP Steve Roberts file 19-01-12 (Inc Dec11 COPI)_budget risk items" xfId="44602"/>
    <cellStyle name="_Growth Track Consolidation - 10 Jan.Growth track data_IBP Steve Roberts file 19-01-12 (Inc Dec11 COPI)_VoWD Data" xfId="44603"/>
    <cellStyle name="_Growth Track Consolidation - 10 Jan.Growth track data_IBP Steve Roberts file 19-01-12 (Inc Dec11 COPI)_VoWD Data by Purpose Code" xfId="44604"/>
    <cellStyle name="_Growth Track Consolidation - 10 Jan.Growth track data_Innovation" xfId="44605"/>
    <cellStyle name="_Growth Track Consolidation - 10 Jan.Growth track data_Innovation 2" xfId="44606"/>
    <cellStyle name="_Growth Track Consolidation - 10 Jan.Growth track data_Innovation_1" xfId="44607"/>
    <cellStyle name="_Growth Track Consolidation - 10 Jan.Growth track data_Innovation_1 2" xfId="44608"/>
    <cellStyle name="_Growth Track Consolidation - 10 Jan.Growth track data_IT" xfId="44609"/>
    <cellStyle name="_Growth Track Consolidation - 10 Jan.Growth track data_IT 2" xfId="44610"/>
    <cellStyle name="_Growth Track Consolidation - 10 Jan.Growth track data_IT_1" xfId="44611"/>
    <cellStyle name="_Growth Track Consolidation - 10 Jan.Growth track data_IT_1 2" xfId="44612"/>
    <cellStyle name="_Growth Track Consolidation - 10 Jan.Growth track data_KWFLtd" xfId="44613"/>
    <cellStyle name="_Growth Track Consolidation - 10 Jan.Growth track data_KWFLtd 2" xfId="44614"/>
    <cellStyle name="_Growth Track Consolidation - 10 Jan.Growth track data_KWHLTD_G" xfId="44615"/>
    <cellStyle name="_Growth Track Consolidation - 10 Jan.Growth track data_KWHLTD_G 2" xfId="44616"/>
    <cellStyle name="_Growth Track Consolidation - 10 Jan.Growth track data_KWHLTD_G_1" xfId="44617"/>
    <cellStyle name="_Growth Track Consolidation - 10 Jan.Growth track data_KWHLTD_G_1 2" xfId="44618"/>
    <cellStyle name="_Growth Track Consolidation - 10 Jan.Growth track data_KWHLTD_G_2" xfId="44619"/>
    <cellStyle name="_Growth Track Consolidation - 10 Jan.Growth track data_KWHLTD_G_2 2" xfId="44620"/>
    <cellStyle name="_Growth Track Consolidation - 10 Jan.Growth track data_Major_ProjectsCON" xfId="44621"/>
    <cellStyle name="_Growth Track Consolidation - 10 Jan.Growth track data_Major_ProjectsCON 2" xfId="44622"/>
    <cellStyle name="_Growth Track Consolidation - 10 Jan.Growth track data_Management Structure" xfId="44623"/>
    <cellStyle name="_Growth Track Consolidation - 10 Jan.Growth track data_Management Structure 2" xfId="44624"/>
    <cellStyle name="_Growth Track Consolidation - 10 Jan.Growth track data_Management Structure_1" xfId="44625"/>
    <cellStyle name="_Growth Track Consolidation - 10 Jan.Growth track data_Management Structure_1 2" xfId="44626"/>
    <cellStyle name="_Growth Track Consolidation - 10 Jan.Growth track data_Operations" xfId="44627"/>
    <cellStyle name="_Growth Track Consolidation - 10 Jan.Growth track data_Operations 2" xfId="44628"/>
    <cellStyle name="_Growth Track Consolidation - 10 Jan.Growth track data_Operations_1" xfId="44629"/>
    <cellStyle name="_Growth Track Consolidation - 10 Jan.Growth track data_Operations_1 2" xfId="44630"/>
    <cellStyle name="_Growth Track Consolidation - 10 Jan.Growth track data_Ops contracts" xfId="44631"/>
    <cellStyle name="_Growth Track Consolidation - 10 Jan.Growth track data_Ops contracts 2" xfId="44632"/>
    <cellStyle name="_Growth Track Consolidation - 10 Jan.Growth track data_Ops contracts_1" xfId="44633"/>
    <cellStyle name="_Growth Track Consolidation - 10 Jan.Growth track data_Ops contracts_1 2" xfId="44634"/>
    <cellStyle name="_Growth Track Consolidation - 10 Jan.Growth track data_Ops contracts_2" xfId="44635"/>
    <cellStyle name="_Growth Track Consolidation - 10 Jan.Growth track data_Ops contracts_2 2" xfId="44636"/>
    <cellStyle name="_Growth Track Consolidation - 10 Jan.Growth track data_OtherSS" xfId="44637"/>
    <cellStyle name="_Growth Track Consolidation - 10 Jan.Growth track data_OtherSS 2" xfId="44638"/>
    <cellStyle name="_Growth Track Consolidation - 10 Jan.Growth track data_OtherSS_1" xfId="44639"/>
    <cellStyle name="_Growth Track Consolidation - 10 Jan.Growth track data_OtherSS_1 2" xfId="44640"/>
    <cellStyle name="_Growth Track Consolidation - 10 Jan.Growth track data_P&amp;L_AMP5" xfId="44641"/>
    <cellStyle name="_Growth Track Consolidation - 10 Jan.Growth track data_P&amp;L_AMP5 2" xfId="44642"/>
    <cellStyle name="_Growth Track Consolidation - 10 Jan.Growth track data_Power" xfId="44643"/>
    <cellStyle name="_Growth Track Consolidation - 10 Jan.Growth track data_Power 2" xfId="44644"/>
    <cellStyle name="_Growth Track Consolidation - 10 Jan.Growth track data_Power_1" xfId="44645"/>
    <cellStyle name="_Growth Track Consolidation - 10 Jan.Growth track data_Power_1 2" xfId="44646"/>
    <cellStyle name="_Growth Track Consolidation - 10 Jan.Growth track data_Property_Facilities" xfId="44647"/>
    <cellStyle name="_Growth Track Consolidation - 10 Jan.Growth track data_Property_Facilities 2" xfId="44648"/>
    <cellStyle name="_Growth Track Consolidation - 10 Jan.Growth track data_Property_Facilities_1" xfId="44649"/>
    <cellStyle name="_Growth Track Consolidation - 10 Jan.Growth track data_Property_Facilities_1 2" xfId="44650"/>
    <cellStyle name="_Growth Track Consolidation - 10 Jan.Growth track data_PropertyDisposals" xfId="44651"/>
    <cellStyle name="_Growth Track Consolidation - 10 Jan.Growth track data_PropertyDisposals 2" xfId="44652"/>
    <cellStyle name="_Growth Track Consolidation - 10 Jan.Growth track data_PropFacilitiesNonApp" xfId="44653"/>
    <cellStyle name="_Growth Track Consolidation - 10 Jan.Growth track data_PropFacilitiesNonApp 2" xfId="44654"/>
    <cellStyle name="_Growth Track Consolidation - 10 Jan.Growth track data_PropFacilitiesNonApp_1" xfId="44655"/>
    <cellStyle name="_Growth Track Consolidation - 10 Jan.Growth track data_PropFacilitiesNonApp_1 2" xfId="44656"/>
    <cellStyle name="_Growth Track Consolidation - 10 Jan.Growth track data_PropSearch_Home" xfId="44657"/>
    <cellStyle name="_Growth Track Consolidation - 10 Jan.Growth track data_PropSearch_Home 2" xfId="44658"/>
    <cellStyle name="_Growth Track Consolidation - 10 Jan.Growth track data_PropSearch_Home_1" xfId="44659"/>
    <cellStyle name="_Growth Track Consolidation - 10 Jan.Growth track data_PropSearch_Home_1 2" xfId="44660"/>
    <cellStyle name="_Growth Track Consolidation - 10 Jan.Growth track data_QRF 2011 6+6 - Draft - 06Oct11 v15.1 (excl unrealised efficiencies)" xfId="44661"/>
    <cellStyle name="_Growth Track Consolidation - 10 Jan.Growth track data_QRF 2011 6+6 - Draft - 06Oct11 v16.2 (incl unrealised efficiencies)" xfId="44662"/>
    <cellStyle name="_Growth Track Consolidation - 10 Jan.Growth track data_Record of Manual Changes" xfId="44663"/>
    <cellStyle name="_Growth Track Consolidation - 10 Jan.Growth track data_Record of Manual Changes 2" xfId="44664"/>
    <cellStyle name="_Growth Track Consolidation - 10 Jan.Growth track data_Record of Manual Changes 2_Adjustments" xfId="44665"/>
    <cellStyle name="_Growth Track Consolidation - 10 Jan.Growth track data_Record of Manual Changes 2_Overall" xfId="44666"/>
    <cellStyle name="_Growth Track Consolidation - 10 Jan.Growth track data_Record of Manual Changes_B &amp; U by Inv Area &amp; Del" xfId="44667"/>
    <cellStyle name="_Growth Track Consolidation - 10 Jan.Growth track data_Record of Manual Changes_budget risk items" xfId="44668"/>
    <cellStyle name="_Growth Track Consolidation - 10 Jan.Growth track data_Record of Manual Changes_VoWD Data" xfId="44669"/>
    <cellStyle name="_Growth Track Consolidation - 10 Jan.Growth track data_Record of Manual Changes_VoWD Data by Purpose Code" xfId="44670"/>
    <cellStyle name="_Growth Track Consolidation - 10 Jan.Growth track data_Retail" xfId="44671"/>
    <cellStyle name="_Growth Track Consolidation - 10 Jan.Growth track data_Retail 2" xfId="44672"/>
    <cellStyle name="_Growth Track Consolidation - 10 Jan.Growth track data_Retail_1" xfId="44673"/>
    <cellStyle name="_Growth Track Consolidation - 10 Jan.Growth track data_Retail_1 2" xfId="44674"/>
    <cellStyle name="_Growth Track Consolidation - 10 Jan.Growth track data_Sheet1" xfId="44675"/>
    <cellStyle name="_Growth Track Consolidation - 10 Jan.Growth track data_Sheet1 2" xfId="44676"/>
    <cellStyle name="_Growth Track Consolidation - 10 Jan.Growth track data_Strategy_Reg" xfId="44677"/>
    <cellStyle name="_Growth Track Consolidation - 10 Jan.Growth track data_Strategy_Reg 2" xfId="44678"/>
    <cellStyle name="_Growth Track Consolidation - 10 Jan.Growth track data_Strategy_Reg_1" xfId="44679"/>
    <cellStyle name="_Growth Track Consolidation - 10 Jan.Growth track data_Strategy_Reg_1 2" xfId="44680"/>
    <cellStyle name="_Growth Track Consolidation - 10 Jan.Growth track data_SupplyChain" xfId="44681"/>
    <cellStyle name="_Growth Track Consolidation - 10 Jan.Growth track data_SupplyChain 2" xfId="44682"/>
    <cellStyle name="_Growth Track Consolidation - 10 Jan.Growth track data_SupplyChain_1" xfId="44683"/>
    <cellStyle name="_Growth Track Consolidation - 10 Jan.Growth track data_SupplyChain_1 2" xfId="44684"/>
    <cellStyle name="_Growth Track Consolidation - 10 Jan.Growth track data_TWHCON" xfId="44685"/>
    <cellStyle name="_Growth Track Consolidation - 10 Jan.Growth track data_TWHCON 2" xfId="44686"/>
    <cellStyle name="_Growth Track Consolidation - 10 Jan.Growth track data_TWPROP" xfId="44687"/>
    <cellStyle name="_Growth Track Consolidation - 10 Jan.Growth track data_TWPROP 2" xfId="44688"/>
    <cellStyle name="_Growth Track Consolidation - 10 Jan.Growth track data_TWPROP_1" xfId="44689"/>
    <cellStyle name="_Growth Track Consolidation - 10 Jan.Growth track data_TWPROP_1 2" xfId="44690"/>
    <cellStyle name="_Growth Track Consolidation - 10 Jan.Growth track data_TWPROP_2" xfId="44691"/>
    <cellStyle name="_Growth Track Consolidation - 10 Jan.Growth track data_TWPROP_2 2" xfId="44692"/>
    <cellStyle name="_Growth Track Consolidation - 10 Jan.Growth track data_TWUCOR" xfId="44693"/>
    <cellStyle name="_Growth Track Consolidation - 10 Jan.Growth track data_TWUCOR 2" xfId="44694"/>
    <cellStyle name="_Growth Track Consolidation - 10 Jan.Growth track data_TWUCOR_1" xfId="44695"/>
    <cellStyle name="_Growth Track Consolidation - 10 Jan.Growth track data_TWUCOR_1 2" xfId="44696"/>
    <cellStyle name="_Growth Track Consolidation - 10 Jan.Growth track data_TWUL_TOT_UKGAAP" xfId="44697"/>
    <cellStyle name="_Growth Track Consolidation - 10 Jan.Growth track data_TWUL_TOT_UKGAAP 2" xfId="44698"/>
    <cellStyle name="_Growth Track Consolidation - 10 Jan.Growth track data_TWUL_TOT_UKGAAP_1" xfId="44699"/>
    <cellStyle name="_Growth Track Consolidation - 10 Jan.Growth track data_TWUL_TOT_UKGAAP_1 2" xfId="44700"/>
    <cellStyle name="_Growth Track Consolidation - 10 Jan.Growth track data_TWULCONJ" xfId="44701"/>
    <cellStyle name="_Growth Track Consolidation - 10 Jan.Growth track data_TWULCONJ 2" xfId="44702"/>
    <cellStyle name="_Growth Track Consolidation - 10 Jan.Growth track data_VOWD Summary 17-11-11 V2 (NP)" xfId="44703"/>
    <cellStyle name="_Growth Track Consolidation - 11 Jan" xfId="44704"/>
    <cellStyle name="_Growth Track Consolidation - 11 Jan 2" xfId="44705"/>
    <cellStyle name="_Growth Track Consolidation - 11 Jan 2 2" xfId="44706"/>
    <cellStyle name="_Growth Track Consolidation - 11 Jan 3" xfId="44707"/>
    <cellStyle name="_Growth Track Consolidation - 11 Jan 3 2" xfId="44708"/>
    <cellStyle name="_Growth Track Consolidation - 11 Jan 4" xfId="44709"/>
    <cellStyle name="_Growth Track Consolidation - 11 Jan 4 2" xfId="44710"/>
    <cellStyle name="_Growth Track Consolidation - 11 Jan 5" xfId="44711"/>
    <cellStyle name="_Growth Track Consolidation - 11 Jan 5 2" xfId="44712"/>
    <cellStyle name="_Growth Track Consolidation - 11 Jan 6" xfId="44713"/>
    <cellStyle name="_Growth Track Consolidation - 11 Jan 6 2" xfId="44714"/>
    <cellStyle name="_Growth Track Consolidation - 11 Jan 7" xfId="44715"/>
    <cellStyle name="_Growth Track Consolidation - 11 Jan 7 2" xfId="44716"/>
    <cellStyle name="_Growth Track Consolidation - 11 Jan 8" xfId="44717"/>
    <cellStyle name="_Growth Track Consolidation - 11 Jan_~4194202" xfId="44718"/>
    <cellStyle name="_Growth Track Consolidation - 11 Jan_~9045721" xfId="44719"/>
    <cellStyle name="_Growth Track Consolidation - 11 Jan_5+7 Oct 11 Flying Bricks v1.0 budget review v12 29-11-11" xfId="44720"/>
    <cellStyle name="_Growth Track Consolidation - 11 Jan_AffinPartner" xfId="44721"/>
    <cellStyle name="_Growth Track Consolidation - 11 Jan_AffinPartner 2" xfId="44722"/>
    <cellStyle name="_Growth Track Consolidation - 11 Jan_AffinPartner_1" xfId="44723"/>
    <cellStyle name="_Growth Track Consolidation - 11 Jan_AffinPartner_1 2" xfId="44724"/>
    <cellStyle name="_Growth Track Consolidation - 11 Jan_Asset_ManagementCON" xfId="44725"/>
    <cellStyle name="_Growth Track Consolidation - 11 Jan_Asset_ManagementCON 2" xfId="44726"/>
    <cellStyle name="_Growth Track Consolidation - 11 Jan_Asset_ManagementCON_1" xfId="44727"/>
    <cellStyle name="_Growth Track Consolidation - 11 Jan_Asset_ManagementCON_1 2" xfId="44728"/>
    <cellStyle name="_Growth Track Consolidation - 11 Jan_Asset_MgmtNonAppoint" xfId="44729"/>
    <cellStyle name="_Growth Track Consolidation - 11 Jan_Asset_MgmtNonAppoint 2" xfId="44730"/>
    <cellStyle name="_Growth Track Consolidation - 11 Jan_Book1" xfId="44731"/>
    <cellStyle name="_Growth Track Consolidation - 11 Jan_Book2" xfId="44732"/>
    <cellStyle name="_Growth Track Consolidation - 11 Jan_Book3" xfId="44733"/>
    <cellStyle name="_Growth Track Consolidation - 11 Jan_Book3 2" xfId="44734"/>
    <cellStyle name="_Growth Track Consolidation - 11 Jan_Book3 2_Adjustments" xfId="44735"/>
    <cellStyle name="_Growth Track Consolidation - 11 Jan_Book3 2_Overall" xfId="44736"/>
    <cellStyle name="_Growth Track Consolidation - 11 Jan_Book3_B &amp; U by Inv Area &amp; Del" xfId="44737"/>
    <cellStyle name="_Growth Track Consolidation - 11 Jan_Book3_budget risk items" xfId="44738"/>
    <cellStyle name="_Growth Track Consolidation - 11 Jan_Book3_VoWD Data" xfId="44739"/>
    <cellStyle name="_Growth Track Consolidation - 11 Jan_Book3_VoWD Data by Purpose Code" xfId="44740"/>
    <cellStyle name="_Growth Track Consolidation - 11 Jan_Budget Finance" xfId="44741"/>
    <cellStyle name="_Growth Track Consolidation - 11 Jan_Budget Finance 2" xfId="44742"/>
    <cellStyle name="_Growth Track Consolidation - 11 Jan_Budget Finance 3" xfId="44743"/>
    <cellStyle name="_Growth Track Consolidation - 11 Jan_Capital_DeliveryCON" xfId="44744"/>
    <cellStyle name="_Growth Track Consolidation - 11 Jan_Capital_DeliveryCON 2" xfId="44745"/>
    <cellStyle name="_Growth Track Consolidation - 11 Jan_Central_Items" xfId="44746"/>
    <cellStyle name="_Growth Track Consolidation - 11 Jan_Central_Items 2" xfId="44747"/>
    <cellStyle name="_Growth Track Consolidation - 11 Jan_Central_Items_1" xfId="44748"/>
    <cellStyle name="_Growth Track Consolidation - 11 Jan_Central_Items_1 2" xfId="44749"/>
    <cellStyle name="_Growth Track Consolidation - 11 Jan_Central_Items_2" xfId="44750"/>
    <cellStyle name="_Growth Track Consolidation - 11 Jan_Central_Items_2 2" xfId="44751"/>
    <cellStyle name="_Growth Track Consolidation - 11 Jan_CENTRE" xfId="44752"/>
    <cellStyle name="_Growth Track Consolidation - 11 Jan_CENTRE 2" xfId="44753"/>
    <cellStyle name="_Growth Track Consolidation - 11 Jan_CENTRE_1" xfId="44754"/>
    <cellStyle name="_Growth Track Consolidation - 11 Jan_CENTRE_1 2" xfId="44755"/>
    <cellStyle name="_Growth Track Consolidation - 11 Jan_CENTRE_2" xfId="44756"/>
    <cellStyle name="_Growth Track Consolidation - 11 Jan_CENTRE_2 2" xfId="44757"/>
    <cellStyle name="_Growth Track Consolidation - 11 Jan_CENTRE_Check" xfId="44758"/>
    <cellStyle name="_Growth Track Consolidation - 11 Jan_CENTRE_Check 2" xfId="44759"/>
    <cellStyle name="_Growth Track Consolidation - 11 Jan_CENTRE_TWPROP" xfId="44760"/>
    <cellStyle name="_Growth Track Consolidation - 11 Jan_CENTRE_TWPROP 2" xfId="44761"/>
    <cellStyle name="_Growth Track Consolidation - 11 Jan_Check" xfId="44762"/>
    <cellStyle name="_Growth Track Consolidation - 11 Jan_Check 2" xfId="44763"/>
    <cellStyle name="_Growth Track Consolidation - 11 Jan_CommCentral" xfId="44764"/>
    <cellStyle name="_Growth Track Consolidation - 11 Jan_CommCentral 2" xfId="44765"/>
    <cellStyle name="_Growth Track Consolidation - 11 Jan_CommCentral_1" xfId="44766"/>
    <cellStyle name="_Growth Track Consolidation - 11 Jan_CommCentral_1 2" xfId="44767"/>
    <cellStyle name="_Growth Track Consolidation - 11 Jan_CommProjects" xfId="44768"/>
    <cellStyle name="_Growth Track Consolidation - 11 Jan_CommProjects 2" xfId="44769"/>
    <cellStyle name="_Growth Track Consolidation - 11 Jan_CommProjects_1" xfId="44770"/>
    <cellStyle name="_Growth Track Consolidation - 11 Jan_CommProjects_1 2" xfId="44771"/>
    <cellStyle name="_Growth Track Consolidation - 11 Jan_CONSOL_G" xfId="44772"/>
    <cellStyle name="_Growth Track Consolidation - 11 Jan_CONSOL_G 2" xfId="44773"/>
    <cellStyle name="_Growth Track Consolidation - 11 Jan_CServices_SwindonCON" xfId="44774"/>
    <cellStyle name="_Growth Track Consolidation - 11 Jan_CServices_SwindonCON 2" xfId="44775"/>
    <cellStyle name="_Growth Track Consolidation - 11 Jan_Employment costs" xfId="44776"/>
    <cellStyle name="_Growth Track Consolidation - 11 Jan_Employment costs 2" xfId="44777"/>
    <cellStyle name="_Growth Track Consolidation - 11 Jan_Employment costs_1" xfId="44778"/>
    <cellStyle name="_Growth Track Consolidation - 11 Jan_Employment costs_1 2" xfId="44779"/>
    <cellStyle name="_Growth Track Consolidation - 11 Jan_Employment costs_2" xfId="44780"/>
    <cellStyle name="_Growth Track Consolidation - 11 Jan_Employment costs_2 2" xfId="44781"/>
    <cellStyle name="_Growth Track Consolidation - 11 Jan_External_Affairs" xfId="44782"/>
    <cellStyle name="_Growth Track Consolidation - 11 Jan_External_Affairs 2" xfId="44783"/>
    <cellStyle name="_Growth Track Consolidation - 11 Jan_External_Affairs_1" xfId="44784"/>
    <cellStyle name="_Growth Track Consolidation - 11 Jan_External_Affairs_1 2" xfId="44785"/>
    <cellStyle name="_Growth Track Consolidation - 11 Jan_FD Monitoring - Q3 2011 Template v3 17Jan12" xfId="44786"/>
    <cellStyle name="_Growth Track Consolidation - 11 Jan_FD Monitoring - Q3 2011 Template v3 17Jan12 2" xfId="44787"/>
    <cellStyle name="_Growth Track Consolidation - 11 Jan_FD Monitoring - Q3 2011 Template v3 17Jan12 2_Adjustments" xfId="44788"/>
    <cellStyle name="_Growth Track Consolidation - 11 Jan_FD Monitoring - Q3 2011 Template v3 17Jan12 2_Overall" xfId="44789"/>
    <cellStyle name="_Growth Track Consolidation - 11 Jan_FD Monitoring - Q3 2011 Template v3 17Jan12_B &amp; U by Inv Area &amp; Del" xfId="44790"/>
    <cellStyle name="_Growth Track Consolidation - 11 Jan_FD Monitoring - Q3 2011 Template v3 17Jan12_budget risk items" xfId="44791"/>
    <cellStyle name="_Growth Track Consolidation - 11 Jan_FD Monitoring - Q3 2011 Template v3 17Jan12_VoWD Data" xfId="44792"/>
    <cellStyle name="_Growth Track Consolidation - 11 Jan_FD Monitoring - Q3 2011 Template v3 17Jan12_VoWD Data by Purpose Code" xfId="44793"/>
    <cellStyle name="_Growth Track Consolidation - 11 Jan_FD Monitoring AMP5 - Q2 (6 monthly) 2011-12 v0.2 1page Simon McSweeney" xfId="44794"/>
    <cellStyle name="_Growth Track Consolidation - 11 Jan_FD Monitoring AMP5 - Q2 (6 monthly) 2011-12 v0.2 1page Simon McSweeney 2" xfId="44795"/>
    <cellStyle name="_Growth Track Consolidation - 11 Jan_FD Monitoring AMP5 - Q2 (6 monthly) 2011-12 v0.2 1page Simon McSweeney 2_Adjustments" xfId="44796"/>
    <cellStyle name="_Growth Track Consolidation - 11 Jan_FD Monitoring AMP5 - Q2 (6 monthly) 2011-12 v0.2 1page Simon McSweeney 2_Overall" xfId="44797"/>
    <cellStyle name="_Growth Track Consolidation - 11 Jan_FD Monitoring AMP5 - Q2 (6 monthly) 2011-12 v0.2 1page Simon McSweeney_B &amp; U by Inv Area &amp; Del" xfId="44798"/>
    <cellStyle name="_Growth Track Consolidation - 11 Jan_FD Monitoring AMP5 - Q2 (6 monthly) 2011-12 v0.2 1page Simon McSweeney_budget risk items" xfId="44799"/>
    <cellStyle name="_Growth Track Consolidation - 11 Jan_FD Monitoring AMP5 - Q2 (6 monthly) 2011-12 v0.2 1page Simon McSweeney_VoWD Data" xfId="44800"/>
    <cellStyle name="_Growth Track Consolidation - 11 Jan_FD Monitoring AMP5 - Q2 (6 monthly) 2011-12 v0.2 1page Simon McSweeney_VoWD Data by Purpose Code" xfId="44801"/>
    <cellStyle name="_Growth Track Consolidation - 11 Jan_Finance" xfId="44802"/>
    <cellStyle name="_Growth Track Consolidation - 11 Jan_Finance 2" xfId="44803"/>
    <cellStyle name="_Growth Track Consolidation - 11 Jan_Finance_1" xfId="44804"/>
    <cellStyle name="_Growth Track Consolidation - 11 Jan_Finance_1 2" xfId="44805"/>
    <cellStyle name="_Growth Track Consolidation - 11 Jan_Fleet" xfId="44806"/>
    <cellStyle name="_Growth Track Consolidation - 11 Jan_Fleet 2" xfId="44807"/>
    <cellStyle name="_Growth Track Consolidation - 11 Jan_Fleet_1" xfId="44808"/>
    <cellStyle name="_Growth Track Consolidation - 11 Jan_Fleet_1 2" xfId="44809"/>
    <cellStyle name="_Growth Track Consolidation - 11 Jan_Fst-Bud Summary" xfId="44810"/>
    <cellStyle name="_Growth Track Consolidation - 11 Jan_Fst-Bud Summary 2" xfId="44811"/>
    <cellStyle name="_Growth Track Consolidation - 11 Jan_Fst-Bud Summary 3" xfId="44812"/>
    <cellStyle name="_Growth Track Consolidation - 11 Jan_General_Councel" xfId="44813"/>
    <cellStyle name="_Growth Track Consolidation - 11 Jan_General_Councel 2" xfId="44814"/>
    <cellStyle name="_Growth Track Consolidation - 11 Jan_General_Councel_1" xfId="44815"/>
    <cellStyle name="_Growth Track Consolidation - 11 Jan_General_Councel_1 2" xfId="44816"/>
    <cellStyle name="_Growth Track Consolidation - 11 Jan_Human_Resources" xfId="44817"/>
    <cellStyle name="_Growth Track Consolidation - 11 Jan_Human_Resources 2" xfId="44818"/>
    <cellStyle name="_Growth Track Consolidation - 11 Jan_Human_Resources_1" xfId="44819"/>
    <cellStyle name="_Growth Track Consolidation - 11 Jan_Human_Resources_1 2" xfId="44820"/>
    <cellStyle name="_Growth Track Consolidation - 11 Jan_IBP by Inv Area" xfId="44821"/>
    <cellStyle name="_Growth Track Consolidation - 11 Jan_IBP by Inv Area 2" xfId="44822"/>
    <cellStyle name="_Growth Track Consolidation - 11 Jan_IBP by Inv Area 2_Adjustments" xfId="44823"/>
    <cellStyle name="_Growth Track Consolidation - 11 Jan_IBP by Inv Area 2_Overall" xfId="44824"/>
    <cellStyle name="_Growth Track Consolidation - 11 Jan_IBP by Inv Area_B &amp; U by Inv Area &amp; Del" xfId="44825"/>
    <cellStyle name="_Growth Track Consolidation - 11 Jan_IBP by Inv Area_budget risk items" xfId="44826"/>
    <cellStyle name="_Growth Track Consolidation - 11 Jan_IBP by Inv Area_VoWD Data" xfId="44827"/>
    <cellStyle name="_Growth Track Consolidation - 11 Jan_IBP by Inv Area_VoWD Data by Purpose Code" xfId="44828"/>
    <cellStyle name="_Growth Track Consolidation - 11 Jan_IBP Steve Roberts file 19-01-12 (Inc Dec11 COPI)" xfId="44829"/>
    <cellStyle name="_Growth Track Consolidation - 11 Jan_IBP Steve Roberts file 19-01-12 (Inc Dec11 COPI) 2" xfId="44830"/>
    <cellStyle name="_Growth Track Consolidation - 11 Jan_IBP Steve Roberts file 19-01-12 (Inc Dec11 COPI) 2_Adjustments" xfId="44831"/>
    <cellStyle name="_Growth Track Consolidation - 11 Jan_IBP Steve Roberts file 19-01-12 (Inc Dec11 COPI) 2_Overall" xfId="44832"/>
    <cellStyle name="_Growth Track Consolidation - 11 Jan_IBP Steve Roberts file 19-01-12 (Inc Dec11 COPI)_B &amp; U by Inv Area &amp; Del" xfId="44833"/>
    <cellStyle name="_Growth Track Consolidation - 11 Jan_IBP Steve Roberts file 19-01-12 (Inc Dec11 COPI)_budget risk items" xfId="44834"/>
    <cellStyle name="_Growth Track Consolidation - 11 Jan_IBP Steve Roberts file 19-01-12 (Inc Dec11 COPI)_VoWD Data" xfId="44835"/>
    <cellStyle name="_Growth Track Consolidation - 11 Jan_IBP Steve Roberts file 19-01-12 (Inc Dec11 COPI)_VoWD Data by Purpose Code" xfId="44836"/>
    <cellStyle name="_Growth Track Consolidation - 11 Jan_Innovation" xfId="44837"/>
    <cellStyle name="_Growth Track Consolidation - 11 Jan_Innovation 2" xfId="44838"/>
    <cellStyle name="_Growth Track Consolidation - 11 Jan_Innovation_1" xfId="44839"/>
    <cellStyle name="_Growth Track Consolidation - 11 Jan_Innovation_1 2" xfId="44840"/>
    <cellStyle name="_Growth Track Consolidation - 11 Jan_IT" xfId="44841"/>
    <cellStyle name="_Growth Track Consolidation - 11 Jan_IT 2" xfId="44842"/>
    <cellStyle name="_Growth Track Consolidation - 11 Jan_IT_1" xfId="44843"/>
    <cellStyle name="_Growth Track Consolidation - 11 Jan_IT_1 2" xfId="44844"/>
    <cellStyle name="_Growth Track Consolidation - 11 Jan_KWFLtd" xfId="44845"/>
    <cellStyle name="_Growth Track Consolidation - 11 Jan_KWFLtd 2" xfId="44846"/>
    <cellStyle name="_Growth Track Consolidation - 11 Jan_KWHLTD_G" xfId="44847"/>
    <cellStyle name="_Growth Track Consolidation - 11 Jan_KWHLTD_G 2" xfId="44848"/>
    <cellStyle name="_Growth Track Consolidation - 11 Jan_KWHLTD_G_1" xfId="44849"/>
    <cellStyle name="_Growth Track Consolidation - 11 Jan_KWHLTD_G_1 2" xfId="44850"/>
    <cellStyle name="_Growth Track Consolidation - 11 Jan_KWHLTD_G_2" xfId="44851"/>
    <cellStyle name="_Growth Track Consolidation - 11 Jan_KWHLTD_G_2 2" xfId="44852"/>
    <cellStyle name="_Growth Track Consolidation - 11 Jan_Major_ProjectsCON" xfId="44853"/>
    <cellStyle name="_Growth Track Consolidation - 11 Jan_Major_ProjectsCON 2" xfId="44854"/>
    <cellStyle name="_Growth Track Consolidation - 11 Jan_Management Structure" xfId="44855"/>
    <cellStyle name="_Growth Track Consolidation - 11 Jan_Management Structure 2" xfId="44856"/>
    <cellStyle name="_Growth Track Consolidation - 11 Jan_Management Structure_1" xfId="44857"/>
    <cellStyle name="_Growth Track Consolidation - 11 Jan_Management Structure_1 2" xfId="44858"/>
    <cellStyle name="_Growth Track Consolidation - 11 Jan_Operations" xfId="44859"/>
    <cellStyle name="_Growth Track Consolidation - 11 Jan_Operations 2" xfId="44860"/>
    <cellStyle name="_Growth Track Consolidation - 11 Jan_Operations_1" xfId="44861"/>
    <cellStyle name="_Growth Track Consolidation - 11 Jan_Operations_1 2" xfId="44862"/>
    <cellStyle name="_Growth Track Consolidation - 11 Jan_Ops contracts" xfId="44863"/>
    <cellStyle name="_Growth Track Consolidation - 11 Jan_Ops contracts 2" xfId="44864"/>
    <cellStyle name="_Growth Track Consolidation - 11 Jan_Ops contracts_1" xfId="44865"/>
    <cellStyle name="_Growth Track Consolidation - 11 Jan_Ops contracts_1 2" xfId="44866"/>
    <cellStyle name="_Growth Track Consolidation - 11 Jan_Ops contracts_2" xfId="44867"/>
    <cellStyle name="_Growth Track Consolidation - 11 Jan_Ops contracts_2 2" xfId="44868"/>
    <cellStyle name="_Growth Track Consolidation - 11 Jan_OtherSS" xfId="44869"/>
    <cellStyle name="_Growth Track Consolidation - 11 Jan_OtherSS 2" xfId="44870"/>
    <cellStyle name="_Growth Track Consolidation - 11 Jan_OtherSS_1" xfId="44871"/>
    <cellStyle name="_Growth Track Consolidation - 11 Jan_OtherSS_1 2" xfId="44872"/>
    <cellStyle name="_Growth Track Consolidation - 11 Jan_P&amp;L_AMP5" xfId="44873"/>
    <cellStyle name="_Growth Track Consolidation - 11 Jan_P&amp;L_AMP5 2" xfId="44874"/>
    <cellStyle name="_Growth Track Consolidation - 11 Jan_Power" xfId="44875"/>
    <cellStyle name="_Growth Track Consolidation - 11 Jan_Power 2" xfId="44876"/>
    <cellStyle name="_Growth Track Consolidation - 11 Jan_Power_1" xfId="44877"/>
    <cellStyle name="_Growth Track Consolidation - 11 Jan_Power_1 2" xfId="44878"/>
    <cellStyle name="_Growth Track Consolidation - 11 Jan_Property_Facilities" xfId="44879"/>
    <cellStyle name="_Growth Track Consolidation - 11 Jan_Property_Facilities 2" xfId="44880"/>
    <cellStyle name="_Growth Track Consolidation - 11 Jan_Property_Facilities_1" xfId="44881"/>
    <cellStyle name="_Growth Track Consolidation - 11 Jan_Property_Facilities_1 2" xfId="44882"/>
    <cellStyle name="_Growth Track Consolidation - 11 Jan_PropertyDisposals" xfId="44883"/>
    <cellStyle name="_Growth Track Consolidation - 11 Jan_PropertyDisposals 2" xfId="44884"/>
    <cellStyle name="_Growth Track Consolidation - 11 Jan_PropFacilitiesNonApp" xfId="44885"/>
    <cellStyle name="_Growth Track Consolidation - 11 Jan_PropFacilitiesNonApp 2" xfId="44886"/>
    <cellStyle name="_Growth Track Consolidation - 11 Jan_PropFacilitiesNonApp_1" xfId="44887"/>
    <cellStyle name="_Growth Track Consolidation - 11 Jan_PropFacilitiesNonApp_1 2" xfId="44888"/>
    <cellStyle name="_Growth Track Consolidation - 11 Jan_PropSearch_Home" xfId="44889"/>
    <cellStyle name="_Growth Track Consolidation - 11 Jan_PropSearch_Home 2" xfId="44890"/>
    <cellStyle name="_Growth Track Consolidation - 11 Jan_PropSearch_Home_1" xfId="44891"/>
    <cellStyle name="_Growth Track Consolidation - 11 Jan_PropSearch_Home_1 2" xfId="44892"/>
    <cellStyle name="_Growth Track Consolidation - 11 Jan_QRF 2011 6+6 - Draft - 06Oct11 v15.1 (excl unrealised efficiencies)" xfId="44893"/>
    <cellStyle name="_Growth Track Consolidation - 11 Jan_QRF 2011 6+6 - Draft - 06Oct11 v16.2 (incl unrealised efficiencies)" xfId="44894"/>
    <cellStyle name="_Growth Track Consolidation - 11 Jan_Record of Manual Changes" xfId="44895"/>
    <cellStyle name="_Growth Track Consolidation - 11 Jan_Record of Manual Changes 2" xfId="44896"/>
    <cellStyle name="_Growth Track Consolidation - 11 Jan_Record of Manual Changes 2_Adjustments" xfId="44897"/>
    <cellStyle name="_Growth Track Consolidation - 11 Jan_Record of Manual Changes 2_Overall" xfId="44898"/>
    <cellStyle name="_Growth Track Consolidation - 11 Jan_Record of Manual Changes_B &amp; U by Inv Area &amp; Del" xfId="44899"/>
    <cellStyle name="_Growth Track Consolidation - 11 Jan_Record of Manual Changes_budget risk items" xfId="44900"/>
    <cellStyle name="_Growth Track Consolidation - 11 Jan_Record of Manual Changes_VoWD Data" xfId="44901"/>
    <cellStyle name="_Growth Track Consolidation - 11 Jan_Record of Manual Changes_VoWD Data by Purpose Code" xfId="44902"/>
    <cellStyle name="_Growth Track Consolidation - 11 Jan_Retail" xfId="44903"/>
    <cellStyle name="_Growth Track Consolidation - 11 Jan_Retail 2" xfId="44904"/>
    <cellStyle name="_Growth Track Consolidation - 11 Jan_Retail_1" xfId="44905"/>
    <cellStyle name="_Growth Track Consolidation - 11 Jan_Retail_1 2" xfId="44906"/>
    <cellStyle name="_Growth Track Consolidation - 11 Jan_Sheet1" xfId="44907"/>
    <cellStyle name="_Growth Track Consolidation - 11 Jan_Sheet1 2" xfId="44908"/>
    <cellStyle name="_Growth Track Consolidation - 11 Jan_Strategy_Reg" xfId="44909"/>
    <cellStyle name="_Growth Track Consolidation - 11 Jan_Strategy_Reg 2" xfId="44910"/>
    <cellStyle name="_Growth Track Consolidation - 11 Jan_Strategy_Reg_1" xfId="44911"/>
    <cellStyle name="_Growth Track Consolidation - 11 Jan_Strategy_Reg_1 2" xfId="44912"/>
    <cellStyle name="_Growth Track Consolidation - 11 Jan_SupplyChain" xfId="44913"/>
    <cellStyle name="_Growth Track Consolidation - 11 Jan_SupplyChain 2" xfId="44914"/>
    <cellStyle name="_Growth Track Consolidation - 11 Jan_SupplyChain_1" xfId="44915"/>
    <cellStyle name="_Growth Track Consolidation - 11 Jan_SupplyChain_1 2" xfId="44916"/>
    <cellStyle name="_Growth Track Consolidation - 11 Jan_TWHCON" xfId="44917"/>
    <cellStyle name="_Growth Track Consolidation - 11 Jan_TWHCON 2" xfId="44918"/>
    <cellStyle name="_Growth Track Consolidation - 11 Jan_TWPROP" xfId="44919"/>
    <cellStyle name="_Growth Track Consolidation - 11 Jan_TWPROP 2" xfId="44920"/>
    <cellStyle name="_Growth Track Consolidation - 11 Jan_TWPROP_1" xfId="44921"/>
    <cellStyle name="_Growth Track Consolidation - 11 Jan_TWPROP_1 2" xfId="44922"/>
    <cellStyle name="_Growth Track Consolidation - 11 Jan_TWPROP_2" xfId="44923"/>
    <cellStyle name="_Growth Track Consolidation - 11 Jan_TWPROP_2 2" xfId="44924"/>
    <cellStyle name="_Growth Track Consolidation - 11 Jan_TWUCOR" xfId="44925"/>
    <cellStyle name="_Growth Track Consolidation - 11 Jan_TWUCOR 2" xfId="44926"/>
    <cellStyle name="_Growth Track Consolidation - 11 Jan_TWUCOR_1" xfId="44927"/>
    <cellStyle name="_Growth Track Consolidation - 11 Jan_TWUCOR_1 2" xfId="44928"/>
    <cellStyle name="_Growth Track Consolidation - 11 Jan_TWUL_TOT_UKGAAP" xfId="44929"/>
    <cellStyle name="_Growth Track Consolidation - 11 Jan_TWUL_TOT_UKGAAP 2" xfId="44930"/>
    <cellStyle name="_Growth Track Consolidation - 11 Jan_TWUL_TOT_UKGAAP_1" xfId="44931"/>
    <cellStyle name="_Growth Track Consolidation - 11 Jan_TWUL_TOT_UKGAAP_1 2" xfId="44932"/>
    <cellStyle name="_Growth Track Consolidation - 11 Jan_TWULCONJ" xfId="44933"/>
    <cellStyle name="_Growth Track Consolidation - 11 Jan_TWULCONJ 2" xfId="44934"/>
    <cellStyle name="_Growth Track Consolidation - 11 Jan_VOWD Summary 17-11-11 V2 (NP)" xfId="44935"/>
    <cellStyle name="_Growth Track Consolidation - 20 Dec V2" xfId="44936"/>
    <cellStyle name="_Growth Track Consolidation - 20 Dec V2 2" xfId="44937"/>
    <cellStyle name="_Growth Track Consolidation - 20 Dec V2 2 2" xfId="44938"/>
    <cellStyle name="_Growth Track Consolidation - 20 Dec V2 3" xfId="44939"/>
    <cellStyle name="_Growth Track Consolidation - 20 Dec V2 3 2" xfId="44940"/>
    <cellStyle name="_Growth Track Consolidation - 20 Dec V2 4" xfId="44941"/>
    <cellStyle name="_Growth Track Consolidation - 20 Dec V2 4 2" xfId="44942"/>
    <cellStyle name="_Growth Track Consolidation - 20 Dec V2 5" xfId="44943"/>
    <cellStyle name="_Growth Track Consolidation - 20 Dec V2 5 2" xfId="44944"/>
    <cellStyle name="_Growth Track Consolidation - 20 Dec V2 6" xfId="44945"/>
    <cellStyle name="_Growth Track Consolidation - 20 Dec V2 6 2" xfId="44946"/>
    <cellStyle name="_Growth Track Consolidation - 20 Dec V2 7" xfId="44947"/>
    <cellStyle name="_Growth Track Consolidation - 20 Dec V2 7 2" xfId="44948"/>
    <cellStyle name="_Growth Track Consolidation - 20 Dec V2 8" xfId="44949"/>
    <cellStyle name="_Growth Track Consolidation - 20 Dec V2_~4194202" xfId="44950"/>
    <cellStyle name="_Growth Track Consolidation - 20 Dec V2_~9045721" xfId="44951"/>
    <cellStyle name="_Growth Track Consolidation - 20 Dec V2_5+7 Oct 11 Flying Bricks v1.0 budget review v12 29-11-11" xfId="44952"/>
    <cellStyle name="_Growth Track Consolidation - 20 Dec V2_AffinPartner" xfId="44953"/>
    <cellStyle name="_Growth Track Consolidation - 20 Dec V2_AffinPartner 2" xfId="44954"/>
    <cellStyle name="_Growth Track Consolidation - 20 Dec V2_AffinPartner_1" xfId="44955"/>
    <cellStyle name="_Growth Track Consolidation - 20 Dec V2_AffinPartner_1 2" xfId="44956"/>
    <cellStyle name="_Growth Track Consolidation - 20 Dec V2_Asset_ManagementCON" xfId="44957"/>
    <cellStyle name="_Growth Track Consolidation - 20 Dec V2_Asset_ManagementCON 2" xfId="44958"/>
    <cellStyle name="_Growth Track Consolidation - 20 Dec V2_Asset_ManagementCON_1" xfId="44959"/>
    <cellStyle name="_Growth Track Consolidation - 20 Dec V2_Asset_ManagementCON_1 2" xfId="44960"/>
    <cellStyle name="_Growth Track Consolidation - 20 Dec V2_Asset_MgmtNonAppoint" xfId="44961"/>
    <cellStyle name="_Growth Track Consolidation - 20 Dec V2_Asset_MgmtNonAppoint 2" xfId="44962"/>
    <cellStyle name="_Growth Track Consolidation - 20 Dec V2_Book1" xfId="44963"/>
    <cellStyle name="_Growth Track Consolidation - 20 Dec V2_Book2" xfId="44964"/>
    <cellStyle name="_Growth Track Consolidation - 20 Dec V2_Book3" xfId="44965"/>
    <cellStyle name="_Growth Track Consolidation - 20 Dec V2_Book3 2" xfId="44966"/>
    <cellStyle name="_Growth Track Consolidation - 20 Dec V2_Book3 2_Adjustments" xfId="44967"/>
    <cellStyle name="_Growth Track Consolidation - 20 Dec V2_Book3 2_Overall" xfId="44968"/>
    <cellStyle name="_Growth Track Consolidation - 20 Dec V2_Book3_B &amp; U by Inv Area &amp; Del" xfId="44969"/>
    <cellStyle name="_Growth Track Consolidation - 20 Dec V2_Book3_budget risk items" xfId="44970"/>
    <cellStyle name="_Growth Track Consolidation - 20 Dec V2_Book3_VoWD Data" xfId="44971"/>
    <cellStyle name="_Growth Track Consolidation - 20 Dec V2_Book3_VoWD Data by Purpose Code" xfId="44972"/>
    <cellStyle name="_Growth Track Consolidation - 20 Dec V2_Budget Finance" xfId="44973"/>
    <cellStyle name="_Growth Track Consolidation - 20 Dec V2_Budget Finance 2" xfId="44974"/>
    <cellStyle name="_Growth Track Consolidation - 20 Dec V2_Budget Finance 3" xfId="44975"/>
    <cellStyle name="_Growth Track Consolidation - 20 Dec V2_Capital_DeliveryCON" xfId="44976"/>
    <cellStyle name="_Growth Track Consolidation - 20 Dec V2_Capital_DeliveryCON 2" xfId="44977"/>
    <cellStyle name="_Growth Track Consolidation - 20 Dec V2_Central_Items" xfId="44978"/>
    <cellStyle name="_Growth Track Consolidation - 20 Dec V2_Central_Items 2" xfId="44979"/>
    <cellStyle name="_Growth Track Consolidation - 20 Dec V2_Central_Items_1" xfId="44980"/>
    <cellStyle name="_Growth Track Consolidation - 20 Dec V2_Central_Items_1 2" xfId="44981"/>
    <cellStyle name="_Growth Track Consolidation - 20 Dec V2_Central_Items_2" xfId="44982"/>
    <cellStyle name="_Growth Track Consolidation - 20 Dec V2_Central_Items_2 2" xfId="44983"/>
    <cellStyle name="_Growth Track Consolidation - 20 Dec V2_CENTRE" xfId="44984"/>
    <cellStyle name="_Growth Track Consolidation - 20 Dec V2_CENTRE 2" xfId="44985"/>
    <cellStyle name="_Growth Track Consolidation - 20 Dec V2_CENTRE_1" xfId="44986"/>
    <cellStyle name="_Growth Track Consolidation - 20 Dec V2_CENTRE_1 2" xfId="44987"/>
    <cellStyle name="_Growth Track Consolidation - 20 Dec V2_CENTRE_2" xfId="44988"/>
    <cellStyle name="_Growth Track Consolidation - 20 Dec V2_CENTRE_2 2" xfId="44989"/>
    <cellStyle name="_Growth Track Consolidation - 20 Dec V2_CENTRE_Check" xfId="44990"/>
    <cellStyle name="_Growth Track Consolidation - 20 Dec V2_CENTRE_Check 2" xfId="44991"/>
    <cellStyle name="_Growth Track Consolidation - 20 Dec V2_CENTRE_TWPROP" xfId="44992"/>
    <cellStyle name="_Growth Track Consolidation - 20 Dec V2_CENTRE_TWPROP 2" xfId="44993"/>
    <cellStyle name="_Growth Track Consolidation - 20 Dec V2_Check" xfId="44994"/>
    <cellStyle name="_Growth Track Consolidation - 20 Dec V2_Check 2" xfId="44995"/>
    <cellStyle name="_Growth Track Consolidation - 20 Dec V2_CommCentral" xfId="44996"/>
    <cellStyle name="_Growth Track Consolidation - 20 Dec V2_CommCentral 2" xfId="44997"/>
    <cellStyle name="_Growth Track Consolidation - 20 Dec V2_CommCentral_1" xfId="44998"/>
    <cellStyle name="_Growth Track Consolidation - 20 Dec V2_CommCentral_1 2" xfId="44999"/>
    <cellStyle name="_Growth Track Consolidation - 20 Dec V2_CommProjects" xfId="45000"/>
    <cellStyle name="_Growth Track Consolidation - 20 Dec V2_CommProjects 2" xfId="45001"/>
    <cellStyle name="_Growth Track Consolidation - 20 Dec V2_CommProjects_1" xfId="45002"/>
    <cellStyle name="_Growth Track Consolidation - 20 Dec V2_CommProjects_1 2" xfId="45003"/>
    <cellStyle name="_Growth Track Consolidation - 20 Dec V2_CONSOL_G" xfId="45004"/>
    <cellStyle name="_Growth Track Consolidation - 20 Dec V2_CONSOL_G 2" xfId="45005"/>
    <cellStyle name="_Growth Track Consolidation - 20 Dec V2_CServices_SwindonCON" xfId="45006"/>
    <cellStyle name="_Growth Track Consolidation - 20 Dec V2_CServices_SwindonCON 2" xfId="45007"/>
    <cellStyle name="_Growth Track Consolidation - 20 Dec V2_Employment costs" xfId="45008"/>
    <cellStyle name="_Growth Track Consolidation - 20 Dec V2_Employment costs 2" xfId="45009"/>
    <cellStyle name="_Growth Track Consolidation - 20 Dec V2_Employment costs_1" xfId="45010"/>
    <cellStyle name="_Growth Track Consolidation - 20 Dec V2_Employment costs_1 2" xfId="45011"/>
    <cellStyle name="_Growth Track Consolidation - 20 Dec V2_Employment costs_2" xfId="45012"/>
    <cellStyle name="_Growth Track Consolidation - 20 Dec V2_Employment costs_2 2" xfId="45013"/>
    <cellStyle name="_Growth Track Consolidation - 20 Dec V2_External_Affairs" xfId="45014"/>
    <cellStyle name="_Growth Track Consolidation - 20 Dec V2_External_Affairs 2" xfId="45015"/>
    <cellStyle name="_Growth Track Consolidation - 20 Dec V2_External_Affairs_1" xfId="45016"/>
    <cellStyle name="_Growth Track Consolidation - 20 Dec V2_External_Affairs_1 2" xfId="45017"/>
    <cellStyle name="_Growth Track Consolidation - 20 Dec V2_FD Monitoring - Q3 2011 Template v3 17Jan12" xfId="45018"/>
    <cellStyle name="_Growth Track Consolidation - 20 Dec V2_FD Monitoring - Q3 2011 Template v3 17Jan12 2" xfId="45019"/>
    <cellStyle name="_Growth Track Consolidation - 20 Dec V2_FD Monitoring - Q3 2011 Template v3 17Jan12 2_Adjustments" xfId="45020"/>
    <cellStyle name="_Growth Track Consolidation - 20 Dec V2_FD Monitoring - Q3 2011 Template v3 17Jan12 2_Overall" xfId="45021"/>
    <cellStyle name="_Growth Track Consolidation - 20 Dec V2_FD Monitoring - Q3 2011 Template v3 17Jan12_B &amp; U by Inv Area &amp; Del" xfId="45022"/>
    <cellStyle name="_Growth Track Consolidation - 20 Dec V2_FD Monitoring - Q3 2011 Template v3 17Jan12_budget risk items" xfId="45023"/>
    <cellStyle name="_Growth Track Consolidation - 20 Dec V2_FD Monitoring - Q3 2011 Template v3 17Jan12_VoWD Data" xfId="45024"/>
    <cellStyle name="_Growth Track Consolidation - 20 Dec V2_FD Monitoring - Q3 2011 Template v3 17Jan12_VoWD Data by Purpose Code" xfId="45025"/>
    <cellStyle name="_Growth Track Consolidation - 20 Dec V2_FD Monitoring AMP5 - Q2 (6 monthly) 2011-12 v0.2 1page Simon McSweeney" xfId="45026"/>
    <cellStyle name="_Growth Track Consolidation - 20 Dec V2_FD Monitoring AMP5 - Q2 (6 monthly) 2011-12 v0.2 1page Simon McSweeney 2" xfId="45027"/>
    <cellStyle name="_Growth Track Consolidation - 20 Dec V2_FD Monitoring AMP5 - Q2 (6 monthly) 2011-12 v0.2 1page Simon McSweeney 2_Adjustments" xfId="45028"/>
    <cellStyle name="_Growth Track Consolidation - 20 Dec V2_FD Monitoring AMP5 - Q2 (6 monthly) 2011-12 v0.2 1page Simon McSweeney 2_Overall" xfId="45029"/>
    <cellStyle name="_Growth Track Consolidation - 20 Dec V2_FD Monitoring AMP5 - Q2 (6 monthly) 2011-12 v0.2 1page Simon McSweeney_B &amp; U by Inv Area &amp; Del" xfId="45030"/>
    <cellStyle name="_Growth Track Consolidation - 20 Dec V2_FD Monitoring AMP5 - Q2 (6 monthly) 2011-12 v0.2 1page Simon McSweeney_budget risk items" xfId="45031"/>
    <cellStyle name="_Growth Track Consolidation - 20 Dec V2_FD Monitoring AMP5 - Q2 (6 monthly) 2011-12 v0.2 1page Simon McSweeney_VoWD Data" xfId="45032"/>
    <cellStyle name="_Growth Track Consolidation - 20 Dec V2_FD Monitoring AMP5 - Q2 (6 monthly) 2011-12 v0.2 1page Simon McSweeney_VoWD Data by Purpose Code" xfId="45033"/>
    <cellStyle name="_Growth Track Consolidation - 20 Dec V2_Finance" xfId="45034"/>
    <cellStyle name="_Growth Track Consolidation - 20 Dec V2_Finance 2" xfId="45035"/>
    <cellStyle name="_Growth Track Consolidation - 20 Dec V2_Finance_1" xfId="45036"/>
    <cellStyle name="_Growth Track Consolidation - 20 Dec V2_Finance_1 2" xfId="45037"/>
    <cellStyle name="_Growth Track Consolidation - 20 Dec V2_Fleet" xfId="45038"/>
    <cellStyle name="_Growth Track Consolidation - 20 Dec V2_Fleet 2" xfId="45039"/>
    <cellStyle name="_Growth Track Consolidation - 20 Dec V2_Fleet_1" xfId="45040"/>
    <cellStyle name="_Growth Track Consolidation - 20 Dec V2_Fleet_1 2" xfId="45041"/>
    <cellStyle name="_Growth Track Consolidation - 20 Dec V2_Fst-Bud Summary" xfId="45042"/>
    <cellStyle name="_Growth Track Consolidation - 20 Dec V2_Fst-Bud Summary 2" xfId="45043"/>
    <cellStyle name="_Growth Track Consolidation - 20 Dec V2_Fst-Bud Summary 3" xfId="45044"/>
    <cellStyle name="_Growth Track Consolidation - 20 Dec V2_General_Councel" xfId="45045"/>
    <cellStyle name="_Growth Track Consolidation - 20 Dec V2_General_Councel 2" xfId="45046"/>
    <cellStyle name="_Growth Track Consolidation - 20 Dec V2_General_Councel_1" xfId="45047"/>
    <cellStyle name="_Growth Track Consolidation - 20 Dec V2_General_Councel_1 2" xfId="45048"/>
    <cellStyle name="_Growth Track Consolidation - 20 Dec V2_Human_Resources" xfId="45049"/>
    <cellStyle name="_Growth Track Consolidation - 20 Dec V2_Human_Resources 2" xfId="45050"/>
    <cellStyle name="_Growth Track Consolidation - 20 Dec V2_Human_Resources_1" xfId="45051"/>
    <cellStyle name="_Growth Track Consolidation - 20 Dec V2_Human_Resources_1 2" xfId="45052"/>
    <cellStyle name="_Growth Track Consolidation - 20 Dec V2_IBP by Inv Area" xfId="45053"/>
    <cellStyle name="_Growth Track Consolidation - 20 Dec V2_IBP by Inv Area 2" xfId="45054"/>
    <cellStyle name="_Growth Track Consolidation - 20 Dec V2_IBP by Inv Area 2_Adjustments" xfId="45055"/>
    <cellStyle name="_Growth Track Consolidation - 20 Dec V2_IBP by Inv Area 2_Overall" xfId="45056"/>
    <cellStyle name="_Growth Track Consolidation - 20 Dec V2_IBP by Inv Area_B &amp; U by Inv Area &amp; Del" xfId="45057"/>
    <cellStyle name="_Growth Track Consolidation - 20 Dec V2_IBP by Inv Area_budget risk items" xfId="45058"/>
    <cellStyle name="_Growth Track Consolidation - 20 Dec V2_IBP by Inv Area_VoWD Data" xfId="45059"/>
    <cellStyle name="_Growth Track Consolidation - 20 Dec V2_IBP by Inv Area_VoWD Data by Purpose Code" xfId="45060"/>
    <cellStyle name="_Growth Track Consolidation - 20 Dec V2_IBP Steve Roberts file 19-01-12 (Inc Dec11 COPI)" xfId="45061"/>
    <cellStyle name="_Growth Track Consolidation - 20 Dec V2_IBP Steve Roberts file 19-01-12 (Inc Dec11 COPI) 2" xfId="45062"/>
    <cellStyle name="_Growth Track Consolidation - 20 Dec V2_IBP Steve Roberts file 19-01-12 (Inc Dec11 COPI) 2_Adjustments" xfId="45063"/>
    <cellStyle name="_Growth Track Consolidation - 20 Dec V2_IBP Steve Roberts file 19-01-12 (Inc Dec11 COPI) 2_Overall" xfId="45064"/>
    <cellStyle name="_Growth Track Consolidation - 20 Dec V2_IBP Steve Roberts file 19-01-12 (Inc Dec11 COPI)_B &amp; U by Inv Area &amp; Del" xfId="45065"/>
    <cellStyle name="_Growth Track Consolidation - 20 Dec V2_IBP Steve Roberts file 19-01-12 (Inc Dec11 COPI)_budget risk items" xfId="45066"/>
    <cellStyle name="_Growth Track Consolidation - 20 Dec V2_IBP Steve Roberts file 19-01-12 (Inc Dec11 COPI)_VoWD Data" xfId="45067"/>
    <cellStyle name="_Growth Track Consolidation - 20 Dec V2_IBP Steve Roberts file 19-01-12 (Inc Dec11 COPI)_VoWD Data by Purpose Code" xfId="45068"/>
    <cellStyle name="_Growth Track Consolidation - 20 Dec V2_Innovation" xfId="45069"/>
    <cellStyle name="_Growth Track Consolidation - 20 Dec V2_Innovation 2" xfId="45070"/>
    <cellStyle name="_Growth Track Consolidation - 20 Dec V2_Innovation_1" xfId="45071"/>
    <cellStyle name="_Growth Track Consolidation - 20 Dec V2_Innovation_1 2" xfId="45072"/>
    <cellStyle name="_Growth Track Consolidation - 20 Dec V2_IT" xfId="45073"/>
    <cellStyle name="_Growth Track Consolidation - 20 Dec V2_IT 2" xfId="45074"/>
    <cellStyle name="_Growth Track Consolidation - 20 Dec V2_IT_1" xfId="45075"/>
    <cellStyle name="_Growth Track Consolidation - 20 Dec V2_IT_1 2" xfId="45076"/>
    <cellStyle name="_Growth Track Consolidation - 20 Dec V2_KWFLtd" xfId="45077"/>
    <cellStyle name="_Growth Track Consolidation - 20 Dec V2_KWFLtd 2" xfId="45078"/>
    <cellStyle name="_Growth Track Consolidation - 20 Dec V2_KWHLTD_G" xfId="45079"/>
    <cellStyle name="_Growth Track Consolidation - 20 Dec V2_KWHLTD_G 2" xfId="45080"/>
    <cellStyle name="_Growth Track Consolidation - 20 Dec V2_KWHLTD_G_1" xfId="45081"/>
    <cellStyle name="_Growth Track Consolidation - 20 Dec V2_KWHLTD_G_1 2" xfId="45082"/>
    <cellStyle name="_Growth Track Consolidation - 20 Dec V2_KWHLTD_G_2" xfId="45083"/>
    <cellStyle name="_Growth Track Consolidation - 20 Dec V2_KWHLTD_G_2 2" xfId="45084"/>
    <cellStyle name="_Growth Track Consolidation - 20 Dec V2_Major_ProjectsCON" xfId="45085"/>
    <cellStyle name="_Growth Track Consolidation - 20 Dec V2_Major_ProjectsCON 2" xfId="45086"/>
    <cellStyle name="_Growth Track Consolidation - 20 Dec V2_Management Structure" xfId="45087"/>
    <cellStyle name="_Growth Track Consolidation - 20 Dec V2_Management Structure 2" xfId="45088"/>
    <cellStyle name="_Growth Track Consolidation - 20 Dec V2_Management Structure_1" xfId="45089"/>
    <cellStyle name="_Growth Track Consolidation - 20 Dec V2_Management Structure_1 2" xfId="45090"/>
    <cellStyle name="_Growth Track Consolidation - 20 Dec V2_Operations" xfId="45091"/>
    <cellStyle name="_Growth Track Consolidation - 20 Dec V2_Operations 2" xfId="45092"/>
    <cellStyle name="_Growth Track Consolidation - 20 Dec V2_Operations_1" xfId="45093"/>
    <cellStyle name="_Growth Track Consolidation - 20 Dec V2_Operations_1 2" xfId="45094"/>
    <cellStyle name="_Growth Track Consolidation - 20 Dec V2_Ops contracts" xfId="45095"/>
    <cellStyle name="_Growth Track Consolidation - 20 Dec V2_Ops contracts 2" xfId="45096"/>
    <cellStyle name="_Growth Track Consolidation - 20 Dec V2_Ops contracts_1" xfId="45097"/>
    <cellStyle name="_Growth Track Consolidation - 20 Dec V2_Ops contracts_1 2" xfId="45098"/>
    <cellStyle name="_Growth Track Consolidation - 20 Dec V2_Ops contracts_2" xfId="45099"/>
    <cellStyle name="_Growth Track Consolidation - 20 Dec V2_Ops contracts_2 2" xfId="45100"/>
    <cellStyle name="_Growth Track Consolidation - 20 Dec V2_OtherSS" xfId="45101"/>
    <cellStyle name="_Growth Track Consolidation - 20 Dec V2_OtherSS 2" xfId="45102"/>
    <cellStyle name="_Growth Track Consolidation - 20 Dec V2_OtherSS_1" xfId="45103"/>
    <cellStyle name="_Growth Track Consolidation - 20 Dec V2_OtherSS_1 2" xfId="45104"/>
    <cellStyle name="_Growth Track Consolidation - 20 Dec V2_P&amp;L_AMP5" xfId="45105"/>
    <cellStyle name="_Growth Track Consolidation - 20 Dec V2_P&amp;L_AMP5 2" xfId="45106"/>
    <cellStyle name="_Growth Track Consolidation - 20 Dec V2_Power" xfId="45107"/>
    <cellStyle name="_Growth Track Consolidation - 20 Dec V2_Power 2" xfId="45108"/>
    <cellStyle name="_Growth Track Consolidation - 20 Dec V2_Power_1" xfId="45109"/>
    <cellStyle name="_Growth Track Consolidation - 20 Dec V2_Power_1 2" xfId="45110"/>
    <cellStyle name="_Growth Track Consolidation - 20 Dec V2_Property_Facilities" xfId="45111"/>
    <cellStyle name="_Growth Track Consolidation - 20 Dec V2_Property_Facilities 2" xfId="45112"/>
    <cellStyle name="_Growth Track Consolidation - 20 Dec V2_Property_Facilities_1" xfId="45113"/>
    <cellStyle name="_Growth Track Consolidation - 20 Dec V2_Property_Facilities_1 2" xfId="45114"/>
    <cellStyle name="_Growth Track Consolidation - 20 Dec V2_PropertyDisposals" xfId="45115"/>
    <cellStyle name="_Growth Track Consolidation - 20 Dec V2_PropertyDisposals 2" xfId="45116"/>
    <cellStyle name="_Growth Track Consolidation - 20 Dec V2_PropFacilitiesNonApp" xfId="45117"/>
    <cellStyle name="_Growth Track Consolidation - 20 Dec V2_PropFacilitiesNonApp 2" xfId="45118"/>
    <cellStyle name="_Growth Track Consolidation - 20 Dec V2_PropFacilitiesNonApp_1" xfId="45119"/>
    <cellStyle name="_Growth Track Consolidation - 20 Dec V2_PropFacilitiesNonApp_1 2" xfId="45120"/>
    <cellStyle name="_Growth Track Consolidation - 20 Dec V2_PropSearch_Home" xfId="45121"/>
    <cellStyle name="_Growth Track Consolidation - 20 Dec V2_PropSearch_Home 2" xfId="45122"/>
    <cellStyle name="_Growth Track Consolidation - 20 Dec V2_PropSearch_Home_1" xfId="45123"/>
    <cellStyle name="_Growth Track Consolidation - 20 Dec V2_PropSearch_Home_1 2" xfId="45124"/>
    <cellStyle name="_Growth Track Consolidation - 20 Dec V2_QRF 2011 6+6 - Draft - 06Oct11 v15.1 (excl unrealised efficiencies)" xfId="45125"/>
    <cellStyle name="_Growth Track Consolidation - 20 Dec V2_QRF 2011 6+6 - Draft - 06Oct11 v16.2 (incl unrealised efficiencies)" xfId="45126"/>
    <cellStyle name="_Growth Track Consolidation - 20 Dec V2_Record of Manual Changes" xfId="45127"/>
    <cellStyle name="_Growth Track Consolidation - 20 Dec V2_Record of Manual Changes 2" xfId="45128"/>
    <cellStyle name="_Growth Track Consolidation - 20 Dec V2_Record of Manual Changes 2_Adjustments" xfId="45129"/>
    <cellStyle name="_Growth Track Consolidation - 20 Dec V2_Record of Manual Changes 2_Overall" xfId="45130"/>
    <cellStyle name="_Growth Track Consolidation - 20 Dec V2_Record of Manual Changes_B &amp; U by Inv Area &amp; Del" xfId="45131"/>
    <cellStyle name="_Growth Track Consolidation - 20 Dec V2_Record of Manual Changes_budget risk items" xfId="45132"/>
    <cellStyle name="_Growth Track Consolidation - 20 Dec V2_Record of Manual Changes_VoWD Data" xfId="45133"/>
    <cellStyle name="_Growth Track Consolidation - 20 Dec V2_Record of Manual Changes_VoWD Data by Purpose Code" xfId="45134"/>
    <cellStyle name="_Growth Track Consolidation - 20 Dec V2_Retail" xfId="45135"/>
    <cellStyle name="_Growth Track Consolidation - 20 Dec V2_Retail 2" xfId="45136"/>
    <cellStyle name="_Growth Track Consolidation - 20 Dec V2_Retail_1" xfId="45137"/>
    <cellStyle name="_Growth Track Consolidation - 20 Dec V2_Retail_1 2" xfId="45138"/>
    <cellStyle name="_Growth Track Consolidation - 20 Dec V2_Sheet1" xfId="45139"/>
    <cellStyle name="_Growth Track Consolidation - 20 Dec V2_Sheet1 2" xfId="45140"/>
    <cellStyle name="_Growth Track Consolidation - 20 Dec V2_Strategy_Reg" xfId="45141"/>
    <cellStyle name="_Growth Track Consolidation - 20 Dec V2_Strategy_Reg 2" xfId="45142"/>
    <cellStyle name="_Growth Track Consolidation - 20 Dec V2_Strategy_Reg_1" xfId="45143"/>
    <cellStyle name="_Growth Track Consolidation - 20 Dec V2_Strategy_Reg_1 2" xfId="45144"/>
    <cellStyle name="_Growth Track Consolidation - 20 Dec V2_SupplyChain" xfId="45145"/>
    <cellStyle name="_Growth Track Consolidation - 20 Dec V2_SupplyChain 2" xfId="45146"/>
    <cellStyle name="_Growth Track Consolidation - 20 Dec V2_SupplyChain_1" xfId="45147"/>
    <cellStyle name="_Growth Track Consolidation - 20 Dec V2_SupplyChain_1 2" xfId="45148"/>
    <cellStyle name="_Growth Track Consolidation - 20 Dec V2_TWHCON" xfId="45149"/>
    <cellStyle name="_Growth Track Consolidation - 20 Dec V2_TWHCON 2" xfId="45150"/>
    <cellStyle name="_Growth Track Consolidation - 20 Dec V2_TWPROP" xfId="45151"/>
    <cellStyle name="_Growth Track Consolidation - 20 Dec V2_TWPROP 2" xfId="45152"/>
    <cellStyle name="_Growth Track Consolidation - 20 Dec V2_TWPROP_1" xfId="45153"/>
    <cellStyle name="_Growth Track Consolidation - 20 Dec V2_TWPROP_1 2" xfId="45154"/>
    <cellStyle name="_Growth Track Consolidation - 20 Dec V2_TWPROP_2" xfId="45155"/>
    <cellStyle name="_Growth Track Consolidation - 20 Dec V2_TWPROP_2 2" xfId="45156"/>
    <cellStyle name="_Growth Track Consolidation - 20 Dec V2_TWUCOR" xfId="45157"/>
    <cellStyle name="_Growth Track Consolidation - 20 Dec V2_TWUCOR 2" xfId="45158"/>
    <cellStyle name="_Growth Track Consolidation - 20 Dec V2_TWUCOR_1" xfId="45159"/>
    <cellStyle name="_Growth Track Consolidation - 20 Dec V2_TWUCOR_1 2" xfId="45160"/>
    <cellStyle name="_Growth Track Consolidation - 20 Dec V2_TWUL_TOT_UKGAAP" xfId="45161"/>
    <cellStyle name="_Growth Track Consolidation - 20 Dec V2_TWUL_TOT_UKGAAP 2" xfId="45162"/>
    <cellStyle name="_Growth Track Consolidation - 20 Dec V2_TWUL_TOT_UKGAAP_1" xfId="45163"/>
    <cellStyle name="_Growth Track Consolidation - 20 Dec V2_TWUL_TOT_UKGAAP_1 2" xfId="45164"/>
    <cellStyle name="_Growth Track Consolidation - 20 Dec V2_TWULCONJ" xfId="45165"/>
    <cellStyle name="_Growth Track Consolidation - 20 Dec V2_TWULCONJ 2" xfId="45166"/>
    <cellStyle name="_Growth Track Consolidation - 20 Dec V2_VOWD Summary 17-11-11 V2 (NP)" xfId="45167"/>
    <cellStyle name="_GTECH PL (4)" xfId="45168"/>
    <cellStyle name="_GTECH PL (4) 2" xfId="45169"/>
    <cellStyle name="_HCL Misys 4 hour response 8 hour target fix 120308" xfId="45170"/>
    <cellStyle name="_HCL Misys 4 hour response 8 hour target fix 120308 2" xfId="45171"/>
    <cellStyle name="_HCL Misys Rebid" xfId="45172"/>
    <cellStyle name="_HCL Misys Rebid 2" xfId="45173"/>
    <cellStyle name="_HCL Misys Rebid Approach A  B 180208" xfId="45174"/>
    <cellStyle name="_HCL Misys Rebid Approach A  B 180208 2" xfId="45175"/>
    <cellStyle name="_Hercules- Apps Inputs" xfId="45176"/>
    <cellStyle name="_Hercules- Apps Inputs 2" xfId="45177"/>
    <cellStyle name="_Hercules- Apps Inputs 3" xfId="45178"/>
    <cellStyle name="_Hercules- Apps Inputs_Advanstar Financials 24 July" xfId="45179"/>
    <cellStyle name="_Hercules- Apps Inputs_Advanstar Financials 24 July 2" xfId="45180"/>
    <cellStyle name="_Hercules- Apps Inputs_Advanstar Financials 24 July 3" xfId="45181"/>
    <cellStyle name="_Hercules- Apps Inputs_Advanstar Financials 24 July v1" xfId="45182"/>
    <cellStyle name="_Hercules- Apps Inputs_Advanstar Financials 24 July v1 2" xfId="45183"/>
    <cellStyle name="_Hercules- Apps Inputs_Advanstar Financials 24 July v1 3" xfId="45184"/>
    <cellStyle name="_Hercules- Apps Inputs_Advanstar Financials 24 July v1_Adv_8oct_Sub Ver 12(4)" xfId="45185"/>
    <cellStyle name="_Hercules- Apps Inputs_Advanstar Financials 24 July v1_Adv_8oct_Sub Ver 12(4) 2" xfId="45186"/>
    <cellStyle name="_Hercules- Apps Inputs_Advanstar Financials 24 July v1_Adv_8oct_Sub Ver 12(4) 3" xfId="45187"/>
    <cellStyle name="_Hercules- Apps Inputs_Advanstar Financials 24 July v1_File for Circulation with Volume Discount Revised" xfId="45188"/>
    <cellStyle name="_Hercules- Apps Inputs_Advanstar Financials 24 July v1_File for Circulation with Volume Discount Revised 2" xfId="45189"/>
    <cellStyle name="_Hercules- Apps Inputs_Advanstar Financials 24 July v1_File for Circulation with Volume Discount Revised 3" xfId="45190"/>
    <cellStyle name="_Hercules- Apps Inputs_Advanstar Financials 24 July v1_HR Assumptions for Pricing2" xfId="45191"/>
    <cellStyle name="_Hercules- Apps Inputs_Advanstar Financials 24 July v1_HR Assumptions for Pricing2 2" xfId="45192"/>
    <cellStyle name="_Hercules- Apps Inputs_Advanstar Financials 24 July v1_HR Assumptions for Pricing2 3" xfId="45193"/>
    <cellStyle name="_Hercules- Apps Inputs_Advanstar Financials 24 July_Adv_8oct_Sub Ver 12(4)" xfId="45194"/>
    <cellStyle name="_Hercules- Apps Inputs_Advanstar Financials 24 July_Adv_8oct_Sub Ver 12(4) 2" xfId="45195"/>
    <cellStyle name="_Hercules- Apps Inputs_Advanstar Financials 24 July_Adv_8oct_Sub Ver 12(4) 3" xfId="45196"/>
    <cellStyle name="_Hercules- Apps Inputs_Advanstar Financials 24 July_File for Circulation with Volume Discount Revised" xfId="45197"/>
    <cellStyle name="_Hercules- Apps Inputs_Advanstar Financials 24 July_File for Circulation with Volume Discount Revised 2" xfId="45198"/>
    <cellStyle name="_Hercules- Apps Inputs_Advanstar Financials 24 July_File for Circulation with Volume Discount Revised 3" xfId="45199"/>
    <cellStyle name="_Hercules- Apps Inputs_Advanstar Financials 24 July_HR Assumptions for Pricing2" xfId="45200"/>
    <cellStyle name="_Hercules- Apps Inputs_Advanstar Financials 24 July_HR Assumptions for Pricing2 2" xfId="45201"/>
    <cellStyle name="_Hercules- Apps Inputs_Advanstar Financials 24 July_HR Assumptions for Pricing2 3" xfId="45202"/>
    <cellStyle name="_Hercules- Apps Inputs_FTE Deployment v4" xfId="45203"/>
    <cellStyle name="_Hercules- Apps Inputs_FTE Deployment v4 2" xfId="45204"/>
    <cellStyle name="_Hercules- Apps Inputs_FTE Deployment v4 3" xfId="45205"/>
    <cellStyle name="_Hercules- Apps Inputs_FTE Deployment v4 ramp plan" xfId="45206"/>
    <cellStyle name="_Hercules- Apps Inputs_FTE Deployment v4 ramp plan 2" xfId="45207"/>
    <cellStyle name="_Hercules- Apps Inputs_FTE Deployment v4 ramp plan 3" xfId="45208"/>
    <cellStyle name="_Hercules- Apps Inputs_FTE Deployment v4 ramp plan_Advanstar Financials 24 July" xfId="45209"/>
    <cellStyle name="_Hercules- Apps Inputs_FTE Deployment v4 ramp plan_Advanstar Financials 24 July 2" xfId="45210"/>
    <cellStyle name="_Hercules- Apps Inputs_FTE Deployment v4 ramp plan_Advanstar Financials 24 July 3" xfId="45211"/>
    <cellStyle name="_Hercules- Apps Inputs_FTE Deployment v4 ramp plan_Advanstar Financials 24 July v1" xfId="45212"/>
    <cellStyle name="_Hercules- Apps Inputs_FTE Deployment v4 ramp plan_Advanstar Financials 24 July v1 2" xfId="45213"/>
    <cellStyle name="_Hercules- Apps Inputs_FTE Deployment v4 ramp plan_Advanstar Financials 24 July v1 3" xfId="45214"/>
    <cellStyle name="_Hercules- Apps Inputs_FTE Deployment v4 ramp plan_Finance Input Template V6 1 Sep" xfId="45215"/>
    <cellStyle name="_Hercules- Apps Inputs_FTE Deployment v4 ramp plan_Finance Input Template V6 1 Sep 2" xfId="45216"/>
    <cellStyle name="_Hercules- Apps Inputs_FTE Deployment v4 ramp plan_Finance Input Template V6 1 Sep 3" xfId="45217"/>
    <cellStyle name="_Hercules- Apps Inputs_FTE Deployment v4_Advanstar Financials 24 July" xfId="45218"/>
    <cellStyle name="_Hercules- Apps Inputs_FTE Deployment v4_Advanstar Financials 24 July 2" xfId="45219"/>
    <cellStyle name="_Hercules- Apps Inputs_FTE Deployment v4_Advanstar Financials 24 July 3" xfId="45220"/>
    <cellStyle name="_Hercules- Apps Inputs_FTE Deployment v4_Advanstar Financials 24 July v1" xfId="45221"/>
    <cellStyle name="_Hercules- Apps Inputs_FTE Deployment v4_Advanstar Financials 24 July v1 2" xfId="45222"/>
    <cellStyle name="_Hercules- Apps Inputs_FTE Deployment v4_Advanstar Financials 24 July v1 3" xfId="45223"/>
    <cellStyle name="_Hercules- Apps Inputs_FTE Deployment v4_Finance Input Template V6 1 Sep" xfId="45224"/>
    <cellStyle name="_Hercules- Apps Inputs_FTE Deployment v4_Finance Input Template V6 1 Sep 2" xfId="45225"/>
    <cellStyle name="_Hercules- Apps Inputs_FTE Deployment v4_Finance Input Template V6 1 Sep 3" xfId="45226"/>
    <cellStyle name="_Hercules- Apps Inputs_FTE Deployment v5" xfId="45227"/>
    <cellStyle name="_Hercules- Apps Inputs_FTE Deployment v5 2" xfId="45228"/>
    <cellStyle name="_Hercules- Apps Inputs_FTE Deployment v5 3" xfId="45229"/>
    <cellStyle name="_Hercules- Apps Inputs_FTE Deployment v5_Advanstar Financials 24 July" xfId="45230"/>
    <cellStyle name="_Hercules- Apps Inputs_FTE Deployment v5_Advanstar Financials 24 July 2" xfId="45231"/>
    <cellStyle name="_Hercules- Apps Inputs_FTE Deployment v5_Advanstar Financials 24 July 3" xfId="45232"/>
    <cellStyle name="_Hercules- Apps Inputs_FTE Deployment v5_Advanstar Financials 24 July v1" xfId="45233"/>
    <cellStyle name="_Hercules- Apps Inputs_FTE Deployment v5_Advanstar Financials 24 July v1 2" xfId="45234"/>
    <cellStyle name="_Hercules- Apps Inputs_FTE Deployment v5_Advanstar Financials 24 July v1 3" xfId="45235"/>
    <cellStyle name="_Hercules- Apps Inputs_FTE Deployment v5_Finance Input Template V6 1 Sep" xfId="45236"/>
    <cellStyle name="_Hercules- Apps Inputs_FTE Deployment v5_Finance Input Template V6 1 Sep 2" xfId="45237"/>
    <cellStyle name="_Hercules- Apps Inputs_FTE Deployment v5_Finance Input Template V6 1 Sep 3" xfId="45238"/>
    <cellStyle name="_Hercules- Apps Inputs_Pricing Norway Post2" xfId="45239"/>
    <cellStyle name="_Hercules- Apps Inputs_Pricing Norway Post2 2" xfId="45240"/>
    <cellStyle name="_Hercules- Apps Inputs_Pricing Norway Post2 3" xfId="45241"/>
    <cellStyle name="_Hercules- Apps Inputs_Salary Rate Card_v1 0" xfId="45242"/>
    <cellStyle name="_Hercules- Apps Inputs_Salary Rate Card_v1 0 2" xfId="45243"/>
    <cellStyle name="_Hercules- Apps Inputs_Salary Rate Card_v1 0 3" xfId="45244"/>
    <cellStyle name="_Hercules- Apps Inputs_Seat Cost calculation 150110 SkyIt" xfId="45245"/>
    <cellStyle name="_Hercules- Apps Inputs_Seat Cost calculation 150110 SkyIt 2" xfId="45246"/>
    <cellStyle name="_Hercules- Apps Inputs_Seat Cost calculation 150110 SkyIt 3" xfId="45247"/>
    <cellStyle name="_Hertz Technology Exhibit C-4 (Pricing Template 1)" xfId="45248"/>
    <cellStyle name="_Hertz Technology Exhibit C-4 (Pricing Template 1) 2" xfId="45249"/>
    <cellStyle name="_Hertz Technology Exhibit C-5 (Pricing Template 2)" xfId="45250"/>
    <cellStyle name="_Hertz Technology Exhibit C-5 (Pricing Template 2) (2)" xfId="45251"/>
    <cellStyle name="_Hertz Technology Exhibit C-5 (Pricing Template 2) (2) 2" xfId="45252"/>
    <cellStyle name="_Hertz Technology Exhibit C-5 (Pricing Template 2) 2" xfId="45253"/>
    <cellStyle name="_Hertz_BOM 21 AUG v 1.2" xfId="45254"/>
    <cellStyle name="_Hertz_BOM 21 AUG v 1.2 2" xfId="45255"/>
    <cellStyle name="_Hewitt - Operations Sizing (4)" xfId="45256"/>
    <cellStyle name="_Hewitt - Operations Sizing (4) 2" xfId="45257"/>
    <cellStyle name="_Hewitt Bom v2 0" xfId="45258"/>
    <cellStyle name="_Hewitt Bom v2 0 2" xfId="45259"/>
    <cellStyle name="_x0013__Human_Resources" xfId="45260"/>
    <cellStyle name="_x0013__Human_Resources 2" xfId="45261"/>
    <cellStyle name="_x0013__Human_Resources_1" xfId="45262"/>
    <cellStyle name="_x0013__Human_Resources_1 2" xfId="45263"/>
    <cellStyle name="_Hyperion TWUL P&amp;L Check" xfId="45264"/>
    <cellStyle name="_Hyperion TWUL P&amp;L Check 2" xfId="45265"/>
    <cellStyle name="_Hyperion TWUL P&amp;L Check 3" xfId="45266"/>
    <cellStyle name="_Hyperion TWUL P&amp;L Check 4" xfId="45267"/>
    <cellStyle name="_I. Annual Summary Fees" xfId="45268"/>
    <cellStyle name="_I. Annual Summary Fees 2" xfId="45269"/>
    <cellStyle name="_IBF Asset Model Summary Page Template 060118 (2)" xfId="45270"/>
    <cellStyle name="_IBF Asset Model Summary Page Template 060118 (2) 2" xfId="45271"/>
    <cellStyle name="_IBF Asset Model Summary Page Template 060118 (2) 2 2" xfId="45272"/>
    <cellStyle name="_IBF Asset Model Summary Page Template 060118 (2) 2 3" xfId="45273"/>
    <cellStyle name="_IBF Asset Model Summary Page Template 060118 (2) 3" xfId="45274"/>
    <cellStyle name="_IBF Asset Model Summary Page Template 060118 (2) 3 2" xfId="45275"/>
    <cellStyle name="_IBF Asset Model Summary Page Template 060118 (2) 4" xfId="45276"/>
    <cellStyle name="_IBF Asset Model Summary Page Template 060118 (2)_2011 10 Nov R&amp;O Register Reporting (Working Copy) Finance Final" xfId="45277"/>
    <cellStyle name="_IBF Asset Model Summary Page Template 060118 (2)_CS Plan Opex AMP5-6 V1 Review Cycle2a" xfId="45278"/>
    <cellStyle name="_IBF Asset Model Summary Page Template 060118 (2)_CS Plan Opex AMP5-6 V1 Review Cycle2a 2" xfId="45279"/>
    <cellStyle name="_IBF Asset Model Summary Page Template 060118 (2)_CS Plan Opex AMP5-6 V1 Review Cycle2a 3" xfId="45280"/>
    <cellStyle name="_IBM F&amp;A Assumptions" xfId="45281"/>
    <cellStyle name="_IBM F&amp;A Assumptions 2" xfId="45282"/>
    <cellStyle name="_IBM HR Assumptions" xfId="45283"/>
    <cellStyle name="_IBM HR Assumptions 2" xfId="45284"/>
    <cellStyle name="_IBM- P  L - RFP Response Ver. 11" xfId="45285"/>
    <cellStyle name="_IBM- P  L - RFP Response Ver. 11 2" xfId="45286"/>
    <cellStyle name="_IBM- P  L - RFP Response Ver. 11 3" xfId="45287"/>
    <cellStyle name="_IBM- P  L - RFP Response Ver. 11_Adapt response DC Pricing Format (2)" xfId="45288"/>
    <cellStyle name="_IBM- P  L - RFP Response Ver. 11_Adapt response DC Pricing Format (2) 2" xfId="45289"/>
    <cellStyle name="_IBM- P  L - RFP Response Ver. 11_Adapt response DC Pricing Format (2) 3" xfId="45290"/>
    <cellStyle name="_IBM- P  L - RFP Response Ver. 11_Advanstar Financials" xfId="45291"/>
    <cellStyle name="_IBM- P  L - RFP Response Ver. 11_Advanstar Financials 2" xfId="45292"/>
    <cellStyle name="_IBM- P  L - RFP Response Ver. 11_Advanstar Financials 24 July" xfId="45293"/>
    <cellStyle name="_IBM- P  L - RFP Response Ver. 11_Advanstar Financials 24 July 2" xfId="45294"/>
    <cellStyle name="_IBM- P  L - RFP Response Ver. 11_Advanstar Financials 24 July 3" xfId="45295"/>
    <cellStyle name="_IBM- P  L - RFP Response Ver. 11_Advanstar Financials 24 July v1" xfId="45296"/>
    <cellStyle name="_IBM- P  L - RFP Response Ver. 11_Advanstar Financials 24 July v1 2" xfId="45297"/>
    <cellStyle name="_IBM- P  L - RFP Response Ver. 11_Advanstar Financials 24 July v1 3" xfId="45298"/>
    <cellStyle name="_IBM- P  L - RFP Response Ver. 11_Advanstar Financials 24 July v1_Adv_8oct_Sub Ver 12(4)" xfId="45299"/>
    <cellStyle name="_IBM- P  L - RFP Response Ver. 11_Advanstar Financials 24 July v1_Adv_8oct_Sub Ver 12(4) 2" xfId="45300"/>
    <cellStyle name="_IBM- P  L - RFP Response Ver. 11_Advanstar Financials 24 July v1_Adv_8oct_Sub Ver 12(4) 3" xfId="45301"/>
    <cellStyle name="_IBM- P  L - RFP Response Ver. 11_Advanstar Financials 24 July v1_File for Circulation with Volume Discount Revised" xfId="45302"/>
    <cellStyle name="_IBM- P  L - RFP Response Ver. 11_Advanstar Financials 24 July v1_File for Circulation with Volume Discount Revised 2" xfId="45303"/>
    <cellStyle name="_IBM- P  L - RFP Response Ver. 11_Advanstar Financials 24 July v1_File for Circulation with Volume Discount Revised 3" xfId="45304"/>
    <cellStyle name="_IBM- P  L - RFP Response Ver. 11_Advanstar Financials 24 July v1_HR Assumptions for Pricing2" xfId="45305"/>
    <cellStyle name="_IBM- P  L - RFP Response Ver. 11_Advanstar Financials 24 July v1_HR Assumptions for Pricing2 2" xfId="45306"/>
    <cellStyle name="_IBM- P  L - RFP Response Ver. 11_Advanstar Financials 24 July v1_HR Assumptions for Pricing2 3" xfId="45307"/>
    <cellStyle name="_IBM- P  L - RFP Response Ver. 11_Advanstar Financials 24 July_Adv_8oct_Sub Ver 12(4)" xfId="45308"/>
    <cellStyle name="_IBM- P  L - RFP Response Ver. 11_Advanstar Financials 24 July_Adv_8oct_Sub Ver 12(4) 2" xfId="45309"/>
    <cellStyle name="_IBM- P  L - RFP Response Ver. 11_Advanstar Financials 24 July_Adv_8oct_Sub Ver 12(4) 3" xfId="45310"/>
    <cellStyle name="_IBM- P  L - RFP Response Ver. 11_Advanstar Financials 24 July_File for Circulation with Volume Discount Revised" xfId="45311"/>
    <cellStyle name="_IBM- P  L - RFP Response Ver. 11_Advanstar Financials 24 July_File for Circulation with Volume Discount Revised 2" xfId="45312"/>
    <cellStyle name="_IBM- P  L - RFP Response Ver. 11_Advanstar Financials 24 July_File for Circulation with Volume Discount Revised 3" xfId="45313"/>
    <cellStyle name="_IBM- P  L - RFP Response Ver. 11_Advanstar Financials 24 July_HR Assumptions for Pricing2" xfId="45314"/>
    <cellStyle name="_IBM- P  L - RFP Response Ver. 11_Advanstar Financials 24 July_HR Assumptions for Pricing2 2" xfId="45315"/>
    <cellStyle name="_IBM- P  L - RFP Response Ver. 11_Advanstar Financials 24 July_HR Assumptions for Pricing2 3" xfId="45316"/>
    <cellStyle name="_IBM- P  L - RFP Response Ver. 11_Advanstar Financials 3" xfId="45317"/>
    <cellStyle name="_IBM- P  L - RFP Response Ver. 11_Advanstar Financials_Adv_8oct_Sub Ver 12(4)" xfId="45318"/>
    <cellStyle name="_IBM- P  L - RFP Response Ver. 11_Advanstar Financials_Adv_8oct_Sub Ver 12(4) 2" xfId="45319"/>
    <cellStyle name="_IBM- P  L - RFP Response Ver. 11_Advanstar Financials_Adv_8oct_Sub Ver 12(4) 3" xfId="45320"/>
    <cellStyle name="_IBM- P  L - RFP Response Ver. 11_Advanstar Financials_File for Circulation with Volume Discount Revised" xfId="45321"/>
    <cellStyle name="_IBM- P  L - RFP Response Ver. 11_Advanstar Financials_File for Circulation with Volume Discount Revised 2" xfId="45322"/>
    <cellStyle name="_IBM- P  L - RFP Response Ver. 11_Advanstar Financials_File for Circulation with Volume Discount Revised 3" xfId="45323"/>
    <cellStyle name="_IBM- P  L - RFP Response Ver. 11_Advanstar Financials_HR Assumptions for Pricing2" xfId="45324"/>
    <cellStyle name="_IBM- P  L - RFP Response Ver. 11_Advanstar Financials_HR Assumptions for Pricing2 2" xfId="45325"/>
    <cellStyle name="_IBM- P  L - RFP Response Ver. 11_Advanstar Financials_HR Assumptions for Pricing2 3" xfId="45326"/>
    <cellStyle name="_IBM- P  L - RFP Response Ver. 11_Finance Input Template" xfId="45327"/>
    <cellStyle name="_IBM- P  L - RFP Response Ver. 11_Finance Input Template 2" xfId="45328"/>
    <cellStyle name="_IBM- P  L - RFP Response Ver. 11_Finance Input Template 3" xfId="45329"/>
    <cellStyle name="_IBM- P  L - RFP Response Ver. 11_Finance Input Template_Adv_8oct_Sub Ver 12(4)" xfId="45330"/>
    <cellStyle name="_IBM- P  L - RFP Response Ver. 11_Finance Input Template_Adv_8oct_Sub Ver 12(4) 2" xfId="45331"/>
    <cellStyle name="_IBM- P  L - RFP Response Ver. 11_Finance Input Template_Adv_8oct_Sub Ver 12(4) 3" xfId="45332"/>
    <cellStyle name="_IBM- P  L - RFP Response Ver. 11_Finance Input Template_File for Circulation with Volume Discount Revised" xfId="45333"/>
    <cellStyle name="_IBM- P  L - RFP Response Ver. 11_Finance Input Template_File for Circulation with Volume Discount Revised 2" xfId="45334"/>
    <cellStyle name="_IBM- P  L - RFP Response Ver. 11_Finance Input Template_File for Circulation with Volume Discount Revised 3" xfId="45335"/>
    <cellStyle name="_IBM- P  L - RFP Response Ver. 11_Finance Input Template_HR Assumptions for Pricing2" xfId="45336"/>
    <cellStyle name="_IBM- P  L - RFP Response Ver. 11_Finance Input Template_HR Assumptions for Pricing2 2" xfId="45337"/>
    <cellStyle name="_IBM- P  L - RFP Response Ver. 11_Finance Input Template_HR Assumptions for Pricing2 3" xfId="45338"/>
    <cellStyle name="_IBM- P  L - RFP Response Ver. 11_Financials Preston Offshoring V11" xfId="45339"/>
    <cellStyle name="_IBM- P  L - RFP Response Ver. 11_Financials Preston Offshoring V11 2" xfId="45340"/>
    <cellStyle name="_IBM- P  L - RFP Response Ver. 11_Financials Preston Offshoring V11 3" xfId="45341"/>
    <cellStyle name="_IBM- P  L - RFP Response Ver. 11_Financials Preston Offshoring V11_Advanstar Financials 24 July" xfId="45342"/>
    <cellStyle name="_IBM- P  L - RFP Response Ver. 11_Financials Preston Offshoring V11_Advanstar Financials 24 July 2" xfId="45343"/>
    <cellStyle name="_IBM- P  L - RFP Response Ver. 11_Financials Preston Offshoring V11_Advanstar Financials 24 July 3" xfId="45344"/>
    <cellStyle name="_IBM- P  L - RFP Response Ver. 11_Financials Preston Offshoring V11_Advanstar Financials 24 July v1" xfId="45345"/>
    <cellStyle name="_IBM- P  L - RFP Response Ver. 11_Financials Preston Offshoring V11_Advanstar Financials 24 July v1 2" xfId="45346"/>
    <cellStyle name="_IBM- P  L - RFP Response Ver. 11_Financials Preston Offshoring V11_Advanstar Financials 24 July v1 3" xfId="45347"/>
    <cellStyle name="_IBM- P  L - RFP Response Ver. 11_Financials Preston Offshoring V11_Advanstar Financials 24 July v1_Adv_8oct_Sub Ver 12(4)" xfId="45348"/>
    <cellStyle name="_IBM- P  L - RFP Response Ver. 11_Financials Preston Offshoring V11_Advanstar Financials 24 July v1_Adv_8oct_Sub Ver 12(4) 2" xfId="45349"/>
    <cellStyle name="_IBM- P  L - RFP Response Ver. 11_Financials Preston Offshoring V11_Advanstar Financials 24 July v1_Adv_8oct_Sub Ver 12(4) 3" xfId="45350"/>
    <cellStyle name="_IBM- P  L - RFP Response Ver. 11_Financials Preston Offshoring V11_Advanstar Financials 24 July v1_File for Circulation with Volume Discount Revised" xfId="45351"/>
    <cellStyle name="_IBM- P  L - RFP Response Ver. 11_Financials Preston Offshoring V11_Advanstar Financials 24 July v1_File for Circulation with Volume Discount Revised 2" xfId="45352"/>
    <cellStyle name="_IBM- P  L - RFP Response Ver. 11_Financials Preston Offshoring V11_Advanstar Financials 24 July v1_File for Circulation with Volume Discount Revised 3" xfId="45353"/>
    <cellStyle name="_IBM- P  L - RFP Response Ver. 11_Financials Preston Offshoring V11_Advanstar Financials 24 July v1_HR Assumptions for Pricing2" xfId="45354"/>
    <cellStyle name="_IBM- P  L - RFP Response Ver. 11_Financials Preston Offshoring V11_Advanstar Financials 24 July v1_HR Assumptions for Pricing2 2" xfId="45355"/>
    <cellStyle name="_IBM- P  L - RFP Response Ver. 11_Financials Preston Offshoring V11_Advanstar Financials 24 July v1_HR Assumptions for Pricing2 3" xfId="45356"/>
    <cellStyle name="_IBM- P  L - RFP Response Ver. 11_Financials Preston Offshoring V11_Advanstar Financials 24 July_Adv_8oct_Sub Ver 12(4)" xfId="45357"/>
    <cellStyle name="_IBM- P  L - RFP Response Ver. 11_Financials Preston Offshoring V11_Advanstar Financials 24 July_Adv_8oct_Sub Ver 12(4) 2" xfId="45358"/>
    <cellStyle name="_IBM- P  L - RFP Response Ver. 11_Financials Preston Offshoring V11_Advanstar Financials 24 July_Adv_8oct_Sub Ver 12(4) 3" xfId="45359"/>
    <cellStyle name="_IBM- P  L - RFP Response Ver. 11_Financials Preston Offshoring V11_Advanstar Financials 24 July_File for Circulation with Volume Discount Revised" xfId="45360"/>
    <cellStyle name="_IBM- P  L - RFP Response Ver. 11_Financials Preston Offshoring V11_Advanstar Financials 24 July_File for Circulation with Volume Discount Revised 2" xfId="45361"/>
    <cellStyle name="_IBM- P  L - RFP Response Ver. 11_Financials Preston Offshoring V11_Advanstar Financials 24 July_File for Circulation with Volume Discount Revised 3" xfId="45362"/>
    <cellStyle name="_IBM- P  L - RFP Response Ver. 11_Financials Preston Offshoring V11_Advanstar Financials 24 July_HR Assumptions for Pricing2" xfId="45363"/>
    <cellStyle name="_IBM- P  L - RFP Response Ver. 11_Financials Preston Offshoring V11_Advanstar Financials 24 July_HR Assumptions for Pricing2 2" xfId="45364"/>
    <cellStyle name="_IBM- P  L - RFP Response Ver. 11_Financials Preston Offshoring V11_Advanstar Financials 24 July_HR Assumptions for Pricing2 3" xfId="45365"/>
    <cellStyle name="_IBM- P  L - RFP Response Ver. 11_Financials Preston Offshoring V11_HR Workings Break-up (2)" xfId="45366"/>
    <cellStyle name="_IBM- P  L - RFP Response Ver. 11_Financials Preston Offshoring V11_HR Workings Break-up (2) 2" xfId="45367"/>
    <cellStyle name="_IBM- P  L - RFP Response Ver. 11_Financials Preston Offshoring V11_HR Workings Break-up (2) 3" xfId="45368"/>
    <cellStyle name="_IBM- P  L - RFP Response Ver. 11_Financials Preston Offshoring V11_HR Workings Break-up (2)_Adv_8oct_Sub Ver 12(4)" xfId="45369"/>
    <cellStyle name="_IBM- P  L - RFP Response Ver. 11_Financials Preston Offshoring V11_HR Workings Break-up (2)_Adv_8oct_Sub Ver 12(4) 2" xfId="45370"/>
    <cellStyle name="_IBM- P  L - RFP Response Ver. 11_Financials Preston Offshoring V11_HR Workings Break-up (2)_Adv_8oct_Sub Ver 12(4) 3" xfId="45371"/>
    <cellStyle name="_IBM- P  L - RFP Response Ver. 11_Financials Preston Offshoring V11_HR Workings Break-up (2)_File for Circulation with Volume Discount Revised" xfId="45372"/>
    <cellStyle name="_IBM- P  L - RFP Response Ver. 11_Financials Preston Offshoring V11_HR Workings Break-up (2)_File for Circulation with Volume Discount Revised 2" xfId="45373"/>
    <cellStyle name="_IBM- P  L - RFP Response Ver. 11_Financials Preston Offshoring V11_HR Workings Break-up (2)_File for Circulation with Volume Discount Revised 3" xfId="45374"/>
    <cellStyle name="_IBM- P  L - RFP Response Ver. 11_Financials Preston Offshoring V11_HR Workings Break-up (2)_HR Assumptions for Pricing2" xfId="45375"/>
    <cellStyle name="_IBM- P  L - RFP Response Ver. 11_Financials Preston Offshoring V11_HR Workings Break-up (2)_HR Assumptions for Pricing2 2" xfId="45376"/>
    <cellStyle name="_IBM- P  L - RFP Response Ver. 11_Financials Preston Offshoring V11_HR Workings Break-up (2)_HR Assumptions for Pricing2 3" xfId="45377"/>
    <cellStyle name="_IBM- P  L - RFP Response Ver. 11_Financials Preston Offshoring V11_Ramp Plan _ RDA_Editorial" xfId="45378"/>
    <cellStyle name="_IBM- P  L - RFP Response Ver. 11_Financials Preston Offshoring V11_Ramp Plan _ RDA_Editorial 2" xfId="45379"/>
    <cellStyle name="_IBM- P  L - RFP Response Ver. 11_Financials Preston Offshoring V11_Ramp Plan _ RDA_Editorial 3" xfId="45380"/>
    <cellStyle name="_IBM- P  L - RFP Response Ver. 11_Financials Preston Offshoring V11_Ramp Plan _ RDA_Editorial_Adv_8oct_Sub Ver 12(4)" xfId="45381"/>
    <cellStyle name="_IBM- P  L - RFP Response Ver. 11_Financials Preston Offshoring V11_Ramp Plan _ RDA_Editorial_Adv_8oct_Sub Ver 12(4) 2" xfId="45382"/>
    <cellStyle name="_IBM- P  L - RFP Response Ver. 11_Financials Preston Offshoring V11_Ramp Plan _ RDA_Editorial_Adv_8oct_Sub Ver 12(4) 3" xfId="45383"/>
    <cellStyle name="_IBM- P  L - RFP Response Ver. 11_Financials Preston Offshoring V11_Ramp Plan _ RDA_Editorial_File for Circulation with Volume Discount Revised" xfId="45384"/>
    <cellStyle name="_IBM- P  L - RFP Response Ver. 11_Financials Preston Offshoring V11_Ramp Plan _ RDA_Editorial_File for Circulation with Volume Discount Revised 2" xfId="45385"/>
    <cellStyle name="_IBM- P  L - RFP Response Ver. 11_Financials Preston Offshoring V11_Ramp Plan _ RDA_Editorial_File for Circulation with Volume Discount Revised 3" xfId="45386"/>
    <cellStyle name="_IBM- P  L - RFP Response Ver. 11_Financials Preston Offshoring V11_Ramp Plan _ RDA_Editorial_HR Assumptions for Pricing2" xfId="45387"/>
    <cellStyle name="_IBM- P  L - RFP Response Ver. 11_Financials Preston Offshoring V11_Ramp Plan _ RDA_Editorial_HR Assumptions for Pricing2 2" xfId="45388"/>
    <cellStyle name="_IBM- P  L - RFP Response Ver. 11_Financials Preston Offshoring V11_Ramp Plan _ RDA_Editorial_HR Assumptions for Pricing2 3" xfId="45389"/>
    <cellStyle name="_IBM- P  L - RFP Response Ver. 11_FTE Deployment v4" xfId="45390"/>
    <cellStyle name="_IBM- P  L - RFP Response Ver. 11_FTE Deployment v4 2" xfId="45391"/>
    <cellStyle name="_IBM- P  L - RFP Response Ver. 11_FTE Deployment v4 3" xfId="45392"/>
    <cellStyle name="_IBM- P  L - RFP Response Ver. 11_FTE Deployment v4 ramp plan" xfId="45393"/>
    <cellStyle name="_IBM- P  L - RFP Response Ver. 11_FTE Deployment v4 ramp plan 2" xfId="45394"/>
    <cellStyle name="_IBM- P  L - RFP Response Ver. 11_FTE Deployment v4 ramp plan 3" xfId="45395"/>
    <cellStyle name="_IBM- P  L - RFP Response Ver. 11_FTE Deployment v4 ramp plan_Advanstar Financials 24 July" xfId="45396"/>
    <cellStyle name="_IBM- P  L - RFP Response Ver. 11_FTE Deployment v4 ramp plan_Advanstar Financials 24 July 2" xfId="45397"/>
    <cellStyle name="_IBM- P  L - RFP Response Ver. 11_FTE Deployment v4 ramp plan_Advanstar Financials 24 July 3" xfId="45398"/>
    <cellStyle name="_IBM- P  L - RFP Response Ver. 11_FTE Deployment v4 ramp plan_Advanstar Financials 24 July v1" xfId="45399"/>
    <cellStyle name="_IBM- P  L - RFP Response Ver. 11_FTE Deployment v4 ramp plan_Advanstar Financials 24 July v1 2" xfId="45400"/>
    <cellStyle name="_IBM- P  L - RFP Response Ver. 11_FTE Deployment v4 ramp plan_Advanstar Financials 24 July v1 3" xfId="45401"/>
    <cellStyle name="_IBM- P  L - RFP Response Ver. 11_FTE Deployment v4 ramp plan_Finance Input Template V6 1 Sep" xfId="45402"/>
    <cellStyle name="_IBM- P  L - RFP Response Ver. 11_FTE Deployment v4 ramp plan_Finance Input Template V6 1 Sep 2" xfId="45403"/>
    <cellStyle name="_IBM- P  L - RFP Response Ver. 11_FTE Deployment v4 ramp plan_Finance Input Template V6 1 Sep 3" xfId="45404"/>
    <cellStyle name="_IBM- P  L - RFP Response Ver. 11_FTE Deployment v4_Advanstar Financials 24 July" xfId="45405"/>
    <cellStyle name="_IBM- P  L - RFP Response Ver. 11_FTE Deployment v4_Advanstar Financials 24 July 2" xfId="45406"/>
    <cellStyle name="_IBM- P  L - RFP Response Ver. 11_FTE Deployment v4_Advanstar Financials 24 July 3" xfId="45407"/>
    <cellStyle name="_IBM- P  L - RFP Response Ver. 11_FTE Deployment v4_Advanstar Financials 24 July v1" xfId="45408"/>
    <cellStyle name="_IBM- P  L - RFP Response Ver. 11_FTE Deployment v4_Advanstar Financials 24 July v1 2" xfId="45409"/>
    <cellStyle name="_IBM- P  L - RFP Response Ver. 11_FTE Deployment v4_Advanstar Financials 24 July v1 3" xfId="45410"/>
    <cellStyle name="_IBM- P  L - RFP Response Ver. 11_FTE Deployment v4_Finance Input Template V6 1 Sep" xfId="45411"/>
    <cellStyle name="_IBM- P  L - RFP Response Ver. 11_FTE Deployment v4_Finance Input Template V6 1 Sep 2" xfId="45412"/>
    <cellStyle name="_IBM- P  L - RFP Response Ver. 11_FTE Deployment v4_Finance Input Template V6 1 Sep 3" xfId="45413"/>
    <cellStyle name="_IBM- P  L - RFP Response Ver. 11_FTE Deployment v5" xfId="45414"/>
    <cellStyle name="_IBM- P  L - RFP Response Ver. 11_FTE Deployment v5 2" xfId="45415"/>
    <cellStyle name="_IBM- P  L - RFP Response Ver. 11_FTE Deployment v5 3" xfId="45416"/>
    <cellStyle name="_IBM- P  L - RFP Response Ver. 11_FTE Deployment v5_Advanstar Financials 24 July" xfId="45417"/>
    <cellStyle name="_IBM- P  L - RFP Response Ver. 11_FTE Deployment v5_Advanstar Financials 24 July 2" xfId="45418"/>
    <cellStyle name="_IBM- P  L - RFP Response Ver. 11_FTE Deployment v5_Advanstar Financials 24 July 3" xfId="45419"/>
    <cellStyle name="_IBM- P  L - RFP Response Ver. 11_FTE Deployment v5_Advanstar Financials 24 July v1" xfId="45420"/>
    <cellStyle name="_IBM- P  L - RFP Response Ver. 11_FTE Deployment v5_Advanstar Financials 24 July v1 2" xfId="45421"/>
    <cellStyle name="_IBM- P  L - RFP Response Ver. 11_FTE Deployment v5_Advanstar Financials 24 July v1 3" xfId="45422"/>
    <cellStyle name="_IBM- P  L - RFP Response Ver. 11_FTE Deployment v5_Finance Input Template V6 1 Sep" xfId="45423"/>
    <cellStyle name="_IBM- P  L - RFP Response Ver. 11_FTE Deployment v5_Finance Input Template V6 1 Sep 2" xfId="45424"/>
    <cellStyle name="_IBM- P  L - RFP Response Ver. 11_FTE Deployment v5_Finance Input Template V6 1 Sep 3" xfId="45425"/>
    <cellStyle name="_IBM- P  L - RFP Response Ver. 11_Newspaper degitation" xfId="45426"/>
    <cellStyle name="_IBM- P  L - RFP Response Ver. 11_Newspaper degitation 2" xfId="45427"/>
    <cellStyle name="_IBM- P  L - RFP Response Ver. 11_Newspaper degitation 3" xfId="45428"/>
    <cellStyle name="_IBM- P  L - RFP Response Ver. 11_PB Carveout" xfId="45429"/>
    <cellStyle name="_IBM- P  L - RFP Response Ver. 11_PB Carveout 2" xfId="45430"/>
    <cellStyle name="_IBM- P  L - RFP Response Ver. 11_PB Carveout 3" xfId="45431"/>
    <cellStyle name="_IBM- P  L - RFP Response Ver. 11_PB Carveout_Advanstar Financials 24 July" xfId="45432"/>
    <cellStyle name="_IBM- P  L - RFP Response Ver. 11_PB Carveout_Advanstar Financials 24 July 2" xfId="45433"/>
    <cellStyle name="_IBM- P  L - RFP Response Ver. 11_PB Carveout_Advanstar Financials 24 July 3" xfId="45434"/>
    <cellStyle name="_IBM- P  L - RFP Response Ver. 11_PB Carveout_Advanstar Financials 24 July v1" xfId="45435"/>
    <cellStyle name="_IBM- P  L - RFP Response Ver. 11_PB Carveout_Advanstar Financials 24 July v1 2" xfId="45436"/>
    <cellStyle name="_IBM- P  L - RFP Response Ver. 11_PB Carveout_Advanstar Financials 24 July v1 3" xfId="45437"/>
    <cellStyle name="_IBM- P  L - RFP Response Ver. 11_PB Carveout_Advanstar Financials 24 July v1_Adv_8oct_Sub Ver 12(4)" xfId="45438"/>
    <cellStyle name="_IBM- P  L - RFP Response Ver. 11_PB Carveout_Advanstar Financials 24 July v1_Adv_8oct_Sub Ver 12(4) 2" xfId="45439"/>
    <cellStyle name="_IBM- P  L - RFP Response Ver. 11_PB Carveout_Advanstar Financials 24 July v1_Adv_8oct_Sub Ver 12(4) 3" xfId="45440"/>
    <cellStyle name="_IBM- P  L - RFP Response Ver. 11_PB Carveout_Advanstar Financials 24 July v1_File for Circulation with Volume Discount Revised" xfId="45441"/>
    <cellStyle name="_IBM- P  L - RFP Response Ver. 11_PB Carveout_Advanstar Financials 24 July v1_File for Circulation with Volume Discount Revised 2" xfId="45442"/>
    <cellStyle name="_IBM- P  L - RFP Response Ver. 11_PB Carveout_Advanstar Financials 24 July v1_File for Circulation with Volume Discount Revised 3" xfId="45443"/>
    <cellStyle name="_IBM- P  L - RFP Response Ver. 11_PB Carveout_Advanstar Financials 24 July v1_HR Assumptions for Pricing2" xfId="45444"/>
    <cellStyle name="_IBM- P  L - RFP Response Ver. 11_PB Carveout_Advanstar Financials 24 July v1_HR Assumptions for Pricing2 2" xfId="45445"/>
    <cellStyle name="_IBM- P  L - RFP Response Ver. 11_PB Carveout_Advanstar Financials 24 July v1_HR Assumptions for Pricing2 3" xfId="45446"/>
    <cellStyle name="_IBM- P  L - RFP Response Ver. 11_PB Carveout_Advanstar Financials 24 July_Adv_8oct_Sub Ver 12(4)" xfId="45447"/>
    <cellStyle name="_IBM- P  L - RFP Response Ver. 11_PB Carveout_Advanstar Financials 24 July_Adv_8oct_Sub Ver 12(4) 2" xfId="45448"/>
    <cellStyle name="_IBM- P  L - RFP Response Ver. 11_PB Carveout_Advanstar Financials 24 July_Adv_8oct_Sub Ver 12(4) 3" xfId="45449"/>
    <cellStyle name="_IBM- P  L - RFP Response Ver. 11_PB Carveout_Advanstar Financials 24 July_File for Circulation with Volume Discount Revised" xfId="45450"/>
    <cellStyle name="_IBM- P  L - RFP Response Ver. 11_PB Carveout_Advanstar Financials 24 July_File for Circulation with Volume Discount Revised 2" xfId="45451"/>
    <cellStyle name="_IBM- P  L - RFP Response Ver. 11_PB Carveout_Advanstar Financials 24 July_File for Circulation with Volume Discount Revised 3" xfId="45452"/>
    <cellStyle name="_IBM- P  L - RFP Response Ver. 11_PB Carveout_Advanstar Financials 24 July_HR Assumptions for Pricing2" xfId="45453"/>
    <cellStyle name="_IBM- P  L - RFP Response Ver. 11_PB Carveout_Advanstar Financials 24 July_HR Assumptions for Pricing2 2" xfId="45454"/>
    <cellStyle name="_IBM- P  L - RFP Response Ver. 11_PB Carveout_Advanstar Financials 24 July_HR Assumptions for Pricing2 3" xfId="45455"/>
    <cellStyle name="_IBM- P  L - RFP Response Ver. 11_PB Carveout_HR Workings Break-up (2)" xfId="45456"/>
    <cellStyle name="_IBM- P  L - RFP Response Ver. 11_PB Carveout_HR Workings Break-up (2) 2" xfId="45457"/>
    <cellStyle name="_IBM- P  L - RFP Response Ver. 11_PB Carveout_HR Workings Break-up (2) 3" xfId="45458"/>
    <cellStyle name="_IBM- P  L - RFP Response Ver. 11_PB Carveout_HR Workings Break-up (2)_Adv_8oct_Sub Ver 12(4)" xfId="45459"/>
    <cellStyle name="_IBM- P  L - RFP Response Ver. 11_PB Carveout_HR Workings Break-up (2)_Adv_8oct_Sub Ver 12(4) 2" xfId="45460"/>
    <cellStyle name="_IBM- P  L - RFP Response Ver. 11_PB Carveout_HR Workings Break-up (2)_Adv_8oct_Sub Ver 12(4) 3" xfId="45461"/>
    <cellStyle name="_IBM- P  L - RFP Response Ver. 11_PB Carveout_HR Workings Break-up (2)_File for Circulation with Volume Discount Revised" xfId="45462"/>
    <cellStyle name="_IBM- P  L - RFP Response Ver. 11_PB Carveout_HR Workings Break-up (2)_File for Circulation with Volume Discount Revised 2" xfId="45463"/>
    <cellStyle name="_IBM- P  L - RFP Response Ver. 11_PB Carveout_HR Workings Break-up (2)_File for Circulation with Volume Discount Revised 3" xfId="45464"/>
    <cellStyle name="_IBM- P  L - RFP Response Ver. 11_PB Carveout_HR Workings Break-up (2)_HR Assumptions for Pricing2" xfId="45465"/>
    <cellStyle name="_IBM- P  L - RFP Response Ver. 11_PB Carveout_HR Workings Break-up (2)_HR Assumptions for Pricing2 2" xfId="45466"/>
    <cellStyle name="_IBM- P  L - RFP Response Ver. 11_PB Carveout_HR Workings Break-up (2)_HR Assumptions for Pricing2 3" xfId="45467"/>
    <cellStyle name="_IBM- P  L - RFP Response Ver. 11_PB Carveout_Ramp Plan _ RDA_Editorial" xfId="45468"/>
    <cellStyle name="_IBM- P  L - RFP Response Ver. 11_PB Carveout_Ramp Plan _ RDA_Editorial 2" xfId="45469"/>
    <cellStyle name="_IBM- P  L - RFP Response Ver. 11_PB Carveout_Ramp Plan _ RDA_Editorial 3" xfId="45470"/>
    <cellStyle name="_IBM- P  L - RFP Response Ver. 11_PB Carveout_Ramp Plan _ RDA_Editorial_Adv_8oct_Sub Ver 12(4)" xfId="45471"/>
    <cellStyle name="_IBM- P  L - RFP Response Ver. 11_PB Carveout_Ramp Plan _ RDA_Editorial_Adv_8oct_Sub Ver 12(4) 2" xfId="45472"/>
    <cellStyle name="_IBM- P  L - RFP Response Ver. 11_PB Carveout_Ramp Plan _ RDA_Editorial_Adv_8oct_Sub Ver 12(4) 3" xfId="45473"/>
    <cellStyle name="_IBM- P  L - RFP Response Ver. 11_PB Carveout_Ramp Plan _ RDA_Editorial_File for Circulation with Volume Discount Revised" xfId="45474"/>
    <cellStyle name="_IBM- P  L - RFP Response Ver. 11_PB Carveout_Ramp Plan _ RDA_Editorial_File for Circulation with Volume Discount Revised 2" xfId="45475"/>
    <cellStyle name="_IBM- P  L - RFP Response Ver. 11_PB Carveout_Ramp Plan _ RDA_Editorial_File for Circulation with Volume Discount Revised 3" xfId="45476"/>
    <cellStyle name="_IBM- P  L - RFP Response Ver. 11_PB Carveout_Ramp Plan _ RDA_Editorial_HR Assumptions for Pricing2" xfId="45477"/>
    <cellStyle name="_IBM- P  L - RFP Response Ver. 11_PB Carveout_Ramp Plan _ RDA_Editorial_HR Assumptions for Pricing2 2" xfId="45478"/>
    <cellStyle name="_IBM- P  L - RFP Response Ver. 11_PB Carveout_Ramp Plan _ RDA_Editorial_HR Assumptions for Pricing2 3" xfId="45479"/>
    <cellStyle name="_IBM- P  L - RFP Response Ver. 11_Pricing Norway Post2" xfId="45480"/>
    <cellStyle name="_IBM- P  L - RFP Response Ver. 11_Pricing Norway Post2 2" xfId="45481"/>
    <cellStyle name="_IBM- P  L - RFP Response Ver. 11_Pricing Norway Post2 3" xfId="45482"/>
    <cellStyle name="_IBM- P  L - RFP Response Ver. 11_Salary Rate Card_v1 0" xfId="45483"/>
    <cellStyle name="_IBM- P  L - RFP Response Ver. 11_Salary Rate Card_v1 0 2" xfId="45484"/>
    <cellStyle name="_IBM- P  L - RFP Response Ver. 11_Salary Rate Card_v1 0 3" xfId="45485"/>
    <cellStyle name="_IBM- P  L - RFP Response Ver. 11_Seat Cost calculation 150110 SkyIt" xfId="45486"/>
    <cellStyle name="_IBM- P  L - RFP Response Ver. 11_Seat Cost calculation 150110 SkyIt 2" xfId="45487"/>
    <cellStyle name="_IBM- P  L - RFP Response Ver. 11_Seat Cost calculation 150110 SkyIt 3" xfId="45488"/>
    <cellStyle name="_IBM- P  L - RFP Response Ver. 11_UMG Financial Model - Apps V 2.0" xfId="45489"/>
    <cellStyle name="_IBM- P  L - RFP Response Ver. 11_UMG Financial Model - Apps V 2.0 2" xfId="45490"/>
    <cellStyle name="_IBM- P  L - RFP Response Ver. 11_UMG Financial Model - Apps V 2.0 3" xfId="45491"/>
    <cellStyle name="_IBM- P  L - RFP Response Ver. 11_UMG_ Pricing Model - Final" xfId="45492"/>
    <cellStyle name="_IBM- P  L - RFP Response Ver. 11_UMG_ Pricing Model - Final 2" xfId="45493"/>
    <cellStyle name="_IBM- P  L - RFP Response Ver. 11_UMG_ Pricing Model - Final 3" xfId="45494"/>
    <cellStyle name="_IBM SC Assumptions" xfId="45495"/>
    <cellStyle name="_IBM SC Assumptions 2" xfId="45496"/>
    <cellStyle name="_x0013__IBP by Inv Area" xfId="45497"/>
    <cellStyle name="_x0013__IBP by Inv Area 2" xfId="45498"/>
    <cellStyle name="_x0013__IBP by Inv Area 2_Adjustments" xfId="45499"/>
    <cellStyle name="_x0013__IBP by Inv Area 2_Overall" xfId="45500"/>
    <cellStyle name="_x0013__IBP by Inv Area_B &amp; U by Inv Area &amp; Del" xfId="45501"/>
    <cellStyle name="_x0013__IBP by Inv Area_budget risk items" xfId="45502"/>
    <cellStyle name="_x0013__IBP by Inv Area_VoWD Data" xfId="45503"/>
    <cellStyle name="_x0013__IBP by Inv Area_VoWD Data by Purpose Code" xfId="45504"/>
    <cellStyle name="_IBP Steve Roberts file 19-01-12 (Inc Dec11 COPI)" xfId="45505"/>
    <cellStyle name="_IBP Steve Roberts file 19-01-12 (Inc Dec11 COPI) 2" xfId="45506"/>
    <cellStyle name="_IBP Steve Roberts file 19-01-12 (Inc Dec11 COPI) 2_Adjustments" xfId="45507"/>
    <cellStyle name="_IBP Steve Roberts file 19-01-12 (Inc Dec11 COPI) 2_Overall" xfId="45508"/>
    <cellStyle name="_IBP Steve Roberts file 19-01-12 (Inc Dec11 COPI)_B &amp; U by Inv Area &amp; Del" xfId="45509"/>
    <cellStyle name="_IBP Steve Roberts file 19-01-12 (Inc Dec11 COPI)_budget risk items" xfId="45510"/>
    <cellStyle name="_IBP Steve Roberts file 19-01-12 (Inc Dec11 COPI)_VoWD Data" xfId="45511"/>
    <cellStyle name="_IBP Steve Roberts file 19-01-12 (Inc Dec11 COPI)_VoWD Data by Purpose Code" xfId="45512"/>
    <cellStyle name="_IFA" xfId="45513"/>
    <cellStyle name="_IFA 2" xfId="45514"/>
    <cellStyle name="_IFRS to UKGAAP to UUW REG_Draft Plan 141209UUCv2" xfId="45515"/>
    <cellStyle name="_IFRS to UKGAAP to UUW REG_Draft Plan 141209UUCv2 2" xfId="45516"/>
    <cellStyle name="_II. Transition Charges" xfId="45517"/>
    <cellStyle name="_II. Transition Charges 2" xfId="45518"/>
    <cellStyle name="_IL forecasting 0910 Mar 10 v0.1" xfId="45519"/>
    <cellStyle name="_IL forecasting 0910 Mar 10 v0.1 2" xfId="45520"/>
    <cellStyle name="_IL forecasting 0910 Mar 10 v0.1 3" xfId="45521"/>
    <cellStyle name="_Information Template EM1 17 0207 Final (2)" xfId="45522"/>
    <cellStyle name="_Information Template EM1 17 0207 Final (2) 2" xfId="45523"/>
    <cellStyle name="_Information Template EM1 17 0207 Final (2) 3" xfId="45524"/>
    <cellStyle name="_Information Template EM1 17 0207 Final (2)_Advanstar Financials 24 July" xfId="45525"/>
    <cellStyle name="_Information Template EM1 17 0207 Final (2)_Advanstar Financials 24 July 2" xfId="45526"/>
    <cellStyle name="_Information Template EM1 17 0207 Final (2)_Advanstar Financials 24 July 3" xfId="45527"/>
    <cellStyle name="_Information Template EM1 17 0207 Final (2)_Advanstar Financials 24 July v1" xfId="45528"/>
    <cellStyle name="_Information Template EM1 17 0207 Final (2)_Advanstar Financials 24 July v1 2" xfId="45529"/>
    <cellStyle name="_Information Template EM1 17 0207 Final (2)_Advanstar Financials 24 July v1 3" xfId="45530"/>
    <cellStyle name="_Information Template EM1 17 0207 Final (2)_Advanstar Financials 24 July v1_Adv_8oct_Sub Ver 12(4)" xfId="45531"/>
    <cellStyle name="_Information Template EM1 17 0207 Final (2)_Advanstar Financials 24 July v1_Adv_8oct_Sub Ver 12(4) 2" xfId="45532"/>
    <cellStyle name="_Information Template EM1 17 0207 Final (2)_Advanstar Financials 24 July v1_Adv_8oct_Sub Ver 12(4) 3" xfId="45533"/>
    <cellStyle name="_Information Template EM1 17 0207 Final (2)_Advanstar Financials 24 July v1_File for Circulation with Volume Discount Revised" xfId="45534"/>
    <cellStyle name="_Information Template EM1 17 0207 Final (2)_Advanstar Financials 24 July v1_File for Circulation with Volume Discount Revised 2" xfId="45535"/>
    <cellStyle name="_Information Template EM1 17 0207 Final (2)_Advanstar Financials 24 July v1_File for Circulation with Volume Discount Revised 3" xfId="45536"/>
    <cellStyle name="_Information Template EM1 17 0207 Final (2)_Advanstar Financials 24 July v1_HR Assumptions for Pricing2" xfId="45537"/>
    <cellStyle name="_Information Template EM1 17 0207 Final (2)_Advanstar Financials 24 July v1_HR Assumptions for Pricing2 2" xfId="45538"/>
    <cellStyle name="_Information Template EM1 17 0207 Final (2)_Advanstar Financials 24 July v1_HR Assumptions for Pricing2 3" xfId="45539"/>
    <cellStyle name="_Information Template EM1 17 0207 Final (2)_Advanstar Financials 24 July_Adv_8oct_Sub Ver 12(4)" xfId="45540"/>
    <cellStyle name="_Information Template EM1 17 0207 Final (2)_Advanstar Financials 24 July_Adv_8oct_Sub Ver 12(4) 2" xfId="45541"/>
    <cellStyle name="_Information Template EM1 17 0207 Final (2)_Advanstar Financials 24 July_Adv_8oct_Sub Ver 12(4) 3" xfId="45542"/>
    <cellStyle name="_Information Template EM1 17 0207 Final (2)_Advanstar Financials 24 July_File for Circulation with Volume Discount Revised" xfId="45543"/>
    <cellStyle name="_Information Template EM1 17 0207 Final (2)_Advanstar Financials 24 July_File for Circulation with Volume Discount Revised 2" xfId="45544"/>
    <cellStyle name="_Information Template EM1 17 0207 Final (2)_Advanstar Financials 24 July_File for Circulation with Volume Discount Revised 3" xfId="45545"/>
    <cellStyle name="_Information Template EM1 17 0207 Final (2)_Advanstar Financials 24 July_HR Assumptions for Pricing2" xfId="45546"/>
    <cellStyle name="_Information Template EM1 17 0207 Final (2)_Advanstar Financials 24 July_HR Assumptions for Pricing2 2" xfId="45547"/>
    <cellStyle name="_Information Template EM1 17 0207 Final (2)_Advanstar Financials 24 July_HR Assumptions for Pricing2 3" xfId="45548"/>
    <cellStyle name="_Information Template EM1 17 0207 Final (2)_FTE Deployment v4" xfId="45549"/>
    <cellStyle name="_Information Template EM1 17 0207 Final (2)_FTE Deployment v4 2" xfId="45550"/>
    <cellStyle name="_Information Template EM1 17 0207 Final (2)_FTE Deployment v4 3" xfId="45551"/>
    <cellStyle name="_Information Template EM1 17 0207 Final (2)_FTE Deployment v4 ramp plan" xfId="45552"/>
    <cellStyle name="_Information Template EM1 17 0207 Final (2)_FTE Deployment v4 ramp plan 2" xfId="45553"/>
    <cellStyle name="_Information Template EM1 17 0207 Final (2)_FTE Deployment v4 ramp plan 3" xfId="45554"/>
    <cellStyle name="_Information Template EM1 17 0207 Final (2)_FTE Deployment v4 ramp plan_Advanstar Financials 24 July" xfId="45555"/>
    <cellStyle name="_Information Template EM1 17 0207 Final (2)_FTE Deployment v4 ramp plan_Advanstar Financials 24 July 2" xfId="45556"/>
    <cellStyle name="_Information Template EM1 17 0207 Final (2)_FTE Deployment v4 ramp plan_Advanstar Financials 24 July 3" xfId="45557"/>
    <cellStyle name="_Information Template EM1 17 0207 Final (2)_FTE Deployment v4 ramp plan_Advanstar Financials 24 July v1" xfId="45558"/>
    <cellStyle name="_Information Template EM1 17 0207 Final (2)_FTE Deployment v4 ramp plan_Advanstar Financials 24 July v1 2" xfId="45559"/>
    <cellStyle name="_Information Template EM1 17 0207 Final (2)_FTE Deployment v4 ramp plan_Advanstar Financials 24 July v1 3" xfId="45560"/>
    <cellStyle name="_Information Template EM1 17 0207 Final (2)_FTE Deployment v4 ramp plan_Finance Input Template V6 1 Sep" xfId="45561"/>
    <cellStyle name="_Information Template EM1 17 0207 Final (2)_FTE Deployment v4 ramp plan_Finance Input Template V6 1 Sep 2" xfId="45562"/>
    <cellStyle name="_Information Template EM1 17 0207 Final (2)_FTE Deployment v4 ramp plan_Finance Input Template V6 1 Sep 3" xfId="45563"/>
    <cellStyle name="_Information Template EM1 17 0207 Final (2)_FTE Deployment v4_Advanstar Financials 24 July" xfId="45564"/>
    <cellStyle name="_Information Template EM1 17 0207 Final (2)_FTE Deployment v4_Advanstar Financials 24 July 2" xfId="45565"/>
    <cellStyle name="_Information Template EM1 17 0207 Final (2)_FTE Deployment v4_Advanstar Financials 24 July 3" xfId="45566"/>
    <cellStyle name="_Information Template EM1 17 0207 Final (2)_FTE Deployment v4_Advanstar Financials 24 July v1" xfId="45567"/>
    <cellStyle name="_Information Template EM1 17 0207 Final (2)_FTE Deployment v4_Advanstar Financials 24 July v1 2" xfId="45568"/>
    <cellStyle name="_Information Template EM1 17 0207 Final (2)_FTE Deployment v4_Advanstar Financials 24 July v1 3" xfId="45569"/>
    <cellStyle name="_Information Template EM1 17 0207 Final (2)_FTE Deployment v4_Finance Input Template V6 1 Sep" xfId="45570"/>
    <cellStyle name="_Information Template EM1 17 0207 Final (2)_FTE Deployment v4_Finance Input Template V6 1 Sep 2" xfId="45571"/>
    <cellStyle name="_Information Template EM1 17 0207 Final (2)_FTE Deployment v4_Finance Input Template V6 1 Sep 3" xfId="45572"/>
    <cellStyle name="_Information Template EM1 17 0207 Final (2)_FTE Deployment v5" xfId="45573"/>
    <cellStyle name="_Information Template EM1 17 0207 Final (2)_FTE Deployment v5 2" xfId="45574"/>
    <cellStyle name="_Information Template EM1 17 0207 Final (2)_FTE Deployment v5 3" xfId="45575"/>
    <cellStyle name="_Information Template EM1 17 0207 Final (2)_FTE Deployment v5_Advanstar Financials 24 July" xfId="45576"/>
    <cellStyle name="_Information Template EM1 17 0207 Final (2)_FTE Deployment v5_Advanstar Financials 24 July 2" xfId="45577"/>
    <cellStyle name="_Information Template EM1 17 0207 Final (2)_FTE Deployment v5_Advanstar Financials 24 July 3" xfId="45578"/>
    <cellStyle name="_Information Template EM1 17 0207 Final (2)_FTE Deployment v5_Advanstar Financials 24 July v1" xfId="45579"/>
    <cellStyle name="_Information Template EM1 17 0207 Final (2)_FTE Deployment v5_Advanstar Financials 24 July v1 2" xfId="45580"/>
    <cellStyle name="_Information Template EM1 17 0207 Final (2)_FTE Deployment v5_Advanstar Financials 24 July v1 3" xfId="45581"/>
    <cellStyle name="_Information Template EM1 17 0207 Final (2)_FTE Deployment v5_Finance Input Template V6 1 Sep" xfId="45582"/>
    <cellStyle name="_Information Template EM1 17 0207 Final (2)_FTE Deployment v5_Finance Input Template V6 1 Sep 2" xfId="45583"/>
    <cellStyle name="_Information Template EM1 17 0207 Final (2)_FTE Deployment v5_Finance Input Template V6 1 Sep 3" xfId="45584"/>
    <cellStyle name="_Information Template EM1 17 0207 Final (2)_Pricing Norway Post2" xfId="45585"/>
    <cellStyle name="_Information Template EM1 17 0207 Final (2)_Pricing Norway Post2 2" xfId="45586"/>
    <cellStyle name="_Information Template EM1 17 0207 Final (2)_Pricing Norway Post2 3" xfId="45587"/>
    <cellStyle name="_Information Template EM1 17 0207 Final (2)_Salary Rate Card_v1 0" xfId="45588"/>
    <cellStyle name="_Information Template EM1 17 0207 Final (2)_Salary Rate Card_v1 0 2" xfId="45589"/>
    <cellStyle name="_Information Template EM1 17 0207 Final (2)_Salary Rate Card_v1 0 3" xfId="45590"/>
    <cellStyle name="_Information Template EMI - Infra Inputs" xfId="45591"/>
    <cellStyle name="_Information Template EMI - Infra Inputs 2" xfId="45592"/>
    <cellStyle name="_Information Template EMI - Infra Inputs 3" xfId="45593"/>
    <cellStyle name="_Information Template EMI - Infra Inputs_Advanstar Financials 24 July" xfId="45594"/>
    <cellStyle name="_Information Template EMI - Infra Inputs_Advanstar Financials 24 July 2" xfId="45595"/>
    <cellStyle name="_Information Template EMI - Infra Inputs_Advanstar Financials 24 July 3" xfId="45596"/>
    <cellStyle name="_Information Template EMI - Infra Inputs_Advanstar Financials 24 July v1" xfId="45597"/>
    <cellStyle name="_Information Template EMI - Infra Inputs_Advanstar Financials 24 July v1 2" xfId="45598"/>
    <cellStyle name="_Information Template EMI - Infra Inputs_Advanstar Financials 24 July v1 3" xfId="45599"/>
    <cellStyle name="_Information Template EMI - Infra Inputs_Advanstar Financials 24 July v1_Adv_8oct_Sub Ver 12(4)" xfId="45600"/>
    <cellStyle name="_Information Template EMI - Infra Inputs_Advanstar Financials 24 July v1_Adv_8oct_Sub Ver 12(4) 2" xfId="45601"/>
    <cellStyle name="_Information Template EMI - Infra Inputs_Advanstar Financials 24 July v1_Adv_8oct_Sub Ver 12(4) 3" xfId="45602"/>
    <cellStyle name="_Information Template EMI - Infra Inputs_Advanstar Financials 24 July v1_File for Circulation with Volume Discount Revised" xfId="45603"/>
    <cellStyle name="_Information Template EMI - Infra Inputs_Advanstar Financials 24 July v1_File for Circulation with Volume Discount Revised 2" xfId="45604"/>
    <cellStyle name="_Information Template EMI - Infra Inputs_Advanstar Financials 24 July v1_File for Circulation with Volume Discount Revised 3" xfId="45605"/>
    <cellStyle name="_Information Template EMI - Infra Inputs_Advanstar Financials 24 July v1_HR Assumptions for Pricing2" xfId="45606"/>
    <cellStyle name="_Information Template EMI - Infra Inputs_Advanstar Financials 24 July v1_HR Assumptions for Pricing2 2" xfId="45607"/>
    <cellStyle name="_Information Template EMI - Infra Inputs_Advanstar Financials 24 July v1_HR Assumptions for Pricing2 3" xfId="45608"/>
    <cellStyle name="_Information Template EMI - Infra Inputs_Advanstar Financials 24 July_Adv_8oct_Sub Ver 12(4)" xfId="45609"/>
    <cellStyle name="_Information Template EMI - Infra Inputs_Advanstar Financials 24 July_Adv_8oct_Sub Ver 12(4) 2" xfId="45610"/>
    <cellStyle name="_Information Template EMI - Infra Inputs_Advanstar Financials 24 July_Adv_8oct_Sub Ver 12(4) 3" xfId="45611"/>
    <cellStyle name="_Information Template EMI - Infra Inputs_Advanstar Financials 24 July_File for Circulation with Volume Discount Revised" xfId="45612"/>
    <cellStyle name="_Information Template EMI - Infra Inputs_Advanstar Financials 24 July_File for Circulation with Volume Discount Revised 2" xfId="45613"/>
    <cellStyle name="_Information Template EMI - Infra Inputs_Advanstar Financials 24 July_File for Circulation with Volume Discount Revised 3" xfId="45614"/>
    <cellStyle name="_Information Template EMI - Infra Inputs_Advanstar Financials 24 July_HR Assumptions for Pricing2" xfId="45615"/>
    <cellStyle name="_Information Template EMI - Infra Inputs_Advanstar Financials 24 July_HR Assumptions for Pricing2 2" xfId="45616"/>
    <cellStyle name="_Information Template EMI - Infra Inputs_Advanstar Financials 24 July_HR Assumptions for Pricing2 3" xfId="45617"/>
    <cellStyle name="_Information Template EMI - Infra Inputs_FTE Deployment v4" xfId="45618"/>
    <cellStyle name="_Information Template EMI - Infra Inputs_FTE Deployment v4 2" xfId="45619"/>
    <cellStyle name="_Information Template EMI - Infra Inputs_FTE Deployment v4 3" xfId="45620"/>
    <cellStyle name="_Information Template EMI - Infra Inputs_FTE Deployment v4 ramp plan" xfId="45621"/>
    <cellStyle name="_Information Template EMI - Infra Inputs_FTE Deployment v4 ramp plan 2" xfId="45622"/>
    <cellStyle name="_Information Template EMI - Infra Inputs_FTE Deployment v4 ramp plan 3" xfId="45623"/>
    <cellStyle name="_Information Template EMI - Infra Inputs_FTE Deployment v4 ramp plan_Advanstar Financials 24 July" xfId="45624"/>
    <cellStyle name="_Information Template EMI - Infra Inputs_FTE Deployment v4 ramp plan_Advanstar Financials 24 July 2" xfId="45625"/>
    <cellStyle name="_Information Template EMI - Infra Inputs_FTE Deployment v4 ramp plan_Advanstar Financials 24 July 3" xfId="45626"/>
    <cellStyle name="_Information Template EMI - Infra Inputs_FTE Deployment v4 ramp plan_Advanstar Financials 24 July v1" xfId="45627"/>
    <cellStyle name="_Information Template EMI - Infra Inputs_FTE Deployment v4 ramp plan_Advanstar Financials 24 July v1 2" xfId="45628"/>
    <cellStyle name="_Information Template EMI - Infra Inputs_FTE Deployment v4 ramp plan_Advanstar Financials 24 July v1 3" xfId="45629"/>
    <cellStyle name="_Information Template EMI - Infra Inputs_FTE Deployment v4 ramp plan_Finance Input Template V6 1 Sep" xfId="45630"/>
    <cellStyle name="_Information Template EMI - Infra Inputs_FTE Deployment v4 ramp plan_Finance Input Template V6 1 Sep 2" xfId="45631"/>
    <cellStyle name="_Information Template EMI - Infra Inputs_FTE Deployment v4 ramp plan_Finance Input Template V6 1 Sep 3" xfId="45632"/>
    <cellStyle name="_Information Template EMI - Infra Inputs_FTE Deployment v4_Advanstar Financials 24 July" xfId="45633"/>
    <cellStyle name="_Information Template EMI - Infra Inputs_FTE Deployment v4_Advanstar Financials 24 July 2" xfId="45634"/>
    <cellStyle name="_Information Template EMI - Infra Inputs_FTE Deployment v4_Advanstar Financials 24 July 3" xfId="45635"/>
    <cellStyle name="_Information Template EMI - Infra Inputs_FTE Deployment v4_Advanstar Financials 24 July v1" xfId="45636"/>
    <cellStyle name="_Information Template EMI - Infra Inputs_FTE Deployment v4_Advanstar Financials 24 July v1 2" xfId="45637"/>
    <cellStyle name="_Information Template EMI - Infra Inputs_FTE Deployment v4_Advanstar Financials 24 July v1 3" xfId="45638"/>
    <cellStyle name="_Information Template EMI - Infra Inputs_FTE Deployment v4_Finance Input Template V6 1 Sep" xfId="45639"/>
    <cellStyle name="_Information Template EMI - Infra Inputs_FTE Deployment v4_Finance Input Template V6 1 Sep 2" xfId="45640"/>
    <cellStyle name="_Information Template EMI - Infra Inputs_FTE Deployment v4_Finance Input Template V6 1 Sep 3" xfId="45641"/>
    <cellStyle name="_Information Template EMI - Infra Inputs_FTE Deployment v5" xfId="45642"/>
    <cellStyle name="_Information Template EMI - Infra Inputs_FTE Deployment v5 2" xfId="45643"/>
    <cellStyle name="_Information Template EMI - Infra Inputs_FTE Deployment v5 3" xfId="45644"/>
    <cellStyle name="_Information Template EMI - Infra Inputs_FTE Deployment v5_Advanstar Financials 24 July" xfId="45645"/>
    <cellStyle name="_Information Template EMI - Infra Inputs_FTE Deployment v5_Advanstar Financials 24 July 2" xfId="45646"/>
    <cellStyle name="_Information Template EMI - Infra Inputs_FTE Deployment v5_Advanstar Financials 24 July 3" xfId="45647"/>
    <cellStyle name="_Information Template EMI - Infra Inputs_FTE Deployment v5_Advanstar Financials 24 July v1" xfId="45648"/>
    <cellStyle name="_Information Template EMI - Infra Inputs_FTE Deployment v5_Advanstar Financials 24 July v1 2" xfId="45649"/>
    <cellStyle name="_Information Template EMI - Infra Inputs_FTE Deployment v5_Advanstar Financials 24 July v1 3" xfId="45650"/>
    <cellStyle name="_Information Template EMI - Infra Inputs_FTE Deployment v5_Finance Input Template V6 1 Sep" xfId="45651"/>
    <cellStyle name="_Information Template EMI - Infra Inputs_FTE Deployment v5_Finance Input Template V6 1 Sep 2" xfId="45652"/>
    <cellStyle name="_Information Template EMI - Infra Inputs_FTE Deployment v5_Finance Input Template V6 1 Sep 3" xfId="45653"/>
    <cellStyle name="_Information Template EMI - Infra Inputs_Pricing Norway Post2" xfId="45654"/>
    <cellStyle name="_Information Template EMI - Infra Inputs_Pricing Norway Post2 2" xfId="45655"/>
    <cellStyle name="_Information Template EMI - Infra Inputs_Pricing Norway Post2 3" xfId="45656"/>
    <cellStyle name="_Information Template EMI - Infra Inputs_Salary Rate Card_v1 0" xfId="45657"/>
    <cellStyle name="_Information Template EMI - Infra Inputs_Salary Rate Card_v1 0 2" xfId="45658"/>
    <cellStyle name="_Information Template EMI - Infra Inputs_Salary Rate Card_v1 0 3" xfId="45659"/>
    <cellStyle name="_x0013__Innovation" xfId="45660"/>
    <cellStyle name="_x0013__Innovation 2" xfId="45661"/>
    <cellStyle name="_x0013__Innovation_1" xfId="45662"/>
    <cellStyle name="_x0013__Innovation_1 2" xfId="45663"/>
    <cellStyle name="_Inputs_draft2" xfId="45664"/>
    <cellStyle name="_Inputs_draft2 2" xfId="45665"/>
    <cellStyle name="_Inputs_draft2 3" xfId="45666"/>
    <cellStyle name="_Inputs_draft2_Adapt response DC Pricing Format (2)" xfId="45667"/>
    <cellStyle name="_Inputs_draft2_Adapt response DC Pricing Format (2) 2" xfId="45668"/>
    <cellStyle name="_Inputs_draft2_Adapt response DC Pricing Format (2) 3" xfId="45669"/>
    <cellStyle name="_Inputs_draft2_Advanstar Financials" xfId="45670"/>
    <cellStyle name="_Inputs_draft2_Advanstar Financials 2" xfId="45671"/>
    <cellStyle name="_Inputs_draft2_Advanstar Financials 24 July" xfId="45672"/>
    <cellStyle name="_Inputs_draft2_Advanstar Financials 24 July 2" xfId="45673"/>
    <cellStyle name="_Inputs_draft2_Advanstar Financials 24 July 3" xfId="45674"/>
    <cellStyle name="_Inputs_draft2_Advanstar Financials 24 July v1" xfId="45675"/>
    <cellStyle name="_Inputs_draft2_Advanstar Financials 24 July v1 2" xfId="45676"/>
    <cellStyle name="_Inputs_draft2_Advanstar Financials 24 July v1 3" xfId="45677"/>
    <cellStyle name="_Inputs_draft2_Advanstar Financials 24 July v1_Adv_8oct_Sub Ver 12(4)" xfId="45678"/>
    <cellStyle name="_Inputs_draft2_Advanstar Financials 24 July v1_Adv_8oct_Sub Ver 12(4) 2" xfId="45679"/>
    <cellStyle name="_Inputs_draft2_Advanstar Financials 24 July v1_Adv_8oct_Sub Ver 12(4) 3" xfId="45680"/>
    <cellStyle name="_Inputs_draft2_Advanstar Financials 24 July v1_File for Circulation with Volume Discount Revised" xfId="45681"/>
    <cellStyle name="_Inputs_draft2_Advanstar Financials 24 July v1_File for Circulation with Volume Discount Revised 2" xfId="45682"/>
    <cellStyle name="_Inputs_draft2_Advanstar Financials 24 July v1_File for Circulation with Volume Discount Revised 3" xfId="45683"/>
    <cellStyle name="_Inputs_draft2_Advanstar Financials 24 July v1_HR Assumptions for Pricing2" xfId="45684"/>
    <cellStyle name="_Inputs_draft2_Advanstar Financials 24 July v1_HR Assumptions for Pricing2 2" xfId="45685"/>
    <cellStyle name="_Inputs_draft2_Advanstar Financials 24 July v1_HR Assumptions for Pricing2 3" xfId="45686"/>
    <cellStyle name="_Inputs_draft2_Advanstar Financials 24 July_Adv_8oct_Sub Ver 12(4)" xfId="45687"/>
    <cellStyle name="_Inputs_draft2_Advanstar Financials 24 July_Adv_8oct_Sub Ver 12(4) 2" xfId="45688"/>
    <cellStyle name="_Inputs_draft2_Advanstar Financials 24 July_Adv_8oct_Sub Ver 12(4) 3" xfId="45689"/>
    <cellStyle name="_Inputs_draft2_Advanstar Financials 24 July_File for Circulation with Volume Discount Revised" xfId="45690"/>
    <cellStyle name="_Inputs_draft2_Advanstar Financials 24 July_File for Circulation with Volume Discount Revised 2" xfId="45691"/>
    <cellStyle name="_Inputs_draft2_Advanstar Financials 24 July_File for Circulation with Volume Discount Revised 3" xfId="45692"/>
    <cellStyle name="_Inputs_draft2_Advanstar Financials 24 July_HR Assumptions for Pricing2" xfId="45693"/>
    <cellStyle name="_Inputs_draft2_Advanstar Financials 24 July_HR Assumptions for Pricing2 2" xfId="45694"/>
    <cellStyle name="_Inputs_draft2_Advanstar Financials 24 July_HR Assumptions for Pricing2 3" xfId="45695"/>
    <cellStyle name="_Inputs_draft2_Advanstar Financials 3" xfId="45696"/>
    <cellStyle name="_Inputs_draft2_Advanstar Financials_Adv_8oct_Sub Ver 12(4)" xfId="45697"/>
    <cellStyle name="_Inputs_draft2_Advanstar Financials_Adv_8oct_Sub Ver 12(4) 2" xfId="45698"/>
    <cellStyle name="_Inputs_draft2_Advanstar Financials_Adv_8oct_Sub Ver 12(4) 3" xfId="45699"/>
    <cellStyle name="_Inputs_draft2_Advanstar Financials_File for Circulation with Volume Discount Revised" xfId="45700"/>
    <cellStyle name="_Inputs_draft2_Advanstar Financials_File for Circulation with Volume Discount Revised 2" xfId="45701"/>
    <cellStyle name="_Inputs_draft2_Advanstar Financials_File for Circulation with Volume Discount Revised 3" xfId="45702"/>
    <cellStyle name="_Inputs_draft2_Advanstar Financials_HR Assumptions for Pricing2" xfId="45703"/>
    <cellStyle name="_Inputs_draft2_Advanstar Financials_HR Assumptions for Pricing2 2" xfId="45704"/>
    <cellStyle name="_Inputs_draft2_Advanstar Financials_HR Assumptions for Pricing2 3" xfId="45705"/>
    <cellStyle name="_Inputs_draft2_Finance Input Template" xfId="45706"/>
    <cellStyle name="_Inputs_draft2_Finance Input Template 2" xfId="45707"/>
    <cellStyle name="_Inputs_draft2_Finance Input Template 3" xfId="45708"/>
    <cellStyle name="_Inputs_draft2_Finance Input Template_Adv_8oct_Sub Ver 12(4)" xfId="45709"/>
    <cellStyle name="_Inputs_draft2_Finance Input Template_Adv_8oct_Sub Ver 12(4) 2" xfId="45710"/>
    <cellStyle name="_Inputs_draft2_Finance Input Template_Adv_8oct_Sub Ver 12(4) 3" xfId="45711"/>
    <cellStyle name="_Inputs_draft2_Finance Input Template_File for Circulation with Volume Discount Revised" xfId="45712"/>
    <cellStyle name="_Inputs_draft2_Finance Input Template_File for Circulation with Volume Discount Revised 2" xfId="45713"/>
    <cellStyle name="_Inputs_draft2_Finance Input Template_File for Circulation with Volume Discount Revised 3" xfId="45714"/>
    <cellStyle name="_Inputs_draft2_Finance Input Template_HR Assumptions for Pricing2" xfId="45715"/>
    <cellStyle name="_Inputs_draft2_Finance Input Template_HR Assumptions for Pricing2 2" xfId="45716"/>
    <cellStyle name="_Inputs_draft2_Finance Input Template_HR Assumptions for Pricing2 3" xfId="45717"/>
    <cellStyle name="_Inputs_draft2_Financials Preston Offshoring V11" xfId="45718"/>
    <cellStyle name="_Inputs_draft2_Financials Preston Offshoring V11 2" xfId="45719"/>
    <cellStyle name="_Inputs_draft2_Financials Preston Offshoring V11 3" xfId="45720"/>
    <cellStyle name="_Inputs_draft2_Financials Preston Offshoring V11_Advanstar Financials 24 July" xfId="45721"/>
    <cellStyle name="_Inputs_draft2_Financials Preston Offshoring V11_Advanstar Financials 24 July 2" xfId="45722"/>
    <cellStyle name="_Inputs_draft2_Financials Preston Offshoring V11_Advanstar Financials 24 July 3" xfId="45723"/>
    <cellStyle name="_Inputs_draft2_Financials Preston Offshoring V11_Advanstar Financials 24 July v1" xfId="45724"/>
    <cellStyle name="_Inputs_draft2_Financials Preston Offshoring V11_Advanstar Financials 24 July v1 2" xfId="45725"/>
    <cellStyle name="_Inputs_draft2_Financials Preston Offshoring V11_Advanstar Financials 24 July v1 3" xfId="45726"/>
    <cellStyle name="_Inputs_draft2_Financials Preston Offshoring V11_Advanstar Financials 24 July v1_Adv_8oct_Sub Ver 12(4)" xfId="45727"/>
    <cellStyle name="_Inputs_draft2_Financials Preston Offshoring V11_Advanstar Financials 24 July v1_Adv_8oct_Sub Ver 12(4) 2" xfId="45728"/>
    <cellStyle name="_Inputs_draft2_Financials Preston Offshoring V11_Advanstar Financials 24 July v1_Adv_8oct_Sub Ver 12(4) 3" xfId="45729"/>
    <cellStyle name="_Inputs_draft2_Financials Preston Offshoring V11_Advanstar Financials 24 July v1_File for Circulation with Volume Discount Revised" xfId="45730"/>
    <cellStyle name="_Inputs_draft2_Financials Preston Offshoring V11_Advanstar Financials 24 July v1_File for Circulation with Volume Discount Revised 2" xfId="45731"/>
    <cellStyle name="_Inputs_draft2_Financials Preston Offshoring V11_Advanstar Financials 24 July v1_File for Circulation with Volume Discount Revised 3" xfId="45732"/>
    <cellStyle name="_Inputs_draft2_Financials Preston Offshoring V11_Advanstar Financials 24 July v1_HR Assumptions for Pricing2" xfId="45733"/>
    <cellStyle name="_Inputs_draft2_Financials Preston Offshoring V11_Advanstar Financials 24 July v1_HR Assumptions for Pricing2 2" xfId="45734"/>
    <cellStyle name="_Inputs_draft2_Financials Preston Offshoring V11_Advanstar Financials 24 July v1_HR Assumptions for Pricing2 3" xfId="45735"/>
    <cellStyle name="_Inputs_draft2_Financials Preston Offshoring V11_Advanstar Financials 24 July_Adv_8oct_Sub Ver 12(4)" xfId="45736"/>
    <cellStyle name="_Inputs_draft2_Financials Preston Offshoring V11_Advanstar Financials 24 July_Adv_8oct_Sub Ver 12(4) 2" xfId="45737"/>
    <cellStyle name="_Inputs_draft2_Financials Preston Offshoring V11_Advanstar Financials 24 July_Adv_8oct_Sub Ver 12(4) 3" xfId="45738"/>
    <cellStyle name="_Inputs_draft2_Financials Preston Offshoring V11_Advanstar Financials 24 July_File for Circulation with Volume Discount Revised" xfId="45739"/>
    <cellStyle name="_Inputs_draft2_Financials Preston Offshoring V11_Advanstar Financials 24 July_File for Circulation with Volume Discount Revised 2" xfId="45740"/>
    <cellStyle name="_Inputs_draft2_Financials Preston Offshoring V11_Advanstar Financials 24 July_File for Circulation with Volume Discount Revised 3" xfId="45741"/>
    <cellStyle name="_Inputs_draft2_Financials Preston Offshoring V11_Advanstar Financials 24 July_HR Assumptions for Pricing2" xfId="45742"/>
    <cellStyle name="_Inputs_draft2_Financials Preston Offshoring V11_Advanstar Financials 24 July_HR Assumptions for Pricing2 2" xfId="45743"/>
    <cellStyle name="_Inputs_draft2_Financials Preston Offshoring V11_Advanstar Financials 24 July_HR Assumptions for Pricing2 3" xfId="45744"/>
    <cellStyle name="_Inputs_draft2_Financials Preston Offshoring V11_HR Workings Break-up (2)" xfId="45745"/>
    <cellStyle name="_Inputs_draft2_Financials Preston Offshoring V11_HR Workings Break-up (2) 2" xfId="45746"/>
    <cellStyle name="_Inputs_draft2_Financials Preston Offshoring V11_HR Workings Break-up (2) 3" xfId="45747"/>
    <cellStyle name="_Inputs_draft2_Financials Preston Offshoring V11_HR Workings Break-up (2)_Adv_8oct_Sub Ver 12(4)" xfId="45748"/>
    <cellStyle name="_Inputs_draft2_Financials Preston Offshoring V11_HR Workings Break-up (2)_Adv_8oct_Sub Ver 12(4) 2" xfId="45749"/>
    <cellStyle name="_Inputs_draft2_Financials Preston Offshoring V11_HR Workings Break-up (2)_Adv_8oct_Sub Ver 12(4) 3" xfId="45750"/>
    <cellStyle name="_Inputs_draft2_Financials Preston Offshoring V11_HR Workings Break-up (2)_File for Circulation with Volume Discount Revised" xfId="45751"/>
    <cellStyle name="_Inputs_draft2_Financials Preston Offshoring V11_HR Workings Break-up (2)_File for Circulation with Volume Discount Revised 2" xfId="45752"/>
    <cellStyle name="_Inputs_draft2_Financials Preston Offshoring V11_HR Workings Break-up (2)_File for Circulation with Volume Discount Revised 3" xfId="45753"/>
    <cellStyle name="_Inputs_draft2_Financials Preston Offshoring V11_HR Workings Break-up (2)_HR Assumptions for Pricing2" xfId="45754"/>
    <cellStyle name="_Inputs_draft2_Financials Preston Offshoring V11_HR Workings Break-up (2)_HR Assumptions for Pricing2 2" xfId="45755"/>
    <cellStyle name="_Inputs_draft2_Financials Preston Offshoring V11_HR Workings Break-up (2)_HR Assumptions for Pricing2 3" xfId="45756"/>
    <cellStyle name="_Inputs_draft2_Financials Preston Offshoring V11_Ramp Plan _ RDA_Editorial" xfId="45757"/>
    <cellStyle name="_Inputs_draft2_Financials Preston Offshoring V11_Ramp Plan _ RDA_Editorial 2" xfId="45758"/>
    <cellStyle name="_Inputs_draft2_Financials Preston Offshoring V11_Ramp Plan _ RDA_Editorial 3" xfId="45759"/>
    <cellStyle name="_Inputs_draft2_Financials Preston Offshoring V11_Ramp Plan _ RDA_Editorial_Adv_8oct_Sub Ver 12(4)" xfId="45760"/>
    <cellStyle name="_Inputs_draft2_Financials Preston Offshoring V11_Ramp Plan _ RDA_Editorial_Adv_8oct_Sub Ver 12(4) 2" xfId="45761"/>
    <cellStyle name="_Inputs_draft2_Financials Preston Offshoring V11_Ramp Plan _ RDA_Editorial_Adv_8oct_Sub Ver 12(4) 3" xfId="45762"/>
    <cellStyle name="_Inputs_draft2_Financials Preston Offshoring V11_Ramp Plan _ RDA_Editorial_File for Circulation with Volume Discount Revised" xfId="45763"/>
    <cellStyle name="_Inputs_draft2_Financials Preston Offshoring V11_Ramp Plan _ RDA_Editorial_File for Circulation with Volume Discount Revised 2" xfId="45764"/>
    <cellStyle name="_Inputs_draft2_Financials Preston Offshoring V11_Ramp Plan _ RDA_Editorial_File for Circulation with Volume Discount Revised 3" xfId="45765"/>
    <cellStyle name="_Inputs_draft2_Financials Preston Offshoring V11_Ramp Plan _ RDA_Editorial_HR Assumptions for Pricing2" xfId="45766"/>
    <cellStyle name="_Inputs_draft2_Financials Preston Offshoring V11_Ramp Plan _ RDA_Editorial_HR Assumptions for Pricing2 2" xfId="45767"/>
    <cellStyle name="_Inputs_draft2_Financials Preston Offshoring V11_Ramp Plan _ RDA_Editorial_HR Assumptions for Pricing2 3" xfId="45768"/>
    <cellStyle name="_Inputs_draft2_FTE Deployment v4" xfId="45769"/>
    <cellStyle name="_Inputs_draft2_FTE Deployment v4 2" xfId="45770"/>
    <cellStyle name="_Inputs_draft2_FTE Deployment v4 3" xfId="45771"/>
    <cellStyle name="_Inputs_draft2_FTE Deployment v4 ramp plan" xfId="45772"/>
    <cellStyle name="_Inputs_draft2_FTE Deployment v4 ramp plan 2" xfId="45773"/>
    <cellStyle name="_Inputs_draft2_FTE Deployment v4 ramp plan 3" xfId="45774"/>
    <cellStyle name="_Inputs_draft2_FTE Deployment v4 ramp plan_Advanstar Financials 24 July" xfId="45775"/>
    <cellStyle name="_Inputs_draft2_FTE Deployment v4 ramp plan_Advanstar Financials 24 July 2" xfId="45776"/>
    <cellStyle name="_Inputs_draft2_FTE Deployment v4 ramp plan_Advanstar Financials 24 July 3" xfId="45777"/>
    <cellStyle name="_Inputs_draft2_FTE Deployment v4 ramp plan_Advanstar Financials 24 July v1" xfId="45778"/>
    <cellStyle name="_Inputs_draft2_FTE Deployment v4 ramp plan_Advanstar Financials 24 July v1 2" xfId="45779"/>
    <cellStyle name="_Inputs_draft2_FTE Deployment v4 ramp plan_Advanstar Financials 24 July v1 3" xfId="45780"/>
    <cellStyle name="_Inputs_draft2_FTE Deployment v4 ramp plan_Finance Input Template V6 1 Sep" xfId="45781"/>
    <cellStyle name="_Inputs_draft2_FTE Deployment v4 ramp plan_Finance Input Template V6 1 Sep 2" xfId="45782"/>
    <cellStyle name="_Inputs_draft2_FTE Deployment v4 ramp plan_Finance Input Template V6 1 Sep 3" xfId="45783"/>
    <cellStyle name="_Inputs_draft2_FTE Deployment v4_Advanstar Financials 24 July" xfId="45784"/>
    <cellStyle name="_Inputs_draft2_FTE Deployment v4_Advanstar Financials 24 July 2" xfId="45785"/>
    <cellStyle name="_Inputs_draft2_FTE Deployment v4_Advanstar Financials 24 July 3" xfId="45786"/>
    <cellStyle name="_Inputs_draft2_FTE Deployment v4_Advanstar Financials 24 July v1" xfId="45787"/>
    <cellStyle name="_Inputs_draft2_FTE Deployment v4_Advanstar Financials 24 July v1 2" xfId="45788"/>
    <cellStyle name="_Inputs_draft2_FTE Deployment v4_Advanstar Financials 24 July v1 3" xfId="45789"/>
    <cellStyle name="_Inputs_draft2_FTE Deployment v4_Finance Input Template V6 1 Sep" xfId="45790"/>
    <cellStyle name="_Inputs_draft2_FTE Deployment v4_Finance Input Template V6 1 Sep 2" xfId="45791"/>
    <cellStyle name="_Inputs_draft2_FTE Deployment v4_Finance Input Template V6 1 Sep 3" xfId="45792"/>
    <cellStyle name="_Inputs_draft2_FTE Deployment v5" xfId="45793"/>
    <cellStyle name="_Inputs_draft2_FTE Deployment v5 2" xfId="45794"/>
    <cellStyle name="_Inputs_draft2_FTE Deployment v5 3" xfId="45795"/>
    <cellStyle name="_Inputs_draft2_FTE Deployment v5_Advanstar Financials 24 July" xfId="45796"/>
    <cellStyle name="_Inputs_draft2_FTE Deployment v5_Advanstar Financials 24 July 2" xfId="45797"/>
    <cellStyle name="_Inputs_draft2_FTE Deployment v5_Advanstar Financials 24 July 3" xfId="45798"/>
    <cellStyle name="_Inputs_draft2_FTE Deployment v5_Advanstar Financials 24 July v1" xfId="45799"/>
    <cellStyle name="_Inputs_draft2_FTE Deployment v5_Advanstar Financials 24 July v1 2" xfId="45800"/>
    <cellStyle name="_Inputs_draft2_FTE Deployment v5_Advanstar Financials 24 July v1 3" xfId="45801"/>
    <cellStyle name="_Inputs_draft2_FTE Deployment v5_Finance Input Template V6 1 Sep" xfId="45802"/>
    <cellStyle name="_Inputs_draft2_FTE Deployment v5_Finance Input Template V6 1 Sep 2" xfId="45803"/>
    <cellStyle name="_Inputs_draft2_FTE Deployment v5_Finance Input Template V6 1 Sep 3" xfId="45804"/>
    <cellStyle name="_Inputs_draft2_Newspaper degitation" xfId="45805"/>
    <cellStyle name="_Inputs_draft2_Newspaper degitation 2" xfId="45806"/>
    <cellStyle name="_Inputs_draft2_Newspaper degitation 3" xfId="45807"/>
    <cellStyle name="_Inputs_draft2_PB Carveout" xfId="45808"/>
    <cellStyle name="_Inputs_draft2_PB Carveout 2" xfId="45809"/>
    <cellStyle name="_Inputs_draft2_PB Carveout 3" xfId="45810"/>
    <cellStyle name="_Inputs_draft2_PB Carveout_Advanstar Financials 24 July" xfId="45811"/>
    <cellStyle name="_Inputs_draft2_PB Carveout_Advanstar Financials 24 July 2" xfId="45812"/>
    <cellStyle name="_Inputs_draft2_PB Carveout_Advanstar Financials 24 July 3" xfId="45813"/>
    <cellStyle name="_Inputs_draft2_PB Carveout_Advanstar Financials 24 July v1" xfId="45814"/>
    <cellStyle name="_Inputs_draft2_PB Carveout_Advanstar Financials 24 July v1 2" xfId="45815"/>
    <cellStyle name="_Inputs_draft2_PB Carveout_Advanstar Financials 24 July v1 3" xfId="45816"/>
    <cellStyle name="_Inputs_draft2_PB Carveout_Advanstar Financials 24 July v1_Adv_8oct_Sub Ver 12(4)" xfId="45817"/>
    <cellStyle name="_Inputs_draft2_PB Carveout_Advanstar Financials 24 July v1_Adv_8oct_Sub Ver 12(4) 2" xfId="45818"/>
    <cellStyle name="_Inputs_draft2_PB Carveout_Advanstar Financials 24 July v1_Adv_8oct_Sub Ver 12(4) 3" xfId="45819"/>
    <cellStyle name="_Inputs_draft2_PB Carveout_Advanstar Financials 24 July v1_File for Circulation with Volume Discount Revised" xfId="45820"/>
    <cellStyle name="_Inputs_draft2_PB Carveout_Advanstar Financials 24 July v1_File for Circulation with Volume Discount Revised 2" xfId="45821"/>
    <cellStyle name="_Inputs_draft2_PB Carveout_Advanstar Financials 24 July v1_File for Circulation with Volume Discount Revised 3" xfId="45822"/>
    <cellStyle name="_Inputs_draft2_PB Carveout_Advanstar Financials 24 July v1_HR Assumptions for Pricing2" xfId="45823"/>
    <cellStyle name="_Inputs_draft2_PB Carveout_Advanstar Financials 24 July v1_HR Assumptions for Pricing2 2" xfId="45824"/>
    <cellStyle name="_Inputs_draft2_PB Carveout_Advanstar Financials 24 July v1_HR Assumptions for Pricing2 3" xfId="45825"/>
    <cellStyle name="_Inputs_draft2_PB Carveout_Advanstar Financials 24 July_Adv_8oct_Sub Ver 12(4)" xfId="45826"/>
    <cellStyle name="_Inputs_draft2_PB Carveout_Advanstar Financials 24 July_Adv_8oct_Sub Ver 12(4) 2" xfId="45827"/>
    <cellStyle name="_Inputs_draft2_PB Carveout_Advanstar Financials 24 July_Adv_8oct_Sub Ver 12(4) 3" xfId="45828"/>
    <cellStyle name="_Inputs_draft2_PB Carveout_Advanstar Financials 24 July_File for Circulation with Volume Discount Revised" xfId="45829"/>
    <cellStyle name="_Inputs_draft2_PB Carveout_Advanstar Financials 24 July_File for Circulation with Volume Discount Revised 2" xfId="45830"/>
    <cellStyle name="_Inputs_draft2_PB Carveout_Advanstar Financials 24 July_File for Circulation with Volume Discount Revised 3" xfId="45831"/>
    <cellStyle name="_Inputs_draft2_PB Carveout_Advanstar Financials 24 July_HR Assumptions for Pricing2" xfId="45832"/>
    <cellStyle name="_Inputs_draft2_PB Carveout_Advanstar Financials 24 July_HR Assumptions for Pricing2 2" xfId="45833"/>
    <cellStyle name="_Inputs_draft2_PB Carveout_Advanstar Financials 24 July_HR Assumptions for Pricing2 3" xfId="45834"/>
    <cellStyle name="_Inputs_draft2_PB Carveout_HR Workings Break-up (2)" xfId="45835"/>
    <cellStyle name="_Inputs_draft2_PB Carveout_HR Workings Break-up (2) 2" xfId="45836"/>
    <cellStyle name="_Inputs_draft2_PB Carveout_HR Workings Break-up (2) 3" xfId="45837"/>
    <cellStyle name="_Inputs_draft2_PB Carveout_HR Workings Break-up (2)_Adv_8oct_Sub Ver 12(4)" xfId="45838"/>
    <cellStyle name="_Inputs_draft2_PB Carveout_HR Workings Break-up (2)_Adv_8oct_Sub Ver 12(4) 2" xfId="45839"/>
    <cellStyle name="_Inputs_draft2_PB Carveout_HR Workings Break-up (2)_Adv_8oct_Sub Ver 12(4) 3" xfId="45840"/>
    <cellStyle name="_Inputs_draft2_PB Carveout_HR Workings Break-up (2)_File for Circulation with Volume Discount Revised" xfId="45841"/>
    <cellStyle name="_Inputs_draft2_PB Carveout_HR Workings Break-up (2)_File for Circulation with Volume Discount Revised 2" xfId="45842"/>
    <cellStyle name="_Inputs_draft2_PB Carveout_HR Workings Break-up (2)_File for Circulation with Volume Discount Revised 3" xfId="45843"/>
    <cellStyle name="_Inputs_draft2_PB Carveout_HR Workings Break-up (2)_HR Assumptions for Pricing2" xfId="45844"/>
    <cellStyle name="_Inputs_draft2_PB Carveout_HR Workings Break-up (2)_HR Assumptions for Pricing2 2" xfId="45845"/>
    <cellStyle name="_Inputs_draft2_PB Carveout_HR Workings Break-up (2)_HR Assumptions for Pricing2 3" xfId="45846"/>
    <cellStyle name="_Inputs_draft2_PB Carveout_Ramp Plan _ RDA_Editorial" xfId="45847"/>
    <cellStyle name="_Inputs_draft2_PB Carveout_Ramp Plan _ RDA_Editorial 2" xfId="45848"/>
    <cellStyle name="_Inputs_draft2_PB Carveout_Ramp Plan _ RDA_Editorial 3" xfId="45849"/>
    <cellStyle name="_Inputs_draft2_PB Carveout_Ramp Plan _ RDA_Editorial_Adv_8oct_Sub Ver 12(4)" xfId="45850"/>
    <cellStyle name="_Inputs_draft2_PB Carveout_Ramp Plan _ RDA_Editorial_Adv_8oct_Sub Ver 12(4) 2" xfId="45851"/>
    <cellStyle name="_Inputs_draft2_PB Carveout_Ramp Plan _ RDA_Editorial_Adv_8oct_Sub Ver 12(4) 3" xfId="45852"/>
    <cellStyle name="_Inputs_draft2_PB Carveout_Ramp Plan _ RDA_Editorial_File for Circulation with Volume Discount Revised" xfId="45853"/>
    <cellStyle name="_Inputs_draft2_PB Carveout_Ramp Plan _ RDA_Editorial_File for Circulation with Volume Discount Revised 2" xfId="45854"/>
    <cellStyle name="_Inputs_draft2_PB Carveout_Ramp Plan _ RDA_Editorial_File for Circulation with Volume Discount Revised 3" xfId="45855"/>
    <cellStyle name="_Inputs_draft2_PB Carveout_Ramp Plan _ RDA_Editorial_HR Assumptions for Pricing2" xfId="45856"/>
    <cellStyle name="_Inputs_draft2_PB Carveout_Ramp Plan _ RDA_Editorial_HR Assumptions for Pricing2 2" xfId="45857"/>
    <cellStyle name="_Inputs_draft2_PB Carveout_Ramp Plan _ RDA_Editorial_HR Assumptions for Pricing2 3" xfId="45858"/>
    <cellStyle name="_Inputs_draft2_Pricing Norway Post2" xfId="45859"/>
    <cellStyle name="_Inputs_draft2_Pricing Norway Post2 2" xfId="45860"/>
    <cellStyle name="_Inputs_draft2_Pricing Norway Post2 3" xfId="45861"/>
    <cellStyle name="_Inputs_draft2_Salary Rate Card_v1 0" xfId="45862"/>
    <cellStyle name="_Inputs_draft2_Salary Rate Card_v1 0 2" xfId="45863"/>
    <cellStyle name="_Inputs_draft2_Salary Rate Card_v1 0 3" xfId="45864"/>
    <cellStyle name="_Inputs_draft2_Seat Cost calculation 150110 SkyIt" xfId="45865"/>
    <cellStyle name="_Inputs_draft2_Seat Cost calculation 150110 SkyIt 2" xfId="45866"/>
    <cellStyle name="_Inputs_draft2_Seat Cost calculation 150110 SkyIt 3" xfId="45867"/>
    <cellStyle name="_Inputs_draft2_UMG Financial Model - Apps V 2.0" xfId="45868"/>
    <cellStyle name="_Inputs_draft2_UMG Financial Model - Apps V 2.0 2" xfId="45869"/>
    <cellStyle name="_Inputs_draft2_UMG Financial Model - Apps V 2.0 3" xfId="45870"/>
    <cellStyle name="_Inputs_draft2_UMG_ Pricing Model - Final" xfId="45871"/>
    <cellStyle name="_Inputs_draft2_UMG_ Pricing Model - Final 2" xfId="45872"/>
    <cellStyle name="_Inputs_draft2_UMG_ Pricing Model - Final 3" xfId="45873"/>
    <cellStyle name="_International IMAC draft v1 0 (2)" xfId="45874"/>
    <cellStyle name="_International IMAC draft v1 0 (2) 2" xfId="45875"/>
    <cellStyle name="_IS Budget 2011 2012 V2" xfId="45876"/>
    <cellStyle name="_IS Budget 2011 2012 V2 2" xfId="45877"/>
    <cellStyle name="_ISF Fund Performance - MEIF - September 2005v2" xfId="45878"/>
    <cellStyle name="_ISF Fund Performance - MEIF - September 2005v2 2" xfId="45879"/>
    <cellStyle name="_ISF Fund Performance - MEIF - September 2005v2 2 2" xfId="45880"/>
    <cellStyle name="_ISF Fund Performance - MEIF - September 2005v2 2 3" xfId="45881"/>
    <cellStyle name="_ISF Fund Performance - MEIF - September 2005v2 3" xfId="45882"/>
    <cellStyle name="_ISF Fund Performance - MEIF - September 2005v2 3 2" xfId="45883"/>
    <cellStyle name="_ISF Fund Performance - MEIF - September 2005v2 4" xfId="45884"/>
    <cellStyle name="_ISF Fund Performance - MEIF - September 2005v2_~0002420" xfId="45885"/>
    <cellStyle name="_ISF Fund Performance - MEIF - September 2005v2_~0002420 2" xfId="45886"/>
    <cellStyle name="_ISF Fund Performance - MEIF - September 2005v2_~0002420 3" xfId="45887"/>
    <cellStyle name="_ISF Fund Performance - MEIF - September 2005v2_~0002420 4" xfId="45888"/>
    <cellStyle name="_ISF Fund Performance - MEIF - September 2005v2_~0376079" xfId="45889"/>
    <cellStyle name="_ISF Fund Performance - MEIF - September 2005v2_~0376079 2" xfId="45890"/>
    <cellStyle name="_ISF Fund Performance - MEIF - September 2005v2_~0376079 3" xfId="45891"/>
    <cellStyle name="_ISF Fund Performance - MEIF - September 2005v2_~0376079 4" xfId="45892"/>
    <cellStyle name="_ISF Fund Performance - MEIF - September 2005v2_2011 10 Nov R&amp;O Register Reporting (Working Copy) Finance Final" xfId="45893"/>
    <cellStyle name="_ISF Fund Performance - MEIF - September 2005v2_CS Plan Opex AMP5-6 V1 Review Cycle2a" xfId="45894"/>
    <cellStyle name="_ISF Fund Performance - MEIF - September 2005v2_CS Plan Opex AMP5-6 V1 Review Cycle2a 2" xfId="45895"/>
    <cellStyle name="_ISF Fund Performance - MEIF - September 2005v2_CS Plan Opex AMP5-6 V1 Review Cycle2a 3" xfId="45896"/>
    <cellStyle name="_ISF Fund Performance - MEIF - September 2005v2_DS initiative Outsource" xfId="45897"/>
    <cellStyle name="_ISF Fund Performance - MEIF - September 2005v2_DS initiative Outsource 2" xfId="45898"/>
    <cellStyle name="_ISF Fund Performance - MEIF - September 2005v2_DS initiative Outsource 3" xfId="45899"/>
    <cellStyle name="_ISF Fund Performance - MEIF - September 2005v2_DS initiative Outsource 4" xfId="45900"/>
    <cellStyle name="_x0013__IT" xfId="45901"/>
    <cellStyle name="_x0013__IT 2" xfId="45902"/>
    <cellStyle name="_x0013__IT_1" xfId="45903"/>
    <cellStyle name="_x0013__IT_1 2" xfId="45904"/>
    <cellStyle name="_IV. Monthly Base Charges" xfId="45905"/>
    <cellStyle name="_IV. Monthly Base Charges 2" xfId="45906"/>
    <cellStyle name="_IX. Termination Fees" xfId="45907"/>
    <cellStyle name="_IX. Termination Fees 2" xfId="45908"/>
    <cellStyle name="_IX. Termination Fees 3" xfId="45909"/>
    <cellStyle name="_IX. Termination Fees_Advanstar Financials 24 July" xfId="45910"/>
    <cellStyle name="_IX. Termination Fees_Advanstar Financials 24 July 2" xfId="45911"/>
    <cellStyle name="_IX. Termination Fees_Advanstar Financials 24 July 3" xfId="45912"/>
    <cellStyle name="_IX. Termination Fees_Advanstar Financials 24 July v1" xfId="45913"/>
    <cellStyle name="_IX. Termination Fees_Advanstar Financials 24 July v1 2" xfId="45914"/>
    <cellStyle name="_IX. Termination Fees_Advanstar Financials 24 July v1 3" xfId="45915"/>
    <cellStyle name="_IX. Termination Fees_Advanstar Financials 24 July v1_Adv_8oct_Sub Ver 12(4)" xfId="45916"/>
    <cellStyle name="_IX. Termination Fees_Advanstar Financials 24 July v1_Adv_8oct_Sub Ver 12(4) 2" xfId="45917"/>
    <cellStyle name="_IX. Termination Fees_Advanstar Financials 24 July v1_Adv_8oct_Sub Ver 12(4) 3" xfId="45918"/>
    <cellStyle name="_IX. Termination Fees_Advanstar Financials 24 July v1_File for Circulation with Volume Discount Revised" xfId="45919"/>
    <cellStyle name="_IX. Termination Fees_Advanstar Financials 24 July v1_File for Circulation with Volume Discount Revised 2" xfId="45920"/>
    <cellStyle name="_IX. Termination Fees_Advanstar Financials 24 July v1_File for Circulation with Volume Discount Revised 3" xfId="45921"/>
    <cellStyle name="_IX. Termination Fees_Advanstar Financials 24 July v1_HR Assumptions for Pricing2" xfId="45922"/>
    <cellStyle name="_IX. Termination Fees_Advanstar Financials 24 July v1_HR Assumptions for Pricing2 2" xfId="45923"/>
    <cellStyle name="_IX. Termination Fees_Advanstar Financials 24 July v1_HR Assumptions for Pricing2 3" xfId="45924"/>
    <cellStyle name="_IX. Termination Fees_Advanstar Financials 24 July_Adv_8oct_Sub Ver 12(4)" xfId="45925"/>
    <cellStyle name="_IX. Termination Fees_Advanstar Financials 24 July_Adv_8oct_Sub Ver 12(4) 2" xfId="45926"/>
    <cellStyle name="_IX. Termination Fees_Advanstar Financials 24 July_Adv_8oct_Sub Ver 12(4) 3" xfId="45927"/>
    <cellStyle name="_IX. Termination Fees_Advanstar Financials 24 July_File for Circulation with Volume Discount Revised" xfId="45928"/>
    <cellStyle name="_IX. Termination Fees_Advanstar Financials 24 July_File for Circulation with Volume Discount Revised 2" xfId="45929"/>
    <cellStyle name="_IX. Termination Fees_Advanstar Financials 24 July_File for Circulation with Volume Discount Revised 3" xfId="45930"/>
    <cellStyle name="_IX. Termination Fees_Advanstar Financials 24 July_HR Assumptions for Pricing2" xfId="45931"/>
    <cellStyle name="_IX. Termination Fees_Advanstar Financials 24 July_HR Assumptions for Pricing2 2" xfId="45932"/>
    <cellStyle name="_IX. Termination Fees_Advanstar Financials 24 July_HR Assumptions for Pricing2 3" xfId="45933"/>
    <cellStyle name="_Jan '10 Check - FTEs V2" xfId="45934"/>
    <cellStyle name="_Jan Bad Debt Projection Waterfall Wk 44 v1.1" xfId="45935"/>
    <cellStyle name="_Jan RR backup" xfId="45936"/>
    <cellStyle name="_Jan RR backup 2" xfId="45937"/>
    <cellStyle name="_JR09 LBE_Gold_T18,20,21,22,19,35,36" xfId="45938"/>
    <cellStyle name="_JR09 LBE_Gold_T18,20,21,22,19,35,36 2" xfId="45939"/>
    <cellStyle name="_July 11 Analysis data" xfId="45940"/>
    <cellStyle name="_x0013__KWFLtd" xfId="45941"/>
    <cellStyle name="_x0013__KWFLtd 2" xfId="45942"/>
    <cellStyle name="_x0013__KWHLTD_G" xfId="45943"/>
    <cellStyle name="_x0013__KWHLTD_G 2" xfId="45944"/>
    <cellStyle name="_x0013__KWHLTD_G_1" xfId="45945"/>
    <cellStyle name="_x0013__KWHLTD_G_1 2" xfId="45946"/>
    <cellStyle name="_x0013__KWHLTD_G_2" xfId="45947"/>
    <cellStyle name="_x0013__KWHLTD_G_2 2" xfId="45948"/>
    <cellStyle name="_labs &amp; sampling 5+7 forecast 260911" xfId="45949"/>
    <cellStyle name="_labs &amp; sampling 5+7 forecast 260911 2" xfId="45950"/>
    <cellStyle name="_LBE submission Nov 08 - FINAL" xfId="45951"/>
    <cellStyle name="_LBE submission Nov 08 - FINAL 2" xfId="45952"/>
    <cellStyle name="_luxco spread" xfId="45953"/>
    <cellStyle name="_luxco spread 2" xfId="45954"/>
    <cellStyle name="_luxco spread 2 2" xfId="45955"/>
    <cellStyle name="_luxco spread 2 3" xfId="45956"/>
    <cellStyle name="_luxco spread 3" xfId="45957"/>
    <cellStyle name="_luxco spread 3 2" xfId="45958"/>
    <cellStyle name="_luxco spread 4" xfId="45959"/>
    <cellStyle name="_luxco spread_~0002420" xfId="45960"/>
    <cellStyle name="_luxco spread_~0002420 2" xfId="45961"/>
    <cellStyle name="_luxco spread_~0002420 3" xfId="45962"/>
    <cellStyle name="_luxco spread_~0002420 4" xfId="45963"/>
    <cellStyle name="_luxco spread_~0376079" xfId="45964"/>
    <cellStyle name="_luxco spread_~0376079 2" xfId="45965"/>
    <cellStyle name="_luxco spread_~0376079 3" xfId="45966"/>
    <cellStyle name="_luxco spread_~0376079 4" xfId="45967"/>
    <cellStyle name="_luxco spread_2011 10 Nov R&amp;O Register Reporting (Working Copy) Finance Final" xfId="45968"/>
    <cellStyle name="_luxco spread_CS Plan Opex AMP5-6 V1 Review Cycle2a" xfId="45969"/>
    <cellStyle name="_luxco spread_CS Plan Opex AMP5-6 V1 Review Cycle2a 2" xfId="45970"/>
    <cellStyle name="_luxco spread_CS Plan Opex AMP5-6 V1 Review Cycle2a 3" xfId="45971"/>
    <cellStyle name="_luxco spread_DS initiative Outsource" xfId="45972"/>
    <cellStyle name="_luxco spread_DS initiative Outsource 2" xfId="45973"/>
    <cellStyle name="_luxco spread_DS initiative Outsource 3" xfId="45974"/>
    <cellStyle name="_luxco spread_DS initiative Outsource 4" xfId="45975"/>
    <cellStyle name="_Maintenance split" xfId="45976"/>
    <cellStyle name="_Maintenance split 2" xfId="45977"/>
    <cellStyle name="_Maintenance split 3" xfId="45978"/>
    <cellStyle name="_Maintenance split 4" xfId="45979"/>
    <cellStyle name="_x0013__Major_ProjectsCON" xfId="45980"/>
    <cellStyle name="_x0013__Major_ProjectsCON 2" xfId="45981"/>
    <cellStyle name="_x0013__Management Structure" xfId="45982"/>
    <cellStyle name="_x0013__Management Structure 2" xfId="45983"/>
    <cellStyle name="_x0013__Management Structure_1" xfId="45984"/>
    <cellStyle name="_x0013__Management Structure_1 2" xfId="45985"/>
    <cellStyle name="_MD M01 323 Rev Rec M01" xfId="45986"/>
    <cellStyle name="_MD M01 323 Rev Rec M01 2" xfId="45987"/>
    <cellStyle name="_MD M01 323 Rev Rec M01 3" xfId="45988"/>
    <cellStyle name="_MD M12 325 Rev Rec Posting" xfId="45989"/>
    <cellStyle name="_MD M12 325 Rev Rec Posting 2" xfId="45990"/>
    <cellStyle name="_MD M12 325 Rev Rec Posting 3" xfId="45991"/>
    <cellStyle name="_MEIF - Asset Summaries 30 July 07" xfId="45992"/>
    <cellStyle name="_MEIF - Asset Summaries 30 July 07 2" xfId="45993"/>
    <cellStyle name="_MEIF - Asset Summaries 30 July 07 2 2" xfId="45994"/>
    <cellStyle name="_MEIF - Asset Summaries 30 July 07 2 3" xfId="45995"/>
    <cellStyle name="_MEIF - Asset Summaries 30 July 07 3" xfId="45996"/>
    <cellStyle name="_MEIF - Asset Summaries 30 July 07 3 2" xfId="45997"/>
    <cellStyle name="_MEIF - Asset Summaries 30 July 07 4" xfId="45998"/>
    <cellStyle name="_MEIF - Asset Summaries 30 July 07_2011 10 Nov R&amp;O Register Reporting (Working Copy) Finance Final" xfId="45999"/>
    <cellStyle name="_MEIF - Asset Summaries 30 July 07_CS Plan Opex AMP5-6 V1 Review Cycle2a" xfId="46000"/>
    <cellStyle name="_MEIF - Asset Summaries 30 July 07_CS Plan Opex AMP5-6 V1 Review Cycle2a 2" xfId="46001"/>
    <cellStyle name="_MEIF - Asset Summaries 30 July 07_CS Plan Opex AMP5-6 V1 Review Cycle2a 3" xfId="46002"/>
    <cellStyle name="_MEIF assets &amp; Liabilities5" xfId="46003"/>
    <cellStyle name="_MEIF assets &amp; Liabilities5 2" xfId="46004"/>
    <cellStyle name="_MEIF assets &amp; Liabilities5 2 2" xfId="46005"/>
    <cellStyle name="_MEIF assets &amp; Liabilities5 3" xfId="46006"/>
    <cellStyle name="_MEIF assets &amp; Liabilities5 3 2" xfId="46007"/>
    <cellStyle name="_MEIF assets &amp; Liabilities5 4" xfId="46008"/>
    <cellStyle name="_MEIF assets &amp; Liabilities5 4 2" xfId="46009"/>
    <cellStyle name="_MEIF assets &amp; Liabilities5 5" xfId="46010"/>
    <cellStyle name="_MEIF assets &amp; Liabilities5 5 2" xfId="46011"/>
    <cellStyle name="_MEIF assets &amp; Liabilities5 6" xfId="46012"/>
    <cellStyle name="_MEIF assets &amp; Liabilities5 6 2" xfId="46013"/>
    <cellStyle name="_MEIF assets &amp; Liabilities5 7" xfId="46014"/>
    <cellStyle name="_MEIF assets &amp; Liabilities5 7 2" xfId="46015"/>
    <cellStyle name="_MEIF assets &amp; Liabilities5 8" xfId="46016"/>
    <cellStyle name="_Mercury tool Vinod DBA" xfId="46017"/>
    <cellStyle name="_Mercury tool Vinod DBA 2" xfId="46018"/>
    <cellStyle name="_MIS SEP 2005 SAP r" xfId="46019"/>
    <cellStyle name="_MIS SEP 2005 SAP r 2" xfId="46020"/>
    <cellStyle name="_MIS SEP 2005 SAP r 3" xfId="46021"/>
    <cellStyle name="_MIS SEP 2005 SAP r_Adapt response DC Pricing Format (2)" xfId="46022"/>
    <cellStyle name="_MIS SEP 2005 SAP r_Adapt response DC Pricing Format (2) 2" xfId="46023"/>
    <cellStyle name="_MIS SEP 2005 SAP r_Adapt response DC Pricing Format (2) 3" xfId="46024"/>
    <cellStyle name="_MIS SEP 2005 SAP r_Advanstar Financials" xfId="46025"/>
    <cellStyle name="_MIS SEP 2005 SAP r_Advanstar Financials 2" xfId="46026"/>
    <cellStyle name="_MIS SEP 2005 SAP r_Advanstar Financials 24 July" xfId="46027"/>
    <cellStyle name="_MIS SEP 2005 SAP r_Advanstar Financials 24 July 2" xfId="46028"/>
    <cellStyle name="_MIS SEP 2005 SAP r_Advanstar Financials 24 July 3" xfId="46029"/>
    <cellStyle name="_MIS SEP 2005 SAP r_Advanstar Financials 24 July v1" xfId="46030"/>
    <cellStyle name="_MIS SEP 2005 SAP r_Advanstar Financials 24 July v1 2" xfId="46031"/>
    <cellStyle name="_MIS SEP 2005 SAP r_Advanstar Financials 24 July v1 3" xfId="46032"/>
    <cellStyle name="_MIS SEP 2005 SAP r_Advanstar Financials 24 July v1_Adv_8oct_Sub Ver 12(4)" xfId="46033"/>
    <cellStyle name="_MIS SEP 2005 SAP r_Advanstar Financials 24 July v1_Adv_8oct_Sub Ver 12(4) 2" xfId="46034"/>
    <cellStyle name="_MIS SEP 2005 SAP r_Advanstar Financials 24 July v1_Adv_8oct_Sub Ver 12(4) 3" xfId="46035"/>
    <cellStyle name="_MIS SEP 2005 SAP r_Advanstar Financials 24 July v1_File for Circulation with Volume Discount Revised" xfId="46036"/>
    <cellStyle name="_MIS SEP 2005 SAP r_Advanstar Financials 24 July v1_File for Circulation with Volume Discount Revised 2" xfId="46037"/>
    <cellStyle name="_MIS SEP 2005 SAP r_Advanstar Financials 24 July v1_File for Circulation with Volume Discount Revised 3" xfId="46038"/>
    <cellStyle name="_MIS SEP 2005 SAP r_Advanstar Financials 24 July v1_HR Assumptions for Pricing2" xfId="46039"/>
    <cellStyle name="_MIS SEP 2005 SAP r_Advanstar Financials 24 July v1_HR Assumptions for Pricing2 2" xfId="46040"/>
    <cellStyle name="_MIS SEP 2005 SAP r_Advanstar Financials 24 July v1_HR Assumptions for Pricing2 3" xfId="46041"/>
    <cellStyle name="_MIS SEP 2005 SAP r_Advanstar Financials 24 July_Adv_8oct_Sub Ver 12(4)" xfId="46042"/>
    <cellStyle name="_MIS SEP 2005 SAP r_Advanstar Financials 24 July_Adv_8oct_Sub Ver 12(4) 2" xfId="46043"/>
    <cellStyle name="_MIS SEP 2005 SAP r_Advanstar Financials 24 July_Adv_8oct_Sub Ver 12(4) 3" xfId="46044"/>
    <cellStyle name="_MIS SEP 2005 SAP r_Advanstar Financials 24 July_File for Circulation with Volume Discount Revised" xfId="46045"/>
    <cellStyle name="_MIS SEP 2005 SAP r_Advanstar Financials 24 July_File for Circulation with Volume Discount Revised 2" xfId="46046"/>
    <cellStyle name="_MIS SEP 2005 SAP r_Advanstar Financials 24 July_File for Circulation with Volume Discount Revised 3" xfId="46047"/>
    <cellStyle name="_MIS SEP 2005 SAP r_Advanstar Financials 24 July_HR Assumptions for Pricing2" xfId="46048"/>
    <cellStyle name="_MIS SEP 2005 SAP r_Advanstar Financials 24 July_HR Assumptions for Pricing2 2" xfId="46049"/>
    <cellStyle name="_MIS SEP 2005 SAP r_Advanstar Financials 24 July_HR Assumptions for Pricing2 3" xfId="46050"/>
    <cellStyle name="_MIS SEP 2005 SAP r_Advanstar Financials 3" xfId="46051"/>
    <cellStyle name="_MIS SEP 2005 SAP r_Advanstar Financials_Adv_8oct_Sub Ver 12(4)" xfId="46052"/>
    <cellStyle name="_MIS SEP 2005 SAP r_Advanstar Financials_Adv_8oct_Sub Ver 12(4) 2" xfId="46053"/>
    <cellStyle name="_MIS SEP 2005 SAP r_Advanstar Financials_Adv_8oct_Sub Ver 12(4) 3" xfId="46054"/>
    <cellStyle name="_MIS SEP 2005 SAP r_Advanstar Financials_File for Circulation with Volume Discount Revised" xfId="46055"/>
    <cellStyle name="_MIS SEP 2005 SAP r_Advanstar Financials_File for Circulation with Volume Discount Revised 2" xfId="46056"/>
    <cellStyle name="_MIS SEP 2005 SAP r_Advanstar Financials_File for Circulation with Volume Discount Revised 3" xfId="46057"/>
    <cellStyle name="_MIS SEP 2005 SAP r_Advanstar Financials_HR Assumptions for Pricing2" xfId="46058"/>
    <cellStyle name="_MIS SEP 2005 SAP r_Advanstar Financials_HR Assumptions for Pricing2 2" xfId="46059"/>
    <cellStyle name="_MIS SEP 2005 SAP r_Advanstar Financials_HR Assumptions for Pricing2 3" xfId="46060"/>
    <cellStyle name="_MIS SEP 2005 SAP r_Finance Input Template" xfId="46061"/>
    <cellStyle name="_MIS SEP 2005 SAP r_Finance Input Template 2" xfId="46062"/>
    <cellStyle name="_MIS SEP 2005 SAP r_Finance Input Template 3" xfId="46063"/>
    <cellStyle name="_MIS SEP 2005 SAP r_Finance Input Template_Adv_8oct_Sub Ver 12(4)" xfId="46064"/>
    <cellStyle name="_MIS SEP 2005 SAP r_Finance Input Template_Adv_8oct_Sub Ver 12(4) 2" xfId="46065"/>
    <cellStyle name="_MIS SEP 2005 SAP r_Finance Input Template_Adv_8oct_Sub Ver 12(4) 3" xfId="46066"/>
    <cellStyle name="_MIS SEP 2005 SAP r_Finance Input Template_File for Circulation with Volume Discount Revised" xfId="46067"/>
    <cellStyle name="_MIS SEP 2005 SAP r_Finance Input Template_File for Circulation with Volume Discount Revised 2" xfId="46068"/>
    <cellStyle name="_MIS SEP 2005 SAP r_Finance Input Template_File for Circulation with Volume Discount Revised 3" xfId="46069"/>
    <cellStyle name="_MIS SEP 2005 SAP r_Finance Input Template_HR Assumptions for Pricing2" xfId="46070"/>
    <cellStyle name="_MIS SEP 2005 SAP r_Finance Input Template_HR Assumptions for Pricing2 2" xfId="46071"/>
    <cellStyle name="_MIS SEP 2005 SAP r_Finance Input Template_HR Assumptions for Pricing2 3" xfId="46072"/>
    <cellStyle name="_MIS SEP 2005 SAP r_Financials Preston Offshoring V11" xfId="46073"/>
    <cellStyle name="_MIS SEP 2005 SAP r_Financials Preston Offshoring V11 2" xfId="46074"/>
    <cellStyle name="_MIS SEP 2005 SAP r_Financials Preston Offshoring V11 3" xfId="46075"/>
    <cellStyle name="_MIS SEP 2005 SAP r_Financials Preston Offshoring V11_Advanstar Financials 24 July" xfId="46076"/>
    <cellStyle name="_MIS SEP 2005 SAP r_Financials Preston Offshoring V11_Advanstar Financials 24 July 2" xfId="46077"/>
    <cellStyle name="_MIS SEP 2005 SAP r_Financials Preston Offshoring V11_Advanstar Financials 24 July 3" xfId="46078"/>
    <cellStyle name="_MIS SEP 2005 SAP r_Financials Preston Offshoring V11_Advanstar Financials 24 July v1" xfId="46079"/>
    <cellStyle name="_MIS SEP 2005 SAP r_Financials Preston Offshoring V11_Advanstar Financials 24 July v1 2" xfId="46080"/>
    <cellStyle name="_MIS SEP 2005 SAP r_Financials Preston Offshoring V11_Advanstar Financials 24 July v1 3" xfId="46081"/>
    <cellStyle name="_MIS SEP 2005 SAP r_Financials Preston Offshoring V11_Advanstar Financials 24 July v1_Adv_8oct_Sub Ver 12(4)" xfId="46082"/>
    <cellStyle name="_MIS SEP 2005 SAP r_Financials Preston Offshoring V11_Advanstar Financials 24 July v1_Adv_8oct_Sub Ver 12(4) 2" xfId="46083"/>
    <cellStyle name="_MIS SEP 2005 SAP r_Financials Preston Offshoring V11_Advanstar Financials 24 July v1_Adv_8oct_Sub Ver 12(4) 3" xfId="46084"/>
    <cellStyle name="_MIS SEP 2005 SAP r_Financials Preston Offshoring V11_Advanstar Financials 24 July v1_File for Circulation with Volume Discount Revised" xfId="46085"/>
    <cellStyle name="_MIS SEP 2005 SAP r_Financials Preston Offshoring V11_Advanstar Financials 24 July v1_File for Circulation with Volume Discount Revised 2" xfId="46086"/>
    <cellStyle name="_MIS SEP 2005 SAP r_Financials Preston Offshoring V11_Advanstar Financials 24 July v1_File for Circulation with Volume Discount Revised 3" xfId="46087"/>
    <cellStyle name="_MIS SEP 2005 SAP r_Financials Preston Offshoring V11_Advanstar Financials 24 July v1_HR Assumptions for Pricing2" xfId="46088"/>
    <cellStyle name="_MIS SEP 2005 SAP r_Financials Preston Offshoring V11_Advanstar Financials 24 July v1_HR Assumptions for Pricing2 2" xfId="46089"/>
    <cellStyle name="_MIS SEP 2005 SAP r_Financials Preston Offshoring V11_Advanstar Financials 24 July v1_HR Assumptions for Pricing2 3" xfId="46090"/>
    <cellStyle name="_MIS SEP 2005 SAP r_Financials Preston Offshoring V11_Advanstar Financials 24 July_Adv_8oct_Sub Ver 12(4)" xfId="46091"/>
    <cellStyle name="_MIS SEP 2005 SAP r_Financials Preston Offshoring V11_Advanstar Financials 24 July_Adv_8oct_Sub Ver 12(4) 2" xfId="46092"/>
    <cellStyle name="_MIS SEP 2005 SAP r_Financials Preston Offshoring V11_Advanstar Financials 24 July_Adv_8oct_Sub Ver 12(4) 3" xfId="46093"/>
    <cellStyle name="_MIS SEP 2005 SAP r_Financials Preston Offshoring V11_Advanstar Financials 24 July_File for Circulation with Volume Discount Revised" xfId="46094"/>
    <cellStyle name="_MIS SEP 2005 SAP r_Financials Preston Offshoring V11_Advanstar Financials 24 July_File for Circulation with Volume Discount Revised 2" xfId="46095"/>
    <cellStyle name="_MIS SEP 2005 SAP r_Financials Preston Offshoring V11_Advanstar Financials 24 July_File for Circulation with Volume Discount Revised 3" xfId="46096"/>
    <cellStyle name="_MIS SEP 2005 SAP r_Financials Preston Offshoring V11_Advanstar Financials 24 July_HR Assumptions for Pricing2" xfId="46097"/>
    <cellStyle name="_MIS SEP 2005 SAP r_Financials Preston Offshoring V11_Advanstar Financials 24 July_HR Assumptions for Pricing2 2" xfId="46098"/>
    <cellStyle name="_MIS SEP 2005 SAP r_Financials Preston Offshoring V11_Advanstar Financials 24 July_HR Assumptions for Pricing2 3" xfId="46099"/>
    <cellStyle name="_MIS SEP 2005 SAP r_Financials Preston Offshoring V11_HR Workings Break-up (2)" xfId="46100"/>
    <cellStyle name="_MIS SEP 2005 SAP r_Financials Preston Offshoring V11_HR Workings Break-up (2) 2" xfId="46101"/>
    <cellStyle name="_MIS SEP 2005 SAP r_Financials Preston Offshoring V11_HR Workings Break-up (2) 3" xfId="46102"/>
    <cellStyle name="_MIS SEP 2005 SAP r_Financials Preston Offshoring V11_HR Workings Break-up (2)_Adv_8oct_Sub Ver 12(4)" xfId="46103"/>
    <cellStyle name="_MIS SEP 2005 SAP r_Financials Preston Offshoring V11_HR Workings Break-up (2)_Adv_8oct_Sub Ver 12(4) 2" xfId="46104"/>
    <cellStyle name="_MIS SEP 2005 SAP r_Financials Preston Offshoring V11_HR Workings Break-up (2)_Adv_8oct_Sub Ver 12(4) 3" xfId="46105"/>
    <cellStyle name="_MIS SEP 2005 SAP r_Financials Preston Offshoring V11_HR Workings Break-up (2)_File for Circulation with Volume Discount Revised" xfId="46106"/>
    <cellStyle name="_MIS SEP 2005 SAP r_Financials Preston Offshoring V11_HR Workings Break-up (2)_File for Circulation with Volume Discount Revised 2" xfId="46107"/>
    <cellStyle name="_MIS SEP 2005 SAP r_Financials Preston Offshoring V11_HR Workings Break-up (2)_File for Circulation with Volume Discount Revised 3" xfId="46108"/>
    <cellStyle name="_MIS SEP 2005 SAP r_Financials Preston Offshoring V11_HR Workings Break-up (2)_HR Assumptions for Pricing2" xfId="46109"/>
    <cellStyle name="_MIS SEP 2005 SAP r_Financials Preston Offshoring V11_HR Workings Break-up (2)_HR Assumptions for Pricing2 2" xfId="46110"/>
    <cellStyle name="_MIS SEP 2005 SAP r_Financials Preston Offshoring V11_HR Workings Break-up (2)_HR Assumptions for Pricing2 3" xfId="46111"/>
    <cellStyle name="_MIS SEP 2005 SAP r_Financials Preston Offshoring V11_Ramp Plan _ RDA_Editorial" xfId="46112"/>
    <cellStyle name="_MIS SEP 2005 SAP r_Financials Preston Offshoring V11_Ramp Plan _ RDA_Editorial 2" xfId="46113"/>
    <cellStyle name="_MIS SEP 2005 SAP r_Financials Preston Offshoring V11_Ramp Plan _ RDA_Editorial 3" xfId="46114"/>
    <cellStyle name="_MIS SEP 2005 SAP r_Financials Preston Offshoring V11_Ramp Plan _ RDA_Editorial_Adv_8oct_Sub Ver 12(4)" xfId="46115"/>
    <cellStyle name="_MIS SEP 2005 SAP r_Financials Preston Offshoring V11_Ramp Plan _ RDA_Editorial_Adv_8oct_Sub Ver 12(4) 2" xfId="46116"/>
    <cellStyle name="_MIS SEP 2005 SAP r_Financials Preston Offshoring V11_Ramp Plan _ RDA_Editorial_Adv_8oct_Sub Ver 12(4) 3" xfId="46117"/>
    <cellStyle name="_MIS SEP 2005 SAP r_Financials Preston Offshoring V11_Ramp Plan _ RDA_Editorial_File for Circulation with Volume Discount Revised" xfId="46118"/>
    <cellStyle name="_MIS SEP 2005 SAP r_Financials Preston Offshoring V11_Ramp Plan _ RDA_Editorial_File for Circulation with Volume Discount Revised 2" xfId="46119"/>
    <cellStyle name="_MIS SEP 2005 SAP r_Financials Preston Offshoring V11_Ramp Plan _ RDA_Editorial_File for Circulation with Volume Discount Revised 3" xfId="46120"/>
    <cellStyle name="_MIS SEP 2005 SAP r_Financials Preston Offshoring V11_Ramp Plan _ RDA_Editorial_HR Assumptions for Pricing2" xfId="46121"/>
    <cellStyle name="_MIS SEP 2005 SAP r_Financials Preston Offshoring V11_Ramp Plan _ RDA_Editorial_HR Assumptions for Pricing2 2" xfId="46122"/>
    <cellStyle name="_MIS SEP 2005 SAP r_Financials Preston Offshoring V11_Ramp Plan _ RDA_Editorial_HR Assumptions for Pricing2 3" xfId="46123"/>
    <cellStyle name="_MIS SEP 2005 SAP r_FTE Deployment v4" xfId="46124"/>
    <cellStyle name="_MIS SEP 2005 SAP r_FTE Deployment v4 2" xfId="46125"/>
    <cellStyle name="_MIS SEP 2005 SAP r_FTE Deployment v4 3" xfId="46126"/>
    <cellStyle name="_MIS SEP 2005 SAP r_FTE Deployment v4 ramp plan" xfId="46127"/>
    <cellStyle name="_MIS SEP 2005 SAP r_FTE Deployment v4 ramp plan 2" xfId="46128"/>
    <cellStyle name="_MIS SEP 2005 SAP r_FTE Deployment v4 ramp plan 3" xfId="46129"/>
    <cellStyle name="_MIS SEP 2005 SAP r_FTE Deployment v4 ramp plan_Advanstar Financials 24 July" xfId="46130"/>
    <cellStyle name="_MIS SEP 2005 SAP r_FTE Deployment v4 ramp plan_Advanstar Financials 24 July 2" xfId="46131"/>
    <cellStyle name="_MIS SEP 2005 SAP r_FTE Deployment v4 ramp plan_Advanstar Financials 24 July 3" xfId="46132"/>
    <cellStyle name="_MIS SEP 2005 SAP r_FTE Deployment v4 ramp plan_Advanstar Financials 24 July v1" xfId="46133"/>
    <cellStyle name="_MIS SEP 2005 SAP r_FTE Deployment v4 ramp plan_Advanstar Financials 24 July v1 2" xfId="46134"/>
    <cellStyle name="_MIS SEP 2005 SAP r_FTE Deployment v4 ramp plan_Advanstar Financials 24 July v1 3" xfId="46135"/>
    <cellStyle name="_MIS SEP 2005 SAP r_FTE Deployment v4 ramp plan_Finance Input Template V6 1 Sep" xfId="46136"/>
    <cellStyle name="_MIS SEP 2005 SAP r_FTE Deployment v4 ramp plan_Finance Input Template V6 1 Sep 2" xfId="46137"/>
    <cellStyle name="_MIS SEP 2005 SAP r_FTE Deployment v4 ramp plan_Finance Input Template V6 1 Sep 3" xfId="46138"/>
    <cellStyle name="_MIS SEP 2005 SAP r_FTE Deployment v4_Advanstar Financials 24 July" xfId="46139"/>
    <cellStyle name="_MIS SEP 2005 SAP r_FTE Deployment v4_Advanstar Financials 24 July 2" xfId="46140"/>
    <cellStyle name="_MIS SEP 2005 SAP r_FTE Deployment v4_Advanstar Financials 24 July 3" xfId="46141"/>
    <cellStyle name="_MIS SEP 2005 SAP r_FTE Deployment v4_Advanstar Financials 24 July v1" xfId="46142"/>
    <cellStyle name="_MIS SEP 2005 SAP r_FTE Deployment v4_Advanstar Financials 24 July v1 2" xfId="46143"/>
    <cellStyle name="_MIS SEP 2005 SAP r_FTE Deployment v4_Advanstar Financials 24 July v1 3" xfId="46144"/>
    <cellStyle name="_MIS SEP 2005 SAP r_FTE Deployment v4_Finance Input Template V6 1 Sep" xfId="46145"/>
    <cellStyle name="_MIS SEP 2005 SAP r_FTE Deployment v4_Finance Input Template V6 1 Sep 2" xfId="46146"/>
    <cellStyle name="_MIS SEP 2005 SAP r_FTE Deployment v4_Finance Input Template V6 1 Sep 3" xfId="46147"/>
    <cellStyle name="_MIS SEP 2005 SAP r_FTE Deployment v5" xfId="46148"/>
    <cellStyle name="_MIS SEP 2005 SAP r_FTE Deployment v5 2" xfId="46149"/>
    <cellStyle name="_MIS SEP 2005 SAP r_FTE Deployment v5 3" xfId="46150"/>
    <cellStyle name="_MIS SEP 2005 SAP r_FTE Deployment v5_Advanstar Financials 24 July" xfId="46151"/>
    <cellStyle name="_MIS SEP 2005 SAP r_FTE Deployment v5_Advanstar Financials 24 July 2" xfId="46152"/>
    <cellStyle name="_MIS SEP 2005 SAP r_FTE Deployment v5_Advanstar Financials 24 July 3" xfId="46153"/>
    <cellStyle name="_MIS SEP 2005 SAP r_FTE Deployment v5_Advanstar Financials 24 July v1" xfId="46154"/>
    <cellStyle name="_MIS SEP 2005 SAP r_FTE Deployment v5_Advanstar Financials 24 July v1 2" xfId="46155"/>
    <cellStyle name="_MIS SEP 2005 SAP r_FTE Deployment v5_Advanstar Financials 24 July v1 3" xfId="46156"/>
    <cellStyle name="_MIS SEP 2005 SAP r_FTE Deployment v5_Finance Input Template V6 1 Sep" xfId="46157"/>
    <cellStyle name="_MIS SEP 2005 SAP r_FTE Deployment v5_Finance Input Template V6 1 Sep 2" xfId="46158"/>
    <cellStyle name="_MIS SEP 2005 SAP r_FTE Deployment v5_Finance Input Template V6 1 Sep 3" xfId="46159"/>
    <cellStyle name="_MIS SEP 2005 SAP r_Newspaper degitation" xfId="46160"/>
    <cellStyle name="_MIS SEP 2005 SAP r_Newspaper degitation 2" xfId="46161"/>
    <cellStyle name="_MIS SEP 2005 SAP r_Newspaper degitation 3" xfId="46162"/>
    <cellStyle name="_MIS SEP 2005 SAP r_PB Carveout" xfId="46163"/>
    <cellStyle name="_MIS SEP 2005 SAP r_PB Carveout 2" xfId="46164"/>
    <cellStyle name="_MIS SEP 2005 SAP r_PB Carveout 3" xfId="46165"/>
    <cellStyle name="_MIS SEP 2005 SAP r_PB Carveout_Advanstar Financials 24 July" xfId="46166"/>
    <cellStyle name="_MIS SEP 2005 SAP r_PB Carveout_Advanstar Financials 24 July 2" xfId="46167"/>
    <cellStyle name="_MIS SEP 2005 SAP r_PB Carveout_Advanstar Financials 24 July 3" xfId="46168"/>
    <cellStyle name="_MIS SEP 2005 SAP r_PB Carveout_Advanstar Financials 24 July v1" xfId="46169"/>
    <cellStyle name="_MIS SEP 2005 SAP r_PB Carveout_Advanstar Financials 24 July v1 2" xfId="46170"/>
    <cellStyle name="_MIS SEP 2005 SAP r_PB Carveout_Advanstar Financials 24 July v1 3" xfId="46171"/>
    <cellStyle name="_MIS SEP 2005 SAP r_PB Carveout_Advanstar Financials 24 July v1_Adv_8oct_Sub Ver 12(4)" xfId="46172"/>
    <cellStyle name="_MIS SEP 2005 SAP r_PB Carveout_Advanstar Financials 24 July v1_Adv_8oct_Sub Ver 12(4) 2" xfId="46173"/>
    <cellStyle name="_MIS SEP 2005 SAP r_PB Carveout_Advanstar Financials 24 July v1_Adv_8oct_Sub Ver 12(4) 3" xfId="46174"/>
    <cellStyle name="_MIS SEP 2005 SAP r_PB Carveout_Advanstar Financials 24 July v1_File for Circulation with Volume Discount Revised" xfId="46175"/>
    <cellStyle name="_MIS SEP 2005 SAP r_PB Carveout_Advanstar Financials 24 July v1_File for Circulation with Volume Discount Revised 2" xfId="46176"/>
    <cellStyle name="_MIS SEP 2005 SAP r_PB Carveout_Advanstar Financials 24 July v1_File for Circulation with Volume Discount Revised 3" xfId="46177"/>
    <cellStyle name="_MIS SEP 2005 SAP r_PB Carveout_Advanstar Financials 24 July v1_HR Assumptions for Pricing2" xfId="46178"/>
    <cellStyle name="_MIS SEP 2005 SAP r_PB Carveout_Advanstar Financials 24 July v1_HR Assumptions for Pricing2 2" xfId="46179"/>
    <cellStyle name="_MIS SEP 2005 SAP r_PB Carveout_Advanstar Financials 24 July v1_HR Assumptions for Pricing2 3" xfId="46180"/>
    <cellStyle name="_MIS SEP 2005 SAP r_PB Carveout_Advanstar Financials 24 July_Adv_8oct_Sub Ver 12(4)" xfId="46181"/>
    <cellStyle name="_MIS SEP 2005 SAP r_PB Carveout_Advanstar Financials 24 July_Adv_8oct_Sub Ver 12(4) 2" xfId="46182"/>
    <cellStyle name="_MIS SEP 2005 SAP r_PB Carveout_Advanstar Financials 24 July_Adv_8oct_Sub Ver 12(4) 3" xfId="46183"/>
    <cellStyle name="_MIS SEP 2005 SAP r_PB Carveout_Advanstar Financials 24 July_File for Circulation with Volume Discount Revised" xfId="46184"/>
    <cellStyle name="_MIS SEP 2005 SAP r_PB Carveout_Advanstar Financials 24 July_File for Circulation with Volume Discount Revised 2" xfId="46185"/>
    <cellStyle name="_MIS SEP 2005 SAP r_PB Carveout_Advanstar Financials 24 July_File for Circulation with Volume Discount Revised 3" xfId="46186"/>
    <cellStyle name="_MIS SEP 2005 SAP r_PB Carveout_Advanstar Financials 24 July_HR Assumptions for Pricing2" xfId="46187"/>
    <cellStyle name="_MIS SEP 2005 SAP r_PB Carveout_Advanstar Financials 24 July_HR Assumptions for Pricing2 2" xfId="46188"/>
    <cellStyle name="_MIS SEP 2005 SAP r_PB Carveout_Advanstar Financials 24 July_HR Assumptions for Pricing2 3" xfId="46189"/>
    <cellStyle name="_MIS SEP 2005 SAP r_PB Carveout_HR Workings Break-up (2)" xfId="46190"/>
    <cellStyle name="_MIS SEP 2005 SAP r_PB Carveout_HR Workings Break-up (2) 2" xfId="46191"/>
    <cellStyle name="_MIS SEP 2005 SAP r_PB Carveout_HR Workings Break-up (2) 3" xfId="46192"/>
    <cellStyle name="_MIS SEP 2005 SAP r_PB Carveout_HR Workings Break-up (2)_Adv_8oct_Sub Ver 12(4)" xfId="46193"/>
    <cellStyle name="_MIS SEP 2005 SAP r_PB Carveout_HR Workings Break-up (2)_Adv_8oct_Sub Ver 12(4) 2" xfId="46194"/>
    <cellStyle name="_MIS SEP 2005 SAP r_PB Carveout_HR Workings Break-up (2)_Adv_8oct_Sub Ver 12(4) 3" xfId="46195"/>
    <cellStyle name="_MIS SEP 2005 SAP r_PB Carveout_HR Workings Break-up (2)_File for Circulation with Volume Discount Revised" xfId="46196"/>
    <cellStyle name="_MIS SEP 2005 SAP r_PB Carveout_HR Workings Break-up (2)_File for Circulation with Volume Discount Revised 2" xfId="46197"/>
    <cellStyle name="_MIS SEP 2005 SAP r_PB Carveout_HR Workings Break-up (2)_File for Circulation with Volume Discount Revised 3" xfId="46198"/>
    <cellStyle name="_MIS SEP 2005 SAP r_PB Carveout_HR Workings Break-up (2)_HR Assumptions for Pricing2" xfId="46199"/>
    <cellStyle name="_MIS SEP 2005 SAP r_PB Carveout_HR Workings Break-up (2)_HR Assumptions for Pricing2 2" xfId="46200"/>
    <cellStyle name="_MIS SEP 2005 SAP r_PB Carveout_HR Workings Break-up (2)_HR Assumptions for Pricing2 3" xfId="46201"/>
    <cellStyle name="_MIS SEP 2005 SAP r_PB Carveout_Ramp Plan _ RDA_Editorial" xfId="46202"/>
    <cellStyle name="_MIS SEP 2005 SAP r_PB Carveout_Ramp Plan _ RDA_Editorial 2" xfId="46203"/>
    <cellStyle name="_MIS SEP 2005 SAP r_PB Carveout_Ramp Plan _ RDA_Editorial 3" xfId="46204"/>
    <cellStyle name="_MIS SEP 2005 SAP r_PB Carveout_Ramp Plan _ RDA_Editorial_Adv_8oct_Sub Ver 12(4)" xfId="46205"/>
    <cellStyle name="_MIS SEP 2005 SAP r_PB Carveout_Ramp Plan _ RDA_Editorial_Adv_8oct_Sub Ver 12(4) 2" xfId="46206"/>
    <cellStyle name="_MIS SEP 2005 SAP r_PB Carveout_Ramp Plan _ RDA_Editorial_Adv_8oct_Sub Ver 12(4) 3" xfId="46207"/>
    <cellStyle name="_MIS SEP 2005 SAP r_PB Carveout_Ramp Plan _ RDA_Editorial_File for Circulation with Volume Discount Revised" xfId="46208"/>
    <cellStyle name="_MIS SEP 2005 SAP r_PB Carveout_Ramp Plan _ RDA_Editorial_File for Circulation with Volume Discount Revised 2" xfId="46209"/>
    <cellStyle name="_MIS SEP 2005 SAP r_PB Carveout_Ramp Plan _ RDA_Editorial_File for Circulation with Volume Discount Revised 3" xfId="46210"/>
    <cellStyle name="_MIS SEP 2005 SAP r_PB Carveout_Ramp Plan _ RDA_Editorial_HR Assumptions for Pricing2" xfId="46211"/>
    <cellStyle name="_MIS SEP 2005 SAP r_PB Carveout_Ramp Plan _ RDA_Editorial_HR Assumptions for Pricing2 2" xfId="46212"/>
    <cellStyle name="_MIS SEP 2005 SAP r_PB Carveout_Ramp Plan _ RDA_Editorial_HR Assumptions for Pricing2 3" xfId="46213"/>
    <cellStyle name="_MIS SEP 2005 SAP r_Pricing Norway Post2" xfId="46214"/>
    <cellStyle name="_MIS SEP 2005 SAP r_Pricing Norway Post2 2" xfId="46215"/>
    <cellStyle name="_MIS SEP 2005 SAP r_Pricing Norway Post2 3" xfId="46216"/>
    <cellStyle name="_MIS SEP 2005 SAP r_Salary Rate Card_v1 0" xfId="46217"/>
    <cellStyle name="_MIS SEP 2005 SAP r_Salary Rate Card_v1 0 2" xfId="46218"/>
    <cellStyle name="_MIS SEP 2005 SAP r_Salary Rate Card_v1 0 3" xfId="46219"/>
    <cellStyle name="_MIS SEP 2005 SAP r_Seat Cost calculation 150110 SkyIt" xfId="46220"/>
    <cellStyle name="_MIS SEP 2005 SAP r_Seat Cost calculation 150110 SkyIt 2" xfId="46221"/>
    <cellStyle name="_MIS SEP 2005 SAP r_Seat Cost calculation 150110 SkyIt 3" xfId="46222"/>
    <cellStyle name="_MIS SEP 2005 SAP r_UMG Financial Model - Apps V 2.0" xfId="46223"/>
    <cellStyle name="_MIS SEP 2005 SAP r_UMG Financial Model - Apps V 2.0 2" xfId="46224"/>
    <cellStyle name="_MIS SEP 2005 SAP r_UMG Financial Model - Apps V 2.0 3" xfId="46225"/>
    <cellStyle name="_MIS SEP 2005 SAP r_UMG_ Pricing Model - Final" xfId="46226"/>
    <cellStyle name="_MIS SEP 2005 SAP r_UMG_ Pricing Model - Final 2" xfId="46227"/>
    <cellStyle name="_MIS SEP 2005 SAP r_UMG_ Pricing Model - Final 3" xfId="46228"/>
    <cellStyle name="_Misys BOM (Shared) - SAP" xfId="46229"/>
    <cellStyle name="_Misys BOM (Shared) - SAP 2" xfId="46230"/>
    <cellStyle name="_x0013__Monthly Forecast (11+1) - 06Mar12 v3 - Values Only copy" xfId="46231"/>
    <cellStyle name="_Multi-Tower Pricing Analysis 092606 v3" xfId="46232"/>
    <cellStyle name="_Multi-Tower Pricing Analysis 092606 v3 2" xfId="46233"/>
    <cellStyle name="_Multi-Tower Pricing Analysis 101806FINAL" xfId="46234"/>
    <cellStyle name="_Multi-Tower Pricing Analysis 101806FINAL 2" xfId="46235"/>
    <cellStyle name="_Multi-Tower Pricing Analysis v1 091806" xfId="46236"/>
    <cellStyle name="_Multi-Tower Pricing Analysis v1 091806 2" xfId="46237"/>
    <cellStyle name="_Multi-Tower Pricing Analysis v1 091906" xfId="46238"/>
    <cellStyle name="_Multi-Tower Pricing Analysis v1 091906 2" xfId="46239"/>
    <cellStyle name="_Network 2627" xfId="46240"/>
    <cellStyle name="_Network 2627 2" xfId="46241"/>
    <cellStyle name="_Network Costs" xfId="46242"/>
    <cellStyle name="_Network Costs 2" xfId="46243"/>
    <cellStyle name="_Network Costs 3" xfId="46244"/>
    <cellStyle name="_New ExSum Template Reg Assets" xfId="46245"/>
    <cellStyle name="_New ExSum Template Reg Assets (2)" xfId="46246"/>
    <cellStyle name="_New ExSum Template Reg Assets (2) 2" xfId="46247"/>
    <cellStyle name="_New ExSum Template Reg Assets (2) 2 2" xfId="46248"/>
    <cellStyle name="_New ExSum Template Reg Assets (2) 2 3" xfId="46249"/>
    <cellStyle name="_New ExSum Template Reg Assets (2) 3" xfId="46250"/>
    <cellStyle name="_New ExSum Template Reg Assets (2) 3 2" xfId="46251"/>
    <cellStyle name="_New ExSum Template Reg Assets (2) 4" xfId="46252"/>
    <cellStyle name="_New ExSum Template Reg Assets (2)_2011 10 Nov R&amp;O Register Reporting (Working Copy) Finance Final" xfId="46253"/>
    <cellStyle name="_New ExSum Template Reg Assets (2)_CS Plan Opex AMP5-6 V1 Review Cycle2a" xfId="46254"/>
    <cellStyle name="_New ExSum Template Reg Assets (2)_CS Plan Opex AMP5-6 V1 Review Cycle2a 2" xfId="46255"/>
    <cellStyle name="_New ExSum Template Reg Assets (2)_CS Plan Opex AMP5-6 V1 Review Cycle2a 3" xfId="46256"/>
    <cellStyle name="_New ExSum Template Reg Assets 10" xfId="46257"/>
    <cellStyle name="_New ExSum Template Reg Assets 10 2" xfId="46258"/>
    <cellStyle name="_New ExSum Template Reg Assets 11" xfId="46259"/>
    <cellStyle name="_New ExSum Template Reg Assets 11 2" xfId="46260"/>
    <cellStyle name="_New ExSum Template Reg Assets 12" xfId="46261"/>
    <cellStyle name="_New ExSum Template Reg Assets 13" xfId="46262"/>
    <cellStyle name="_New ExSum Template Reg Assets 14" xfId="46263"/>
    <cellStyle name="_New ExSum Template Reg Assets 15" xfId="46264"/>
    <cellStyle name="_New ExSum Template Reg Assets 16" xfId="46265"/>
    <cellStyle name="_New ExSum Template Reg Assets 2" xfId="46266"/>
    <cellStyle name="_New ExSum Template Reg Assets 2 2" xfId="46267"/>
    <cellStyle name="_New ExSum Template Reg Assets 2 3" xfId="46268"/>
    <cellStyle name="_New ExSum Template Reg Assets 3" xfId="46269"/>
    <cellStyle name="_New ExSum Template Reg Assets 3 2" xfId="46270"/>
    <cellStyle name="_New ExSum Template Reg Assets 4" xfId="46271"/>
    <cellStyle name="_New ExSum Template Reg Assets 4 2" xfId="46272"/>
    <cellStyle name="_New ExSum Template Reg Assets 5" xfId="46273"/>
    <cellStyle name="_New ExSum Template Reg Assets 5 2" xfId="46274"/>
    <cellStyle name="_New ExSum Template Reg Assets 6" xfId="46275"/>
    <cellStyle name="_New ExSum Template Reg Assets 6 2" xfId="46276"/>
    <cellStyle name="_New ExSum Template Reg Assets 7" xfId="46277"/>
    <cellStyle name="_New ExSum Template Reg Assets 7 2" xfId="46278"/>
    <cellStyle name="_New ExSum Template Reg Assets 8" xfId="46279"/>
    <cellStyle name="_New ExSum Template Reg Assets 8 2" xfId="46280"/>
    <cellStyle name="_New ExSum Template Reg Assets 9" xfId="46281"/>
    <cellStyle name="_New ExSum Template Reg Assets 9 2" xfId="46282"/>
    <cellStyle name="_New ExSum Template Reg Assets_2011 10 Nov R&amp;O Register Reporting (Working Copy) Finance Final" xfId="46283"/>
    <cellStyle name="_New ExSum Template Reg Assets_CS Plan Opex AMP5-6 V1 Review Cycle2a" xfId="46284"/>
    <cellStyle name="_New ExSum Template Reg Assets_CS Plan Opex AMP5-6 V1 Review Cycle2a 2" xfId="46285"/>
    <cellStyle name="_New ExSum Template Reg Assets_CS Plan Opex AMP5-6 V1 Review Cycle2a 3" xfId="46286"/>
    <cellStyle name="_New Journal templates R12 (updated)" xfId="46287"/>
    <cellStyle name="_New Journal templates R12 (updated) 2" xfId="46288"/>
    <cellStyle name="_New Journal templates R12 (updated)_Cexall check Jan-13" xfId="46289"/>
    <cellStyle name="_New Journal templates R12 (updated)_Cexall check Mar-13" xfId="46290"/>
    <cellStyle name="_New Journal templates R12 (updated)_Sheet1" xfId="46291"/>
    <cellStyle name="_NIKE_Network_T4_Pricingv4 10 06 07" xfId="46292"/>
    <cellStyle name="_NIKE_Network_T4_Pricingv4 10 06 07 2" xfId="46293"/>
    <cellStyle name="_Nike-SDS 3 BOM v3_Tools 110607" xfId="46294"/>
    <cellStyle name="_Nike-SDS 3 BOM v3_Tools 110607 2" xfId="46295"/>
    <cellStyle name="_NV BTHC Donc KPI" xfId="46296"/>
    <cellStyle name="_NV BTHC Donc KPI 2" xfId="46297"/>
    <cellStyle name="_NV BTHC Donc KPI 3" xfId="46298"/>
    <cellStyle name="_NV BTHC UK KPI" xfId="46299"/>
    <cellStyle name="_NV BTHC UK KPI 2" xfId="46300"/>
    <cellStyle name="_NV BTHC UK KPI 3" xfId="46301"/>
    <cellStyle name="_Oct 11 Analysis data" xfId="46302"/>
    <cellStyle name="_x0013__Operations" xfId="46303"/>
    <cellStyle name="_x0013__Operations 2" xfId="46304"/>
    <cellStyle name="_Operations.22.12.09" xfId="46305"/>
    <cellStyle name="_Operations.22.12.09 2" xfId="46306"/>
    <cellStyle name="_Operations.22.12.09 3" xfId="46307"/>
    <cellStyle name="_Operations.22.12.09 4" xfId="46308"/>
    <cellStyle name="_x0013__Operations_1" xfId="46309"/>
    <cellStyle name="_x0013__Operations_1 2" xfId="46310"/>
    <cellStyle name="_opex AMP4 Carryover Growth Ww for Approval ahmads" xfId="46311"/>
    <cellStyle name="_opex AMP4 Carryover Growth Ww for Approval ahmads 2" xfId="46312"/>
    <cellStyle name="_opex AMP4 Carryover Growth Ww for Approval ahmads plus SBAP" xfId="46313"/>
    <cellStyle name="_opex AMP4 Carryover Growth Ww for Approval ahmads plus SBAP 2" xfId="46314"/>
    <cellStyle name="_opex AMP4 Carryover Growth Ww for Approval ahmads plus SBAP_T26 workings" xfId="46315"/>
    <cellStyle name="_opex AMP4 Carryover Growth Ww for Approval ahmads plus SBAP_T26 workings 2" xfId="46316"/>
    <cellStyle name="_opex AMP4 Carryover Growth Ww for Approval ahmads_T26 workings" xfId="46317"/>
    <cellStyle name="_opex AMP4 Carryover Growth Ww for Approval ahmads_T26 workings 2" xfId="46318"/>
    <cellStyle name="_opex AMP4 Carryover Growth Ww for Approval FINAL UPDATED 20 OCT 09" xfId="46319"/>
    <cellStyle name="_opex AMP4 Carryover Growth Ww for Approval FINAL UPDATED 20 OCT 09 2" xfId="46320"/>
    <cellStyle name="_opex AMP4 Carryover Growth Ww for Approval FINAL UPDATED 20 OCT 09_T26 workings" xfId="46321"/>
    <cellStyle name="_opex AMP4 Carryover Growth Ww for Approval FINAL UPDATED 20 OCT 09_T26 workings 2" xfId="46322"/>
    <cellStyle name="_opex FBP to FD adjusted" xfId="46323"/>
    <cellStyle name="_opex FBP to FD adjusted 2" xfId="46324"/>
    <cellStyle name="_Opex forecast 2009 10" xfId="46325"/>
    <cellStyle name="_Opex forecast 2009 10 2" xfId="46326"/>
    <cellStyle name="_Opex forecast 2009 10 2 2" xfId="46327"/>
    <cellStyle name="_Opex forecast 2009 10 2 3" xfId="46328"/>
    <cellStyle name="_Opex forecast 2009 10 3" xfId="46329"/>
    <cellStyle name="_Opex forecast 2009 10 3 2" xfId="46330"/>
    <cellStyle name="_Opex forecast 2009 10 4" xfId="46331"/>
    <cellStyle name="_Opex forecast 2009 10 4 2" xfId="46332"/>
    <cellStyle name="_Opex forecast 2009 10 5" xfId="46333"/>
    <cellStyle name="_Opex forecast 2009 10 5 2" xfId="46334"/>
    <cellStyle name="_Opex forecast 2009 10 6" xfId="46335"/>
    <cellStyle name="_Opex forecast 2009 10 6 2" xfId="46336"/>
    <cellStyle name="_Opex forecast 2009 10 7" xfId="46337"/>
    <cellStyle name="_Opex forecast 2009 10 7 2" xfId="46338"/>
    <cellStyle name="_Opex forecast 2009 10 8" xfId="46339"/>
    <cellStyle name="_Opex Summary post DD post MFB Challenge (2)" xfId="46340"/>
    <cellStyle name="_Opex Summary post DD post MFB Challenge (2) 2" xfId="46341"/>
    <cellStyle name="_Opex Summary post DD post MFB Challenge (2)_T26 workings" xfId="46342"/>
    <cellStyle name="_Opex Summary post DD post MFB Challenge (2)_T26 workings 2" xfId="46343"/>
    <cellStyle name="_OPEX waterfall" xfId="46344"/>
    <cellStyle name="_OPEX waterfall 2" xfId="46345"/>
    <cellStyle name="_x0013__Ops contracts" xfId="46346"/>
    <cellStyle name="_x0013__Ops contracts 2" xfId="46347"/>
    <cellStyle name="_x0013__Ops contracts_1" xfId="46348"/>
    <cellStyle name="_x0013__Ops contracts_1 2" xfId="46349"/>
    <cellStyle name="_x0013__Ops contracts_2" xfId="46350"/>
    <cellStyle name="_x0013__Ops contracts_2 2" xfId="46351"/>
    <cellStyle name="_Ops Performance Trade Eff Billing" xfId="46352"/>
    <cellStyle name="_Ops Performance Trade Eff Billing 2" xfId="46353"/>
    <cellStyle name="_Ops Performance Trade Eff Billing 2 2" xfId="46354"/>
    <cellStyle name="_Ops Performance Trade Eff Billing 2 3" xfId="46355"/>
    <cellStyle name="_Ops Performance Trade Eff Billing 3" xfId="46356"/>
    <cellStyle name="_Ops Performance Trade Eff Billing_Employment costs" xfId="46357"/>
    <cellStyle name="_Ops Performance Trade Eff Billing_Employment costs 2" xfId="46358"/>
    <cellStyle name="_Ops Performance Trade Eff Billing_Employment costs_1" xfId="46359"/>
    <cellStyle name="_Ops Performance Trade Eff Billing_Employment costs_1 2" xfId="46360"/>
    <cellStyle name="_Ops Performance Trade Eff Billing_Employment costs_2" xfId="46361"/>
    <cellStyle name="_Ops Performance Trade Eff Billing_Employment costs_2 2" xfId="46362"/>
    <cellStyle name="_Ops Performance Trade Eff Billing_Management Structure" xfId="46363"/>
    <cellStyle name="_Ops Performance Trade Eff Billing_Management Structure 2" xfId="46364"/>
    <cellStyle name="_Ops Performance Trade Eff Billing_Management Structure_1" xfId="46365"/>
    <cellStyle name="_Ops Performance Trade Eff Billing_Management Structure_1 2" xfId="46366"/>
    <cellStyle name="_Ops Performance Trade Eff Billing_Ops contracts" xfId="46367"/>
    <cellStyle name="_Ops Performance Trade Eff Billing_Ops contracts 2" xfId="46368"/>
    <cellStyle name="_Ops Performance Trade Eff Billing_Ops contracts_1" xfId="46369"/>
    <cellStyle name="_Ops Performance Trade Eff Billing_Ops contracts_1 2" xfId="46370"/>
    <cellStyle name="_Ops Performance Trade Eff Billing_Ops contracts_2" xfId="46371"/>
    <cellStyle name="_Ops Performance Trade Eff Billing_Ops contracts_2 2" xfId="46372"/>
    <cellStyle name="_Ops Performance Trade Eff Billing_Power" xfId="46373"/>
    <cellStyle name="_Ops Performance Trade Eff Billing_Power 2" xfId="46374"/>
    <cellStyle name="_Ops Performance Trade Eff Billing_Power_1" xfId="46375"/>
    <cellStyle name="_Ops Performance Trade Eff Billing_Power_1 2" xfId="46376"/>
    <cellStyle name="_Ops Performance Trade Eff Billing_Sheet1" xfId="46377"/>
    <cellStyle name="_Ops Performance Trade Eff Billing_Sheet1 2" xfId="46378"/>
    <cellStyle name="_Ops Performance Trade Eff Billing_TWUL_TOT_UKGAAP" xfId="46379"/>
    <cellStyle name="_Ops Performance Trade Eff Billing_TWUL_TOT_UKGAAP 2" xfId="46380"/>
    <cellStyle name="_Ops Performance Trade Eff Billing_TWUL_TOT_UKGAAP_1" xfId="46381"/>
    <cellStyle name="_Ops Performance Trade Eff Billing_TWUL_TOT_UKGAAP_1 2" xfId="46382"/>
    <cellStyle name="_Ops Support - Budget 2010-11_Info to Paul Brown" xfId="46383"/>
    <cellStyle name="_Ops Support - Budget 2010-11_Info to Paul Brown 2" xfId="46384"/>
    <cellStyle name="_Ops Support - Budget 2010-11_Info to Paul Brown 3" xfId="46385"/>
    <cellStyle name="_Ops Support - Budget 2010-11_Info to Paul Brown 4" xfId="46386"/>
    <cellStyle name="_Orange Combined 100706_changes" xfId="46387"/>
    <cellStyle name="_Orange Combined 100706_changes 2" xfId="46388"/>
    <cellStyle name="_Orange Combined 100706_changes 2 2" xfId="46389"/>
    <cellStyle name="_Orange Combined 100706_changes 2 3" xfId="46390"/>
    <cellStyle name="_Orange Combined 100706_changes 3" xfId="46391"/>
    <cellStyle name="_Orange Combined 100706_changes 4" xfId="46392"/>
    <cellStyle name="_Orange Combined 100706_changes_~2627895" xfId="46393"/>
    <cellStyle name="_Orange Combined 100706_changes_~2627895 2" xfId="46394"/>
    <cellStyle name="_Orange Combined 100706_changes_~2627895 3" xfId="46395"/>
    <cellStyle name="_Orange Combined 100706_changes_Book2" xfId="46396"/>
    <cellStyle name="_Orange Combined 100706_changes_Book2 2" xfId="46397"/>
    <cellStyle name="_Orange Combined 100706_changes_Book2 3" xfId="46398"/>
    <cellStyle name="_Orange Combined 100706_changes_Book2_Budget Finance" xfId="46399"/>
    <cellStyle name="_Orange Combined 100706_changes_Book2_Budget Finance 2" xfId="46400"/>
    <cellStyle name="_Orange Combined 100706_changes_Book2_Budget Finance 3" xfId="46401"/>
    <cellStyle name="_Orange Combined 100706_changes_Fst-Bud Summary" xfId="46402"/>
    <cellStyle name="_Orange Combined 100706_changes_Fst-Bud Summary 2" xfId="46403"/>
    <cellStyle name="_Orange Combined 100706_changes_Fst-Bud Summary 3" xfId="46404"/>
    <cellStyle name="_Orange Combined 100706_changes_HCL Operational BAU 2013-14" xfId="46405"/>
    <cellStyle name="_Orange Combined 100706_changes_HCL Operational BAU 2013-14 2" xfId="46406"/>
    <cellStyle name="_Orange Combined 100706_changes_HCL Operational BAU 2013-14 3" xfId="46407"/>
    <cellStyle name="_Orange Combined 100706_changes_Steria Operational BAU 2013-14" xfId="46408"/>
    <cellStyle name="_Orange Combined 100706_changes_Steria Operational BAU 2013-14 2" xfId="46409"/>
    <cellStyle name="_Orange Combined 100706_changes_Steria Operational BAU 2013-14 3" xfId="46410"/>
    <cellStyle name="_x0013__OtherSS" xfId="46411"/>
    <cellStyle name="_x0013__OtherSS 2" xfId="46412"/>
    <cellStyle name="_x0013__OtherSS_1" xfId="46413"/>
    <cellStyle name="_x0013__OtherSS_1 2" xfId="46414"/>
    <cellStyle name="_x0013__Overall" xfId="46415"/>
    <cellStyle name="_Overall Risk indicator data v19aHCL8.1" xfId="46416"/>
    <cellStyle name="_Overall Risk indicator data v19aHCL8.1 2" xfId="46417"/>
    <cellStyle name="_Overall Risk indicator data v19aHCL8.1_BOT pricing v.1.0" xfId="46418"/>
    <cellStyle name="_Overall Risk indicator data v19aHCL8.1_BOT pricing v.1.0 2" xfId="46419"/>
    <cellStyle name="_Overall Risk indicator data v19aHCL8.1_Financial Model - Apps V 1.0-06-09-08" xfId="46420"/>
    <cellStyle name="_Overall Risk indicator data v19aHCL8.1_Financial Model - Apps V 1.0-06-09-08 2" xfId="46421"/>
    <cellStyle name="_Overall Risk indicator data v19aHCL8.1_UMG Financial Model - Apps V 2.0" xfId="46422"/>
    <cellStyle name="_Overall Risk indicator data v19aHCL8.1_UMG Financial Model - Apps V 2.0 2" xfId="46423"/>
    <cellStyle name="_Overall Risk indicator data v19aHCL8.1_UMG_ Pricing Model - Final" xfId="46424"/>
    <cellStyle name="_Overall Risk indicator data v19aHCL8.1_UMG_ Pricing Model - Final 2" xfId="46425"/>
    <cellStyle name="_P&amp;L" xfId="46426"/>
    <cellStyle name="_P&amp;L 2" xfId="46427"/>
    <cellStyle name="_P&amp;L ver 2.1" xfId="46428"/>
    <cellStyle name="_P&amp;L ver 2.1 2" xfId="46429"/>
    <cellStyle name="_P&amp;L ver 2.1 3" xfId="46430"/>
    <cellStyle name="_P&amp;L ver 2.1_Adapt response DC Pricing Format (2)" xfId="46431"/>
    <cellStyle name="_P&amp;L ver 2.1_Adapt response DC Pricing Format (2) 2" xfId="46432"/>
    <cellStyle name="_P&amp;L ver 2.1_Adapt response DC Pricing Format (2) 3" xfId="46433"/>
    <cellStyle name="_P&amp;L ver 2.1_Advanstar Financials" xfId="46434"/>
    <cellStyle name="_P&amp;L ver 2.1_Advanstar Financials 2" xfId="46435"/>
    <cellStyle name="_P&amp;L ver 2.1_Advanstar Financials 24 July" xfId="46436"/>
    <cellStyle name="_P&amp;L ver 2.1_Advanstar Financials 24 July 2" xfId="46437"/>
    <cellStyle name="_P&amp;L ver 2.1_Advanstar Financials 24 July 3" xfId="46438"/>
    <cellStyle name="_P&amp;L ver 2.1_Advanstar Financials 24 July v1" xfId="46439"/>
    <cellStyle name="_P&amp;L ver 2.1_Advanstar Financials 24 July v1 2" xfId="46440"/>
    <cellStyle name="_P&amp;L ver 2.1_Advanstar Financials 24 July v1 3" xfId="46441"/>
    <cellStyle name="_P&amp;L ver 2.1_Advanstar Financials 24 July v1_Adv_8oct_Sub Ver 12(4)" xfId="46442"/>
    <cellStyle name="_P&amp;L ver 2.1_Advanstar Financials 24 July v1_Adv_8oct_Sub Ver 12(4) 2" xfId="46443"/>
    <cellStyle name="_P&amp;L ver 2.1_Advanstar Financials 24 July v1_Adv_8oct_Sub Ver 12(4) 3" xfId="46444"/>
    <cellStyle name="_P&amp;L ver 2.1_Advanstar Financials 24 July v1_File for Circulation with Volume Discount Revised" xfId="46445"/>
    <cellStyle name="_P&amp;L ver 2.1_Advanstar Financials 24 July v1_File for Circulation with Volume Discount Revised 2" xfId="46446"/>
    <cellStyle name="_P&amp;L ver 2.1_Advanstar Financials 24 July v1_File for Circulation with Volume Discount Revised 3" xfId="46447"/>
    <cellStyle name="_P&amp;L ver 2.1_Advanstar Financials 24 July v1_HR Assumptions for Pricing2" xfId="46448"/>
    <cellStyle name="_P&amp;L ver 2.1_Advanstar Financials 24 July v1_HR Assumptions for Pricing2 2" xfId="46449"/>
    <cellStyle name="_P&amp;L ver 2.1_Advanstar Financials 24 July v1_HR Assumptions for Pricing2 3" xfId="46450"/>
    <cellStyle name="_P&amp;L ver 2.1_Advanstar Financials 24 July_Adv_8oct_Sub Ver 12(4)" xfId="46451"/>
    <cellStyle name="_P&amp;L ver 2.1_Advanstar Financials 24 July_Adv_8oct_Sub Ver 12(4) 2" xfId="46452"/>
    <cellStyle name="_P&amp;L ver 2.1_Advanstar Financials 24 July_Adv_8oct_Sub Ver 12(4) 3" xfId="46453"/>
    <cellStyle name="_P&amp;L ver 2.1_Advanstar Financials 24 July_File for Circulation with Volume Discount Revised" xfId="46454"/>
    <cellStyle name="_P&amp;L ver 2.1_Advanstar Financials 24 July_File for Circulation with Volume Discount Revised 2" xfId="46455"/>
    <cellStyle name="_P&amp;L ver 2.1_Advanstar Financials 24 July_File for Circulation with Volume Discount Revised 3" xfId="46456"/>
    <cellStyle name="_P&amp;L ver 2.1_Advanstar Financials 24 July_HR Assumptions for Pricing2" xfId="46457"/>
    <cellStyle name="_P&amp;L ver 2.1_Advanstar Financials 24 July_HR Assumptions for Pricing2 2" xfId="46458"/>
    <cellStyle name="_P&amp;L ver 2.1_Advanstar Financials 24 July_HR Assumptions for Pricing2 3" xfId="46459"/>
    <cellStyle name="_P&amp;L ver 2.1_Advanstar Financials 3" xfId="46460"/>
    <cellStyle name="_P&amp;L ver 2.1_Advanstar Financials_Adv_8oct_Sub Ver 12(4)" xfId="46461"/>
    <cellStyle name="_P&amp;L ver 2.1_Advanstar Financials_Adv_8oct_Sub Ver 12(4) 2" xfId="46462"/>
    <cellStyle name="_P&amp;L ver 2.1_Advanstar Financials_Adv_8oct_Sub Ver 12(4) 3" xfId="46463"/>
    <cellStyle name="_P&amp;L ver 2.1_Advanstar Financials_File for Circulation with Volume Discount Revised" xfId="46464"/>
    <cellStyle name="_P&amp;L ver 2.1_Advanstar Financials_File for Circulation with Volume Discount Revised 2" xfId="46465"/>
    <cellStyle name="_P&amp;L ver 2.1_Advanstar Financials_File for Circulation with Volume Discount Revised 3" xfId="46466"/>
    <cellStyle name="_P&amp;L ver 2.1_Advanstar Financials_HR Assumptions for Pricing2" xfId="46467"/>
    <cellStyle name="_P&amp;L ver 2.1_Advanstar Financials_HR Assumptions for Pricing2 2" xfId="46468"/>
    <cellStyle name="_P&amp;L ver 2.1_Advanstar Financials_HR Assumptions for Pricing2 3" xfId="46469"/>
    <cellStyle name="_P&amp;L ver 2.1_Finance Input Template" xfId="46470"/>
    <cellStyle name="_P&amp;L ver 2.1_Finance Input Template 2" xfId="46471"/>
    <cellStyle name="_P&amp;L ver 2.1_Finance Input Template 3" xfId="46472"/>
    <cellStyle name="_P&amp;L ver 2.1_Finance Input Template_Adv_8oct_Sub Ver 12(4)" xfId="46473"/>
    <cellStyle name="_P&amp;L ver 2.1_Finance Input Template_Adv_8oct_Sub Ver 12(4) 2" xfId="46474"/>
    <cellStyle name="_P&amp;L ver 2.1_Finance Input Template_Adv_8oct_Sub Ver 12(4) 3" xfId="46475"/>
    <cellStyle name="_P&amp;L ver 2.1_Finance Input Template_File for Circulation with Volume Discount Revised" xfId="46476"/>
    <cellStyle name="_P&amp;L ver 2.1_Finance Input Template_File for Circulation with Volume Discount Revised 2" xfId="46477"/>
    <cellStyle name="_P&amp;L ver 2.1_Finance Input Template_File for Circulation with Volume Discount Revised 3" xfId="46478"/>
    <cellStyle name="_P&amp;L ver 2.1_Finance Input Template_HR Assumptions for Pricing2" xfId="46479"/>
    <cellStyle name="_P&amp;L ver 2.1_Finance Input Template_HR Assumptions for Pricing2 2" xfId="46480"/>
    <cellStyle name="_P&amp;L ver 2.1_Finance Input Template_HR Assumptions for Pricing2 3" xfId="46481"/>
    <cellStyle name="_P&amp;L ver 2.1_Financials Preston Offshoring V11" xfId="46482"/>
    <cellStyle name="_P&amp;L ver 2.1_Financials Preston Offshoring V11 2" xfId="46483"/>
    <cellStyle name="_P&amp;L ver 2.1_Financials Preston Offshoring V11 3" xfId="46484"/>
    <cellStyle name="_P&amp;L ver 2.1_Financials Preston Offshoring V11_Advanstar Financials 24 July" xfId="46485"/>
    <cellStyle name="_P&amp;L ver 2.1_Financials Preston Offshoring V11_Advanstar Financials 24 July 2" xfId="46486"/>
    <cellStyle name="_P&amp;L ver 2.1_Financials Preston Offshoring V11_Advanstar Financials 24 July 3" xfId="46487"/>
    <cellStyle name="_P&amp;L ver 2.1_Financials Preston Offshoring V11_Advanstar Financials 24 July v1" xfId="46488"/>
    <cellStyle name="_P&amp;L ver 2.1_Financials Preston Offshoring V11_Advanstar Financials 24 July v1 2" xfId="46489"/>
    <cellStyle name="_P&amp;L ver 2.1_Financials Preston Offshoring V11_Advanstar Financials 24 July v1 3" xfId="46490"/>
    <cellStyle name="_P&amp;L ver 2.1_Financials Preston Offshoring V11_Advanstar Financials 24 July v1_Adv_8oct_Sub Ver 12(4)" xfId="46491"/>
    <cellStyle name="_P&amp;L ver 2.1_Financials Preston Offshoring V11_Advanstar Financials 24 July v1_Adv_8oct_Sub Ver 12(4) 2" xfId="46492"/>
    <cellStyle name="_P&amp;L ver 2.1_Financials Preston Offshoring V11_Advanstar Financials 24 July v1_Adv_8oct_Sub Ver 12(4) 3" xfId="46493"/>
    <cellStyle name="_P&amp;L ver 2.1_Financials Preston Offshoring V11_Advanstar Financials 24 July v1_File for Circulation with Volume Discount Revised" xfId="46494"/>
    <cellStyle name="_P&amp;L ver 2.1_Financials Preston Offshoring V11_Advanstar Financials 24 July v1_File for Circulation with Volume Discount Revised 2" xfId="46495"/>
    <cellStyle name="_P&amp;L ver 2.1_Financials Preston Offshoring V11_Advanstar Financials 24 July v1_File for Circulation with Volume Discount Revised 3" xfId="46496"/>
    <cellStyle name="_P&amp;L ver 2.1_Financials Preston Offshoring V11_Advanstar Financials 24 July v1_HR Assumptions for Pricing2" xfId="46497"/>
    <cellStyle name="_P&amp;L ver 2.1_Financials Preston Offshoring V11_Advanstar Financials 24 July v1_HR Assumptions for Pricing2 2" xfId="46498"/>
    <cellStyle name="_P&amp;L ver 2.1_Financials Preston Offshoring V11_Advanstar Financials 24 July v1_HR Assumptions for Pricing2 3" xfId="46499"/>
    <cellStyle name="_P&amp;L ver 2.1_Financials Preston Offshoring V11_Advanstar Financials 24 July_Adv_8oct_Sub Ver 12(4)" xfId="46500"/>
    <cellStyle name="_P&amp;L ver 2.1_Financials Preston Offshoring V11_Advanstar Financials 24 July_Adv_8oct_Sub Ver 12(4) 2" xfId="46501"/>
    <cellStyle name="_P&amp;L ver 2.1_Financials Preston Offshoring V11_Advanstar Financials 24 July_Adv_8oct_Sub Ver 12(4) 3" xfId="46502"/>
    <cellStyle name="_P&amp;L ver 2.1_Financials Preston Offshoring V11_Advanstar Financials 24 July_File for Circulation with Volume Discount Revised" xfId="46503"/>
    <cellStyle name="_P&amp;L ver 2.1_Financials Preston Offshoring V11_Advanstar Financials 24 July_File for Circulation with Volume Discount Revised 2" xfId="46504"/>
    <cellStyle name="_P&amp;L ver 2.1_Financials Preston Offshoring V11_Advanstar Financials 24 July_File for Circulation with Volume Discount Revised 3" xfId="46505"/>
    <cellStyle name="_P&amp;L ver 2.1_Financials Preston Offshoring V11_Advanstar Financials 24 July_HR Assumptions for Pricing2" xfId="46506"/>
    <cellStyle name="_P&amp;L ver 2.1_Financials Preston Offshoring V11_Advanstar Financials 24 July_HR Assumptions for Pricing2 2" xfId="46507"/>
    <cellStyle name="_P&amp;L ver 2.1_Financials Preston Offshoring V11_Advanstar Financials 24 July_HR Assumptions for Pricing2 3" xfId="46508"/>
    <cellStyle name="_P&amp;L ver 2.1_Financials Preston Offshoring V11_HR Workings Break-up (2)" xfId="46509"/>
    <cellStyle name="_P&amp;L ver 2.1_Financials Preston Offshoring V11_HR Workings Break-up (2) 2" xfId="46510"/>
    <cellStyle name="_P&amp;L ver 2.1_Financials Preston Offshoring V11_HR Workings Break-up (2) 3" xfId="46511"/>
    <cellStyle name="_P&amp;L ver 2.1_Financials Preston Offshoring V11_HR Workings Break-up (2)_Adv_8oct_Sub Ver 12(4)" xfId="46512"/>
    <cellStyle name="_P&amp;L ver 2.1_Financials Preston Offshoring V11_HR Workings Break-up (2)_Adv_8oct_Sub Ver 12(4) 2" xfId="46513"/>
    <cellStyle name="_P&amp;L ver 2.1_Financials Preston Offshoring V11_HR Workings Break-up (2)_Adv_8oct_Sub Ver 12(4) 3" xfId="46514"/>
    <cellStyle name="_P&amp;L ver 2.1_Financials Preston Offshoring V11_HR Workings Break-up (2)_File for Circulation with Volume Discount Revised" xfId="46515"/>
    <cellStyle name="_P&amp;L ver 2.1_Financials Preston Offshoring V11_HR Workings Break-up (2)_File for Circulation with Volume Discount Revised 2" xfId="46516"/>
    <cellStyle name="_P&amp;L ver 2.1_Financials Preston Offshoring V11_HR Workings Break-up (2)_File for Circulation with Volume Discount Revised 3" xfId="46517"/>
    <cellStyle name="_P&amp;L ver 2.1_Financials Preston Offshoring V11_HR Workings Break-up (2)_HR Assumptions for Pricing2" xfId="46518"/>
    <cellStyle name="_P&amp;L ver 2.1_Financials Preston Offshoring V11_HR Workings Break-up (2)_HR Assumptions for Pricing2 2" xfId="46519"/>
    <cellStyle name="_P&amp;L ver 2.1_Financials Preston Offshoring V11_HR Workings Break-up (2)_HR Assumptions for Pricing2 3" xfId="46520"/>
    <cellStyle name="_P&amp;L ver 2.1_Financials Preston Offshoring V11_Ramp Plan _ RDA_Editorial" xfId="46521"/>
    <cellStyle name="_P&amp;L ver 2.1_Financials Preston Offshoring V11_Ramp Plan _ RDA_Editorial 2" xfId="46522"/>
    <cellStyle name="_P&amp;L ver 2.1_Financials Preston Offshoring V11_Ramp Plan _ RDA_Editorial 3" xfId="46523"/>
    <cellStyle name="_P&amp;L ver 2.1_Financials Preston Offshoring V11_Ramp Plan _ RDA_Editorial_Adv_8oct_Sub Ver 12(4)" xfId="46524"/>
    <cellStyle name="_P&amp;L ver 2.1_Financials Preston Offshoring V11_Ramp Plan _ RDA_Editorial_Adv_8oct_Sub Ver 12(4) 2" xfId="46525"/>
    <cellStyle name="_P&amp;L ver 2.1_Financials Preston Offshoring V11_Ramp Plan _ RDA_Editorial_Adv_8oct_Sub Ver 12(4) 3" xfId="46526"/>
    <cellStyle name="_P&amp;L ver 2.1_Financials Preston Offshoring V11_Ramp Plan _ RDA_Editorial_File for Circulation with Volume Discount Revised" xfId="46527"/>
    <cellStyle name="_P&amp;L ver 2.1_Financials Preston Offshoring V11_Ramp Plan _ RDA_Editorial_File for Circulation with Volume Discount Revised 2" xfId="46528"/>
    <cellStyle name="_P&amp;L ver 2.1_Financials Preston Offshoring V11_Ramp Plan _ RDA_Editorial_File for Circulation with Volume Discount Revised 3" xfId="46529"/>
    <cellStyle name="_P&amp;L ver 2.1_Financials Preston Offshoring V11_Ramp Plan _ RDA_Editorial_HR Assumptions for Pricing2" xfId="46530"/>
    <cellStyle name="_P&amp;L ver 2.1_Financials Preston Offshoring V11_Ramp Plan _ RDA_Editorial_HR Assumptions for Pricing2 2" xfId="46531"/>
    <cellStyle name="_P&amp;L ver 2.1_Financials Preston Offshoring V11_Ramp Plan _ RDA_Editorial_HR Assumptions for Pricing2 3" xfId="46532"/>
    <cellStyle name="_P&amp;L ver 2.1_FTE Deployment v4" xfId="46533"/>
    <cellStyle name="_P&amp;L ver 2.1_FTE Deployment v4 2" xfId="46534"/>
    <cellStyle name="_P&amp;L ver 2.1_FTE Deployment v4 3" xfId="46535"/>
    <cellStyle name="_P&amp;L ver 2.1_FTE Deployment v4 ramp plan" xfId="46536"/>
    <cellStyle name="_P&amp;L ver 2.1_FTE Deployment v4 ramp plan 2" xfId="46537"/>
    <cellStyle name="_P&amp;L ver 2.1_FTE Deployment v4 ramp plan 3" xfId="46538"/>
    <cellStyle name="_P&amp;L ver 2.1_FTE Deployment v4 ramp plan_Advanstar Financials 24 July" xfId="46539"/>
    <cellStyle name="_P&amp;L ver 2.1_FTE Deployment v4 ramp plan_Advanstar Financials 24 July 2" xfId="46540"/>
    <cellStyle name="_P&amp;L ver 2.1_FTE Deployment v4 ramp plan_Advanstar Financials 24 July 3" xfId="46541"/>
    <cellStyle name="_P&amp;L ver 2.1_FTE Deployment v4 ramp plan_Advanstar Financials 24 July v1" xfId="46542"/>
    <cellStyle name="_P&amp;L ver 2.1_FTE Deployment v4 ramp plan_Advanstar Financials 24 July v1 2" xfId="46543"/>
    <cellStyle name="_P&amp;L ver 2.1_FTE Deployment v4 ramp plan_Advanstar Financials 24 July v1 3" xfId="46544"/>
    <cellStyle name="_P&amp;L ver 2.1_FTE Deployment v4 ramp plan_Finance Input Template V6 1 Sep" xfId="46545"/>
    <cellStyle name="_P&amp;L ver 2.1_FTE Deployment v4 ramp plan_Finance Input Template V6 1 Sep 2" xfId="46546"/>
    <cellStyle name="_P&amp;L ver 2.1_FTE Deployment v4 ramp plan_Finance Input Template V6 1 Sep 3" xfId="46547"/>
    <cellStyle name="_P&amp;L ver 2.1_FTE Deployment v4_Advanstar Financials 24 July" xfId="46548"/>
    <cellStyle name="_P&amp;L ver 2.1_FTE Deployment v4_Advanstar Financials 24 July 2" xfId="46549"/>
    <cellStyle name="_P&amp;L ver 2.1_FTE Deployment v4_Advanstar Financials 24 July 3" xfId="46550"/>
    <cellStyle name="_P&amp;L ver 2.1_FTE Deployment v4_Advanstar Financials 24 July v1" xfId="46551"/>
    <cellStyle name="_P&amp;L ver 2.1_FTE Deployment v4_Advanstar Financials 24 July v1 2" xfId="46552"/>
    <cellStyle name="_P&amp;L ver 2.1_FTE Deployment v4_Advanstar Financials 24 July v1 3" xfId="46553"/>
    <cellStyle name="_P&amp;L ver 2.1_FTE Deployment v4_Finance Input Template V6 1 Sep" xfId="46554"/>
    <cellStyle name="_P&amp;L ver 2.1_FTE Deployment v4_Finance Input Template V6 1 Sep 2" xfId="46555"/>
    <cellStyle name="_P&amp;L ver 2.1_FTE Deployment v4_Finance Input Template V6 1 Sep 3" xfId="46556"/>
    <cellStyle name="_P&amp;L ver 2.1_FTE Deployment v5" xfId="46557"/>
    <cellStyle name="_P&amp;L ver 2.1_FTE Deployment v5 2" xfId="46558"/>
    <cellStyle name="_P&amp;L ver 2.1_FTE Deployment v5 3" xfId="46559"/>
    <cellStyle name="_P&amp;L ver 2.1_FTE Deployment v5_Advanstar Financials 24 July" xfId="46560"/>
    <cellStyle name="_P&amp;L ver 2.1_FTE Deployment v5_Advanstar Financials 24 July 2" xfId="46561"/>
    <cellStyle name="_P&amp;L ver 2.1_FTE Deployment v5_Advanstar Financials 24 July 3" xfId="46562"/>
    <cellStyle name="_P&amp;L ver 2.1_FTE Deployment v5_Advanstar Financials 24 July v1" xfId="46563"/>
    <cellStyle name="_P&amp;L ver 2.1_FTE Deployment v5_Advanstar Financials 24 July v1 2" xfId="46564"/>
    <cellStyle name="_P&amp;L ver 2.1_FTE Deployment v5_Advanstar Financials 24 July v1 3" xfId="46565"/>
    <cellStyle name="_P&amp;L ver 2.1_FTE Deployment v5_Finance Input Template V6 1 Sep" xfId="46566"/>
    <cellStyle name="_P&amp;L ver 2.1_FTE Deployment v5_Finance Input Template V6 1 Sep 2" xfId="46567"/>
    <cellStyle name="_P&amp;L ver 2.1_FTE Deployment v5_Finance Input Template V6 1 Sep 3" xfId="46568"/>
    <cellStyle name="_P&amp;L ver 2.1_Newspaper degitation" xfId="46569"/>
    <cellStyle name="_P&amp;L ver 2.1_Newspaper degitation 2" xfId="46570"/>
    <cellStyle name="_P&amp;L ver 2.1_Newspaper degitation 3" xfId="46571"/>
    <cellStyle name="_P&amp;L ver 2.1_PB Carveout" xfId="46572"/>
    <cellStyle name="_P&amp;L ver 2.1_PB Carveout 2" xfId="46573"/>
    <cellStyle name="_P&amp;L ver 2.1_PB Carveout 3" xfId="46574"/>
    <cellStyle name="_P&amp;L ver 2.1_PB Carveout_Advanstar Financials 24 July" xfId="46575"/>
    <cellStyle name="_P&amp;L ver 2.1_PB Carveout_Advanstar Financials 24 July 2" xfId="46576"/>
    <cellStyle name="_P&amp;L ver 2.1_PB Carveout_Advanstar Financials 24 July 3" xfId="46577"/>
    <cellStyle name="_P&amp;L ver 2.1_PB Carveout_Advanstar Financials 24 July v1" xfId="46578"/>
    <cellStyle name="_P&amp;L ver 2.1_PB Carveout_Advanstar Financials 24 July v1 2" xfId="46579"/>
    <cellStyle name="_P&amp;L ver 2.1_PB Carveout_Advanstar Financials 24 July v1 3" xfId="46580"/>
    <cellStyle name="_P&amp;L ver 2.1_PB Carveout_Advanstar Financials 24 July v1_Adv_8oct_Sub Ver 12(4)" xfId="46581"/>
    <cellStyle name="_P&amp;L ver 2.1_PB Carveout_Advanstar Financials 24 July v1_Adv_8oct_Sub Ver 12(4) 2" xfId="46582"/>
    <cellStyle name="_P&amp;L ver 2.1_PB Carveout_Advanstar Financials 24 July v1_Adv_8oct_Sub Ver 12(4) 3" xfId="46583"/>
    <cellStyle name="_P&amp;L ver 2.1_PB Carveout_Advanstar Financials 24 July v1_File for Circulation with Volume Discount Revised" xfId="46584"/>
    <cellStyle name="_P&amp;L ver 2.1_PB Carveout_Advanstar Financials 24 July v1_File for Circulation with Volume Discount Revised 2" xfId="46585"/>
    <cellStyle name="_P&amp;L ver 2.1_PB Carveout_Advanstar Financials 24 July v1_File for Circulation with Volume Discount Revised 3" xfId="46586"/>
    <cellStyle name="_P&amp;L ver 2.1_PB Carveout_Advanstar Financials 24 July v1_HR Assumptions for Pricing2" xfId="46587"/>
    <cellStyle name="_P&amp;L ver 2.1_PB Carveout_Advanstar Financials 24 July v1_HR Assumptions for Pricing2 2" xfId="46588"/>
    <cellStyle name="_P&amp;L ver 2.1_PB Carveout_Advanstar Financials 24 July v1_HR Assumptions for Pricing2 3" xfId="46589"/>
    <cellStyle name="_P&amp;L ver 2.1_PB Carveout_Advanstar Financials 24 July_Adv_8oct_Sub Ver 12(4)" xfId="46590"/>
    <cellStyle name="_P&amp;L ver 2.1_PB Carveout_Advanstar Financials 24 July_Adv_8oct_Sub Ver 12(4) 2" xfId="46591"/>
    <cellStyle name="_P&amp;L ver 2.1_PB Carveout_Advanstar Financials 24 July_Adv_8oct_Sub Ver 12(4) 3" xfId="46592"/>
    <cellStyle name="_P&amp;L ver 2.1_PB Carveout_Advanstar Financials 24 July_File for Circulation with Volume Discount Revised" xfId="46593"/>
    <cellStyle name="_P&amp;L ver 2.1_PB Carveout_Advanstar Financials 24 July_File for Circulation with Volume Discount Revised 2" xfId="46594"/>
    <cellStyle name="_P&amp;L ver 2.1_PB Carveout_Advanstar Financials 24 July_File for Circulation with Volume Discount Revised 3" xfId="46595"/>
    <cellStyle name="_P&amp;L ver 2.1_PB Carveout_Advanstar Financials 24 July_HR Assumptions for Pricing2" xfId="46596"/>
    <cellStyle name="_P&amp;L ver 2.1_PB Carveout_Advanstar Financials 24 July_HR Assumptions for Pricing2 2" xfId="46597"/>
    <cellStyle name="_P&amp;L ver 2.1_PB Carveout_Advanstar Financials 24 July_HR Assumptions for Pricing2 3" xfId="46598"/>
    <cellStyle name="_P&amp;L ver 2.1_PB Carveout_HR Workings Break-up (2)" xfId="46599"/>
    <cellStyle name="_P&amp;L ver 2.1_PB Carveout_HR Workings Break-up (2) 2" xfId="46600"/>
    <cellStyle name="_P&amp;L ver 2.1_PB Carveout_HR Workings Break-up (2) 3" xfId="46601"/>
    <cellStyle name="_P&amp;L ver 2.1_PB Carveout_HR Workings Break-up (2)_Adv_8oct_Sub Ver 12(4)" xfId="46602"/>
    <cellStyle name="_P&amp;L ver 2.1_PB Carveout_HR Workings Break-up (2)_Adv_8oct_Sub Ver 12(4) 2" xfId="46603"/>
    <cellStyle name="_P&amp;L ver 2.1_PB Carveout_HR Workings Break-up (2)_Adv_8oct_Sub Ver 12(4) 3" xfId="46604"/>
    <cellStyle name="_P&amp;L ver 2.1_PB Carveout_HR Workings Break-up (2)_File for Circulation with Volume Discount Revised" xfId="46605"/>
    <cellStyle name="_P&amp;L ver 2.1_PB Carveout_HR Workings Break-up (2)_File for Circulation with Volume Discount Revised 2" xfId="46606"/>
    <cellStyle name="_P&amp;L ver 2.1_PB Carveout_HR Workings Break-up (2)_File for Circulation with Volume Discount Revised 3" xfId="46607"/>
    <cellStyle name="_P&amp;L ver 2.1_PB Carveout_HR Workings Break-up (2)_HR Assumptions for Pricing2" xfId="46608"/>
    <cellStyle name="_P&amp;L ver 2.1_PB Carveout_HR Workings Break-up (2)_HR Assumptions for Pricing2 2" xfId="46609"/>
    <cellStyle name="_P&amp;L ver 2.1_PB Carveout_HR Workings Break-up (2)_HR Assumptions for Pricing2 3" xfId="46610"/>
    <cellStyle name="_P&amp;L ver 2.1_PB Carveout_Ramp Plan _ RDA_Editorial" xfId="46611"/>
    <cellStyle name="_P&amp;L ver 2.1_PB Carveout_Ramp Plan _ RDA_Editorial 2" xfId="46612"/>
    <cellStyle name="_P&amp;L ver 2.1_PB Carveout_Ramp Plan _ RDA_Editorial 3" xfId="46613"/>
    <cellStyle name="_P&amp;L ver 2.1_PB Carveout_Ramp Plan _ RDA_Editorial_Adv_8oct_Sub Ver 12(4)" xfId="46614"/>
    <cellStyle name="_P&amp;L ver 2.1_PB Carveout_Ramp Plan _ RDA_Editorial_Adv_8oct_Sub Ver 12(4) 2" xfId="46615"/>
    <cellStyle name="_P&amp;L ver 2.1_PB Carveout_Ramp Plan _ RDA_Editorial_Adv_8oct_Sub Ver 12(4) 3" xfId="46616"/>
    <cellStyle name="_P&amp;L ver 2.1_PB Carveout_Ramp Plan _ RDA_Editorial_File for Circulation with Volume Discount Revised" xfId="46617"/>
    <cellStyle name="_P&amp;L ver 2.1_PB Carveout_Ramp Plan _ RDA_Editorial_File for Circulation with Volume Discount Revised 2" xfId="46618"/>
    <cellStyle name="_P&amp;L ver 2.1_PB Carveout_Ramp Plan _ RDA_Editorial_File for Circulation with Volume Discount Revised 3" xfId="46619"/>
    <cellStyle name="_P&amp;L ver 2.1_PB Carveout_Ramp Plan _ RDA_Editorial_HR Assumptions for Pricing2" xfId="46620"/>
    <cellStyle name="_P&amp;L ver 2.1_PB Carveout_Ramp Plan _ RDA_Editorial_HR Assumptions for Pricing2 2" xfId="46621"/>
    <cellStyle name="_P&amp;L ver 2.1_PB Carveout_Ramp Plan _ RDA_Editorial_HR Assumptions for Pricing2 3" xfId="46622"/>
    <cellStyle name="_P&amp;L ver 2.1_Pricing Norway Post2" xfId="46623"/>
    <cellStyle name="_P&amp;L ver 2.1_Pricing Norway Post2 2" xfId="46624"/>
    <cellStyle name="_P&amp;L ver 2.1_Pricing Norway Post2 3" xfId="46625"/>
    <cellStyle name="_P&amp;L ver 2.1_Salary Rate Card_v1 0" xfId="46626"/>
    <cellStyle name="_P&amp;L ver 2.1_Salary Rate Card_v1 0 2" xfId="46627"/>
    <cellStyle name="_P&amp;L ver 2.1_Salary Rate Card_v1 0 3" xfId="46628"/>
    <cellStyle name="_P&amp;L ver 2.1_Seat Cost calculation 150110 SkyIt" xfId="46629"/>
    <cellStyle name="_P&amp;L ver 2.1_Seat Cost calculation 150110 SkyIt 2" xfId="46630"/>
    <cellStyle name="_P&amp;L ver 2.1_Seat Cost calculation 150110 SkyIt 3" xfId="46631"/>
    <cellStyle name="_P&amp;L ver 2.1_UMG Financial Model - Apps V 2.0" xfId="46632"/>
    <cellStyle name="_P&amp;L ver 2.1_UMG Financial Model - Apps V 2.0 2" xfId="46633"/>
    <cellStyle name="_P&amp;L ver 2.1_UMG Financial Model - Apps V 2.0 3" xfId="46634"/>
    <cellStyle name="_P&amp;L ver 2.1_UMG_ Pricing Model - Final" xfId="46635"/>
    <cellStyle name="_P&amp;L ver 2.1_UMG_ Pricing Model - Final 2" xfId="46636"/>
    <cellStyle name="_P&amp;L ver 2.1_UMG_ Pricing Model - Final 3" xfId="46637"/>
    <cellStyle name="_x0013__P&amp;L_AMP5" xfId="46638"/>
    <cellStyle name="_x0013__P&amp;L_AMP5 2" xfId="46639"/>
    <cellStyle name="_x0013__P&amp;L_Detail" xfId="46640"/>
    <cellStyle name="_x0013__P&amp;L_Detail 2" xfId="46641"/>
    <cellStyle name="_P2 repair iss2" xfId="46642"/>
    <cellStyle name="_P2 repair iss2 2" xfId="46643"/>
    <cellStyle name="_P2 repair iss2 3" xfId="46644"/>
    <cellStyle name="_Paper 1.Operations AMP5.v3" xfId="46645"/>
    <cellStyle name="_Paper 1.Operations AMP5.v3 2" xfId="46646"/>
    <cellStyle name="_Paper 1.Operations AMP5.v3 3" xfId="46647"/>
    <cellStyle name="_Paper 1.Operations AMP5.v3 4" xfId="46648"/>
    <cellStyle name="_Paper 3.AMP5 Operations initiatives.v3" xfId="46649"/>
    <cellStyle name="_Paper 3.AMP5 Operations initiatives.v3 2" xfId="46650"/>
    <cellStyle name="_Paper 3.AMP5 Operations initiatives.v3 3" xfId="46651"/>
    <cellStyle name="_Paper 3.AMP5 Operations initiatives.v3 4" xfId="46652"/>
    <cellStyle name="_Paramount CONTRACT Cost Build Version 081206 - GETRONICS" xfId="46653"/>
    <cellStyle name="_Paramount CONTRACT Cost Build Version 081206 - GETRONICS 2" xfId="46654"/>
    <cellStyle name="_Paramount CONTRACT Cost Build Version 081206 - GETRONICS 3" xfId="46655"/>
    <cellStyle name="_Paramount CONTRACT Cost Build Version 081206 - GETRONICS_Exhibit C - 4 - Xerox Midrange Pricing Template HCL Revised " xfId="46656"/>
    <cellStyle name="_Paramount CONTRACT Cost Build Version 081206 - GETRONICS_Exhibit C - 4 - Xerox Midrange Pricing Template HCL Revised  2" xfId="46657"/>
    <cellStyle name="_Paramount CONTRACT Cost Build Version 081206 - GETRONICS_Exhibit C - 4 - Xerox Midrange Pricing Template HCL Revised  3" xfId="46658"/>
    <cellStyle name="_Paramount CONTRACT Cost Build Version 081206 - GETRONICS_Exhibit C - 4a - Xerox Midrange Pricing Template v9" xfId="46659"/>
    <cellStyle name="_Paramount CONTRACT Cost Build Version 081206 - GETRONICS_Exhibit C - 4a - Xerox Midrange Pricing Template v9 2" xfId="46660"/>
    <cellStyle name="_Paramount CONTRACT Cost Build Version 081206 - GETRONICS_Exhibit C - 4a - Xerox Midrange Pricing Template v9 3" xfId="46661"/>
    <cellStyle name="_Paramount CONTRACT Cost Build Version 081206 - GETRONICS_UMG Financial Model - Apps V 2.0" xfId="46662"/>
    <cellStyle name="_Paramount CONTRACT Cost Build Version 081206 - GETRONICS_UMG Financial Model - Apps V 2.0 2" xfId="46663"/>
    <cellStyle name="_Paramount CONTRACT Cost Build Version 081206 - GETRONICS_UMG Financial Model - Apps V 2.0 3" xfId="46664"/>
    <cellStyle name="_Paramount CONTRACT Cost Build Version 081206 - GETRONICS_UMG_ Pricing Model - Final" xfId="46665"/>
    <cellStyle name="_Paramount CONTRACT Cost Build Version 081206 - GETRONICS_UMG_ Pricing Model - Final 2" xfId="46666"/>
    <cellStyle name="_Paramount CONTRACT Cost Build Version 081206 - GETRONICS_UMG_ Pricing Model - Final 3" xfId="46667"/>
    <cellStyle name="_Paramount CONTRACT Cost Build Version 081206 - GETRONICS_Xerox pricing" xfId="46668"/>
    <cellStyle name="_Paramount CONTRACT Cost Build Version 081206 - GETRONICS_Xerox pricing 2" xfId="46669"/>
    <cellStyle name="_Paramount CONTRACT Cost Build Version 081206 - GETRONICS_Xerox pricing 3" xfId="46670"/>
    <cellStyle name="_PCU" xfId="46671"/>
    <cellStyle name="_PCU 2" xfId="46672"/>
    <cellStyle name="_PepsiCo Annex C-2 (Pricing Model - TRANSITION) 23 May 06_Final" xfId="46673"/>
    <cellStyle name="_PepsiCo Annex C-2 (Pricing Model - TRANSITION) 23 May 06_Final 2" xfId="46674"/>
    <cellStyle name="_Phased cash flow - opexv5 1020 v 1040 " xfId="46675"/>
    <cellStyle name="_Phased cash flow - opexv5 1020 v 1040  2" xfId="46676"/>
    <cellStyle name="_PI Data Center Data Collection Template 11.17.04" xfId="46677"/>
    <cellStyle name="_PI Data Center Data Collection Template 11.17.04 2" xfId="46678"/>
    <cellStyle name="_PI Data Center Data Collection Template 11.17.04 3" xfId="46679"/>
    <cellStyle name="_PI Data Center Data Collection Template 11.17.04_Exhibit C - 4 - Xerox Midrange Pricing Template HCL Revised " xfId="46680"/>
    <cellStyle name="_PI Data Center Data Collection Template 11.17.04_Exhibit C - 4 - Xerox Midrange Pricing Template HCL Revised  2" xfId="46681"/>
    <cellStyle name="_PI Data Center Data Collection Template 11.17.04_Exhibit C - 4 - Xerox Midrange Pricing Template HCL Revised  3" xfId="46682"/>
    <cellStyle name="_PI Data Center Data Collection Template 11.17.04_Exhibit C - 4a - Xerox Midrange Pricing Template v9" xfId="46683"/>
    <cellStyle name="_PI Data Center Data Collection Template 11.17.04_Exhibit C - 4a - Xerox Midrange Pricing Template v9 2" xfId="46684"/>
    <cellStyle name="_PI Data Center Data Collection Template 11.17.04_Exhibit C - 4a - Xerox Midrange Pricing Template v9 3" xfId="46685"/>
    <cellStyle name="_PI Data Center Data Collection Template 11.17.04_UMG Financial Model - Apps V 2.0" xfId="46686"/>
    <cellStyle name="_PI Data Center Data Collection Template 11.17.04_UMG Financial Model - Apps V 2.0 2" xfId="46687"/>
    <cellStyle name="_PI Data Center Data Collection Template 11.17.04_UMG Financial Model - Apps V 2.0 3" xfId="46688"/>
    <cellStyle name="_PI Data Center Data Collection Template 11.17.04_UMG_ Pricing Model - Final" xfId="46689"/>
    <cellStyle name="_PI Data Center Data Collection Template 11.17.04_UMG_ Pricing Model - Final 2" xfId="46690"/>
    <cellStyle name="_PI Data Center Data Collection Template 11.17.04_UMG_ Pricing Model - Final 3" xfId="46691"/>
    <cellStyle name="_PI Data Center Data Collection Template 11.17.04_Xerox pricing" xfId="46692"/>
    <cellStyle name="_PI Data Center Data Collection Template 11.17.04_Xerox pricing 2" xfId="46693"/>
    <cellStyle name="_PI Data Center Data Collection Template 11.17.04_Xerox pricing 3" xfId="46694"/>
    <cellStyle name="_PI Network Data Collection Template 11.16.04" xfId="46695"/>
    <cellStyle name="_PI Network Data Collection Template 11.16.04 2" xfId="46696"/>
    <cellStyle name="_PI Network Data Collection Template 11.16.04 3" xfId="46697"/>
    <cellStyle name="_PI Network Data Collection Template 11.16.04_Exhibit C - 4 - Xerox Midrange Pricing Template HCL Revised " xfId="46698"/>
    <cellStyle name="_PI Network Data Collection Template 11.16.04_Exhibit C - 4 - Xerox Midrange Pricing Template HCL Revised  2" xfId="46699"/>
    <cellStyle name="_PI Network Data Collection Template 11.16.04_Exhibit C - 4 - Xerox Midrange Pricing Template HCL Revised  3" xfId="46700"/>
    <cellStyle name="_PI Network Data Collection Template 11.16.04_Exhibit C - 4a - Xerox Midrange Pricing Template v9" xfId="46701"/>
    <cellStyle name="_PI Network Data Collection Template 11.16.04_Exhibit C - 4a - Xerox Midrange Pricing Template v9 2" xfId="46702"/>
    <cellStyle name="_PI Network Data Collection Template 11.16.04_Exhibit C - 4a - Xerox Midrange Pricing Template v9 3" xfId="46703"/>
    <cellStyle name="_PI Network Data Collection Template 11.16.04_UMG Financial Model - Apps V 2.0" xfId="46704"/>
    <cellStyle name="_PI Network Data Collection Template 11.16.04_UMG Financial Model - Apps V 2.0 2" xfId="46705"/>
    <cellStyle name="_PI Network Data Collection Template 11.16.04_UMG Financial Model - Apps V 2.0 3" xfId="46706"/>
    <cellStyle name="_PI Network Data Collection Template 11.16.04_UMG_ Pricing Model - Final" xfId="46707"/>
    <cellStyle name="_PI Network Data Collection Template 11.16.04_UMG_ Pricing Model - Final 2" xfId="46708"/>
    <cellStyle name="_PI Network Data Collection Template 11.16.04_UMG_ Pricing Model - Final 3" xfId="46709"/>
    <cellStyle name="_PI Network Data Collection Template 11.16.04_Xerox pricing" xfId="46710"/>
    <cellStyle name="_PI Network Data Collection Template 11.16.04_Xerox pricing 2" xfId="46711"/>
    <cellStyle name="_PI Network Data Collection Template 11.16.04_Xerox pricing 3" xfId="46712"/>
    <cellStyle name="_PL_BPO_Armstrong_Detailed" xfId="46713"/>
    <cellStyle name="_PL_BPO_Armstrong_Detailed 2" xfId="46714"/>
    <cellStyle name="_PL_BPO_Armstrong_Detailed 3" xfId="46715"/>
    <cellStyle name="_PL_BPO_Armstrong_Detailed_Adapt response DC Pricing Format (2)" xfId="46716"/>
    <cellStyle name="_PL_BPO_Armstrong_Detailed_Adapt response DC Pricing Format (2) 2" xfId="46717"/>
    <cellStyle name="_PL_BPO_Armstrong_Detailed_Adapt response DC Pricing Format (2) 3" xfId="46718"/>
    <cellStyle name="_PL_BPO_Armstrong_Detailed_Advanstar Financials" xfId="46719"/>
    <cellStyle name="_PL_BPO_Armstrong_Detailed_Advanstar Financials 2" xfId="46720"/>
    <cellStyle name="_PL_BPO_Armstrong_Detailed_Advanstar Financials 24 July" xfId="46721"/>
    <cellStyle name="_PL_BPO_Armstrong_Detailed_Advanstar Financials 24 July 2" xfId="46722"/>
    <cellStyle name="_PL_BPO_Armstrong_Detailed_Advanstar Financials 24 July 3" xfId="46723"/>
    <cellStyle name="_PL_BPO_Armstrong_Detailed_Advanstar Financials 24 July v1" xfId="46724"/>
    <cellStyle name="_PL_BPO_Armstrong_Detailed_Advanstar Financials 24 July v1 2" xfId="46725"/>
    <cellStyle name="_PL_BPO_Armstrong_Detailed_Advanstar Financials 24 July v1 3" xfId="46726"/>
    <cellStyle name="_PL_BPO_Armstrong_Detailed_Advanstar Financials 24 July v1_Adv_8oct_Sub Ver 12(4)" xfId="46727"/>
    <cellStyle name="_PL_BPO_Armstrong_Detailed_Advanstar Financials 24 July v1_Adv_8oct_Sub Ver 12(4) 2" xfId="46728"/>
    <cellStyle name="_PL_BPO_Armstrong_Detailed_Advanstar Financials 24 July v1_Adv_8oct_Sub Ver 12(4) 3" xfId="46729"/>
    <cellStyle name="_PL_BPO_Armstrong_Detailed_Advanstar Financials 24 July v1_File for Circulation with Volume Discount Revised" xfId="46730"/>
    <cellStyle name="_PL_BPO_Armstrong_Detailed_Advanstar Financials 24 July v1_File for Circulation with Volume Discount Revised 2" xfId="46731"/>
    <cellStyle name="_PL_BPO_Armstrong_Detailed_Advanstar Financials 24 July v1_File for Circulation with Volume Discount Revised 3" xfId="46732"/>
    <cellStyle name="_PL_BPO_Armstrong_Detailed_Advanstar Financials 24 July v1_HR Assumptions for Pricing2" xfId="46733"/>
    <cellStyle name="_PL_BPO_Armstrong_Detailed_Advanstar Financials 24 July v1_HR Assumptions for Pricing2 2" xfId="46734"/>
    <cellStyle name="_PL_BPO_Armstrong_Detailed_Advanstar Financials 24 July v1_HR Assumptions for Pricing2 3" xfId="46735"/>
    <cellStyle name="_PL_BPO_Armstrong_Detailed_Advanstar Financials 24 July_Adv_8oct_Sub Ver 12(4)" xfId="46736"/>
    <cellStyle name="_PL_BPO_Armstrong_Detailed_Advanstar Financials 24 July_Adv_8oct_Sub Ver 12(4) 2" xfId="46737"/>
    <cellStyle name="_PL_BPO_Armstrong_Detailed_Advanstar Financials 24 July_Adv_8oct_Sub Ver 12(4) 3" xfId="46738"/>
    <cellStyle name="_PL_BPO_Armstrong_Detailed_Advanstar Financials 24 July_File for Circulation with Volume Discount Revised" xfId="46739"/>
    <cellStyle name="_PL_BPO_Armstrong_Detailed_Advanstar Financials 24 July_File for Circulation with Volume Discount Revised 2" xfId="46740"/>
    <cellStyle name="_PL_BPO_Armstrong_Detailed_Advanstar Financials 24 July_File for Circulation with Volume Discount Revised 3" xfId="46741"/>
    <cellStyle name="_PL_BPO_Armstrong_Detailed_Advanstar Financials 24 July_HR Assumptions for Pricing2" xfId="46742"/>
    <cellStyle name="_PL_BPO_Armstrong_Detailed_Advanstar Financials 24 July_HR Assumptions for Pricing2 2" xfId="46743"/>
    <cellStyle name="_PL_BPO_Armstrong_Detailed_Advanstar Financials 24 July_HR Assumptions for Pricing2 3" xfId="46744"/>
    <cellStyle name="_PL_BPO_Armstrong_Detailed_Advanstar Financials 3" xfId="46745"/>
    <cellStyle name="_PL_BPO_Armstrong_Detailed_Advanstar Financials_Adv_8oct_Sub Ver 12(4)" xfId="46746"/>
    <cellStyle name="_PL_BPO_Armstrong_Detailed_Advanstar Financials_Adv_8oct_Sub Ver 12(4) 2" xfId="46747"/>
    <cellStyle name="_PL_BPO_Armstrong_Detailed_Advanstar Financials_Adv_8oct_Sub Ver 12(4) 3" xfId="46748"/>
    <cellStyle name="_PL_BPO_Armstrong_Detailed_Advanstar Financials_File for Circulation with Volume Discount Revised" xfId="46749"/>
    <cellStyle name="_PL_BPO_Armstrong_Detailed_Advanstar Financials_File for Circulation with Volume Discount Revised 2" xfId="46750"/>
    <cellStyle name="_PL_BPO_Armstrong_Detailed_Advanstar Financials_File for Circulation with Volume Discount Revised 3" xfId="46751"/>
    <cellStyle name="_PL_BPO_Armstrong_Detailed_Advanstar Financials_HR Assumptions for Pricing2" xfId="46752"/>
    <cellStyle name="_PL_BPO_Armstrong_Detailed_Advanstar Financials_HR Assumptions for Pricing2 2" xfId="46753"/>
    <cellStyle name="_PL_BPO_Armstrong_Detailed_Advanstar Financials_HR Assumptions for Pricing2 3" xfId="46754"/>
    <cellStyle name="_PL_BPO_Armstrong_Detailed_Finance Input Template" xfId="46755"/>
    <cellStyle name="_PL_BPO_Armstrong_Detailed_Finance Input Template 2" xfId="46756"/>
    <cellStyle name="_PL_BPO_Armstrong_Detailed_Finance Input Template 3" xfId="46757"/>
    <cellStyle name="_PL_BPO_Armstrong_Detailed_Finance Input Template_Adv_8oct_Sub Ver 12(4)" xfId="46758"/>
    <cellStyle name="_PL_BPO_Armstrong_Detailed_Finance Input Template_Adv_8oct_Sub Ver 12(4) 2" xfId="46759"/>
    <cellStyle name="_PL_BPO_Armstrong_Detailed_Finance Input Template_Adv_8oct_Sub Ver 12(4) 3" xfId="46760"/>
    <cellStyle name="_PL_BPO_Armstrong_Detailed_Finance Input Template_File for Circulation with Volume Discount Revised" xfId="46761"/>
    <cellStyle name="_PL_BPO_Armstrong_Detailed_Finance Input Template_File for Circulation with Volume Discount Revised 2" xfId="46762"/>
    <cellStyle name="_PL_BPO_Armstrong_Detailed_Finance Input Template_File for Circulation with Volume Discount Revised 3" xfId="46763"/>
    <cellStyle name="_PL_BPO_Armstrong_Detailed_Finance Input Template_HR Assumptions for Pricing2" xfId="46764"/>
    <cellStyle name="_PL_BPO_Armstrong_Detailed_Finance Input Template_HR Assumptions for Pricing2 2" xfId="46765"/>
    <cellStyle name="_PL_BPO_Armstrong_Detailed_Finance Input Template_HR Assumptions for Pricing2 3" xfId="46766"/>
    <cellStyle name="_PL_BPO_Armstrong_Detailed_Financials Preston Offshoring V11" xfId="46767"/>
    <cellStyle name="_PL_BPO_Armstrong_Detailed_Financials Preston Offshoring V11 2" xfId="46768"/>
    <cellStyle name="_PL_BPO_Armstrong_Detailed_Financials Preston Offshoring V11 3" xfId="46769"/>
    <cellStyle name="_PL_BPO_Armstrong_Detailed_Financials Preston Offshoring V11_Advanstar Financials 24 July" xfId="46770"/>
    <cellStyle name="_PL_BPO_Armstrong_Detailed_Financials Preston Offshoring V11_Advanstar Financials 24 July 2" xfId="46771"/>
    <cellStyle name="_PL_BPO_Armstrong_Detailed_Financials Preston Offshoring V11_Advanstar Financials 24 July 3" xfId="46772"/>
    <cellStyle name="_PL_BPO_Armstrong_Detailed_Financials Preston Offshoring V11_Advanstar Financials 24 July v1" xfId="46773"/>
    <cellStyle name="_PL_BPO_Armstrong_Detailed_Financials Preston Offshoring V11_Advanstar Financials 24 July v1 2" xfId="46774"/>
    <cellStyle name="_PL_BPO_Armstrong_Detailed_Financials Preston Offshoring V11_Advanstar Financials 24 July v1 3" xfId="46775"/>
    <cellStyle name="_PL_BPO_Armstrong_Detailed_Financials Preston Offshoring V11_Advanstar Financials 24 July v1_Adv_8oct_Sub Ver 12(4)" xfId="46776"/>
    <cellStyle name="_PL_BPO_Armstrong_Detailed_Financials Preston Offshoring V11_Advanstar Financials 24 July v1_Adv_8oct_Sub Ver 12(4) 2" xfId="46777"/>
    <cellStyle name="_PL_BPO_Armstrong_Detailed_Financials Preston Offshoring V11_Advanstar Financials 24 July v1_Adv_8oct_Sub Ver 12(4) 3" xfId="46778"/>
    <cellStyle name="_PL_BPO_Armstrong_Detailed_Financials Preston Offshoring V11_Advanstar Financials 24 July v1_File for Circulation with Volume Discount Revised" xfId="46779"/>
    <cellStyle name="_PL_BPO_Armstrong_Detailed_Financials Preston Offshoring V11_Advanstar Financials 24 July v1_File for Circulation with Volume Discount Revised 2" xfId="46780"/>
    <cellStyle name="_PL_BPO_Armstrong_Detailed_Financials Preston Offshoring V11_Advanstar Financials 24 July v1_File for Circulation with Volume Discount Revised 3" xfId="46781"/>
    <cellStyle name="_PL_BPO_Armstrong_Detailed_Financials Preston Offshoring V11_Advanstar Financials 24 July v1_HR Assumptions for Pricing2" xfId="46782"/>
    <cellStyle name="_PL_BPO_Armstrong_Detailed_Financials Preston Offshoring V11_Advanstar Financials 24 July v1_HR Assumptions for Pricing2 2" xfId="46783"/>
    <cellStyle name="_PL_BPO_Armstrong_Detailed_Financials Preston Offshoring V11_Advanstar Financials 24 July v1_HR Assumptions for Pricing2 3" xfId="46784"/>
    <cellStyle name="_PL_BPO_Armstrong_Detailed_Financials Preston Offshoring V11_Advanstar Financials 24 July_Adv_8oct_Sub Ver 12(4)" xfId="46785"/>
    <cellStyle name="_PL_BPO_Armstrong_Detailed_Financials Preston Offshoring V11_Advanstar Financials 24 July_Adv_8oct_Sub Ver 12(4) 2" xfId="46786"/>
    <cellStyle name="_PL_BPO_Armstrong_Detailed_Financials Preston Offshoring V11_Advanstar Financials 24 July_Adv_8oct_Sub Ver 12(4) 3" xfId="46787"/>
    <cellStyle name="_PL_BPO_Armstrong_Detailed_Financials Preston Offshoring V11_Advanstar Financials 24 July_File for Circulation with Volume Discount Revised" xfId="46788"/>
    <cellStyle name="_PL_BPO_Armstrong_Detailed_Financials Preston Offshoring V11_Advanstar Financials 24 July_File for Circulation with Volume Discount Revised 2" xfId="46789"/>
    <cellStyle name="_PL_BPO_Armstrong_Detailed_Financials Preston Offshoring V11_Advanstar Financials 24 July_File for Circulation with Volume Discount Revised 3" xfId="46790"/>
    <cellStyle name="_PL_BPO_Armstrong_Detailed_Financials Preston Offshoring V11_Advanstar Financials 24 July_HR Assumptions for Pricing2" xfId="46791"/>
    <cellStyle name="_PL_BPO_Armstrong_Detailed_Financials Preston Offshoring V11_Advanstar Financials 24 July_HR Assumptions for Pricing2 2" xfId="46792"/>
    <cellStyle name="_PL_BPO_Armstrong_Detailed_Financials Preston Offshoring V11_Advanstar Financials 24 July_HR Assumptions for Pricing2 3" xfId="46793"/>
    <cellStyle name="_PL_BPO_Armstrong_Detailed_Financials Preston Offshoring V11_HR Workings Break-up (2)" xfId="46794"/>
    <cellStyle name="_PL_BPO_Armstrong_Detailed_Financials Preston Offshoring V11_HR Workings Break-up (2) 2" xfId="46795"/>
    <cellStyle name="_PL_BPO_Armstrong_Detailed_Financials Preston Offshoring V11_HR Workings Break-up (2) 3" xfId="46796"/>
    <cellStyle name="_PL_BPO_Armstrong_Detailed_Financials Preston Offshoring V11_HR Workings Break-up (2)_Adv_8oct_Sub Ver 12(4)" xfId="46797"/>
    <cellStyle name="_PL_BPO_Armstrong_Detailed_Financials Preston Offshoring V11_HR Workings Break-up (2)_Adv_8oct_Sub Ver 12(4) 2" xfId="46798"/>
    <cellStyle name="_PL_BPO_Armstrong_Detailed_Financials Preston Offshoring V11_HR Workings Break-up (2)_Adv_8oct_Sub Ver 12(4) 3" xfId="46799"/>
    <cellStyle name="_PL_BPO_Armstrong_Detailed_Financials Preston Offshoring V11_HR Workings Break-up (2)_File for Circulation with Volume Discount Revised" xfId="46800"/>
    <cellStyle name="_PL_BPO_Armstrong_Detailed_Financials Preston Offshoring V11_HR Workings Break-up (2)_File for Circulation with Volume Discount Revised 2" xfId="46801"/>
    <cellStyle name="_PL_BPO_Armstrong_Detailed_Financials Preston Offshoring V11_HR Workings Break-up (2)_File for Circulation with Volume Discount Revised 3" xfId="46802"/>
    <cellStyle name="_PL_BPO_Armstrong_Detailed_Financials Preston Offshoring V11_HR Workings Break-up (2)_HR Assumptions for Pricing2" xfId="46803"/>
    <cellStyle name="_PL_BPO_Armstrong_Detailed_Financials Preston Offshoring V11_HR Workings Break-up (2)_HR Assumptions for Pricing2 2" xfId="46804"/>
    <cellStyle name="_PL_BPO_Armstrong_Detailed_Financials Preston Offshoring V11_HR Workings Break-up (2)_HR Assumptions for Pricing2 3" xfId="46805"/>
    <cellStyle name="_PL_BPO_Armstrong_Detailed_Financials Preston Offshoring V11_Ramp Plan _ RDA_Editorial" xfId="46806"/>
    <cellStyle name="_PL_BPO_Armstrong_Detailed_Financials Preston Offshoring V11_Ramp Plan _ RDA_Editorial 2" xfId="46807"/>
    <cellStyle name="_PL_BPO_Armstrong_Detailed_Financials Preston Offshoring V11_Ramp Plan _ RDA_Editorial 3" xfId="46808"/>
    <cellStyle name="_PL_BPO_Armstrong_Detailed_Financials Preston Offshoring V11_Ramp Plan _ RDA_Editorial_Adv_8oct_Sub Ver 12(4)" xfId="46809"/>
    <cellStyle name="_PL_BPO_Armstrong_Detailed_Financials Preston Offshoring V11_Ramp Plan _ RDA_Editorial_Adv_8oct_Sub Ver 12(4) 2" xfId="46810"/>
    <cellStyle name="_PL_BPO_Armstrong_Detailed_Financials Preston Offshoring V11_Ramp Plan _ RDA_Editorial_Adv_8oct_Sub Ver 12(4) 3" xfId="46811"/>
    <cellStyle name="_PL_BPO_Armstrong_Detailed_Financials Preston Offshoring V11_Ramp Plan _ RDA_Editorial_File for Circulation with Volume Discount Revised" xfId="46812"/>
    <cellStyle name="_PL_BPO_Armstrong_Detailed_Financials Preston Offshoring V11_Ramp Plan _ RDA_Editorial_File for Circulation with Volume Discount Revised 2" xfId="46813"/>
    <cellStyle name="_PL_BPO_Armstrong_Detailed_Financials Preston Offshoring V11_Ramp Plan _ RDA_Editorial_File for Circulation with Volume Discount Revised 3" xfId="46814"/>
    <cellStyle name="_PL_BPO_Armstrong_Detailed_Financials Preston Offshoring V11_Ramp Plan _ RDA_Editorial_HR Assumptions for Pricing2" xfId="46815"/>
    <cellStyle name="_PL_BPO_Armstrong_Detailed_Financials Preston Offshoring V11_Ramp Plan _ RDA_Editorial_HR Assumptions for Pricing2 2" xfId="46816"/>
    <cellStyle name="_PL_BPO_Armstrong_Detailed_Financials Preston Offshoring V11_Ramp Plan _ RDA_Editorial_HR Assumptions for Pricing2 3" xfId="46817"/>
    <cellStyle name="_PL_BPO_Armstrong_Detailed_FTE Deployment v4" xfId="46818"/>
    <cellStyle name="_PL_BPO_Armstrong_Detailed_FTE Deployment v4 2" xfId="46819"/>
    <cellStyle name="_PL_BPO_Armstrong_Detailed_FTE Deployment v4 3" xfId="46820"/>
    <cellStyle name="_PL_BPO_Armstrong_Detailed_FTE Deployment v4 ramp plan" xfId="46821"/>
    <cellStyle name="_PL_BPO_Armstrong_Detailed_FTE Deployment v4 ramp plan 2" xfId="46822"/>
    <cellStyle name="_PL_BPO_Armstrong_Detailed_FTE Deployment v4 ramp plan 3" xfId="46823"/>
    <cellStyle name="_PL_BPO_Armstrong_Detailed_FTE Deployment v4 ramp plan_Advanstar Financials 24 July" xfId="46824"/>
    <cellStyle name="_PL_BPO_Armstrong_Detailed_FTE Deployment v4 ramp plan_Advanstar Financials 24 July 2" xfId="46825"/>
    <cellStyle name="_PL_BPO_Armstrong_Detailed_FTE Deployment v4 ramp plan_Advanstar Financials 24 July 3" xfId="46826"/>
    <cellStyle name="_PL_BPO_Armstrong_Detailed_FTE Deployment v4 ramp plan_Advanstar Financials 24 July v1" xfId="46827"/>
    <cellStyle name="_PL_BPO_Armstrong_Detailed_FTE Deployment v4 ramp plan_Advanstar Financials 24 July v1 2" xfId="46828"/>
    <cellStyle name="_PL_BPO_Armstrong_Detailed_FTE Deployment v4 ramp plan_Advanstar Financials 24 July v1 3" xfId="46829"/>
    <cellStyle name="_PL_BPO_Armstrong_Detailed_FTE Deployment v4 ramp plan_Finance Input Template V6 1 Sep" xfId="46830"/>
    <cellStyle name="_PL_BPO_Armstrong_Detailed_FTE Deployment v4 ramp plan_Finance Input Template V6 1 Sep 2" xfId="46831"/>
    <cellStyle name="_PL_BPO_Armstrong_Detailed_FTE Deployment v4 ramp plan_Finance Input Template V6 1 Sep 3" xfId="46832"/>
    <cellStyle name="_PL_BPO_Armstrong_Detailed_FTE Deployment v4_Advanstar Financials 24 July" xfId="46833"/>
    <cellStyle name="_PL_BPO_Armstrong_Detailed_FTE Deployment v4_Advanstar Financials 24 July 2" xfId="46834"/>
    <cellStyle name="_PL_BPO_Armstrong_Detailed_FTE Deployment v4_Advanstar Financials 24 July 3" xfId="46835"/>
    <cellStyle name="_PL_BPO_Armstrong_Detailed_FTE Deployment v4_Advanstar Financials 24 July v1" xfId="46836"/>
    <cellStyle name="_PL_BPO_Armstrong_Detailed_FTE Deployment v4_Advanstar Financials 24 July v1 2" xfId="46837"/>
    <cellStyle name="_PL_BPO_Armstrong_Detailed_FTE Deployment v4_Advanstar Financials 24 July v1 3" xfId="46838"/>
    <cellStyle name="_PL_BPO_Armstrong_Detailed_FTE Deployment v4_Finance Input Template V6 1 Sep" xfId="46839"/>
    <cellStyle name="_PL_BPO_Armstrong_Detailed_FTE Deployment v4_Finance Input Template V6 1 Sep 2" xfId="46840"/>
    <cellStyle name="_PL_BPO_Armstrong_Detailed_FTE Deployment v4_Finance Input Template V6 1 Sep 3" xfId="46841"/>
    <cellStyle name="_PL_BPO_Armstrong_Detailed_FTE Deployment v5" xfId="46842"/>
    <cellStyle name="_PL_BPO_Armstrong_Detailed_FTE Deployment v5 2" xfId="46843"/>
    <cellStyle name="_PL_BPO_Armstrong_Detailed_FTE Deployment v5 3" xfId="46844"/>
    <cellStyle name="_PL_BPO_Armstrong_Detailed_FTE Deployment v5_Advanstar Financials 24 July" xfId="46845"/>
    <cellStyle name="_PL_BPO_Armstrong_Detailed_FTE Deployment v5_Advanstar Financials 24 July 2" xfId="46846"/>
    <cellStyle name="_PL_BPO_Armstrong_Detailed_FTE Deployment v5_Advanstar Financials 24 July 3" xfId="46847"/>
    <cellStyle name="_PL_BPO_Armstrong_Detailed_FTE Deployment v5_Advanstar Financials 24 July v1" xfId="46848"/>
    <cellStyle name="_PL_BPO_Armstrong_Detailed_FTE Deployment v5_Advanstar Financials 24 July v1 2" xfId="46849"/>
    <cellStyle name="_PL_BPO_Armstrong_Detailed_FTE Deployment v5_Advanstar Financials 24 July v1 3" xfId="46850"/>
    <cellStyle name="_PL_BPO_Armstrong_Detailed_FTE Deployment v5_Finance Input Template V6 1 Sep" xfId="46851"/>
    <cellStyle name="_PL_BPO_Armstrong_Detailed_FTE Deployment v5_Finance Input Template V6 1 Sep 2" xfId="46852"/>
    <cellStyle name="_PL_BPO_Armstrong_Detailed_FTE Deployment v5_Finance Input Template V6 1 Sep 3" xfId="46853"/>
    <cellStyle name="_PL_BPO_Armstrong_Detailed_Newspaper degitation" xfId="46854"/>
    <cellStyle name="_PL_BPO_Armstrong_Detailed_Newspaper degitation 2" xfId="46855"/>
    <cellStyle name="_PL_BPO_Armstrong_Detailed_Newspaper degitation 3" xfId="46856"/>
    <cellStyle name="_PL_BPO_Armstrong_Detailed_PB Carveout" xfId="46857"/>
    <cellStyle name="_PL_BPO_Armstrong_Detailed_PB Carveout 2" xfId="46858"/>
    <cellStyle name="_PL_BPO_Armstrong_Detailed_PB Carveout 3" xfId="46859"/>
    <cellStyle name="_PL_BPO_Armstrong_Detailed_PB Carveout_Advanstar Financials 24 July" xfId="46860"/>
    <cellStyle name="_PL_BPO_Armstrong_Detailed_PB Carveout_Advanstar Financials 24 July 2" xfId="46861"/>
    <cellStyle name="_PL_BPO_Armstrong_Detailed_PB Carveout_Advanstar Financials 24 July 3" xfId="46862"/>
    <cellStyle name="_PL_BPO_Armstrong_Detailed_PB Carveout_Advanstar Financials 24 July v1" xfId="46863"/>
    <cellStyle name="_PL_BPO_Armstrong_Detailed_PB Carveout_Advanstar Financials 24 July v1 2" xfId="46864"/>
    <cellStyle name="_PL_BPO_Armstrong_Detailed_PB Carveout_Advanstar Financials 24 July v1 3" xfId="46865"/>
    <cellStyle name="_PL_BPO_Armstrong_Detailed_PB Carveout_Advanstar Financials 24 July v1_Adv_8oct_Sub Ver 12(4)" xfId="46866"/>
    <cellStyle name="_PL_BPO_Armstrong_Detailed_PB Carveout_Advanstar Financials 24 July v1_Adv_8oct_Sub Ver 12(4) 2" xfId="46867"/>
    <cellStyle name="_PL_BPO_Armstrong_Detailed_PB Carveout_Advanstar Financials 24 July v1_Adv_8oct_Sub Ver 12(4) 3" xfId="46868"/>
    <cellStyle name="_PL_BPO_Armstrong_Detailed_PB Carveout_Advanstar Financials 24 July v1_File for Circulation with Volume Discount Revised" xfId="46869"/>
    <cellStyle name="_PL_BPO_Armstrong_Detailed_PB Carveout_Advanstar Financials 24 July v1_File for Circulation with Volume Discount Revised 2" xfId="46870"/>
    <cellStyle name="_PL_BPO_Armstrong_Detailed_PB Carveout_Advanstar Financials 24 July v1_File for Circulation with Volume Discount Revised 3" xfId="46871"/>
    <cellStyle name="_PL_BPO_Armstrong_Detailed_PB Carveout_Advanstar Financials 24 July v1_HR Assumptions for Pricing2" xfId="46872"/>
    <cellStyle name="_PL_BPO_Armstrong_Detailed_PB Carveout_Advanstar Financials 24 July v1_HR Assumptions for Pricing2 2" xfId="46873"/>
    <cellStyle name="_PL_BPO_Armstrong_Detailed_PB Carveout_Advanstar Financials 24 July v1_HR Assumptions for Pricing2 3" xfId="46874"/>
    <cellStyle name="_PL_BPO_Armstrong_Detailed_PB Carveout_Advanstar Financials 24 July_Adv_8oct_Sub Ver 12(4)" xfId="46875"/>
    <cellStyle name="_PL_BPO_Armstrong_Detailed_PB Carveout_Advanstar Financials 24 July_Adv_8oct_Sub Ver 12(4) 2" xfId="46876"/>
    <cellStyle name="_PL_BPO_Armstrong_Detailed_PB Carveout_Advanstar Financials 24 July_Adv_8oct_Sub Ver 12(4) 3" xfId="46877"/>
    <cellStyle name="_PL_BPO_Armstrong_Detailed_PB Carveout_Advanstar Financials 24 July_File for Circulation with Volume Discount Revised" xfId="46878"/>
    <cellStyle name="_PL_BPO_Armstrong_Detailed_PB Carveout_Advanstar Financials 24 July_File for Circulation with Volume Discount Revised 2" xfId="46879"/>
    <cellStyle name="_PL_BPO_Armstrong_Detailed_PB Carveout_Advanstar Financials 24 July_File for Circulation with Volume Discount Revised 3" xfId="46880"/>
    <cellStyle name="_PL_BPO_Armstrong_Detailed_PB Carveout_Advanstar Financials 24 July_HR Assumptions for Pricing2" xfId="46881"/>
    <cellStyle name="_PL_BPO_Armstrong_Detailed_PB Carveout_Advanstar Financials 24 July_HR Assumptions for Pricing2 2" xfId="46882"/>
    <cellStyle name="_PL_BPO_Armstrong_Detailed_PB Carveout_Advanstar Financials 24 July_HR Assumptions for Pricing2 3" xfId="46883"/>
    <cellStyle name="_PL_BPO_Armstrong_Detailed_PB Carveout_HR Workings Break-up (2)" xfId="46884"/>
    <cellStyle name="_PL_BPO_Armstrong_Detailed_PB Carveout_HR Workings Break-up (2) 2" xfId="46885"/>
    <cellStyle name="_PL_BPO_Armstrong_Detailed_PB Carveout_HR Workings Break-up (2) 3" xfId="46886"/>
    <cellStyle name="_PL_BPO_Armstrong_Detailed_PB Carveout_HR Workings Break-up (2)_Adv_8oct_Sub Ver 12(4)" xfId="46887"/>
    <cellStyle name="_PL_BPO_Armstrong_Detailed_PB Carveout_HR Workings Break-up (2)_Adv_8oct_Sub Ver 12(4) 2" xfId="46888"/>
    <cellStyle name="_PL_BPO_Armstrong_Detailed_PB Carveout_HR Workings Break-up (2)_Adv_8oct_Sub Ver 12(4) 3" xfId="46889"/>
    <cellStyle name="_PL_BPO_Armstrong_Detailed_PB Carveout_HR Workings Break-up (2)_File for Circulation with Volume Discount Revised" xfId="46890"/>
    <cellStyle name="_PL_BPO_Armstrong_Detailed_PB Carveout_HR Workings Break-up (2)_File for Circulation with Volume Discount Revised 2" xfId="46891"/>
    <cellStyle name="_PL_BPO_Armstrong_Detailed_PB Carveout_HR Workings Break-up (2)_File for Circulation with Volume Discount Revised 3" xfId="46892"/>
    <cellStyle name="_PL_BPO_Armstrong_Detailed_PB Carveout_HR Workings Break-up (2)_HR Assumptions for Pricing2" xfId="46893"/>
    <cellStyle name="_PL_BPO_Armstrong_Detailed_PB Carveout_HR Workings Break-up (2)_HR Assumptions for Pricing2 2" xfId="46894"/>
    <cellStyle name="_PL_BPO_Armstrong_Detailed_PB Carveout_HR Workings Break-up (2)_HR Assumptions for Pricing2 3" xfId="46895"/>
    <cellStyle name="_PL_BPO_Armstrong_Detailed_PB Carveout_Ramp Plan _ RDA_Editorial" xfId="46896"/>
    <cellStyle name="_PL_BPO_Armstrong_Detailed_PB Carveout_Ramp Plan _ RDA_Editorial 2" xfId="46897"/>
    <cellStyle name="_PL_BPO_Armstrong_Detailed_PB Carveout_Ramp Plan _ RDA_Editorial 3" xfId="46898"/>
    <cellStyle name="_PL_BPO_Armstrong_Detailed_PB Carveout_Ramp Plan _ RDA_Editorial_Adv_8oct_Sub Ver 12(4)" xfId="46899"/>
    <cellStyle name="_PL_BPO_Armstrong_Detailed_PB Carveout_Ramp Plan _ RDA_Editorial_Adv_8oct_Sub Ver 12(4) 2" xfId="46900"/>
    <cellStyle name="_PL_BPO_Armstrong_Detailed_PB Carveout_Ramp Plan _ RDA_Editorial_Adv_8oct_Sub Ver 12(4) 3" xfId="46901"/>
    <cellStyle name="_PL_BPO_Armstrong_Detailed_PB Carveout_Ramp Plan _ RDA_Editorial_File for Circulation with Volume Discount Revised" xfId="46902"/>
    <cellStyle name="_PL_BPO_Armstrong_Detailed_PB Carveout_Ramp Plan _ RDA_Editorial_File for Circulation with Volume Discount Revised 2" xfId="46903"/>
    <cellStyle name="_PL_BPO_Armstrong_Detailed_PB Carveout_Ramp Plan _ RDA_Editorial_File for Circulation with Volume Discount Revised 3" xfId="46904"/>
    <cellStyle name="_PL_BPO_Armstrong_Detailed_PB Carveout_Ramp Plan _ RDA_Editorial_HR Assumptions for Pricing2" xfId="46905"/>
    <cellStyle name="_PL_BPO_Armstrong_Detailed_PB Carveout_Ramp Plan _ RDA_Editorial_HR Assumptions for Pricing2 2" xfId="46906"/>
    <cellStyle name="_PL_BPO_Armstrong_Detailed_PB Carveout_Ramp Plan _ RDA_Editorial_HR Assumptions for Pricing2 3" xfId="46907"/>
    <cellStyle name="_PL_BPO_Armstrong_Detailed_Pricing Norway Post2" xfId="46908"/>
    <cellStyle name="_PL_BPO_Armstrong_Detailed_Pricing Norway Post2 2" xfId="46909"/>
    <cellStyle name="_PL_BPO_Armstrong_Detailed_Pricing Norway Post2 3" xfId="46910"/>
    <cellStyle name="_PL_BPO_Armstrong_Detailed_Salary Rate Card_v1 0" xfId="46911"/>
    <cellStyle name="_PL_BPO_Armstrong_Detailed_Salary Rate Card_v1 0 2" xfId="46912"/>
    <cellStyle name="_PL_BPO_Armstrong_Detailed_Salary Rate Card_v1 0 3" xfId="46913"/>
    <cellStyle name="_PL_BPO_Armstrong_Detailed_Seat Cost calculation 150110 SkyIt" xfId="46914"/>
    <cellStyle name="_PL_BPO_Armstrong_Detailed_Seat Cost calculation 150110 SkyIt 2" xfId="46915"/>
    <cellStyle name="_PL_BPO_Armstrong_Detailed_Seat Cost calculation 150110 SkyIt 3" xfId="46916"/>
    <cellStyle name="_PL_BPO_Armstrong_Detailed_UMG Financial Model - Apps V 2.0" xfId="46917"/>
    <cellStyle name="_PL_BPO_Armstrong_Detailed_UMG Financial Model - Apps V 2.0 2" xfId="46918"/>
    <cellStyle name="_PL_BPO_Armstrong_Detailed_UMG Financial Model - Apps V 2.0 3" xfId="46919"/>
    <cellStyle name="_PL_BPO_Armstrong_Detailed_UMG_ Pricing Model - Final" xfId="46920"/>
    <cellStyle name="_PL_BPO_Armstrong_Detailed_UMG_ Pricing Model - Final 2" xfId="46921"/>
    <cellStyle name="_PL_BPO_Armstrong_Detailed_UMG_ Pricing Model - Final 3" xfId="46922"/>
    <cellStyle name="_Plan document workings (final submission)" xfId="46923"/>
    <cellStyle name="_Plan document workings (final submission) 2" xfId="46924"/>
    <cellStyle name="_Plan document workings (final submission) 3" xfId="46925"/>
    <cellStyle name="_PLC LBE for Mar 09 v0.1" xfId="46926"/>
    <cellStyle name="_PLC LBE for Mar 09 v0.1 2" xfId="46927"/>
    <cellStyle name="_PMB Aug 05 (2)" xfId="46928"/>
    <cellStyle name="_PMB Aug 05 (2) 2" xfId="46929"/>
    <cellStyle name="_PMB Aug 05 (2) 3" xfId="46930"/>
    <cellStyle name="_PMB July Billing1 (9)" xfId="46931"/>
    <cellStyle name="_PMB July Billing1 (9) 2" xfId="46932"/>
    <cellStyle name="_PMB July Billing1 (9) 3" xfId="46933"/>
    <cellStyle name="_PMB June Billing (5)" xfId="46934"/>
    <cellStyle name="_PMB June Billing (5) 2" xfId="46935"/>
    <cellStyle name="_PMB June Billing (5) 3" xfId="46936"/>
    <cellStyle name="_PMB Sept1(Project)" xfId="46937"/>
    <cellStyle name="_PMB Sept1(Project) 2" xfId="46938"/>
    <cellStyle name="_PMB Sept1(Project) 3" xfId="46939"/>
    <cellStyle name="_Poland Rate Working" xfId="46940"/>
    <cellStyle name="_Poland Rate Working 2" xfId="46941"/>
    <cellStyle name="_x0013__Power" xfId="46942"/>
    <cellStyle name="_x0013__Power 2" xfId="46943"/>
    <cellStyle name="_x0013__Power_1" xfId="46944"/>
    <cellStyle name="_x0013__Power_1 2" xfId="46945"/>
    <cellStyle name="_price2" xfId="46946"/>
    <cellStyle name="_price2 2" xfId="46947"/>
    <cellStyle name="_Pricing Sky Italia" xfId="46948"/>
    <cellStyle name="_pricing SKY Italia  -" xfId="46949"/>
    <cellStyle name="_pricing SKY Italia  - 2" xfId="46950"/>
    <cellStyle name="_pricing SKY Italia  - 3" xfId="46951"/>
    <cellStyle name="_Pricing Sky Italia 2" xfId="46952"/>
    <cellStyle name="_Pricing template_STW_Revised" xfId="46953"/>
    <cellStyle name="_Pricing template_STW_Revised 2" xfId="46954"/>
    <cellStyle name="_Pricing template_STW_Revised 3" xfId="46955"/>
    <cellStyle name="_Pricing work back- CPW" xfId="46956"/>
    <cellStyle name="_Pricing work back- CPW 2" xfId="46957"/>
    <cellStyle name="_Pricing_Sun_2404" xfId="46958"/>
    <cellStyle name="_Pricing_Sun_2404 2" xfId="46959"/>
    <cellStyle name="_Production Plan calculations Water with £1,9m challenge v2" xfId="46960"/>
    <cellStyle name="_Production Plan calculations Water with £1,9m challenge v2 2" xfId="46961"/>
    <cellStyle name="_Production Plan calculations Water with £1,9m challenge v2 3" xfId="46962"/>
    <cellStyle name="_Production Plans for Paul.v2" xfId="46963"/>
    <cellStyle name="_Production Plans for Paul.v2 2" xfId="46964"/>
    <cellStyle name="_Production Plans for Paul.v2 3" xfId="46965"/>
    <cellStyle name="_Production Plans for Paul.v2 4" xfId="46966"/>
    <cellStyle name="_Production Plans for Paul.v3" xfId="46967"/>
    <cellStyle name="_Production Plans for Paul.v3 2" xfId="46968"/>
    <cellStyle name="_Production Plans for Paul.v3 3" xfId="46969"/>
    <cellStyle name="_Production Plans for Paul.v3 4" xfId="46970"/>
    <cellStyle name="_Project Specifications_SFA-HE-2001 9 (2)" xfId="46971"/>
    <cellStyle name="_Project Specifications_SFA-HE-2001 9 (2) 2" xfId="46972"/>
    <cellStyle name="_Project Specifications_SFA-HE-2001 9 (2) 3" xfId="46973"/>
    <cellStyle name="_Project Specifications_SFA-HE-2001 9 (2)_Adapt response DC Pricing Format (2)" xfId="46974"/>
    <cellStyle name="_Project Specifications_SFA-HE-2001 9 (2)_Adapt response DC Pricing Format (2) 2" xfId="46975"/>
    <cellStyle name="_Project Specifications_SFA-HE-2001 9 (2)_Adapt response DC Pricing Format (2) 3" xfId="46976"/>
    <cellStyle name="_Project Specifications_SFA-HE-2001 9 (2)_Advanstar Financials" xfId="46977"/>
    <cellStyle name="_Project Specifications_SFA-HE-2001 9 (2)_Advanstar Financials 2" xfId="46978"/>
    <cellStyle name="_Project Specifications_SFA-HE-2001 9 (2)_Advanstar Financials 24 July" xfId="46979"/>
    <cellStyle name="_Project Specifications_SFA-HE-2001 9 (2)_Advanstar Financials 24 July 2" xfId="46980"/>
    <cellStyle name="_Project Specifications_SFA-HE-2001 9 (2)_Advanstar Financials 24 July 3" xfId="46981"/>
    <cellStyle name="_Project Specifications_SFA-HE-2001 9 (2)_Advanstar Financials 24 July v1" xfId="46982"/>
    <cellStyle name="_Project Specifications_SFA-HE-2001 9 (2)_Advanstar Financials 24 July v1 2" xfId="46983"/>
    <cellStyle name="_Project Specifications_SFA-HE-2001 9 (2)_Advanstar Financials 24 July v1 3" xfId="46984"/>
    <cellStyle name="_Project Specifications_SFA-HE-2001 9 (2)_Advanstar Financials 24 July v1_Adv_8oct_Sub Ver 12(4)" xfId="46985"/>
    <cellStyle name="_Project Specifications_SFA-HE-2001 9 (2)_Advanstar Financials 24 July v1_Adv_8oct_Sub Ver 12(4) 2" xfId="46986"/>
    <cellStyle name="_Project Specifications_SFA-HE-2001 9 (2)_Advanstar Financials 24 July v1_Adv_8oct_Sub Ver 12(4) 3" xfId="46987"/>
    <cellStyle name="_Project Specifications_SFA-HE-2001 9 (2)_Advanstar Financials 24 July v1_File for Circulation with Volume Discount Revised" xfId="46988"/>
    <cellStyle name="_Project Specifications_SFA-HE-2001 9 (2)_Advanstar Financials 24 July v1_File for Circulation with Volume Discount Revised 2" xfId="46989"/>
    <cellStyle name="_Project Specifications_SFA-HE-2001 9 (2)_Advanstar Financials 24 July v1_File for Circulation with Volume Discount Revised 3" xfId="46990"/>
    <cellStyle name="_Project Specifications_SFA-HE-2001 9 (2)_Advanstar Financials 24 July v1_HR Assumptions for Pricing2" xfId="46991"/>
    <cellStyle name="_Project Specifications_SFA-HE-2001 9 (2)_Advanstar Financials 24 July v1_HR Assumptions for Pricing2 2" xfId="46992"/>
    <cellStyle name="_Project Specifications_SFA-HE-2001 9 (2)_Advanstar Financials 24 July v1_HR Assumptions for Pricing2 3" xfId="46993"/>
    <cellStyle name="_Project Specifications_SFA-HE-2001 9 (2)_Advanstar Financials 24 July_Adv_8oct_Sub Ver 12(4)" xfId="46994"/>
    <cellStyle name="_Project Specifications_SFA-HE-2001 9 (2)_Advanstar Financials 24 July_Adv_8oct_Sub Ver 12(4) 2" xfId="46995"/>
    <cellStyle name="_Project Specifications_SFA-HE-2001 9 (2)_Advanstar Financials 24 July_Adv_8oct_Sub Ver 12(4) 3" xfId="46996"/>
    <cellStyle name="_Project Specifications_SFA-HE-2001 9 (2)_Advanstar Financials 24 July_File for Circulation with Volume Discount Revised" xfId="46997"/>
    <cellStyle name="_Project Specifications_SFA-HE-2001 9 (2)_Advanstar Financials 24 July_File for Circulation with Volume Discount Revised 2" xfId="46998"/>
    <cellStyle name="_Project Specifications_SFA-HE-2001 9 (2)_Advanstar Financials 24 July_File for Circulation with Volume Discount Revised 3" xfId="46999"/>
    <cellStyle name="_Project Specifications_SFA-HE-2001 9 (2)_Advanstar Financials 24 July_HR Assumptions for Pricing2" xfId="47000"/>
    <cellStyle name="_Project Specifications_SFA-HE-2001 9 (2)_Advanstar Financials 24 July_HR Assumptions for Pricing2 2" xfId="47001"/>
    <cellStyle name="_Project Specifications_SFA-HE-2001 9 (2)_Advanstar Financials 24 July_HR Assumptions for Pricing2 3" xfId="47002"/>
    <cellStyle name="_Project Specifications_SFA-HE-2001 9 (2)_Advanstar Financials 3" xfId="47003"/>
    <cellStyle name="_Project Specifications_SFA-HE-2001 9 (2)_Advanstar Financials_Adv_8oct_Sub Ver 12(4)" xfId="47004"/>
    <cellStyle name="_Project Specifications_SFA-HE-2001 9 (2)_Advanstar Financials_Adv_8oct_Sub Ver 12(4) 2" xfId="47005"/>
    <cellStyle name="_Project Specifications_SFA-HE-2001 9 (2)_Advanstar Financials_Adv_8oct_Sub Ver 12(4) 3" xfId="47006"/>
    <cellStyle name="_Project Specifications_SFA-HE-2001 9 (2)_Advanstar Financials_File for Circulation with Volume Discount Revised" xfId="47007"/>
    <cellStyle name="_Project Specifications_SFA-HE-2001 9 (2)_Advanstar Financials_File for Circulation with Volume Discount Revised 2" xfId="47008"/>
    <cellStyle name="_Project Specifications_SFA-HE-2001 9 (2)_Advanstar Financials_File for Circulation with Volume Discount Revised 3" xfId="47009"/>
    <cellStyle name="_Project Specifications_SFA-HE-2001 9 (2)_Advanstar Financials_HR Assumptions for Pricing2" xfId="47010"/>
    <cellStyle name="_Project Specifications_SFA-HE-2001 9 (2)_Advanstar Financials_HR Assumptions for Pricing2 2" xfId="47011"/>
    <cellStyle name="_Project Specifications_SFA-HE-2001 9 (2)_Advanstar Financials_HR Assumptions for Pricing2 3" xfId="47012"/>
    <cellStyle name="_Project Specifications_SFA-HE-2001 9 (2)_Finance Input Template" xfId="47013"/>
    <cellStyle name="_Project Specifications_SFA-HE-2001 9 (2)_Finance Input Template 2" xfId="47014"/>
    <cellStyle name="_Project Specifications_SFA-HE-2001 9 (2)_Finance Input Template 3" xfId="47015"/>
    <cellStyle name="_Project Specifications_SFA-HE-2001 9 (2)_Finance Input Template_Adv_8oct_Sub Ver 12(4)" xfId="47016"/>
    <cellStyle name="_Project Specifications_SFA-HE-2001 9 (2)_Finance Input Template_Adv_8oct_Sub Ver 12(4) 2" xfId="47017"/>
    <cellStyle name="_Project Specifications_SFA-HE-2001 9 (2)_Finance Input Template_Adv_8oct_Sub Ver 12(4) 3" xfId="47018"/>
    <cellStyle name="_Project Specifications_SFA-HE-2001 9 (2)_Finance Input Template_File for Circulation with Volume Discount Revised" xfId="47019"/>
    <cellStyle name="_Project Specifications_SFA-HE-2001 9 (2)_Finance Input Template_File for Circulation with Volume Discount Revised 2" xfId="47020"/>
    <cellStyle name="_Project Specifications_SFA-HE-2001 9 (2)_Finance Input Template_File for Circulation with Volume Discount Revised 3" xfId="47021"/>
    <cellStyle name="_Project Specifications_SFA-HE-2001 9 (2)_Finance Input Template_HR Assumptions for Pricing2" xfId="47022"/>
    <cellStyle name="_Project Specifications_SFA-HE-2001 9 (2)_Finance Input Template_HR Assumptions for Pricing2 2" xfId="47023"/>
    <cellStyle name="_Project Specifications_SFA-HE-2001 9 (2)_Finance Input Template_HR Assumptions for Pricing2 3" xfId="47024"/>
    <cellStyle name="_Project Specifications_SFA-HE-2001 9 (2)_Financials Preston Offshoring V11" xfId="47025"/>
    <cellStyle name="_Project Specifications_SFA-HE-2001 9 (2)_Financials Preston Offshoring V11 2" xfId="47026"/>
    <cellStyle name="_Project Specifications_SFA-HE-2001 9 (2)_Financials Preston Offshoring V11 3" xfId="47027"/>
    <cellStyle name="_Project Specifications_SFA-HE-2001 9 (2)_Financials Preston Offshoring V11_Advanstar Financials 24 July" xfId="47028"/>
    <cellStyle name="_Project Specifications_SFA-HE-2001 9 (2)_Financials Preston Offshoring V11_Advanstar Financials 24 July 2" xfId="47029"/>
    <cellStyle name="_Project Specifications_SFA-HE-2001 9 (2)_Financials Preston Offshoring V11_Advanstar Financials 24 July 3" xfId="47030"/>
    <cellStyle name="_Project Specifications_SFA-HE-2001 9 (2)_Financials Preston Offshoring V11_Advanstar Financials 24 July v1" xfId="47031"/>
    <cellStyle name="_Project Specifications_SFA-HE-2001 9 (2)_Financials Preston Offshoring V11_Advanstar Financials 24 July v1 2" xfId="47032"/>
    <cellStyle name="_Project Specifications_SFA-HE-2001 9 (2)_Financials Preston Offshoring V11_Advanstar Financials 24 July v1 3" xfId="47033"/>
    <cellStyle name="_Project Specifications_SFA-HE-2001 9 (2)_Financials Preston Offshoring V11_Advanstar Financials 24 July v1_Adv_8oct_Sub Ver 12(4)" xfId="47034"/>
    <cellStyle name="_Project Specifications_SFA-HE-2001 9 (2)_Financials Preston Offshoring V11_Advanstar Financials 24 July v1_Adv_8oct_Sub Ver 12(4) 2" xfId="47035"/>
    <cellStyle name="_Project Specifications_SFA-HE-2001 9 (2)_Financials Preston Offshoring V11_Advanstar Financials 24 July v1_Adv_8oct_Sub Ver 12(4) 3" xfId="47036"/>
    <cellStyle name="_Project Specifications_SFA-HE-2001 9 (2)_Financials Preston Offshoring V11_Advanstar Financials 24 July v1_File for Circulation with Volume Discount Revised" xfId="47037"/>
    <cellStyle name="_Project Specifications_SFA-HE-2001 9 (2)_Financials Preston Offshoring V11_Advanstar Financials 24 July v1_File for Circulation with Volume Discount Revised 2" xfId="47038"/>
    <cellStyle name="_Project Specifications_SFA-HE-2001 9 (2)_Financials Preston Offshoring V11_Advanstar Financials 24 July v1_File for Circulation with Volume Discount Revised 3" xfId="47039"/>
    <cellStyle name="_Project Specifications_SFA-HE-2001 9 (2)_Financials Preston Offshoring V11_Advanstar Financials 24 July v1_HR Assumptions for Pricing2" xfId="47040"/>
    <cellStyle name="_Project Specifications_SFA-HE-2001 9 (2)_Financials Preston Offshoring V11_Advanstar Financials 24 July v1_HR Assumptions for Pricing2 2" xfId="47041"/>
    <cellStyle name="_Project Specifications_SFA-HE-2001 9 (2)_Financials Preston Offshoring V11_Advanstar Financials 24 July v1_HR Assumptions for Pricing2 3" xfId="47042"/>
    <cellStyle name="_Project Specifications_SFA-HE-2001 9 (2)_Financials Preston Offshoring V11_Advanstar Financials 24 July_Adv_8oct_Sub Ver 12(4)" xfId="47043"/>
    <cellStyle name="_Project Specifications_SFA-HE-2001 9 (2)_Financials Preston Offshoring V11_Advanstar Financials 24 July_Adv_8oct_Sub Ver 12(4) 2" xfId="47044"/>
    <cellStyle name="_Project Specifications_SFA-HE-2001 9 (2)_Financials Preston Offshoring V11_Advanstar Financials 24 July_Adv_8oct_Sub Ver 12(4) 3" xfId="47045"/>
    <cellStyle name="_Project Specifications_SFA-HE-2001 9 (2)_Financials Preston Offshoring V11_Advanstar Financials 24 July_File for Circulation with Volume Discount Revised" xfId="47046"/>
    <cellStyle name="_Project Specifications_SFA-HE-2001 9 (2)_Financials Preston Offshoring V11_Advanstar Financials 24 July_File for Circulation with Volume Discount Revised 2" xfId="47047"/>
    <cellStyle name="_Project Specifications_SFA-HE-2001 9 (2)_Financials Preston Offshoring V11_Advanstar Financials 24 July_File for Circulation with Volume Discount Revised 3" xfId="47048"/>
    <cellStyle name="_Project Specifications_SFA-HE-2001 9 (2)_Financials Preston Offshoring V11_Advanstar Financials 24 July_HR Assumptions for Pricing2" xfId="47049"/>
    <cellStyle name="_Project Specifications_SFA-HE-2001 9 (2)_Financials Preston Offshoring V11_Advanstar Financials 24 July_HR Assumptions for Pricing2 2" xfId="47050"/>
    <cellStyle name="_Project Specifications_SFA-HE-2001 9 (2)_Financials Preston Offshoring V11_Advanstar Financials 24 July_HR Assumptions for Pricing2 3" xfId="47051"/>
    <cellStyle name="_Project Specifications_SFA-HE-2001 9 (2)_Financials Preston Offshoring V11_HR Workings Break-up (2)" xfId="47052"/>
    <cellStyle name="_Project Specifications_SFA-HE-2001 9 (2)_Financials Preston Offshoring V11_HR Workings Break-up (2) 2" xfId="47053"/>
    <cellStyle name="_Project Specifications_SFA-HE-2001 9 (2)_Financials Preston Offshoring V11_HR Workings Break-up (2) 3" xfId="47054"/>
    <cellStyle name="_Project Specifications_SFA-HE-2001 9 (2)_Financials Preston Offshoring V11_HR Workings Break-up (2)_Adv_8oct_Sub Ver 12(4)" xfId="47055"/>
    <cellStyle name="_Project Specifications_SFA-HE-2001 9 (2)_Financials Preston Offshoring V11_HR Workings Break-up (2)_Adv_8oct_Sub Ver 12(4) 2" xfId="47056"/>
    <cellStyle name="_Project Specifications_SFA-HE-2001 9 (2)_Financials Preston Offshoring V11_HR Workings Break-up (2)_Adv_8oct_Sub Ver 12(4) 3" xfId="47057"/>
    <cellStyle name="_Project Specifications_SFA-HE-2001 9 (2)_Financials Preston Offshoring V11_HR Workings Break-up (2)_File for Circulation with Volume Discount Revised" xfId="47058"/>
    <cellStyle name="_Project Specifications_SFA-HE-2001 9 (2)_Financials Preston Offshoring V11_HR Workings Break-up (2)_File for Circulation with Volume Discount Revised 2" xfId="47059"/>
    <cellStyle name="_Project Specifications_SFA-HE-2001 9 (2)_Financials Preston Offshoring V11_HR Workings Break-up (2)_File for Circulation with Volume Discount Revised 3" xfId="47060"/>
    <cellStyle name="_Project Specifications_SFA-HE-2001 9 (2)_Financials Preston Offshoring V11_HR Workings Break-up (2)_HR Assumptions for Pricing2" xfId="47061"/>
    <cellStyle name="_Project Specifications_SFA-HE-2001 9 (2)_Financials Preston Offshoring V11_HR Workings Break-up (2)_HR Assumptions for Pricing2 2" xfId="47062"/>
    <cellStyle name="_Project Specifications_SFA-HE-2001 9 (2)_Financials Preston Offshoring V11_HR Workings Break-up (2)_HR Assumptions for Pricing2 3" xfId="47063"/>
    <cellStyle name="_Project Specifications_SFA-HE-2001 9 (2)_Financials Preston Offshoring V11_Ramp Plan _ RDA_Editorial" xfId="47064"/>
    <cellStyle name="_Project Specifications_SFA-HE-2001 9 (2)_Financials Preston Offshoring V11_Ramp Plan _ RDA_Editorial 2" xfId="47065"/>
    <cellStyle name="_Project Specifications_SFA-HE-2001 9 (2)_Financials Preston Offshoring V11_Ramp Plan _ RDA_Editorial 3" xfId="47066"/>
    <cellStyle name="_Project Specifications_SFA-HE-2001 9 (2)_Financials Preston Offshoring V11_Ramp Plan _ RDA_Editorial_Adv_8oct_Sub Ver 12(4)" xfId="47067"/>
    <cellStyle name="_Project Specifications_SFA-HE-2001 9 (2)_Financials Preston Offshoring V11_Ramp Plan _ RDA_Editorial_Adv_8oct_Sub Ver 12(4) 2" xfId="47068"/>
    <cellStyle name="_Project Specifications_SFA-HE-2001 9 (2)_Financials Preston Offshoring V11_Ramp Plan _ RDA_Editorial_Adv_8oct_Sub Ver 12(4) 3" xfId="47069"/>
    <cellStyle name="_Project Specifications_SFA-HE-2001 9 (2)_Financials Preston Offshoring V11_Ramp Plan _ RDA_Editorial_File for Circulation with Volume Discount Revised" xfId="47070"/>
    <cellStyle name="_Project Specifications_SFA-HE-2001 9 (2)_Financials Preston Offshoring V11_Ramp Plan _ RDA_Editorial_File for Circulation with Volume Discount Revised 2" xfId="47071"/>
    <cellStyle name="_Project Specifications_SFA-HE-2001 9 (2)_Financials Preston Offshoring V11_Ramp Plan _ RDA_Editorial_File for Circulation with Volume Discount Revised 3" xfId="47072"/>
    <cellStyle name="_Project Specifications_SFA-HE-2001 9 (2)_Financials Preston Offshoring V11_Ramp Plan _ RDA_Editorial_HR Assumptions for Pricing2" xfId="47073"/>
    <cellStyle name="_Project Specifications_SFA-HE-2001 9 (2)_Financials Preston Offshoring V11_Ramp Plan _ RDA_Editorial_HR Assumptions for Pricing2 2" xfId="47074"/>
    <cellStyle name="_Project Specifications_SFA-HE-2001 9 (2)_Financials Preston Offshoring V11_Ramp Plan _ RDA_Editorial_HR Assumptions for Pricing2 3" xfId="47075"/>
    <cellStyle name="_Project Specifications_SFA-HE-2001 9 (2)_FTE Deployment v4" xfId="47076"/>
    <cellStyle name="_Project Specifications_SFA-HE-2001 9 (2)_FTE Deployment v4 2" xfId="47077"/>
    <cellStyle name="_Project Specifications_SFA-HE-2001 9 (2)_FTE Deployment v4 3" xfId="47078"/>
    <cellStyle name="_Project Specifications_SFA-HE-2001 9 (2)_FTE Deployment v4 ramp plan" xfId="47079"/>
    <cellStyle name="_Project Specifications_SFA-HE-2001 9 (2)_FTE Deployment v4 ramp plan 2" xfId="47080"/>
    <cellStyle name="_Project Specifications_SFA-HE-2001 9 (2)_FTE Deployment v4 ramp plan 3" xfId="47081"/>
    <cellStyle name="_Project Specifications_SFA-HE-2001 9 (2)_FTE Deployment v4 ramp plan_Advanstar Financials 24 July" xfId="47082"/>
    <cellStyle name="_Project Specifications_SFA-HE-2001 9 (2)_FTE Deployment v4 ramp plan_Advanstar Financials 24 July 2" xfId="47083"/>
    <cellStyle name="_Project Specifications_SFA-HE-2001 9 (2)_FTE Deployment v4 ramp plan_Advanstar Financials 24 July 3" xfId="47084"/>
    <cellStyle name="_Project Specifications_SFA-HE-2001 9 (2)_FTE Deployment v4 ramp plan_Advanstar Financials 24 July v1" xfId="47085"/>
    <cellStyle name="_Project Specifications_SFA-HE-2001 9 (2)_FTE Deployment v4 ramp plan_Advanstar Financials 24 July v1 2" xfId="47086"/>
    <cellStyle name="_Project Specifications_SFA-HE-2001 9 (2)_FTE Deployment v4 ramp plan_Advanstar Financials 24 July v1 3" xfId="47087"/>
    <cellStyle name="_Project Specifications_SFA-HE-2001 9 (2)_FTE Deployment v4 ramp plan_Finance Input Template V6 1 Sep" xfId="47088"/>
    <cellStyle name="_Project Specifications_SFA-HE-2001 9 (2)_FTE Deployment v4 ramp plan_Finance Input Template V6 1 Sep 2" xfId="47089"/>
    <cellStyle name="_Project Specifications_SFA-HE-2001 9 (2)_FTE Deployment v4 ramp plan_Finance Input Template V6 1 Sep 3" xfId="47090"/>
    <cellStyle name="_Project Specifications_SFA-HE-2001 9 (2)_FTE Deployment v4_Advanstar Financials 24 July" xfId="47091"/>
    <cellStyle name="_Project Specifications_SFA-HE-2001 9 (2)_FTE Deployment v4_Advanstar Financials 24 July 2" xfId="47092"/>
    <cellStyle name="_Project Specifications_SFA-HE-2001 9 (2)_FTE Deployment v4_Advanstar Financials 24 July 3" xfId="47093"/>
    <cellStyle name="_Project Specifications_SFA-HE-2001 9 (2)_FTE Deployment v4_Advanstar Financials 24 July v1" xfId="47094"/>
    <cellStyle name="_Project Specifications_SFA-HE-2001 9 (2)_FTE Deployment v4_Advanstar Financials 24 July v1 2" xfId="47095"/>
    <cellStyle name="_Project Specifications_SFA-HE-2001 9 (2)_FTE Deployment v4_Advanstar Financials 24 July v1 3" xfId="47096"/>
    <cellStyle name="_Project Specifications_SFA-HE-2001 9 (2)_FTE Deployment v4_Finance Input Template V6 1 Sep" xfId="47097"/>
    <cellStyle name="_Project Specifications_SFA-HE-2001 9 (2)_FTE Deployment v4_Finance Input Template V6 1 Sep 2" xfId="47098"/>
    <cellStyle name="_Project Specifications_SFA-HE-2001 9 (2)_FTE Deployment v4_Finance Input Template V6 1 Sep 3" xfId="47099"/>
    <cellStyle name="_Project Specifications_SFA-HE-2001 9 (2)_FTE Deployment v5" xfId="47100"/>
    <cellStyle name="_Project Specifications_SFA-HE-2001 9 (2)_FTE Deployment v5 2" xfId="47101"/>
    <cellStyle name="_Project Specifications_SFA-HE-2001 9 (2)_FTE Deployment v5 3" xfId="47102"/>
    <cellStyle name="_Project Specifications_SFA-HE-2001 9 (2)_FTE Deployment v5_Advanstar Financials 24 July" xfId="47103"/>
    <cellStyle name="_Project Specifications_SFA-HE-2001 9 (2)_FTE Deployment v5_Advanstar Financials 24 July 2" xfId="47104"/>
    <cellStyle name="_Project Specifications_SFA-HE-2001 9 (2)_FTE Deployment v5_Advanstar Financials 24 July 3" xfId="47105"/>
    <cellStyle name="_Project Specifications_SFA-HE-2001 9 (2)_FTE Deployment v5_Advanstar Financials 24 July v1" xfId="47106"/>
    <cellStyle name="_Project Specifications_SFA-HE-2001 9 (2)_FTE Deployment v5_Advanstar Financials 24 July v1 2" xfId="47107"/>
    <cellStyle name="_Project Specifications_SFA-HE-2001 9 (2)_FTE Deployment v5_Advanstar Financials 24 July v1 3" xfId="47108"/>
    <cellStyle name="_Project Specifications_SFA-HE-2001 9 (2)_FTE Deployment v5_Finance Input Template V6 1 Sep" xfId="47109"/>
    <cellStyle name="_Project Specifications_SFA-HE-2001 9 (2)_FTE Deployment v5_Finance Input Template V6 1 Sep 2" xfId="47110"/>
    <cellStyle name="_Project Specifications_SFA-HE-2001 9 (2)_FTE Deployment v5_Finance Input Template V6 1 Sep 3" xfId="47111"/>
    <cellStyle name="_Project Specifications_SFA-HE-2001 9 (2)_Newspaper degitation" xfId="47112"/>
    <cellStyle name="_Project Specifications_SFA-HE-2001 9 (2)_Newspaper degitation 2" xfId="47113"/>
    <cellStyle name="_Project Specifications_SFA-HE-2001 9 (2)_Newspaper degitation 3" xfId="47114"/>
    <cellStyle name="_Project Specifications_SFA-HE-2001 9 (2)_PB Carveout" xfId="47115"/>
    <cellStyle name="_Project Specifications_SFA-HE-2001 9 (2)_PB Carveout 2" xfId="47116"/>
    <cellStyle name="_Project Specifications_SFA-HE-2001 9 (2)_PB Carveout 3" xfId="47117"/>
    <cellStyle name="_Project Specifications_SFA-HE-2001 9 (2)_PB Carveout_Advanstar Financials 24 July" xfId="47118"/>
    <cellStyle name="_Project Specifications_SFA-HE-2001 9 (2)_PB Carveout_Advanstar Financials 24 July 2" xfId="47119"/>
    <cellStyle name="_Project Specifications_SFA-HE-2001 9 (2)_PB Carveout_Advanstar Financials 24 July 3" xfId="47120"/>
    <cellStyle name="_Project Specifications_SFA-HE-2001 9 (2)_PB Carveout_Advanstar Financials 24 July v1" xfId="47121"/>
    <cellStyle name="_Project Specifications_SFA-HE-2001 9 (2)_PB Carveout_Advanstar Financials 24 July v1 2" xfId="47122"/>
    <cellStyle name="_Project Specifications_SFA-HE-2001 9 (2)_PB Carveout_Advanstar Financials 24 July v1 3" xfId="47123"/>
    <cellStyle name="_Project Specifications_SFA-HE-2001 9 (2)_PB Carveout_Advanstar Financials 24 July v1_Adv_8oct_Sub Ver 12(4)" xfId="47124"/>
    <cellStyle name="_Project Specifications_SFA-HE-2001 9 (2)_PB Carveout_Advanstar Financials 24 July v1_Adv_8oct_Sub Ver 12(4) 2" xfId="47125"/>
    <cellStyle name="_Project Specifications_SFA-HE-2001 9 (2)_PB Carveout_Advanstar Financials 24 July v1_Adv_8oct_Sub Ver 12(4) 3" xfId="47126"/>
    <cellStyle name="_Project Specifications_SFA-HE-2001 9 (2)_PB Carveout_Advanstar Financials 24 July v1_File for Circulation with Volume Discount Revised" xfId="47127"/>
    <cellStyle name="_Project Specifications_SFA-HE-2001 9 (2)_PB Carveout_Advanstar Financials 24 July v1_File for Circulation with Volume Discount Revised 2" xfId="47128"/>
    <cellStyle name="_Project Specifications_SFA-HE-2001 9 (2)_PB Carveout_Advanstar Financials 24 July v1_File for Circulation with Volume Discount Revised 3" xfId="47129"/>
    <cellStyle name="_Project Specifications_SFA-HE-2001 9 (2)_PB Carveout_Advanstar Financials 24 July v1_HR Assumptions for Pricing2" xfId="47130"/>
    <cellStyle name="_Project Specifications_SFA-HE-2001 9 (2)_PB Carveout_Advanstar Financials 24 July v1_HR Assumptions for Pricing2 2" xfId="47131"/>
    <cellStyle name="_Project Specifications_SFA-HE-2001 9 (2)_PB Carveout_Advanstar Financials 24 July v1_HR Assumptions for Pricing2 3" xfId="47132"/>
    <cellStyle name="_Project Specifications_SFA-HE-2001 9 (2)_PB Carveout_Advanstar Financials 24 July_Adv_8oct_Sub Ver 12(4)" xfId="47133"/>
    <cellStyle name="_Project Specifications_SFA-HE-2001 9 (2)_PB Carveout_Advanstar Financials 24 July_Adv_8oct_Sub Ver 12(4) 2" xfId="47134"/>
    <cellStyle name="_Project Specifications_SFA-HE-2001 9 (2)_PB Carveout_Advanstar Financials 24 July_Adv_8oct_Sub Ver 12(4) 3" xfId="47135"/>
    <cellStyle name="_Project Specifications_SFA-HE-2001 9 (2)_PB Carveout_Advanstar Financials 24 July_File for Circulation with Volume Discount Revised" xfId="47136"/>
    <cellStyle name="_Project Specifications_SFA-HE-2001 9 (2)_PB Carveout_Advanstar Financials 24 July_File for Circulation with Volume Discount Revised 2" xfId="47137"/>
    <cellStyle name="_Project Specifications_SFA-HE-2001 9 (2)_PB Carveout_Advanstar Financials 24 July_File for Circulation with Volume Discount Revised 3" xfId="47138"/>
    <cellStyle name="_Project Specifications_SFA-HE-2001 9 (2)_PB Carveout_Advanstar Financials 24 July_HR Assumptions for Pricing2" xfId="47139"/>
    <cellStyle name="_Project Specifications_SFA-HE-2001 9 (2)_PB Carveout_Advanstar Financials 24 July_HR Assumptions for Pricing2 2" xfId="47140"/>
    <cellStyle name="_Project Specifications_SFA-HE-2001 9 (2)_PB Carveout_Advanstar Financials 24 July_HR Assumptions for Pricing2 3" xfId="47141"/>
    <cellStyle name="_Project Specifications_SFA-HE-2001 9 (2)_PB Carveout_HR Workings Break-up (2)" xfId="47142"/>
    <cellStyle name="_Project Specifications_SFA-HE-2001 9 (2)_PB Carveout_HR Workings Break-up (2) 2" xfId="47143"/>
    <cellStyle name="_Project Specifications_SFA-HE-2001 9 (2)_PB Carveout_HR Workings Break-up (2) 3" xfId="47144"/>
    <cellStyle name="_Project Specifications_SFA-HE-2001 9 (2)_PB Carveout_HR Workings Break-up (2)_Adv_8oct_Sub Ver 12(4)" xfId="47145"/>
    <cellStyle name="_Project Specifications_SFA-HE-2001 9 (2)_PB Carveout_HR Workings Break-up (2)_Adv_8oct_Sub Ver 12(4) 2" xfId="47146"/>
    <cellStyle name="_Project Specifications_SFA-HE-2001 9 (2)_PB Carveout_HR Workings Break-up (2)_Adv_8oct_Sub Ver 12(4) 3" xfId="47147"/>
    <cellStyle name="_Project Specifications_SFA-HE-2001 9 (2)_PB Carveout_HR Workings Break-up (2)_File for Circulation with Volume Discount Revised" xfId="47148"/>
    <cellStyle name="_Project Specifications_SFA-HE-2001 9 (2)_PB Carveout_HR Workings Break-up (2)_File for Circulation with Volume Discount Revised 2" xfId="47149"/>
    <cellStyle name="_Project Specifications_SFA-HE-2001 9 (2)_PB Carveout_HR Workings Break-up (2)_File for Circulation with Volume Discount Revised 3" xfId="47150"/>
    <cellStyle name="_Project Specifications_SFA-HE-2001 9 (2)_PB Carveout_HR Workings Break-up (2)_HR Assumptions for Pricing2" xfId="47151"/>
    <cellStyle name="_Project Specifications_SFA-HE-2001 9 (2)_PB Carveout_HR Workings Break-up (2)_HR Assumptions for Pricing2 2" xfId="47152"/>
    <cellStyle name="_Project Specifications_SFA-HE-2001 9 (2)_PB Carveout_HR Workings Break-up (2)_HR Assumptions for Pricing2 3" xfId="47153"/>
    <cellStyle name="_Project Specifications_SFA-HE-2001 9 (2)_PB Carveout_Ramp Plan _ RDA_Editorial" xfId="47154"/>
    <cellStyle name="_Project Specifications_SFA-HE-2001 9 (2)_PB Carveout_Ramp Plan _ RDA_Editorial 2" xfId="47155"/>
    <cellStyle name="_Project Specifications_SFA-HE-2001 9 (2)_PB Carveout_Ramp Plan _ RDA_Editorial 3" xfId="47156"/>
    <cellStyle name="_Project Specifications_SFA-HE-2001 9 (2)_PB Carveout_Ramp Plan _ RDA_Editorial_Adv_8oct_Sub Ver 12(4)" xfId="47157"/>
    <cellStyle name="_Project Specifications_SFA-HE-2001 9 (2)_PB Carveout_Ramp Plan _ RDA_Editorial_Adv_8oct_Sub Ver 12(4) 2" xfId="47158"/>
    <cellStyle name="_Project Specifications_SFA-HE-2001 9 (2)_PB Carveout_Ramp Plan _ RDA_Editorial_Adv_8oct_Sub Ver 12(4) 3" xfId="47159"/>
    <cellStyle name="_Project Specifications_SFA-HE-2001 9 (2)_PB Carveout_Ramp Plan _ RDA_Editorial_File for Circulation with Volume Discount Revised" xfId="47160"/>
    <cellStyle name="_Project Specifications_SFA-HE-2001 9 (2)_PB Carveout_Ramp Plan _ RDA_Editorial_File for Circulation with Volume Discount Revised 2" xfId="47161"/>
    <cellStyle name="_Project Specifications_SFA-HE-2001 9 (2)_PB Carveout_Ramp Plan _ RDA_Editorial_File for Circulation with Volume Discount Revised 3" xfId="47162"/>
    <cellStyle name="_Project Specifications_SFA-HE-2001 9 (2)_PB Carveout_Ramp Plan _ RDA_Editorial_HR Assumptions for Pricing2" xfId="47163"/>
    <cellStyle name="_Project Specifications_SFA-HE-2001 9 (2)_PB Carveout_Ramp Plan _ RDA_Editorial_HR Assumptions for Pricing2 2" xfId="47164"/>
    <cellStyle name="_Project Specifications_SFA-HE-2001 9 (2)_PB Carveout_Ramp Plan _ RDA_Editorial_HR Assumptions for Pricing2 3" xfId="47165"/>
    <cellStyle name="_Project Specifications_SFA-HE-2001 9 (2)_Pricing Norway Post2" xfId="47166"/>
    <cellStyle name="_Project Specifications_SFA-HE-2001 9 (2)_Pricing Norway Post2 2" xfId="47167"/>
    <cellStyle name="_Project Specifications_SFA-HE-2001 9 (2)_Pricing Norway Post2 3" xfId="47168"/>
    <cellStyle name="_Project Specifications_SFA-HE-2001 9 (2)_Salary Rate Card_v1 0" xfId="47169"/>
    <cellStyle name="_Project Specifications_SFA-HE-2001 9 (2)_Salary Rate Card_v1 0 2" xfId="47170"/>
    <cellStyle name="_Project Specifications_SFA-HE-2001 9 (2)_Salary Rate Card_v1 0 3" xfId="47171"/>
    <cellStyle name="_Project Specifications_SFA-HE-2001 9 (2)_Seat Cost calculation 150110 SkyIt" xfId="47172"/>
    <cellStyle name="_Project Specifications_SFA-HE-2001 9 (2)_Seat Cost calculation 150110 SkyIt 2" xfId="47173"/>
    <cellStyle name="_Project Specifications_SFA-HE-2001 9 (2)_Seat Cost calculation 150110 SkyIt 3" xfId="47174"/>
    <cellStyle name="_Project Specifications_SFA-HE-2001 9 (2)_UMG Financial Model - Apps V 2.0" xfId="47175"/>
    <cellStyle name="_Project Specifications_SFA-HE-2001 9 (2)_UMG Financial Model - Apps V 2.0 2" xfId="47176"/>
    <cellStyle name="_Project Specifications_SFA-HE-2001 9 (2)_UMG Financial Model - Apps V 2.0 3" xfId="47177"/>
    <cellStyle name="_Project Specifications_SFA-HE-2001 9 (2)_UMG_ Pricing Model - Final" xfId="47178"/>
    <cellStyle name="_Project Specifications_SFA-HE-2001 9 (2)_UMG_ Pricing Model - Final 2" xfId="47179"/>
    <cellStyle name="_Project Specifications_SFA-HE-2001 9 (2)_UMG_ Pricing Model - Final 3" xfId="47180"/>
    <cellStyle name="_Promise 3 - Broadband &amp; NV" xfId="47181"/>
    <cellStyle name="_Promise 3 - Broadband &amp; NV 2" xfId="47182"/>
    <cellStyle name="_Promise 3 - Broadband &amp; NV 3" xfId="47183"/>
    <cellStyle name="_Promise 3 - Business Sales" xfId="47184"/>
    <cellStyle name="_Promise 3 - Business Sales 2" xfId="47185"/>
    <cellStyle name="_Promise 3 - Business Sales 3" xfId="47186"/>
    <cellStyle name="_Promise 3 - Consumer Sales" xfId="47187"/>
    <cellStyle name="_Promise 3 - Consumer Sales 2" xfId="47188"/>
    <cellStyle name="_Promise 3 - Consumer Sales 3" xfId="47189"/>
    <cellStyle name="_Promise 3 - OA" xfId="47190"/>
    <cellStyle name="_Promise 3 - OA 2" xfId="47191"/>
    <cellStyle name="_Promise 3 - OA 3" xfId="47192"/>
    <cellStyle name="_Promise 3 - Repair" xfId="47193"/>
    <cellStyle name="_Promise 3 - Repair 2" xfId="47194"/>
    <cellStyle name="_Promise 3 - Repair 3" xfId="47195"/>
    <cellStyle name="_Promise 3 - Svce &amp; Billing" xfId="47196"/>
    <cellStyle name="_Promise 3 - Svce &amp; Billing 2" xfId="47197"/>
    <cellStyle name="_Promise 3 - Svce &amp; Billing 3" xfId="47198"/>
    <cellStyle name="_Promises Made Q1" xfId="47199"/>
    <cellStyle name="_Promises Made Q1 2" xfId="47200"/>
    <cellStyle name="_Promises Made Q1 3" xfId="47201"/>
    <cellStyle name="_Promises Made Q1 v1d" xfId="47202"/>
    <cellStyle name="_Promises Made Q1 v1d 2" xfId="47203"/>
    <cellStyle name="_Promises Made Q1 v1d 3" xfId="47204"/>
    <cellStyle name="_Property CBS income 11-12" xfId="47205"/>
    <cellStyle name="_Property CBS income 11-12 2" xfId="47206"/>
    <cellStyle name="_Property CBS income 11-12 2 2" xfId="47207"/>
    <cellStyle name="_Property CBS income 11-12 2 3" xfId="47208"/>
    <cellStyle name="_Property CBS income 11-12 3" xfId="47209"/>
    <cellStyle name="_Property CBS income 11-12_Employment costs" xfId="47210"/>
    <cellStyle name="_Property CBS income 11-12_Employment costs 2" xfId="47211"/>
    <cellStyle name="_Property CBS income 11-12_Employment costs_1" xfId="47212"/>
    <cellStyle name="_Property CBS income 11-12_Employment costs_1 2" xfId="47213"/>
    <cellStyle name="_Property CBS income 11-12_Employment costs_2" xfId="47214"/>
    <cellStyle name="_Property CBS income 11-12_Employment costs_2 2" xfId="47215"/>
    <cellStyle name="_Property CBS income 11-12_Management Structure" xfId="47216"/>
    <cellStyle name="_Property CBS income 11-12_Management Structure 2" xfId="47217"/>
    <cellStyle name="_Property CBS income 11-12_Management Structure_1" xfId="47218"/>
    <cellStyle name="_Property CBS income 11-12_Management Structure_1 2" xfId="47219"/>
    <cellStyle name="_Property CBS income 11-12_Ops contracts" xfId="47220"/>
    <cellStyle name="_Property CBS income 11-12_Ops contracts 2" xfId="47221"/>
    <cellStyle name="_Property CBS income 11-12_Ops contracts_1" xfId="47222"/>
    <cellStyle name="_Property CBS income 11-12_Ops contracts_1 2" xfId="47223"/>
    <cellStyle name="_Property CBS income 11-12_Ops contracts_2" xfId="47224"/>
    <cellStyle name="_Property CBS income 11-12_Ops contracts_2 2" xfId="47225"/>
    <cellStyle name="_Property CBS income 11-12_Power" xfId="47226"/>
    <cellStyle name="_Property CBS income 11-12_Power 2" xfId="47227"/>
    <cellStyle name="_Property CBS income 11-12_Power_1" xfId="47228"/>
    <cellStyle name="_Property CBS income 11-12_Power_1 2" xfId="47229"/>
    <cellStyle name="_Property CBS income 11-12_Sheet1" xfId="47230"/>
    <cellStyle name="_Property CBS income 11-12_Sheet1 2" xfId="47231"/>
    <cellStyle name="_Property CBS income 11-12_TWUL_TOT_UKGAAP" xfId="47232"/>
    <cellStyle name="_Property CBS income 11-12_TWUL_TOT_UKGAAP 2" xfId="47233"/>
    <cellStyle name="_Property CBS income 11-12_TWUL_TOT_UKGAAP_1" xfId="47234"/>
    <cellStyle name="_Property CBS income 11-12_TWUL_TOT_UKGAAP_1 2" xfId="47235"/>
    <cellStyle name="_Property Insight Business Plan 2011-12 draftv2" xfId="47236"/>
    <cellStyle name="_Property Insight Business Plan 2011-12 draftv2 2" xfId="47237"/>
    <cellStyle name="_Property Insight Business Plan 2011-12 draftv2 2 2" xfId="47238"/>
    <cellStyle name="_Property Insight Business Plan 2011-12 draftv2 2 3" xfId="47239"/>
    <cellStyle name="_Property Insight Business Plan 2011-12 draftv2 3" xfId="47240"/>
    <cellStyle name="_Property Insight Business Plan 2011-12 draftv2_Employment costs" xfId="47241"/>
    <cellStyle name="_Property Insight Business Plan 2011-12 draftv2_Employment costs 2" xfId="47242"/>
    <cellStyle name="_Property Insight Business Plan 2011-12 draftv2_Employment costs_1" xfId="47243"/>
    <cellStyle name="_Property Insight Business Plan 2011-12 draftv2_Employment costs_1 2" xfId="47244"/>
    <cellStyle name="_Property Insight Business Plan 2011-12 draftv2_Employment costs_2" xfId="47245"/>
    <cellStyle name="_Property Insight Business Plan 2011-12 draftv2_Employment costs_2 2" xfId="47246"/>
    <cellStyle name="_Property Insight Business Plan 2011-12 draftv2_Management Structure" xfId="47247"/>
    <cellStyle name="_Property Insight Business Plan 2011-12 draftv2_Management Structure 2" xfId="47248"/>
    <cellStyle name="_Property Insight Business Plan 2011-12 draftv2_Management Structure_1" xfId="47249"/>
    <cellStyle name="_Property Insight Business Plan 2011-12 draftv2_Management Structure_1 2" xfId="47250"/>
    <cellStyle name="_Property Insight Business Plan 2011-12 draftv2_Ops contracts" xfId="47251"/>
    <cellStyle name="_Property Insight Business Plan 2011-12 draftv2_Ops contracts 2" xfId="47252"/>
    <cellStyle name="_Property Insight Business Plan 2011-12 draftv2_Ops contracts_1" xfId="47253"/>
    <cellStyle name="_Property Insight Business Plan 2011-12 draftv2_Ops contracts_1 2" xfId="47254"/>
    <cellStyle name="_Property Insight Business Plan 2011-12 draftv2_Ops contracts_2" xfId="47255"/>
    <cellStyle name="_Property Insight Business Plan 2011-12 draftv2_Ops contracts_2 2" xfId="47256"/>
    <cellStyle name="_Property Insight Business Plan 2011-12 draftv2_Power" xfId="47257"/>
    <cellStyle name="_Property Insight Business Plan 2011-12 draftv2_Power 2" xfId="47258"/>
    <cellStyle name="_Property Insight Business Plan 2011-12 draftv2_Power_1" xfId="47259"/>
    <cellStyle name="_Property Insight Business Plan 2011-12 draftv2_Power_1 2" xfId="47260"/>
    <cellStyle name="_Property Insight Business Plan 2011-12 draftv2_Sheet1" xfId="47261"/>
    <cellStyle name="_Property Insight Business Plan 2011-12 draftv2_Sheet1 2" xfId="47262"/>
    <cellStyle name="_Property Insight Business Plan 2011-12 draftv2_TWUL_TOT_UKGAAP" xfId="47263"/>
    <cellStyle name="_Property Insight Business Plan 2011-12 draftv2_TWUL_TOT_UKGAAP 2" xfId="47264"/>
    <cellStyle name="_Property Insight Business Plan 2011-12 draftv2_TWUL_TOT_UKGAAP_1" xfId="47265"/>
    <cellStyle name="_Property Insight Business Plan 2011-12 draftv2_TWUL_TOT_UKGAAP_1 2" xfId="47266"/>
    <cellStyle name="_x0013__Property_Facilities" xfId="47267"/>
    <cellStyle name="_x0013__Property_Facilities 2" xfId="47268"/>
    <cellStyle name="_x0013__Property_Facilities_1" xfId="47269"/>
    <cellStyle name="_x0013__Property_Facilities_1 2" xfId="47270"/>
    <cellStyle name="_x0013__PropertyDisposals" xfId="47271"/>
    <cellStyle name="_x0013__PropertyDisposals 2" xfId="47272"/>
    <cellStyle name="_x0013__PropFacilitiesNonApp" xfId="47273"/>
    <cellStyle name="_x0013__PropFacilitiesNonApp 2" xfId="47274"/>
    <cellStyle name="_x0013__PropFacilitiesNonApp_1" xfId="47275"/>
    <cellStyle name="_x0013__PropFacilitiesNonApp_1 2" xfId="47276"/>
    <cellStyle name="_x0013__PropSearch_Home" xfId="47277"/>
    <cellStyle name="_x0013__PropSearch_Home 2" xfId="47278"/>
    <cellStyle name="_x0013__PropSearch_Home_1" xfId="47279"/>
    <cellStyle name="_x0013__PropSearch_Home_1 2" xfId="47280"/>
    <cellStyle name="_PS &amp; HS Billing Budget 2012-13 300911" xfId="47281"/>
    <cellStyle name="_PS &amp; HS Billing Budget 2012-13 300911 2" xfId="47282"/>
    <cellStyle name="_PS Services UMG" xfId="47283"/>
    <cellStyle name="_PS Services UMG 2" xfId="47284"/>
    <cellStyle name="_PS Services UMG 3" xfId="47285"/>
    <cellStyle name="_PTC BOM (shared)" xfId="47286"/>
    <cellStyle name="_PTC BOM (shared) 2" xfId="47287"/>
    <cellStyle name="_PTC Infra pricing submitted 3 y" xfId="47288"/>
    <cellStyle name="_PTC Infra pricing submitted 3 y 2" xfId="47289"/>
    <cellStyle name="_PTC Infra pricing submitted 3 y 3" xfId="47290"/>
    <cellStyle name="_Q1 MOS CCCWPR Template" xfId="47291"/>
    <cellStyle name="_Q1 MOS CCCWPR Template 2" xfId="47292"/>
    <cellStyle name="_Q1 MOS CCCWPR Template 3" xfId="47293"/>
    <cellStyle name="_Q1 SPI Version 1" xfId="47294"/>
    <cellStyle name="_Q1 SPI Version 1 2" xfId="47295"/>
    <cellStyle name="_Q1 SPI Version 1 3" xfId="47296"/>
    <cellStyle name="_Q2 BTBB CCCWPR Template" xfId="47297"/>
    <cellStyle name="_Q2 BTBB CCCWPR Template (v)" xfId="47298"/>
    <cellStyle name="_Q2 BTBB CCCWPR Template (v) 2" xfId="47299"/>
    <cellStyle name="_Q2 BTBB CCCWPR Template (v) 3" xfId="47300"/>
    <cellStyle name="_Q2 BTBB CCCWPR Template 2" xfId="47301"/>
    <cellStyle name="_Q2 BTBB CCCWPR Template 3" xfId="47302"/>
    <cellStyle name="_Q2 BTBB CCCWPR Template 4" xfId="47303"/>
    <cellStyle name="_Q2 BTBB CCCWPR Template 5" xfId="47304"/>
    <cellStyle name="_Q2 BTBB CCCWPR Template 6" xfId="47305"/>
    <cellStyle name="_Q2 MOS UK Calculator (V)" xfId="47306"/>
    <cellStyle name="_Q2 MOS UK Calculator (V) 2" xfId="47307"/>
    <cellStyle name="_Q2 MOS UK Calculator (V) 3" xfId="47308"/>
    <cellStyle name="_Q2RF 2010 5+7 - IS draft (v3.7)" xfId="47309"/>
    <cellStyle name="_Q2RF 2010 5+7 - IS draft (v3.7) 2" xfId="47310"/>
    <cellStyle name="_Q4 SPI Version 5" xfId="47311"/>
    <cellStyle name="_Q4 SPI Version 5 2" xfId="47312"/>
    <cellStyle name="_Q4 SPI Version 5 3" xfId="47313"/>
    <cellStyle name="_QnA (2)" xfId="47314"/>
    <cellStyle name="_QnA (2) 2" xfId="47315"/>
    <cellStyle name="_QnA (2) 3" xfId="47316"/>
    <cellStyle name="_QnA (2)_Adapt response DC Pricing Format (2)" xfId="47317"/>
    <cellStyle name="_QnA (2)_Adapt response DC Pricing Format (2) 2" xfId="47318"/>
    <cellStyle name="_QnA (2)_Adapt response DC Pricing Format (2) 3" xfId="47319"/>
    <cellStyle name="_QnA (2)_Advanstar Financials" xfId="47320"/>
    <cellStyle name="_QnA (2)_Advanstar Financials 2" xfId="47321"/>
    <cellStyle name="_QnA (2)_Advanstar Financials 24 July" xfId="47322"/>
    <cellStyle name="_QnA (2)_Advanstar Financials 24 July 2" xfId="47323"/>
    <cellStyle name="_QnA (2)_Advanstar Financials 24 July 3" xfId="47324"/>
    <cellStyle name="_QnA (2)_Advanstar Financials 24 July v1" xfId="47325"/>
    <cellStyle name="_QnA (2)_Advanstar Financials 24 July v1 2" xfId="47326"/>
    <cellStyle name="_QnA (2)_Advanstar Financials 24 July v1 3" xfId="47327"/>
    <cellStyle name="_QnA (2)_Advanstar Financials 24 July v1_Adv_8oct_Sub Ver 12(4)" xfId="47328"/>
    <cellStyle name="_QnA (2)_Advanstar Financials 24 July v1_Adv_8oct_Sub Ver 12(4) 2" xfId="47329"/>
    <cellStyle name="_QnA (2)_Advanstar Financials 24 July v1_Adv_8oct_Sub Ver 12(4) 3" xfId="47330"/>
    <cellStyle name="_QnA (2)_Advanstar Financials 24 July v1_File for Circulation with Volume Discount Revised" xfId="47331"/>
    <cellStyle name="_QnA (2)_Advanstar Financials 24 July v1_File for Circulation with Volume Discount Revised 2" xfId="47332"/>
    <cellStyle name="_QnA (2)_Advanstar Financials 24 July v1_File for Circulation with Volume Discount Revised 3" xfId="47333"/>
    <cellStyle name="_QnA (2)_Advanstar Financials 24 July v1_HR Assumptions for Pricing2" xfId="47334"/>
    <cellStyle name="_QnA (2)_Advanstar Financials 24 July v1_HR Assumptions for Pricing2 2" xfId="47335"/>
    <cellStyle name="_QnA (2)_Advanstar Financials 24 July v1_HR Assumptions for Pricing2 3" xfId="47336"/>
    <cellStyle name="_QnA (2)_Advanstar Financials 24 July_Adv_8oct_Sub Ver 12(4)" xfId="47337"/>
    <cellStyle name="_QnA (2)_Advanstar Financials 24 July_Adv_8oct_Sub Ver 12(4) 2" xfId="47338"/>
    <cellStyle name="_QnA (2)_Advanstar Financials 24 July_Adv_8oct_Sub Ver 12(4) 3" xfId="47339"/>
    <cellStyle name="_QnA (2)_Advanstar Financials 24 July_File for Circulation with Volume Discount Revised" xfId="47340"/>
    <cellStyle name="_QnA (2)_Advanstar Financials 24 July_File for Circulation with Volume Discount Revised 2" xfId="47341"/>
    <cellStyle name="_QnA (2)_Advanstar Financials 24 July_File for Circulation with Volume Discount Revised 3" xfId="47342"/>
    <cellStyle name="_QnA (2)_Advanstar Financials 24 July_HR Assumptions for Pricing2" xfId="47343"/>
    <cellStyle name="_QnA (2)_Advanstar Financials 24 July_HR Assumptions for Pricing2 2" xfId="47344"/>
    <cellStyle name="_QnA (2)_Advanstar Financials 24 July_HR Assumptions for Pricing2 3" xfId="47345"/>
    <cellStyle name="_QnA (2)_Advanstar Financials 3" xfId="47346"/>
    <cellStyle name="_QnA (2)_Advanstar Financials_Adv_8oct_Sub Ver 12(4)" xfId="47347"/>
    <cellStyle name="_QnA (2)_Advanstar Financials_Adv_8oct_Sub Ver 12(4) 2" xfId="47348"/>
    <cellStyle name="_QnA (2)_Advanstar Financials_Adv_8oct_Sub Ver 12(4) 3" xfId="47349"/>
    <cellStyle name="_QnA (2)_Advanstar Financials_File for Circulation with Volume Discount Revised" xfId="47350"/>
    <cellStyle name="_QnA (2)_Advanstar Financials_File for Circulation with Volume Discount Revised 2" xfId="47351"/>
    <cellStyle name="_QnA (2)_Advanstar Financials_File for Circulation with Volume Discount Revised 3" xfId="47352"/>
    <cellStyle name="_QnA (2)_Advanstar Financials_HR Assumptions for Pricing2" xfId="47353"/>
    <cellStyle name="_QnA (2)_Advanstar Financials_HR Assumptions for Pricing2 2" xfId="47354"/>
    <cellStyle name="_QnA (2)_Advanstar Financials_HR Assumptions for Pricing2 3" xfId="47355"/>
    <cellStyle name="_QnA (2)_Finance Input Template" xfId="47356"/>
    <cellStyle name="_QnA (2)_Finance Input Template 2" xfId="47357"/>
    <cellStyle name="_QnA (2)_Finance Input Template 3" xfId="47358"/>
    <cellStyle name="_QnA (2)_Finance Input Template_Adv_8oct_Sub Ver 12(4)" xfId="47359"/>
    <cellStyle name="_QnA (2)_Finance Input Template_Adv_8oct_Sub Ver 12(4) 2" xfId="47360"/>
    <cellStyle name="_QnA (2)_Finance Input Template_Adv_8oct_Sub Ver 12(4) 3" xfId="47361"/>
    <cellStyle name="_QnA (2)_Finance Input Template_File for Circulation with Volume Discount Revised" xfId="47362"/>
    <cellStyle name="_QnA (2)_Finance Input Template_File for Circulation with Volume Discount Revised 2" xfId="47363"/>
    <cellStyle name="_QnA (2)_Finance Input Template_File for Circulation with Volume Discount Revised 3" xfId="47364"/>
    <cellStyle name="_QnA (2)_Finance Input Template_HR Assumptions for Pricing2" xfId="47365"/>
    <cellStyle name="_QnA (2)_Finance Input Template_HR Assumptions for Pricing2 2" xfId="47366"/>
    <cellStyle name="_QnA (2)_Finance Input Template_HR Assumptions for Pricing2 3" xfId="47367"/>
    <cellStyle name="_QnA (2)_Financials Preston Offshoring V11" xfId="47368"/>
    <cellStyle name="_QnA (2)_Financials Preston Offshoring V11 2" xfId="47369"/>
    <cellStyle name="_QnA (2)_Financials Preston Offshoring V11 3" xfId="47370"/>
    <cellStyle name="_QnA (2)_Financials Preston Offshoring V11_Advanstar Financials 24 July" xfId="47371"/>
    <cellStyle name="_QnA (2)_Financials Preston Offshoring V11_Advanstar Financials 24 July 2" xfId="47372"/>
    <cellStyle name="_QnA (2)_Financials Preston Offshoring V11_Advanstar Financials 24 July 3" xfId="47373"/>
    <cellStyle name="_QnA (2)_Financials Preston Offshoring V11_Advanstar Financials 24 July v1" xfId="47374"/>
    <cellStyle name="_QnA (2)_Financials Preston Offshoring V11_Advanstar Financials 24 July v1 2" xfId="47375"/>
    <cellStyle name="_QnA (2)_Financials Preston Offshoring V11_Advanstar Financials 24 July v1 3" xfId="47376"/>
    <cellStyle name="_QnA (2)_Financials Preston Offshoring V11_Advanstar Financials 24 July v1_Adv_8oct_Sub Ver 12(4)" xfId="47377"/>
    <cellStyle name="_QnA (2)_Financials Preston Offshoring V11_Advanstar Financials 24 July v1_Adv_8oct_Sub Ver 12(4) 2" xfId="47378"/>
    <cellStyle name="_QnA (2)_Financials Preston Offshoring V11_Advanstar Financials 24 July v1_Adv_8oct_Sub Ver 12(4) 3" xfId="47379"/>
    <cellStyle name="_QnA (2)_Financials Preston Offshoring V11_Advanstar Financials 24 July v1_File for Circulation with Volume Discount Revised" xfId="47380"/>
    <cellStyle name="_QnA (2)_Financials Preston Offshoring V11_Advanstar Financials 24 July v1_File for Circulation with Volume Discount Revised 2" xfId="47381"/>
    <cellStyle name="_QnA (2)_Financials Preston Offshoring V11_Advanstar Financials 24 July v1_File for Circulation with Volume Discount Revised 3" xfId="47382"/>
    <cellStyle name="_QnA (2)_Financials Preston Offshoring V11_Advanstar Financials 24 July v1_HR Assumptions for Pricing2" xfId="47383"/>
    <cellStyle name="_QnA (2)_Financials Preston Offshoring V11_Advanstar Financials 24 July v1_HR Assumptions for Pricing2 2" xfId="47384"/>
    <cellStyle name="_QnA (2)_Financials Preston Offshoring V11_Advanstar Financials 24 July v1_HR Assumptions for Pricing2 3" xfId="47385"/>
    <cellStyle name="_QnA (2)_Financials Preston Offshoring V11_Advanstar Financials 24 July_Adv_8oct_Sub Ver 12(4)" xfId="47386"/>
    <cellStyle name="_QnA (2)_Financials Preston Offshoring V11_Advanstar Financials 24 July_Adv_8oct_Sub Ver 12(4) 2" xfId="47387"/>
    <cellStyle name="_QnA (2)_Financials Preston Offshoring V11_Advanstar Financials 24 July_Adv_8oct_Sub Ver 12(4) 3" xfId="47388"/>
    <cellStyle name="_QnA (2)_Financials Preston Offshoring V11_Advanstar Financials 24 July_File for Circulation with Volume Discount Revised" xfId="47389"/>
    <cellStyle name="_QnA (2)_Financials Preston Offshoring V11_Advanstar Financials 24 July_File for Circulation with Volume Discount Revised 2" xfId="47390"/>
    <cellStyle name="_QnA (2)_Financials Preston Offshoring V11_Advanstar Financials 24 July_File for Circulation with Volume Discount Revised 3" xfId="47391"/>
    <cellStyle name="_QnA (2)_Financials Preston Offshoring V11_Advanstar Financials 24 July_HR Assumptions for Pricing2" xfId="47392"/>
    <cellStyle name="_QnA (2)_Financials Preston Offshoring V11_Advanstar Financials 24 July_HR Assumptions for Pricing2 2" xfId="47393"/>
    <cellStyle name="_QnA (2)_Financials Preston Offshoring V11_Advanstar Financials 24 July_HR Assumptions for Pricing2 3" xfId="47394"/>
    <cellStyle name="_QnA (2)_Financials Preston Offshoring V11_HR Workings Break-up (2)" xfId="47395"/>
    <cellStyle name="_QnA (2)_Financials Preston Offshoring V11_HR Workings Break-up (2) 2" xfId="47396"/>
    <cellStyle name="_QnA (2)_Financials Preston Offshoring V11_HR Workings Break-up (2) 3" xfId="47397"/>
    <cellStyle name="_QnA (2)_Financials Preston Offshoring V11_HR Workings Break-up (2)_Adv_8oct_Sub Ver 12(4)" xfId="47398"/>
    <cellStyle name="_QnA (2)_Financials Preston Offshoring V11_HR Workings Break-up (2)_Adv_8oct_Sub Ver 12(4) 2" xfId="47399"/>
    <cellStyle name="_QnA (2)_Financials Preston Offshoring V11_HR Workings Break-up (2)_Adv_8oct_Sub Ver 12(4) 3" xfId="47400"/>
    <cellStyle name="_QnA (2)_Financials Preston Offshoring V11_HR Workings Break-up (2)_File for Circulation with Volume Discount Revised" xfId="47401"/>
    <cellStyle name="_QnA (2)_Financials Preston Offshoring V11_HR Workings Break-up (2)_File for Circulation with Volume Discount Revised 2" xfId="47402"/>
    <cellStyle name="_QnA (2)_Financials Preston Offshoring V11_HR Workings Break-up (2)_File for Circulation with Volume Discount Revised 3" xfId="47403"/>
    <cellStyle name="_QnA (2)_Financials Preston Offshoring V11_HR Workings Break-up (2)_HR Assumptions for Pricing2" xfId="47404"/>
    <cellStyle name="_QnA (2)_Financials Preston Offshoring V11_HR Workings Break-up (2)_HR Assumptions for Pricing2 2" xfId="47405"/>
    <cellStyle name="_QnA (2)_Financials Preston Offshoring V11_HR Workings Break-up (2)_HR Assumptions for Pricing2 3" xfId="47406"/>
    <cellStyle name="_QnA (2)_Financials Preston Offshoring V11_Ramp Plan _ RDA_Editorial" xfId="47407"/>
    <cellStyle name="_QnA (2)_Financials Preston Offshoring V11_Ramp Plan _ RDA_Editorial 2" xfId="47408"/>
    <cellStyle name="_QnA (2)_Financials Preston Offshoring V11_Ramp Plan _ RDA_Editorial 3" xfId="47409"/>
    <cellStyle name="_QnA (2)_Financials Preston Offshoring V11_Ramp Plan _ RDA_Editorial_Adv_8oct_Sub Ver 12(4)" xfId="47410"/>
    <cellStyle name="_QnA (2)_Financials Preston Offshoring V11_Ramp Plan _ RDA_Editorial_Adv_8oct_Sub Ver 12(4) 2" xfId="47411"/>
    <cellStyle name="_QnA (2)_Financials Preston Offshoring V11_Ramp Plan _ RDA_Editorial_Adv_8oct_Sub Ver 12(4) 3" xfId="47412"/>
    <cellStyle name="_QnA (2)_Financials Preston Offshoring V11_Ramp Plan _ RDA_Editorial_File for Circulation with Volume Discount Revised" xfId="47413"/>
    <cellStyle name="_QnA (2)_Financials Preston Offshoring V11_Ramp Plan _ RDA_Editorial_File for Circulation with Volume Discount Revised 2" xfId="47414"/>
    <cellStyle name="_QnA (2)_Financials Preston Offshoring V11_Ramp Plan _ RDA_Editorial_File for Circulation with Volume Discount Revised 3" xfId="47415"/>
    <cellStyle name="_QnA (2)_Financials Preston Offshoring V11_Ramp Plan _ RDA_Editorial_HR Assumptions for Pricing2" xfId="47416"/>
    <cellStyle name="_QnA (2)_Financials Preston Offshoring V11_Ramp Plan _ RDA_Editorial_HR Assumptions for Pricing2 2" xfId="47417"/>
    <cellStyle name="_QnA (2)_Financials Preston Offshoring V11_Ramp Plan _ RDA_Editorial_HR Assumptions for Pricing2 3" xfId="47418"/>
    <cellStyle name="_QnA (2)_FTE Deployment v4" xfId="47419"/>
    <cellStyle name="_QnA (2)_FTE Deployment v4 2" xfId="47420"/>
    <cellStyle name="_QnA (2)_FTE Deployment v4 3" xfId="47421"/>
    <cellStyle name="_QnA (2)_FTE Deployment v4 ramp plan" xfId="47422"/>
    <cellStyle name="_QnA (2)_FTE Deployment v4 ramp plan 2" xfId="47423"/>
    <cellStyle name="_QnA (2)_FTE Deployment v4 ramp plan 3" xfId="47424"/>
    <cellStyle name="_QnA (2)_FTE Deployment v4 ramp plan_Advanstar Financials 24 July" xfId="47425"/>
    <cellStyle name="_QnA (2)_FTE Deployment v4 ramp plan_Advanstar Financials 24 July 2" xfId="47426"/>
    <cellStyle name="_QnA (2)_FTE Deployment v4 ramp plan_Advanstar Financials 24 July 3" xfId="47427"/>
    <cellStyle name="_QnA (2)_FTE Deployment v4 ramp plan_Advanstar Financials 24 July v1" xfId="47428"/>
    <cellStyle name="_QnA (2)_FTE Deployment v4 ramp plan_Advanstar Financials 24 July v1 2" xfId="47429"/>
    <cellStyle name="_QnA (2)_FTE Deployment v4 ramp plan_Advanstar Financials 24 July v1 3" xfId="47430"/>
    <cellStyle name="_QnA (2)_FTE Deployment v4 ramp plan_Finance Input Template V6 1 Sep" xfId="47431"/>
    <cellStyle name="_QnA (2)_FTE Deployment v4 ramp plan_Finance Input Template V6 1 Sep 2" xfId="47432"/>
    <cellStyle name="_QnA (2)_FTE Deployment v4 ramp plan_Finance Input Template V6 1 Sep 3" xfId="47433"/>
    <cellStyle name="_QnA (2)_FTE Deployment v4_Advanstar Financials 24 July" xfId="47434"/>
    <cellStyle name="_QnA (2)_FTE Deployment v4_Advanstar Financials 24 July 2" xfId="47435"/>
    <cellStyle name="_QnA (2)_FTE Deployment v4_Advanstar Financials 24 July 3" xfId="47436"/>
    <cellStyle name="_QnA (2)_FTE Deployment v4_Advanstar Financials 24 July v1" xfId="47437"/>
    <cellStyle name="_QnA (2)_FTE Deployment v4_Advanstar Financials 24 July v1 2" xfId="47438"/>
    <cellStyle name="_QnA (2)_FTE Deployment v4_Advanstar Financials 24 July v1 3" xfId="47439"/>
    <cellStyle name="_QnA (2)_FTE Deployment v4_Finance Input Template V6 1 Sep" xfId="47440"/>
    <cellStyle name="_QnA (2)_FTE Deployment v4_Finance Input Template V6 1 Sep 2" xfId="47441"/>
    <cellStyle name="_QnA (2)_FTE Deployment v4_Finance Input Template V6 1 Sep 3" xfId="47442"/>
    <cellStyle name="_QnA (2)_FTE Deployment v5" xfId="47443"/>
    <cellStyle name="_QnA (2)_FTE Deployment v5 2" xfId="47444"/>
    <cellStyle name="_QnA (2)_FTE Deployment v5 3" xfId="47445"/>
    <cellStyle name="_QnA (2)_FTE Deployment v5_Advanstar Financials 24 July" xfId="47446"/>
    <cellStyle name="_QnA (2)_FTE Deployment v5_Advanstar Financials 24 July 2" xfId="47447"/>
    <cellStyle name="_QnA (2)_FTE Deployment v5_Advanstar Financials 24 July 3" xfId="47448"/>
    <cellStyle name="_QnA (2)_FTE Deployment v5_Advanstar Financials 24 July v1" xfId="47449"/>
    <cellStyle name="_QnA (2)_FTE Deployment v5_Advanstar Financials 24 July v1 2" xfId="47450"/>
    <cellStyle name="_QnA (2)_FTE Deployment v5_Advanstar Financials 24 July v1 3" xfId="47451"/>
    <cellStyle name="_QnA (2)_FTE Deployment v5_Finance Input Template V6 1 Sep" xfId="47452"/>
    <cellStyle name="_QnA (2)_FTE Deployment v5_Finance Input Template V6 1 Sep 2" xfId="47453"/>
    <cellStyle name="_QnA (2)_FTE Deployment v5_Finance Input Template V6 1 Sep 3" xfId="47454"/>
    <cellStyle name="_QnA (2)_Newspaper degitation" xfId="47455"/>
    <cellStyle name="_QnA (2)_Newspaper degitation 2" xfId="47456"/>
    <cellStyle name="_QnA (2)_Newspaper degitation 3" xfId="47457"/>
    <cellStyle name="_QnA (2)_PB Carveout" xfId="47458"/>
    <cellStyle name="_QnA (2)_PB Carveout 2" xfId="47459"/>
    <cellStyle name="_QnA (2)_PB Carveout 3" xfId="47460"/>
    <cellStyle name="_QnA (2)_PB Carveout_Advanstar Financials 24 July" xfId="47461"/>
    <cellStyle name="_QnA (2)_PB Carveout_Advanstar Financials 24 July 2" xfId="47462"/>
    <cellStyle name="_QnA (2)_PB Carveout_Advanstar Financials 24 July 3" xfId="47463"/>
    <cellStyle name="_QnA (2)_PB Carveout_Advanstar Financials 24 July v1" xfId="47464"/>
    <cellStyle name="_QnA (2)_PB Carveout_Advanstar Financials 24 July v1 2" xfId="47465"/>
    <cellStyle name="_QnA (2)_PB Carveout_Advanstar Financials 24 July v1 3" xfId="47466"/>
    <cellStyle name="_QnA (2)_PB Carveout_Advanstar Financials 24 July v1_Adv_8oct_Sub Ver 12(4)" xfId="47467"/>
    <cellStyle name="_QnA (2)_PB Carveout_Advanstar Financials 24 July v1_Adv_8oct_Sub Ver 12(4) 2" xfId="47468"/>
    <cellStyle name="_QnA (2)_PB Carveout_Advanstar Financials 24 July v1_Adv_8oct_Sub Ver 12(4) 3" xfId="47469"/>
    <cellStyle name="_QnA (2)_PB Carveout_Advanstar Financials 24 July v1_File for Circulation with Volume Discount Revised" xfId="47470"/>
    <cellStyle name="_QnA (2)_PB Carveout_Advanstar Financials 24 July v1_File for Circulation with Volume Discount Revised 2" xfId="47471"/>
    <cellStyle name="_QnA (2)_PB Carveout_Advanstar Financials 24 July v1_File for Circulation with Volume Discount Revised 3" xfId="47472"/>
    <cellStyle name="_QnA (2)_PB Carveout_Advanstar Financials 24 July v1_HR Assumptions for Pricing2" xfId="47473"/>
    <cellStyle name="_QnA (2)_PB Carveout_Advanstar Financials 24 July v1_HR Assumptions for Pricing2 2" xfId="47474"/>
    <cellStyle name="_QnA (2)_PB Carveout_Advanstar Financials 24 July v1_HR Assumptions for Pricing2 3" xfId="47475"/>
    <cellStyle name="_QnA (2)_PB Carveout_Advanstar Financials 24 July_Adv_8oct_Sub Ver 12(4)" xfId="47476"/>
    <cellStyle name="_QnA (2)_PB Carveout_Advanstar Financials 24 July_Adv_8oct_Sub Ver 12(4) 2" xfId="47477"/>
    <cellStyle name="_QnA (2)_PB Carveout_Advanstar Financials 24 July_Adv_8oct_Sub Ver 12(4) 3" xfId="47478"/>
    <cellStyle name="_QnA (2)_PB Carveout_Advanstar Financials 24 July_File for Circulation with Volume Discount Revised" xfId="47479"/>
    <cellStyle name="_QnA (2)_PB Carveout_Advanstar Financials 24 July_File for Circulation with Volume Discount Revised 2" xfId="47480"/>
    <cellStyle name="_QnA (2)_PB Carveout_Advanstar Financials 24 July_File for Circulation with Volume Discount Revised 3" xfId="47481"/>
    <cellStyle name="_QnA (2)_PB Carveout_Advanstar Financials 24 July_HR Assumptions for Pricing2" xfId="47482"/>
    <cellStyle name="_QnA (2)_PB Carveout_Advanstar Financials 24 July_HR Assumptions for Pricing2 2" xfId="47483"/>
    <cellStyle name="_QnA (2)_PB Carveout_Advanstar Financials 24 July_HR Assumptions for Pricing2 3" xfId="47484"/>
    <cellStyle name="_QnA (2)_PB Carveout_HR Workings Break-up (2)" xfId="47485"/>
    <cellStyle name="_QnA (2)_PB Carveout_HR Workings Break-up (2) 2" xfId="47486"/>
    <cellStyle name="_QnA (2)_PB Carveout_HR Workings Break-up (2) 3" xfId="47487"/>
    <cellStyle name="_QnA (2)_PB Carveout_HR Workings Break-up (2)_Adv_8oct_Sub Ver 12(4)" xfId="47488"/>
    <cellStyle name="_QnA (2)_PB Carveout_HR Workings Break-up (2)_Adv_8oct_Sub Ver 12(4) 2" xfId="47489"/>
    <cellStyle name="_QnA (2)_PB Carveout_HR Workings Break-up (2)_Adv_8oct_Sub Ver 12(4) 3" xfId="47490"/>
    <cellStyle name="_QnA (2)_PB Carveout_HR Workings Break-up (2)_File for Circulation with Volume Discount Revised" xfId="47491"/>
    <cellStyle name="_QnA (2)_PB Carveout_HR Workings Break-up (2)_File for Circulation with Volume Discount Revised 2" xfId="47492"/>
    <cellStyle name="_QnA (2)_PB Carveout_HR Workings Break-up (2)_File for Circulation with Volume Discount Revised 3" xfId="47493"/>
    <cellStyle name="_QnA (2)_PB Carveout_HR Workings Break-up (2)_HR Assumptions for Pricing2" xfId="47494"/>
    <cellStyle name="_QnA (2)_PB Carveout_HR Workings Break-up (2)_HR Assumptions for Pricing2 2" xfId="47495"/>
    <cellStyle name="_QnA (2)_PB Carveout_HR Workings Break-up (2)_HR Assumptions for Pricing2 3" xfId="47496"/>
    <cellStyle name="_QnA (2)_PB Carveout_Ramp Plan _ RDA_Editorial" xfId="47497"/>
    <cellStyle name="_QnA (2)_PB Carveout_Ramp Plan _ RDA_Editorial 2" xfId="47498"/>
    <cellStyle name="_QnA (2)_PB Carveout_Ramp Plan _ RDA_Editorial 3" xfId="47499"/>
    <cellStyle name="_QnA (2)_PB Carveout_Ramp Plan _ RDA_Editorial_Adv_8oct_Sub Ver 12(4)" xfId="47500"/>
    <cellStyle name="_QnA (2)_PB Carveout_Ramp Plan _ RDA_Editorial_Adv_8oct_Sub Ver 12(4) 2" xfId="47501"/>
    <cellStyle name="_QnA (2)_PB Carveout_Ramp Plan _ RDA_Editorial_Adv_8oct_Sub Ver 12(4) 3" xfId="47502"/>
    <cellStyle name="_QnA (2)_PB Carveout_Ramp Plan _ RDA_Editorial_File for Circulation with Volume Discount Revised" xfId="47503"/>
    <cellStyle name="_QnA (2)_PB Carveout_Ramp Plan _ RDA_Editorial_File for Circulation with Volume Discount Revised 2" xfId="47504"/>
    <cellStyle name="_QnA (2)_PB Carveout_Ramp Plan _ RDA_Editorial_File for Circulation with Volume Discount Revised 3" xfId="47505"/>
    <cellStyle name="_QnA (2)_PB Carveout_Ramp Plan _ RDA_Editorial_HR Assumptions for Pricing2" xfId="47506"/>
    <cellStyle name="_QnA (2)_PB Carveout_Ramp Plan _ RDA_Editorial_HR Assumptions for Pricing2 2" xfId="47507"/>
    <cellStyle name="_QnA (2)_PB Carveout_Ramp Plan _ RDA_Editorial_HR Assumptions for Pricing2 3" xfId="47508"/>
    <cellStyle name="_QnA (2)_Pricing Norway Post2" xfId="47509"/>
    <cellStyle name="_QnA (2)_Pricing Norway Post2 2" xfId="47510"/>
    <cellStyle name="_QnA (2)_Pricing Norway Post2 3" xfId="47511"/>
    <cellStyle name="_QnA (2)_Salary Rate Card_v1 0" xfId="47512"/>
    <cellStyle name="_QnA (2)_Salary Rate Card_v1 0 2" xfId="47513"/>
    <cellStyle name="_QnA (2)_Salary Rate Card_v1 0 3" xfId="47514"/>
    <cellStyle name="_QnA (2)_Seat Cost calculation 150110 SkyIt" xfId="47515"/>
    <cellStyle name="_QnA (2)_Seat Cost calculation 150110 SkyIt 2" xfId="47516"/>
    <cellStyle name="_QnA (2)_Seat Cost calculation 150110 SkyIt 3" xfId="47517"/>
    <cellStyle name="_QnA (2)_UMG Financial Model - Apps V 2.0" xfId="47518"/>
    <cellStyle name="_QnA (2)_UMG Financial Model - Apps V 2.0 2" xfId="47519"/>
    <cellStyle name="_QnA (2)_UMG Financial Model - Apps V 2.0 3" xfId="47520"/>
    <cellStyle name="_QnA (2)_UMG_ Pricing Model - Final" xfId="47521"/>
    <cellStyle name="_QnA (2)_UMG_ Pricing Model - Final 2" xfId="47522"/>
    <cellStyle name="_QnA (2)_UMG_ Pricing Model - Final 3" xfId="47523"/>
    <cellStyle name="_QRF 2011 5+7 - Draft - 06Sep11" xfId="47524"/>
    <cellStyle name="_QRF 2011 5+7 - Draft - 06Sep11 v4" xfId="47525"/>
    <cellStyle name="_QRF 2011 5+7 - Draft - 30Aug11" xfId="47526"/>
    <cellStyle name="_QRF 2011 6+6 - Draft - 06Oct11 v15.1 (excl unrealised efficiencies)" xfId="47527"/>
    <cellStyle name="_QRF 2011 6+6 - Draft - 06Oct11 v16.2 (incl unrealised efficiencies)" xfId="47528"/>
    <cellStyle name="_QRF 2011 6+6 - Draft - 06Oct11 v3" xfId="47529"/>
    <cellStyle name="_QRF 2011 6+6 - Draft - 06Oct11 v4" xfId="47530"/>
    <cellStyle name="_QRF1 2011 2+10 - Final" xfId="47531"/>
    <cellStyle name="_Rackley RFP - Finance Information v0.10 21-Jul-2006" xfId="47532"/>
    <cellStyle name="_Rackley RFP - Finance Information v0.10 21-Jul-2006 2" xfId="47533"/>
    <cellStyle name="_Rackley RFP - Finance Information v0.10 21-Jul-2006 3" xfId="47534"/>
    <cellStyle name="_Rampup_Down_Plan" xfId="47535"/>
    <cellStyle name="_Rampup_Down_Plan 2" xfId="47536"/>
    <cellStyle name="_Rate calculator_Singapore" xfId="47537"/>
    <cellStyle name="_Rate calculator_Singapore 2" xfId="47538"/>
    <cellStyle name="_Rate calculator_Singapore 3" xfId="47539"/>
    <cellStyle name="_Rate Card Calc-E-bay" xfId="47540"/>
    <cellStyle name="_Rate Card Calc-E-bay 2" xfId="47541"/>
    <cellStyle name="_Rate Card Calc-E-bay 3" xfId="47542"/>
    <cellStyle name="_Rec No.2. LS Vs GL Reconciliation FEB 12" xfId="47543"/>
    <cellStyle name="_Rec No.20 Disposal of fixed asset July 12" xfId="47544"/>
    <cellStyle name="_Rec No.20 Disposal of fixed asset July 12 2" xfId="47545"/>
    <cellStyle name="_Reconcilation from capex budget to latest forecast 200309" xfId="47546"/>
    <cellStyle name="_Reconcilation from capex budget to latest forecast 200309 2" xfId="47547"/>
    <cellStyle name="_Record of Manual Changes" xfId="47548"/>
    <cellStyle name="_x0013__Record of Manual Changes" xfId="47549"/>
    <cellStyle name="_Record of Manual Changes 2" xfId="47550"/>
    <cellStyle name="_x0013__Record of Manual Changes 2" xfId="47551"/>
    <cellStyle name="_Record of Manual Changes 2 2" xfId="47552"/>
    <cellStyle name="_Record of Manual Changes 2 3" xfId="47553"/>
    <cellStyle name="_Record of Manual Changes 2 4" xfId="47554"/>
    <cellStyle name="_Record of Manual Changes 2 5" xfId="47555"/>
    <cellStyle name="_Record of Manual Changes 2 6" xfId="47556"/>
    <cellStyle name="_Record of Manual Changes 2 7" xfId="47557"/>
    <cellStyle name="_Record of Manual Changes 2 8" xfId="47558"/>
    <cellStyle name="_Record of Manual Changes 2 9" xfId="47559"/>
    <cellStyle name="_x0013__Record of Manual Changes 2_Adjustments" xfId="47560"/>
    <cellStyle name="_Record of Manual Changes 2_IBP - COPI Uplift at Investment Area Level 01Feb12" xfId="47561"/>
    <cellStyle name="_x0013__Record of Manual Changes 2_Overall" xfId="47562"/>
    <cellStyle name="_Record of Manual Changes 3" xfId="47563"/>
    <cellStyle name="_x0013__Record of Manual Changes 3" xfId="47564"/>
    <cellStyle name="_Record of Manual Changes 3 2" xfId="47565"/>
    <cellStyle name="_Record of Manual Changes 3 3" xfId="47566"/>
    <cellStyle name="_Record of Manual Changes 3 4" xfId="47567"/>
    <cellStyle name="_Record of Manual Changes 3 5" xfId="47568"/>
    <cellStyle name="_Record of Manual Changes 3 6" xfId="47569"/>
    <cellStyle name="_Record of Manual Changes 3 7" xfId="47570"/>
    <cellStyle name="_Record of Manual Changes 3 8" xfId="47571"/>
    <cellStyle name="_Record of Manual Changes 3 9" xfId="47572"/>
    <cellStyle name="_x0013__Record of Manual Changes 3_Adjustments" xfId="47573"/>
    <cellStyle name="_Record of Manual Changes 3_IBP - COPI Uplift at Investment Area Level 01Feb12" xfId="47574"/>
    <cellStyle name="_x0013__Record of Manual Changes 3_Overall" xfId="47575"/>
    <cellStyle name="_Record of Manual Changes 4" xfId="47576"/>
    <cellStyle name="_x0013__Record of Manual Changes 4" xfId="47577"/>
    <cellStyle name="_Record of Manual Changes 4_Adjustments" xfId="47578"/>
    <cellStyle name="_x0013__Record of Manual Changes 4_Adjustments" xfId="47579"/>
    <cellStyle name="_Record of Manual Changes 4_Overall" xfId="47580"/>
    <cellStyle name="_x0013__Record of Manual Changes 4_Overall" xfId="47581"/>
    <cellStyle name="_Record of Manual Changes 5" xfId="47582"/>
    <cellStyle name="_Record of Manual Changes 5_Adjustments" xfId="47583"/>
    <cellStyle name="_Record of Manual Changes 5_Overall" xfId="47584"/>
    <cellStyle name="_Record of Manual Changes 6" xfId="47585"/>
    <cellStyle name="_Record of Manual Changes 6_Adjustments" xfId="47586"/>
    <cellStyle name="_Record of Manual Changes 6_Overall" xfId="47587"/>
    <cellStyle name="_Record of Manual Changes_B &amp; U by Inv Area &amp; Del" xfId="47588"/>
    <cellStyle name="_Record of Manual Changes_budget risk items" xfId="47589"/>
    <cellStyle name="_Record of Manual Changes_IBP by Inv Area" xfId="47590"/>
    <cellStyle name="_Record of Manual Changes_Table - Deliverer" xfId="47591"/>
    <cellStyle name="_Record of Manual Changes_TT FD" xfId="47592"/>
    <cellStyle name="_Record of Manual Changes_VoWD Data" xfId="47593"/>
    <cellStyle name="_Record of Manual Changes_VoWD Data by Purpose Code" xfId="47594"/>
    <cellStyle name="_Record of Manual Changes_VoWD Sign-Off Sheet" xfId="47595"/>
    <cellStyle name="_Redundancy Rephasing Inv Backup" xfId="47596"/>
    <cellStyle name="_Redundancy Rephasing Inv Backup 2" xfId="47597"/>
    <cellStyle name="_Redundancy Tracking Sheet" xfId="47598"/>
    <cellStyle name="_Redundancy Tracking Sheet 2" xfId="47599"/>
    <cellStyle name="_Redundancy Tracking Sheet 3" xfId="47600"/>
    <cellStyle name="_REG Report Sep-12" xfId="47601"/>
    <cellStyle name="_REG Report Sep-12_Sheet1" xfId="47602"/>
    <cellStyle name="_Rent receivable due dates" xfId="47603"/>
    <cellStyle name="_Rent receivable due dates 2" xfId="47604"/>
    <cellStyle name="_Rent receivable due dates 2 2" xfId="47605"/>
    <cellStyle name="_Rent receivable due dates 2 3" xfId="47606"/>
    <cellStyle name="_Rent receivable due dates 3" xfId="47607"/>
    <cellStyle name="_Rent receivable due dates_Employment costs" xfId="47608"/>
    <cellStyle name="_Rent receivable due dates_Employment costs 2" xfId="47609"/>
    <cellStyle name="_Rent receivable due dates_Employment costs_1" xfId="47610"/>
    <cellStyle name="_Rent receivable due dates_Employment costs_1 2" xfId="47611"/>
    <cellStyle name="_Rent receivable due dates_Employment costs_2" xfId="47612"/>
    <cellStyle name="_Rent receivable due dates_Employment costs_2 2" xfId="47613"/>
    <cellStyle name="_Rent receivable due dates_Management Structure" xfId="47614"/>
    <cellStyle name="_Rent receivable due dates_Management Structure 2" xfId="47615"/>
    <cellStyle name="_Rent receivable due dates_Management Structure_1" xfId="47616"/>
    <cellStyle name="_Rent receivable due dates_Management Structure_1 2" xfId="47617"/>
    <cellStyle name="_Rent receivable due dates_Ops contracts" xfId="47618"/>
    <cellStyle name="_Rent receivable due dates_Ops contracts 2" xfId="47619"/>
    <cellStyle name="_Rent receivable due dates_Ops contracts_1" xfId="47620"/>
    <cellStyle name="_Rent receivable due dates_Ops contracts_1 2" xfId="47621"/>
    <cellStyle name="_Rent receivable due dates_Ops contracts_2" xfId="47622"/>
    <cellStyle name="_Rent receivable due dates_Ops contracts_2 2" xfId="47623"/>
    <cellStyle name="_Rent receivable due dates_Power" xfId="47624"/>
    <cellStyle name="_Rent receivable due dates_Power 2" xfId="47625"/>
    <cellStyle name="_Rent receivable due dates_Power_1" xfId="47626"/>
    <cellStyle name="_Rent receivable due dates_Power_1 2" xfId="47627"/>
    <cellStyle name="_Rent receivable due dates_Sheet1" xfId="47628"/>
    <cellStyle name="_Rent receivable due dates_Sheet1 2" xfId="47629"/>
    <cellStyle name="_Rent receivable due dates_TWUL_TOT_UKGAAP" xfId="47630"/>
    <cellStyle name="_Rent receivable due dates_TWUL_TOT_UKGAAP 2" xfId="47631"/>
    <cellStyle name="_Rent receivable due dates_TWUL_TOT_UKGAAP_1" xfId="47632"/>
    <cellStyle name="_Rent receivable due dates_TWUL_TOT_UKGAAP_1 2" xfId="47633"/>
    <cellStyle name="_Report Cover2" xfId="47634"/>
    <cellStyle name="_Report Cover2 2" xfId="47635"/>
    <cellStyle name="_Report Cover2 3" xfId="47636"/>
    <cellStyle name="_x0013__Retail" xfId="47637"/>
    <cellStyle name="_x0013__Retail 2" xfId="47638"/>
    <cellStyle name="_x0013__Retail_1" xfId="47639"/>
    <cellStyle name="_x0013__Retail_1 2" xfId="47640"/>
    <cellStyle name="_Revenue" xfId="47641"/>
    <cellStyle name="_Revenue &amp; Opex Waterfalls Fst 2012-13 v3 080812" xfId="47642"/>
    <cellStyle name="_Revenue &amp; Opex Waterfalls Fst 2012-13 v3 080812 2" xfId="47643"/>
    <cellStyle name="_Revenue 2" xfId="47644"/>
    <cellStyle name="_Revenue 3" xfId="47645"/>
    <cellStyle name="_Revenue 4" xfId="47646"/>
    <cellStyle name="_Revenue 5" xfId="47647"/>
    <cellStyle name="_Revenue 6" xfId="47648"/>
    <cellStyle name="_Revenue 7" xfId="47649"/>
    <cellStyle name="_Revised AMD Server incremental leasing 28.11.07" xfId="47650"/>
    <cellStyle name="_Revised AMD Server incremental leasing 28.11.07 2" xfId="47651"/>
    <cellStyle name="_Revised AMD Server incremental leasing 28.11.07 3" xfId="47652"/>
    <cellStyle name="_Revised target schedule Operations 15.12.09" xfId="47653"/>
    <cellStyle name="_Revised target schedule Operations 15.12.09 2" xfId="47654"/>
    <cellStyle name="_Revised target schedule Operations 15.12.09 3" xfId="47655"/>
    <cellStyle name="_Revised target schedule Operations 15.12.09 4" xfId="47656"/>
    <cellStyle name="_Re-workings - updated v2" xfId="47657"/>
    <cellStyle name="_Re-workings - updated v2 2" xfId="47658"/>
    <cellStyle name="_RFP Pricing Analysis DRAFT" xfId="47659"/>
    <cellStyle name="_RFP Pricing Analysis DRAFT 2" xfId="47660"/>
    <cellStyle name="_Rockwell Pilot P  L Ver 1 0" xfId="47661"/>
    <cellStyle name="_Rockwell Pilot P  L Ver 1 0 2" xfId="47662"/>
    <cellStyle name="_Rockwell Pilot P  L Ver 1 0 3" xfId="47663"/>
    <cellStyle name="_Rockwell Pilot P  L Ver 1 0_Adapt response DC Pricing Format (2)" xfId="47664"/>
    <cellStyle name="_Rockwell Pilot P  L Ver 1 0_Adapt response DC Pricing Format (2) 2" xfId="47665"/>
    <cellStyle name="_Rockwell Pilot P  L Ver 1 0_Adapt response DC Pricing Format (2) 3" xfId="47666"/>
    <cellStyle name="_Rockwell Pilot P  L Ver 1 0_Advanstar Financials" xfId="47667"/>
    <cellStyle name="_Rockwell Pilot P  L Ver 1 0_Advanstar Financials 2" xfId="47668"/>
    <cellStyle name="_Rockwell Pilot P  L Ver 1 0_Advanstar Financials 24 July" xfId="47669"/>
    <cellStyle name="_Rockwell Pilot P  L Ver 1 0_Advanstar Financials 24 July 2" xfId="47670"/>
    <cellStyle name="_Rockwell Pilot P  L Ver 1 0_Advanstar Financials 24 July 3" xfId="47671"/>
    <cellStyle name="_Rockwell Pilot P  L Ver 1 0_Advanstar Financials 24 July v1" xfId="47672"/>
    <cellStyle name="_Rockwell Pilot P  L Ver 1 0_Advanstar Financials 24 July v1 2" xfId="47673"/>
    <cellStyle name="_Rockwell Pilot P  L Ver 1 0_Advanstar Financials 24 July v1 3" xfId="47674"/>
    <cellStyle name="_Rockwell Pilot P  L Ver 1 0_Advanstar Financials 24 July v1_Adv_8oct_Sub Ver 12(4)" xfId="47675"/>
    <cellStyle name="_Rockwell Pilot P  L Ver 1 0_Advanstar Financials 24 July v1_Adv_8oct_Sub Ver 12(4) 2" xfId="47676"/>
    <cellStyle name="_Rockwell Pilot P  L Ver 1 0_Advanstar Financials 24 July v1_Adv_8oct_Sub Ver 12(4) 3" xfId="47677"/>
    <cellStyle name="_Rockwell Pilot P  L Ver 1 0_Advanstar Financials 24 July v1_File for Circulation with Volume Discount Revised" xfId="47678"/>
    <cellStyle name="_Rockwell Pilot P  L Ver 1 0_Advanstar Financials 24 July v1_File for Circulation with Volume Discount Revised 2" xfId="47679"/>
    <cellStyle name="_Rockwell Pilot P  L Ver 1 0_Advanstar Financials 24 July v1_File for Circulation with Volume Discount Revised 3" xfId="47680"/>
    <cellStyle name="_Rockwell Pilot P  L Ver 1 0_Advanstar Financials 24 July v1_HR Assumptions for Pricing2" xfId="47681"/>
    <cellStyle name="_Rockwell Pilot P  L Ver 1 0_Advanstar Financials 24 July v1_HR Assumptions for Pricing2 2" xfId="47682"/>
    <cellStyle name="_Rockwell Pilot P  L Ver 1 0_Advanstar Financials 24 July v1_HR Assumptions for Pricing2 3" xfId="47683"/>
    <cellStyle name="_Rockwell Pilot P  L Ver 1 0_Advanstar Financials 24 July_Adv_8oct_Sub Ver 12(4)" xfId="47684"/>
    <cellStyle name="_Rockwell Pilot P  L Ver 1 0_Advanstar Financials 24 July_Adv_8oct_Sub Ver 12(4) 2" xfId="47685"/>
    <cellStyle name="_Rockwell Pilot P  L Ver 1 0_Advanstar Financials 24 July_Adv_8oct_Sub Ver 12(4) 3" xfId="47686"/>
    <cellStyle name="_Rockwell Pilot P  L Ver 1 0_Advanstar Financials 24 July_File for Circulation with Volume Discount Revised" xfId="47687"/>
    <cellStyle name="_Rockwell Pilot P  L Ver 1 0_Advanstar Financials 24 July_File for Circulation with Volume Discount Revised 2" xfId="47688"/>
    <cellStyle name="_Rockwell Pilot P  L Ver 1 0_Advanstar Financials 24 July_File for Circulation with Volume Discount Revised 3" xfId="47689"/>
    <cellStyle name="_Rockwell Pilot P  L Ver 1 0_Advanstar Financials 24 July_HR Assumptions for Pricing2" xfId="47690"/>
    <cellStyle name="_Rockwell Pilot P  L Ver 1 0_Advanstar Financials 24 July_HR Assumptions for Pricing2 2" xfId="47691"/>
    <cellStyle name="_Rockwell Pilot P  L Ver 1 0_Advanstar Financials 24 July_HR Assumptions for Pricing2 3" xfId="47692"/>
    <cellStyle name="_Rockwell Pilot P  L Ver 1 0_Advanstar Financials 3" xfId="47693"/>
    <cellStyle name="_Rockwell Pilot P  L Ver 1 0_Advanstar Financials_Adv_8oct_Sub Ver 12(4)" xfId="47694"/>
    <cellStyle name="_Rockwell Pilot P  L Ver 1 0_Advanstar Financials_Adv_8oct_Sub Ver 12(4) 2" xfId="47695"/>
    <cellStyle name="_Rockwell Pilot P  L Ver 1 0_Advanstar Financials_Adv_8oct_Sub Ver 12(4) 3" xfId="47696"/>
    <cellStyle name="_Rockwell Pilot P  L Ver 1 0_Advanstar Financials_File for Circulation with Volume Discount Revised" xfId="47697"/>
    <cellStyle name="_Rockwell Pilot P  L Ver 1 0_Advanstar Financials_File for Circulation with Volume Discount Revised 2" xfId="47698"/>
    <cellStyle name="_Rockwell Pilot P  L Ver 1 0_Advanstar Financials_File for Circulation with Volume Discount Revised 3" xfId="47699"/>
    <cellStyle name="_Rockwell Pilot P  L Ver 1 0_Advanstar Financials_HR Assumptions for Pricing2" xfId="47700"/>
    <cellStyle name="_Rockwell Pilot P  L Ver 1 0_Advanstar Financials_HR Assumptions for Pricing2 2" xfId="47701"/>
    <cellStyle name="_Rockwell Pilot P  L Ver 1 0_Advanstar Financials_HR Assumptions for Pricing2 3" xfId="47702"/>
    <cellStyle name="_Rockwell Pilot P  L Ver 1 0_Finance Input Template" xfId="47703"/>
    <cellStyle name="_Rockwell Pilot P  L Ver 1 0_Finance Input Template 2" xfId="47704"/>
    <cellStyle name="_Rockwell Pilot P  L Ver 1 0_Finance Input Template 3" xfId="47705"/>
    <cellStyle name="_Rockwell Pilot P  L Ver 1 0_Finance Input Template_Adv_8oct_Sub Ver 12(4)" xfId="47706"/>
    <cellStyle name="_Rockwell Pilot P  L Ver 1 0_Finance Input Template_Adv_8oct_Sub Ver 12(4) 2" xfId="47707"/>
    <cellStyle name="_Rockwell Pilot P  L Ver 1 0_Finance Input Template_Adv_8oct_Sub Ver 12(4) 3" xfId="47708"/>
    <cellStyle name="_Rockwell Pilot P  L Ver 1 0_Finance Input Template_File for Circulation with Volume Discount Revised" xfId="47709"/>
    <cellStyle name="_Rockwell Pilot P  L Ver 1 0_Finance Input Template_File for Circulation with Volume Discount Revised 2" xfId="47710"/>
    <cellStyle name="_Rockwell Pilot P  L Ver 1 0_Finance Input Template_File for Circulation with Volume Discount Revised 3" xfId="47711"/>
    <cellStyle name="_Rockwell Pilot P  L Ver 1 0_Finance Input Template_HR Assumptions for Pricing2" xfId="47712"/>
    <cellStyle name="_Rockwell Pilot P  L Ver 1 0_Finance Input Template_HR Assumptions for Pricing2 2" xfId="47713"/>
    <cellStyle name="_Rockwell Pilot P  L Ver 1 0_Finance Input Template_HR Assumptions for Pricing2 3" xfId="47714"/>
    <cellStyle name="_Rockwell Pilot P  L Ver 1 0_Financials Preston Offshoring V11" xfId="47715"/>
    <cellStyle name="_Rockwell Pilot P  L Ver 1 0_Financials Preston Offshoring V11 2" xfId="47716"/>
    <cellStyle name="_Rockwell Pilot P  L Ver 1 0_Financials Preston Offshoring V11 3" xfId="47717"/>
    <cellStyle name="_Rockwell Pilot P  L Ver 1 0_Financials Preston Offshoring V11_Advanstar Financials 24 July" xfId="47718"/>
    <cellStyle name="_Rockwell Pilot P  L Ver 1 0_Financials Preston Offshoring V11_Advanstar Financials 24 July 2" xfId="47719"/>
    <cellStyle name="_Rockwell Pilot P  L Ver 1 0_Financials Preston Offshoring V11_Advanstar Financials 24 July 3" xfId="47720"/>
    <cellStyle name="_Rockwell Pilot P  L Ver 1 0_Financials Preston Offshoring V11_Advanstar Financials 24 July v1" xfId="47721"/>
    <cellStyle name="_Rockwell Pilot P  L Ver 1 0_Financials Preston Offshoring V11_Advanstar Financials 24 July v1 2" xfId="47722"/>
    <cellStyle name="_Rockwell Pilot P  L Ver 1 0_Financials Preston Offshoring V11_Advanstar Financials 24 July v1 3" xfId="47723"/>
    <cellStyle name="_Rockwell Pilot P  L Ver 1 0_Financials Preston Offshoring V11_Advanstar Financials 24 July v1_Adv_8oct_Sub Ver 12(4)" xfId="47724"/>
    <cellStyle name="_Rockwell Pilot P  L Ver 1 0_Financials Preston Offshoring V11_Advanstar Financials 24 July v1_Adv_8oct_Sub Ver 12(4) 2" xfId="47725"/>
    <cellStyle name="_Rockwell Pilot P  L Ver 1 0_Financials Preston Offshoring V11_Advanstar Financials 24 July v1_Adv_8oct_Sub Ver 12(4) 3" xfId="47726"/>
    <cellStyle name="_Rockwell Pilot P  L Ver 1 0_Financials Preston Offshoring V11_Advanstar Financials 24 July v1_File for Circulation with Volume Discount Revised" xfId="47727"/>
    <cellStyle name="_Rockwell Pilot P  L Ver 1 0_Financials Preston Offshoring V11_Advanstar Financials 24 July v1_File for Circulation with Volume Discount Revised 2" xfId="47728"/>
    <cellStyle name="_Rockwell Pilot P  L Ver 1 0_Financials Preston Offshoring V11_Advanstar Financials 24 July v1_File for Circulation with Volume Discount Revised 3" xfId="47729"/>
    <cellStyle name="_Rockwell Pilot P  L Ver 1 0_Financials Preston Offshoring V11_Advanstar Financials 24 July v1_HR Assumptions for Pricing2" xfId="47730"/>
    <cellStyle name="_Rockwell Pilot P  L Ver 1 0_Financials Preston Offshoring V11_Advanstar Financials 24 July v1_HR Assumptions for Pricing2 2" xfId="47731"/>
    <cellStyle name="_Rockwell Pilot P  L Ver 1 0_Financials Preston Offshoring V11_Advanstar Financials 24 July v1_HR Assumptions for Pricing2 3" xfId="47732"/>
    <cellStyle name="_Rockwell Pilot P  L Ver 1 0_Financials Preston Offshoring V11_Advanstar Financials 24 July_Adv_8oct_Sub Ver 12(4)" xfId="47733"/>
    <cellStyle name="_Rockwell Pilot P  L Ver 1 0_Financials Preston Offshoring V11_Advanstar Financials 24 July_Adv_8oct_Sub Ver 12(4) 2" xfId="47734"/>
    <cellStyle name="_Rockwell Pilot P  L Ver 1 0_Financials Preston Offshoring V11_Advanstar Financials 24 July_Adv_8oct_Sub Ver 12(4) 3" xfId="47735"/>
    <cellStyle name="_Rockwell Pilot P  L Ver 1 0_Financials Preston Offshoring V11_Advanstar Financials 24 July_File for Circulation with Volume Discount Revised" xfId="47736"/>
    <cellStyle name="_Rockwell Pilot P  L Ver 1 0_Financials Preston Offshoring V11_Advanstar Financials 24 July_File for Circulation with Volume Discount Revised 2" xfId="47737"/>
    <cellStyle name="_Rockwell Pilot P  L Ver 1 0_Financials Preston Offshoring V11_Advanstar Financials 24 July_File for Circulation with Volume Discount Revised 3" xfId="47738"/>
    <cellStyle name="_Rockwell Pilot P  L Ver 1 0_Financials Preston Offshoring V11_Advanstar Financials 24 July_HR Assumptions for Pricing2" xfId="47739"/>
    <cellStyle name="_Rockwell Pilot P  L Ver 1 0_Financials Preston Offshoring V11_Advanstar Financials 24 July_HR Assumptions for Pricing2 2" xfId="47740"/>
    <cellStyle name="_Rockwell Pilot P  L Ver 1 0_Financials Preston Offshoring V11_Advanstar Financials 24 July_HR Assumptions for Pricing2 3" xfId="47741"/>
    <cellStyle name="_Rockwell Pilot P  L Ver 1 0_Financials Preston Offshoring V11_HR Workings Break-up (2)" xfId="47742"/>
    <cellStyle name="_Rockwell Pilot P  L Ver 1 0_Financials Preston Offshoring V11_HR Workings Break-up (2) 2" xfId="47743"/>
    <cellStyle name="_Rockwell Pilot P  L Ver 1 0_Financials Preston Offshoring V11_HR Workings Break-up (2) 3" xfId="47744"/>
    <cellStyle name="_Rockwell Pilot P  L Ver 1 0_Financials Preston Offshoring V11_HR Workings Break-up (2)_Adv_8oct_Sub Ver 12(4)" xfId="47745"/>
    <cellStyle name="_Rockwell Pilot P  L Ver 1 0_Financials Preston Offshoring V11_HR Workings Break-up (2)_Adv_8oct_Sub Ver 12(4) 2" xfId="47746"/>
    <cellStyle name="_Rockwell Pilot P  L Ver 1 0_Financials Preston Offshoring V11_HR Workings Break-up (2)_Adv_8oct_Sub Ver 12(4) 3" xfId="47747"/>
    <cellStyle name="_Rockwell Pilot P  L Ver 1 0_Financials Preston Offshoring V11_HR Workings Break-up (2)_File for Circulation with Volume Discount Revised" xfId="47748"/>
    <cellStyle name="_Rockwell Pilot P  L Ver 1 0_Financials Preston Offshoring V11_HR Workings Break-up (2)_File for Circulation with Volume Discount Revised 2" xfId="47749"/>
    <cellStyle name="_Rockwell Pilot P  L Ver 1 0_Financials Preston Offshoring V11_HR Workings Break-up (2)_File for Circulation with Volume Discount Revised 3" xfId="47750"/>
    <cellStyle name="_Rockwell Pilot P  L Ver 1 0_Financials Preston Offshoring V11_HR Workings Break-up (2)_HR Assumptions for Pricing2" xfId="47751"/>
    <cellStyle name="_Rockwell Pilot P  L Ver 1 0_Financials Preston Offshoring V11_HR Workings Break-up (2)_HR Assumptions for Pricing2 2" xfId="47752"/>
    <cellStyle name="_Rockwell Pilot P  L Ver 1 0_Financials Preston Offshoring V11_HR Workings Break-up (2)_HR Assumptions for Pricing2 3" xfId="47753"/>
    <cellStyle name="_Rockwell Pilot P  L Ver 1 0_Financials Preston Offshoring V11_Ramp Plan _ RDA_Editorial" xfId="47754"/>
    <cellStyle name="_Rockwell Pilot P  L Ver 1 0_Financials Preston Offshoring V11_Ramp Plan _ RDA_Editorial 2" xfId="47755"/>
    <cellStyle name="_Rockwell Pilot P  L Ver 1 0_Financials Preston Offshoring V11_Ramp Plan _ RDA_Editorial 3" xfId="47756"/>
    <cellStyle name="_Rockwell Pilot P  L Ver 1 0_Financials Preston Offshoring V11_Ramp Plan _ RDA_Editorial_Adv_8oct_Sub Ver 12(4)" xfId="47757"/>
    <cellStyle name="_Rockwell Pilot P  L Ver 1 0_Financials Preston Offshoring V11_Ramp Plan _ RDA_Editorial_Adv_8oct_Sub Ver 12(4) 2" xfId="47758"/>
    <cellStyle name="_Rockwell Pilot P  L Ver 1 0_Financials Preston Offshoring V11_Ramp Plan _ RDA_Editorial_Adv_8oct_Sub Ver 12(4) 3" xfId="47759"/>
    <cellStyle name="_Rockwell Pilot P  L Ver 1 0_Financials Preston Offshoring V11_Ramp Plan _ RDA_Editorial_File for Circulation with Volume Discount Revised" xfId="47760"/>
    <cellStyle name="_Rockwell Pilot P  L Ver 1 0_Financials Preston Offshoring V11_Ramp Plan _ RDA_Editorial_File for Circulation with Volume Discount Revised 2" xfId="47761"/>
    <cellStyle name="_Rockwell Pilot P  L Ver 1 0_Financials Preston Offshoring V11_Ramp Plan _ RDA_Editorial_File for Circulation with Volume Discount Revised 3" xfId="47762"/>
    <cellStyle name="_Rockwell Pilot P  L Ver 1 0_Financials Preston Offshoring V11_Ramp Plan _ RDA_Editorial_HR Assumptions for Pricing2" xfId="47763"/>
    <cellStyle name="_Rockwell Pilot P  L Ver 1 0_Financials Preston Offshoring V11_Ramp Plan _ RDA_Editorial_HR Assumptions for Pricing2 2" xfId="47764"/>
    <cellStyle name="_Rockwell Pilot P  L Ver 1 0_Financials Preston Offshoring V11_Ramp Plan _ RDA_Editorial_HR Assumptions for Pricing2 3" xfId="47765"/>
    <cellStyle name="_Rockwell Pilot P  L Ver 1 0_FTE Deployment v4" xfId="47766"/>
    <cellStyle name="_Rockwell Pilot P  L Ver 1 0_FTE Deployment v4 2" xfId="47767"/>
    <cellStyle name="_Rockwell Pilot P  L Ver 1 0_FTE Deployment v4 3" xfId="47768"/>
    <cellStyle name="_Rockwell Pilot P  L Ver 1 0_FTE Deployment v4 ramp plan" xfId="47769"/>
    <cellStyle name="_Rockwell Pilot P  L Ver 1 0_FTE Deployment v4 ramp plan 2" xfId="47770"/>
    <cellStyle name="_Rockwell Pilot P  L Ver 1 0_FTE Deployment v4 ramp plan 3" xfId="47771"/>
    <cellStyle name="_Rockwell Pilot P  L Ver 1 0_FTE Deployment v4 ramp plan_Advanstar Financials 24 July" xfId="47772"/>
    <cellStyle name="_Rockwell Pilot P  L Ver 1 0_FTE Deployment v4 ramp plan_Advanstar Financials 24 July 2" xfId="47773"/>
    <cellStyle name="_Rockwell Pilot P  L Ver 1 0_FTE Deployment v4 ramp plan_Advanstar Financials 24 July 3" xfId="47774"/>
    <cellStyle name="_Rockwell Pilot P  L Ver 1 0_FTE Deployment v4 ramp plan_Advanstar Financials 24 July v1" xfId="47775"/>
    <cellStyle name="_Rockwell Pilot P  L Ver 1 0_FTE Deployment v4 ramp plan_Advanstar Financials 24 July v1 2" xfId="47776"/>
    <cellStyle name="_Rockwell Pilot P  L Ver 1 0_FTE Deployment v4 ramp plan_Advanstar Financials 24 July v1 3" xfId="47777"/>
    <cellStyle name="_Rockwell Pilot P  L Ver 1 0_FTE Deployment v4 ramp plan_Finance Input Template V6 1 Sep" xfId="47778"/>
    <cellStyle name="_Rockwell Pilot P  L Ver 1 0_FTE Deployment v4 ramp plan_Finance Input Template V6 1 Sep 2" xfId="47779"/>
    <cellStyle name="_Rockwell Pilot P  L Ver 1 0_FTE Deployment v4 ramp plan_Finance Input Template V6 1 Sep 3" xfId="47780"/>
    <cellStyle name="_Rockwell Pilot P  L Ver 1 0_FTE Deployment v4_Advanstar Financials 24 July" xfId="47781"/>
    <cellStyle name="_Rockwell Pilot P  L Ver 1 0_FTE Deployment v4_Advanstar Financials 24 July 2" xfId="47782"/>
    <cellStyle name="_Rockwell Pilot P  L Ver 1 0_FTE Deployment v4_Advanstar Financials 24 July 3" xfId="47783"/>
    <cellStyle name="_Rockwell Pilot P  L Ver 1 0_FTE Deployment v4_Advanstar Financials 24 July v1" xfId="47784"/>
    <cellStyle name="_Rockwell Pilot P  L Ver 1 0_FTE Deployment v4_Advanstar Financials 24 July v1 2" xfId="47785"/>
    <cellStyle name="_Rockwell Pilot P  L Ver 1 0_FTE Deployment v4_Advanstar Financials 24 July v1 3" xfId="47786"/>
    <cellStyle name="_Rockwell Pilot P  L Ver 1 0_FTE Deployment v4_Finance Input Template V6 1 Sep" xfId="47787"/>
    <cellStyle name="_Rockwell Pilot P  L Ver 1 0_FTE Deployment v4_Finance Input Template V6 1 Sep 2" xfId="47788"/>
    <cellStyle name="_Rockwell Pilot P  L Ver 1 0_FTE Deployment v4_Finance Input Template V6 1 Sep 3" xfId="47789"/>
    <cellStyle name="_Rockwell Pilot P  L Ver 1 0_FTE Deployment v5" xfId="47790"/>
    <cellStyle name="_Rockwell Pilot P  L Ver 1 0_FTE Deployment v5 2" xfId="47791"/>
    <cellStyle name="_Rockwell Pilot P  L Ver 1 0_FTE Deployment v5 3" xfId="47792"/>
    <cellStyle name="_Rockwell Pilot P  L Ver 1 0_FTE Deployment v5_Advanstar Financials 24 July" xfId="47793"/>
    <cellStyle name="_Rockwell Pilot P  L Ver 1 0_FTE Deployment v5_Advanstar Financials 24 July 2" xfId="47794"/>
    <cellStyle name="_Rockwell Pilot P  L Ver 1 0_FTE Deployment v5_Advanstar Financials 24 July 3" xfId="47795"/>
    <cellStyle name="_Rockwell Pilot P  L Ver 1 0_FTE Deployment v5_Advanstar Financials 24 July v1" xfId="47796"/>
    <cellStyle name="_Rockwell Pilot P  L Ver 1 0_FTE Deployment v5_Advanstar Financials 24 July v1 2" xfId="47797"/>
    <cellStyle name="_Rockwell Pilot P  L Ver 1 0_FTE Deployment v5_Advanstar Financials 24 July v1 3" xfId="47798"/>
    <cellStyle name="_Rockwell Pilot P  L Ver 1 0_FTE Deployment v5_Finance Input Template V6 1 Sep" xfId="47799"/>
    <cellStyle name="_Rockwell Pilot P  L Ver 1 0_FTE Deployment v5_Finance Input Template V6 1 Sep 2" xfId="47800"/>
    <cellStyle name="_Rockwell Pilot P  L Ver 1 0_FTE Deployment v5_Finance Input Template V6 1 Sep 3" xfId="47801"/>
    <cellStyle name="_Rockwell Pilot P  L Ver 1 0_Newspaper degitation" xfId="47802"/>
    <cellStyle name="_Rockwell Pilot P  L Ver 1 0_Newspaper degitation 2" xfId="47803"/>
    <cellStyle name="_Rockwell Pilot P  L Ver 1 0_Newspaper degitation 3" xfId="47804"/>
    <cellStyle name="_Rockwell Pilot P  L Ver 1 0_PB Carveout" xfId="47805"/>
    <cellStyle name="_Rockwell Pilot P  L Ver 1 0_PB Carveout 2" xfId="47806"/>
    <cellStyle name="_Rockwell Pilot P  L Ver 1 0_PB Carveout 3" xfId="47807"/>
    <cellStyle name="_Rockwell Pilot P  L Ver 1 0_PB Carveout_Advanstar Financials 24 July" xfId="47808"/>
    <cellStyle name="_Rockwell Pilot P  L Ver 1 0_PB Carveout_Advanstar Financials 24 July 2" xfId="47809"/>
    <cellStyle name="_Rockwell Pilot P  L Ver 1 0_PB Carveout_Advanstar Financials 24 July 3" xfId="47810"/>
    <cellStyle name="_Rockwell Pilot P  L Ver 1 0_PB Carveout_Advanstar Financials 24 July v1" xfId="47811"/>
    <cellStyle name="_Rockwell Pilot P  L Ver 1 0_PB Carveout_Advanstar Financials 24 July v1 2" xfId="47812"/>
    <cellStyle name="_Rockwell Pilot P  L Ver 1 0_PB Carveout_Advanstar Financials 24 July v1 3" xfId="47813"/>
    <cellStyle name="_Rockwell Pilot P  L Ver 1 0_PB Carveout_Advanstar Financials 24 July v1_Adv_8oct_Sub Ver 12(4)" xfId="47814"/>
    <cellStyle name="_Rockwell Pilot P  L Ver 1 0_PB Carveout_Advanstar Financials 24 July v1_Adv_8oct_Sub Ver 12(4) 2" xfId="47815"/>
    <cellStyle name="_Rockwell Pilot P  L Ver 1 0_PB Carveout_Advanstar Financials 24 July v1_Adv_8oct_Sub Ver 12(4) 3" xfId="47816"/>
    <cellStyle name="_Rockwell Pilot P  L Ver 1 0_PB Carveout_Advanstar Financials 24 July v1_File for Circulation with Volume Discount Revised" xfId="47817"/>
    <cellStyle name="_Rockwell Pilot P  L Ver 1 0_PB Carveout_Advanstar Financials 24 July v1_File for Circulation with Volume Discount Revised 2" xfId="47818"/>
    <cellStyle name="_Rockwell Pilot P  L Ver 1 0_PB Carveout_Advanstar Financials 24 July v1_File for Circulation with Volume Discount Revised 3" xfId="47819"/>
    <cellStyle name="_Rockwell Pilot P  L Ver 1 0_PB Carveout_Advanstar Financials 24 July v1_HR Assumptions for Pricing2" xfId="47820"/>
    <cellStyle name="_Rockwell Pilot P  L Ver 1 0_PB Carveout_Advanstar Financials 24 July v1_HR Assumptions for Pricing2 2" xfId="47821"/>
    <cellStyle name="_Rockwell Pilot P  L Ver 1 0_PB Carveout_Advanstar Financials 24 July v1_HR Assumptions for Pricing2 3" xfId="47822"/>
    <cellStyle name="_Rockwell Pilot P  L Ver 1 0_PB Carveout_Advanstar Financials 24 July_Adv_8oct_Sub Ver 12(4)" xfId="47823"/>
    <cellStyle name="_Rockwell Pilot P  L Ver 1 0_PB Carveout_Advanstar Financials 24 July_Adv_8oct_Sub Ver 12(4) 2" xfId="47824"/>
    <cellStyle name="_Rockwell Pilot P  L Ver 1 0_PB Carveout_Advanstar Financials 24 July_Adv_8oct_Sub Ver 12(4) 3" xfId="47825"/>
    <cellStyle name="_Rockwell Pilot P  L Ver 1 0_PB Carveout_Advanstar Financials 24 July_File for Circulation with Volume Discount Revised" xfId="47826"/>
    <cellStyle name="_Rockwell Pilot P  L Ver 1 0_PB Carveout_Advanstar Financials 24 July_File for Circulation with Volume Discount Revised 2" xfId="47827"/>
    <cellStyle name="_Rockwell Pilot P  L Ver 1 0_PB Carveout_Advanstar Financials 24 July_File for Circulation with Volume Discount Revised 3" xfId="47828"/>
    <cellStyle name="_Rockwell Pilot P  L Ver 1 0_PB Carveout_Advanstar Financials 24 July_HR Assumptions for Pricing2" xfId="47829"/>
    <cellStyle name="_Rockwell Pilot P  L Ver 1 0_PB Carveout_Advanstar Financials 24 July_HR Assumptions for Pricing2 2" xfId="47830"/>
    <cellStyle name="_Rockwell Pilot P  L Ver 1 0_PB Carveout_Advanstar Financials 24 July_HR Assumptions for Pricing2 3" xfId="47831"/>
    <cellStyle name="_Rockwell Pilot P  L Ver 1 0_PB Carveout_HR Workings Break-up (2)" xfId="47832"/>
    <cellStyle name="_Rockwell Pilot P  L Ver 1 0_PB Carveout_HR Workings Break-up (2) 2" xfId="47833"/>
    <cellStyle name="_Rockwell Pilot P  L Ver 1 0_PB Carveout_HR Workings Break-up (2) 3" xfId="47834"/>
    <cellStyle name="_Rockwell Pilot P  L Ver 1 0_PB Carveout_HR Workings Break-up (2)_Adv_8oct_Sub Ver 12(4)" xfId="47835"/>
    <cellStyle name="_Rockwell Pilot P  L Ver 1 0_PB Carveout_HR Workings Break-up (2)_Adv_8oct_Sub Ver 12(4) 2" xfId="47836"/>
    <cellStyle name="_Rockwell Pilot P  L Ver 1 0_PB Carveout_HR Workings Break-up (2)_Adv_8oct_Sub Ver 12(4) 3" xfId="47837"/>
    <cellStyle name="_Rockwell Pilot P  L Ver 1 0_PB Carveout_HR Workings Break-up (2)_File for Circulation with Volume Discount Revised" xfId="47838"/>
    <cellStyle name="_Rockwell Pilot P  L Ver 1 0_PB Carveout_HR Workings Break-up (2)_File for Circulation with Volume Discount Revised 2" xfId="47839"/>
    <cellStyle name="_Rockwell Pilot P  L Ver 1 0_PB Carveout_HR Workings Break-up (2)_File for Circulation with Volume Discount Revised 3" xfId="47840"/>
    <cellStyle name="_Rockwell Pilot P  L Ver 1 0_PB Carveout_HR Workings Break-up (2)_HR Assumptions for Pricing2" xfId="47841"/>
    <cellStyle name="_Rockwell Pilot P  L Ver 1 0_PB Carveout_HR Workings Break-up (2)_HR Assumptions for Pricing2 2" xfId="47842"/>
    <cellStyle name="_Rockwell Pilot P  L Ver 1 0_PB Carveout_HR Workings Break-up (2)_HR Assumptions for Pricing2 3" xfId="47843"/>
    <cellStyle name="_Rockwell Pilot P  L Ver 1 0_PB Carveout_Ramp Plan _ RDA_Editorial" xfId="47844"/>
    <cellStyle name="_Rockwell Pilot P  L Ver 1 0_PB Carveout_Ramp Plan _ RDA_Editorial 2" xfId="47845"/>
    <cellStyle name="_Rockwell Pilot P  L Ver 1 0_PB Carveout_Ramp Plan _ RDA_Editorial 3" xfId="47846"/>
    <cellStyle name="_Rockwell Pilot P  L Ver 1 0_PB Carveout_Ramp Plan _ RDA_Editorial_Adv_8oct_Sub Ver 12(4)" xfId="47847"/>
    <cellStyle name="_Rockwell Pilot P  L Ver 1 0_PB Carveout_Ramp Plan _ RDA_Editorial_Adv_8oct_Sub Ver 12(4) 2" xfId="47848"/>
    <cellStyle name="_Rockwell Pilot P  L Ver 1 0_PB Carveout_Ramp Plan _ RDA_Editorial_Adv_8oct_Sub Ver 12(4) 3" xfId="47849"/>
    <cellStyle name="_Rockwell Pilot P  L Ver 1 0_PB Carveout_Ramp Plan _ RDA_Editorial_File for Circulation with Volume Discount Revised" xfId="47850"/>
    <cellStyle name="_Rockwell Pilot P  L Ver 1 0_PB Carveout_Ramp Plan _ RDA_Editorial_File for Circulation with Volume Discount Revised 2" xfId="47851"/>
    <cellStyle name="_Rockwell Pilot P  L Ver 1 0_PB Carveout_Ramp Plan _ RDA_Editorial_File for Circulation with Volume Discount Revised 3" xfId="47852"/>
    <cellStyle name="_Rockwell Pilot P  L Ver 1 0_PB Carveout_Ramp Plan _ RDA_Editorial_HR Assumptions for Pricing2" xfId="47853"/>
    <cellStyle name="_Rockwell Pilot P  L Ver 1 0_PB Carveout_Ramp Plan _ RDA_Editorial_HR Assumptions for Pricing2 2" xfId="47854"/>
    <cellStyle name="_Rockwell Pilot P  L Ver 1 0_PB Carveout_Ramp Plan _ RDA_Editorial_HR Assumptions for Pricing2 3" xfId="47855"/>
    <cellStyle name="_Rockwell Pilot P  L Ver 1 0_Pricing Norway Post2" xfId="47856"/>
    <cellStyle name="_Rockwell Pilot P  L Ver 1 0_Pricing Norway Post2 2" xfId="47857"/>
    <cellStyle name="_Rockwell Pilot P  L Ver 1 0_Pricing Norway Post2 3" xfId="47858"/>
    <cellStyle name="_Rockwell Pilot P  L Ver 1 0_Salary Rate Card_v1 0" xfId="47859"/>
    <cellStyle name="_Rockwell Pilot P  L Ver 1 0_Salary Rate Card_v1 0 2" xfId="47860"/>
    <cellStyle name="_Rockwell Pilot P  L Ver 1 0_Salary Rate Card_v1 0 3" xfId="47861"/>
    <cellStyle name="_Rockwell Pilot P  L Ver 1 0_Seat Cost calculation 150110 SkyIt" xfId="47862"/>
    <cellStyle name="_Rockwell Pilot P  L Ver 1 0_Seat Cost calculation 150110 SkyIt 2" xfId="47863"/>
    <cellStyle name="_Rockwell Pilot P  L Ver 1 0_Seat Cost calculation 150110 SkyIt 3" xfId="47864"/>
    <cellStyle name="_Rockwell Pilot P  L Ver 1 0_UMG Financial Model - Apps V 2.0" xfId="47865"/>
    <cellStyle name="_Rockwell Pilot P  L Ver 1 0_UMG Financial Model - Apps V 2.0 2" xfId="47866"/>
    <cellStyle name="_Rockwell Pilot P  L Ver 1 0_UMG Financial Model - Apps V 2.0 3" xfId="47867"/>
    <cellStyle name="_Rockwell Pilot P  L Ver 1 0_UMG_ Pricing Model - Final" xfId="47868"/>
    <cellStyle name="_Rockwell Pilot P  L Ver 1 0_UMG_ Pricing Model - Final 2" xfId="47869"/>
    <cellStyle name="_Rockwell Pilot P  L Ver 1 0_UMG_ Pricing Model - Final 3" xfId="47870"/>
    <cellStyle name="_RPI &amp; COPI from Kingdom as at 23May2008" xfId="47871"/>
    <cellStyle name="_RPI &amp; COPI from Kingdom as at 23May2008 2" xfId="47872"/>
    <cellStyle name="_RPI &amp; COPI from Kingdom as at 23May2008 2 2" xfId="47873"/>
    <cellStyle name="_RPI &amp; COPI from Kingdom as at 23May2008 2 3" xfId="47874"/>
    <cellStyle name="_RPI &amp; COPI from Kingdom as at 23May2008 3" xfId="47875"/>
    <cellStyle name="_RPI &amp; COPI from Kingdom as at 23May2008 3 2" xfId="47876"/>
    <cellStyle name="_RPI &amp; COPI from Kingdom as at 23May2008 4" xfId="47877"/>
    <cellStyle name="_RPI &amp; COPI from Kingdom as at 23May2008 4 2" xfId="47878"/>
    <cellStyle name="_RPI &amp; COPI from Kingdom as at 23May2008 5" xfId="47879"/>
    <cellStyle name="_RPI &amp; COPI from Kingdom as at 23May2008 5 2" xfId="47880"/>
    <cellStyle name="_RPI &amp; COPI from Kingdom as at 23May2008 6" xfId="47881"/>
    <cellStyle name="_RPI &amp; COPI from Kingdom as at 23May2008 6 2" xfId="47882"/>
    <cellStyle name="_RPI &amp; COPI from Kingdom as at 23May2008 7" xfId="47883"/>
    <cellStyle name="_RPI &amp; COPI from Kingdom as at 23May2008 7 2" xfId="47884"/>
    <cellStyle name="_RPI &amp; COPI from Kingdom as at 23May2008 8" xfId="47885"/>
    <cellStyle name="_RPI Indicies Projections_Draft update for 17 Nov Barclays report" xfId="47886"/>
    <cellStyle name="_RPI Indicies Projections_Draft update for 17 Nov Barclays report 2" xfId="47887"/>
    <cellStyle name="_RPI Indicies Projections_Draft update for 17 Nov Barclays report 3" xfId="47888"/>
    <cellStyle name="_Sales waterfall" xfId="47889"/>
    <cellStyle name="_Sales waterfall 2" xfId="47890"/>
    <cellStyle name="_Sales waterfall FC to Bud 11 12" xfId="47891"/>
    <cellStyle name="_Sales waterfall FC to Bud 11 12 2" xfId="47892"/>
    <cellStyle name="_x0013__SAP Accruals" xfId="47893"/>
    <cellStyle name="_SAP BI Report Jan 2009 " xfId="47894"/>
    <cellStyle name="_SAP BI Report Jan 2009  2" xfId="47895"/>
    <cellStyle name="_x0013__SAP Costs" xfId="47896"/>
    <cellStyle name="_x0013__SAP Profiles - CM" xfId="47897"/>
    <cellStyle name="_Sara Lee V I" xfId="47898"/>
    <cellStyle name="_Sara Lee V I 2" xfId="47899"/>
    <cellStyle name="_Sara Lee V I 3" xfId="47900"/>
    <cellStyle name="_Sara Lee V I_Adapt response DC Pricing Format (2)" xfId="47901"/>
    <cellStyle name="_Sara Lee V I_Adapt response DC Pricing Format (2) 2" xfId="47902"/>
    <cellStyle name="_Sara Lee V I_Adapt response DC Pricing Format (2) 3" xfId="47903"/>
    <cellStyle name="_Sara Lee V I_Advanstar Financials" xfId="47904"/>
    <cellStyle name="_Sara Lee V I_Advanstar Financials 2" xfId="47905"/>
    <cellStyle name="_Sara Lee V I_Advanstar Financials 24 July" xfId="47906"/>
    <cellStyle name="_Sara Lee V I_Advanstar Financials 24 July 2" xfId="47907"/>
    <cellStyle name="_Sara Lee V I_Advanstar Financials 24 July 3" xfId="47908"/>
    <cellStyle name="_Sara Lee V I_Advanstar Financials 24 July v1" xfId="47909"/>
    <cellStyle name="_Sara Lee V I_Advanstar Financials 24 July v1 2" xfId="47910"/>
    <cellStyle name="_Sara Lee V I_Advanstar Financials 24 July v1 3" xfId="47911"/>
    <cellStyle name="_Sara Lee V I_Advanstar Financials 24 July v1_Adv_8oct_Sub Ver 12(4)" xfId="47912"/>
    <cellStyle name="_Sara Lee V I_Advanstar Financials 24 July v1_Adv_8oct_Sub Ver 12(4) 2" xfId="47913"/>
    <cellStyle name="_Sara Lee V I_Advanstar Financials 24 July v1_Adv_8oct_Sub Ver 12(4) 3" xfId="47914"/>
    <cellStyle name="_Sara Lee V I_Advanstar Financials 24 July v1_File for Circulation with Volume Discount Revised" xfId="47915"/>
    <cellStyle name="_Sara Lee V I_Advanstar Financials 24 July v1_File for Circulation with Volume Discount Revised 2" xfId="47916"/>
    <cellStyle name="_Sara Lee V I_Advanstar Financials 24 July v1_File for Circulation with Volume Discount Revised 3" xfId="47917"/>
    <cellStyle name="_Sara Lee V I_Advanstar Financials 24 July v1_HR Assumptions for Pricing2" xfId="47918"/>
    <cellStyle name="_Sara Lee V I_Advanstar Financials 24 July v1_HR Assumptions for Pricing2 2" xfId="47919"/>
    <cellStyle name="_Sara Lee V I_Advanstar Financials 24 July v1_HR Assumptions for Pricing2 3" xfId="47920"/>
    <cellStyle name="_Sara Lee V I_Advanstar Financials 24 July_Adv_8oct_Sub Ver 12(4)" xfId="47921"/>
    <cellStyle name="_Sara Lee V I_Advanstar Financials 24 July_Adv_8oct_Sub Ver 12(4) 2" xfId="47922"/>
    <cellStyle name="_Sara Lee V I_Advanstar Financials 24 July_Adv_8oct_Sub Ver 12(4) 3" xfId="47923"/>
    <cellStyle name="_Sara Lee V I_Advanstar Financials 24 July_File for Circulation with Volume Discount Revised" xfId="47924"/>
    <cellStyle name="_Sara Lee V I_Advanstar Financials 24 July_File for Circulation with Volume Discount Revised 2" xfId="47925"/>
    <cellStyle name="_Sara Lee V I_Advanstar Financials 24 July_File for Circulation with Volume Discount Revised 3" xfId="47926"/>
    <cellStyle name="_Sara Lee V I_Advanstar Financials 24 July_HR Assumptions for Pricing2" xfId="47927"/>
    <cellStyle name="_Sara Lee V I_Advanstar Financials 24 July_HR Assumptions for Pricing2 2" xfId="47928"/>
    <cellStyle name="_Sara Lee V I_Advanstar Financials 24 July_HR Assumptions for Pricing2 3" xfId="47929"/>
    <cellStyle name="_Sara Lee V I_Advanstar Financials 3" xfId="47930"/>
    <cellStyle name="_Sara Lee V I_Advanstar Financials_Adv_8oct_Sub Ver 12(4)" xfId="47931"/>
    <cellStyle name="_Sara Lee V I_Advanstar Financials_Adv_8oct_Sub Ver 12(4) 2" xfId="47932"/>
    <cellStyle name="_Sara Lee V I_Advanstar Financials_Adv_8oct_Sub Ver 12(4) 3" xfId="47933"/>
    <cellStyle name="_Sara Lee V I_Advanstar Financials_File for Circulation with Volume Discount Revised" xfId="47934"/>
    <cellStyle name="_Sara Lee V I_Advanstar Financials_File for Circulation with Volume Discount Revised 2" xfId="47935"/>
    <cellStyle name="_Sara Lee V I_Advanstar Financials_File for Circulation with Volume Discount Revised 3" xfId="47936"/>
    <cellStyle name="_Sara Lee V I_Advanstar Financials_HR Assumptions for Pricing2" xfId="47937"/>
    <cellStyle name="_Sara Lee V I_Advanstar Financials_HR Assumptions for Pricing2 2" xfId="47938"/>
    <cellStyle name="_Sara Lee V I_Advanstar Financials_HR Assumptions for Pricing2 3" xfId="47939"/>
    <cellStyle name="_Sara Lee V I_Finance Input Template" xfId="47940"/>
    <cellStyle name="_Sara Lee V I_Finance Input Template 2" xfId="47941"/>
    <cellStyle name="_Sara Lee V I_Finance Input Template 3" xfId="47942"/>
    <cellStyle name="_Sara Lee V I_Finance Input Template_Adv_8oct_Sub Ver 12(4)" xfId="47943"/>
    <cellStyle name="_Sara Lee V I_Finance Input Template_Adv_8oct_Sub Ver 12(4) 2" xfId="47944"/>
    <cellStyle name="_Sara Lee V I_Finance Input Template_Adv_8oct_Sub Ver 12(4) 3" xfId="47945"/>
    <cellStyle name="_Sara Lee V I_Finance Input Template_File for Circulation with Volume Discount Revised" xfId="47946"/>
    <cellStyle name="_Sara Lee V I_Finance Input Template_File for Circulation with Volume Discount Revised 2" xfId="47947"/>
    <cellStyle name="_Sara Lee V I_Finance Input Template_File for Circulation with Volume Discount Revised 3" xfId="47948"/>
    <cellStyle name="_Sara Lee V I_Finance Input Template_HR Assumptions for Pricing2" xfId="47949"/>
    <cellStyle name="_Sara Lee V I_Finance Input Template_HR Assumptions for Pricing2 2" xfId="47950"/>
    <cellStyle name="_Sara Lee V I_Finance Input Template_HR Assumptions for Pricing2 3" xfId="47951"/>
    <cellStyle name="_Sara Lee V I_Financials Preston Offshoring V11" xfId="47952"/>
    <cellStyle name="_Sara Lee V I_Financials Preston Offshoring V11 2" xfId="47953"/>
    <cellStyle name="_Sara Lee V I_Financials Preston Offshoring V11 3" xfId="47954"/>
    <cellStyle name="_Sara Lee V I_Financials Preston Offshoring V11_Advanstar Financials 24 July" xfId="47955"/>
    <cellStyle name="_Sara Lee V I_Financials Preston Offshoring V11_Advanstar Financials 24 July 2" xfId="47956"/>
    <cellStyle name="_Sara Lee V I_Financials Preston Offshoring V11_Advanstar Financials 24 July 3" xfId="47957"/>
    <cellStyle name="_Sara Lee V I_Financials Preston Offshoring V11_Advanstar Financials 24 July v1" xfId="47958"/>
    <cellStyle name="_Sara Lee V I_Financials Preston Offshoring V11_Advanstar Financials 24 July v1 2" xfId="47959"/>
    <cellStyle name="_Sara Lee V I_Financials Preston Offshoring V11_Advanstar Financials 24 July v1 3" xfId="47960"/>
    <cellStyle name="_Sara Lee V I_Financials Preston Offshoring V11_Advanstar Financials 24 July v1_Adv_8oct_Sub Ver 12(4)" xfId="47961"/>
    <cellStyle name="_Sara Lee V I_Financials Preston Offshoring V11_Advanstar Financials 24 July v1_Adv_8oct_Sub Ver 12(4) 2" xfId="47962"/>
    <cellStyle name="_Sara Lee V I_Financials Preston Offshoring V11_Advanstar Financials 24 July v1_Adv_8oct_Sub Ver 12(4) 3" xfId="47963"/>
    <cellStyle name="_Sara Lee V I_Financials Preston Offshoring V11_Advanstar Financials 24 July v1_File for Circulation with Volume Discount Revised" xfId="47964"/>
    <cellStyle name="_Sara Lee V I_Financials Preston Offshoring V11_Advanstar Financials 24 July v1_File for Circulation with Volume Discount Revised 2" xfId="47965"/>
    <cellStyle name="_Sara Lee V I_Financials Preston Offshoring V11_Advanstar Financials 24 July v1_File for Circulation with Volume Discount Revised 3" xfId="47966"/>
    <cellStyle name="_Sara Lee V I_Financials Preston Offshoring V11_Advanstar Financials 24 July v1_HR Assumptions for Pricing2" xfId="47967"/>
    <cellStyle name="_Sara Lee V I_Financials Preston Offshoring V11_Advanstar Financials 24 July v1_HR Assumptions for Pricing2 2" xfId="47968"/>
    <cellStyle name="_Sara Lee V I_Financials Preston Offshoring V11_Advanstar Financials 24 July v1_HR Assumptions for Pricing2 3" xfId="47969"/>
    <cellStyle name="_Sara Lee V I_Financials Preston Offshoring V11_Advanstar Financials 24 July_Adv_8oct_Sub Ver 12(4)" xfId="47970"/>
    <cellStyle name="_Sara Lee V I_Financials Preston Offshoring V11_Advanstar Financials 24 July_Adv_8oct_Sub Ver 12(4) 2" xfId="47971"/>
    <cellStyle name="_Sara Lee V I_Financials Preston Offshoring V11_Advanstar Financials 24 July_Adv_8oct_Sub Ver 12(4) 3" xfId="47972"/>
    <cellStyle name="_Sara Lee V I_Financials Preston Offshoring V11_Advanstar Financials 24 July_File for Circulation with Volume Discount Revised" xfId="47973"/>
    <cellStyle name="_Sara Lee V I_Financials Preston Offshoring V11_Advanstar Financials 24 July_File for Circulation with Volume Discount Revised 2" xfId="47974"/>
    <cellStyle name="_Sara Lee V I_Financials Preston Offshoring V11_Advanstar Financials 24 July_File for Circulation with Volume Discount Revised 3" xfId="47975"/>
    <cellStyle name="_Sara Lee V I_Financials Preston Offshoring V11_Advanstar Financials 24 July_HR Assumptions for Pricing2" xfId="47976"/>
    <cellStyle name="_Sara Lee V I_Financials Preston Offshoring V11_Advanstar Financials 24 July_HR Assumptions for Pricing2 2" xfId="47977"/>
    <cellStyle name="_Sara Lee V I_Financials Preston Offshoring V11_Advanstar Financials 24 July_HR Assumptions for Pricing2 3" xfId="47978"/>
    <cellStyle name="_Sara Lee V I_Financials Preston Offshoring V11_HR Workings Break-up (2)" xfId="47979"/>
    <cellStyle name="_Sara Lee V I_Financials Preston Offshoring V11_HR Workings Break-up (2) 2" xfId="47980"/>
    <cellStyle name="_Sara Lee V I_Financials Preston Offshoring V11_HR Workings Break-up (2) 3" xfId="47981"/>
    <cellStyle name="_Sara Lee V I_Financials Preston Offshoring V11_HR Workings Break-up (2)_Adv_8oct_Sub Ver 12(4)" xfId="47982"/>
    <cellStyle name="_Sara Lee V I_Financials Preston Offshoring V11_HR Workings Break-up (2)_Adv_8oct_Sub Ver 12(4) 2" xfId="47983"/>
    <cellStyle name="_Sara Lee V I_Financials Preston Offshoring V11_HR Workings Break-up (2)_Adv_8oct_Sub Ver 12(4) 3" xfId="47984"/>
    <cellStyle name="_Sara Lee V I_Financials Preston Offshoring V11_HR Workings Break-up (2)_File for Circulation with Volume Discount Revised" xfId="47985"/>
    <cellStyle name="_Sara Lee V I_Financials Preston Offshoring V11_HR Workings Break-up (2)_File for Circulation with Volume Discount Revised 2" xfId="47986"/>
    <cellStyle name="_Sara Lee V I_Financials Preston Offshoring V11_HR Workings Break-up (2)_File for Circulation with Volume Discount Revised 3" xfId="47987"/>
    <cellStyle name="_Sara Lee V I_Financials Preston Offshoring V11_HR Workings Break-up (2)_HR Assumptions for Pricing2" xfId="47988"/>
    <cellStyle name="_Sara Lee V I_Financials Preston Offshoring V11_HR Workings Break-up (2)_HR Assumptions for Pricing2 2" xfId="47989"/>
    <cellStyle name="_Sara Lee V I_Financials Preston Offshoring V11_HR Workings Break-up (2)_HR Assumptions for Pricing2 3" xfId="47990"/>
    <cellStyle name="_Sara Lee V I_Financials Preston Offshoring V11_Ramp Plan _ RDA_Editorial" xfId="47991"/>
    <cellStyle name="_Sara Lee V I_Financials Preston Offshoring V11_Ramp Plan _ RDA_Editorial 2" xfId="47992"/>
    <cellStyle name="_Sara Lee V I_Financials Preston Offshoring V11_Ramp Plan _ RDA_Editorial 3" xfId="47993"/>
    <cellStyle name="_Sara Lee V I_Financials Preston Offshoring V11_Ramp Plan _ RDA_Editorial_Adv_8oct_Sub Ver 12(4)" xfId="47994"/>
    <cellStyle name="_Sara Lee V I_Financials Preston Offshoring V11_Ramp Plan _ RDA_Editorial_Adv_8oct_Sub Ver 12(4) 2" xfId="47995"/>
    <cellStyle name="_Sara Lee V I_Financials Preston Offshoring V11_Ramp Plan _ RDA_Editorial_Adv_8oct_Sub Ver 12(4) 3" xfId="47996"/>
    <cellStyle name="_Sara Lee V I_Financials Preston Offshoring V11_Ramp Plan _ RDA_Editorial_File for Circulation with Volume Discount Revised" xfId="47997"/>
    <cellStyle name="_Sara Lee V I_Financials Preston Offshoring V11_Ramp Plan _ RDA_Editorial_File for Circulation with Volume Discount Revised 2" xfId="47998"/>
    <cellStyle name="_Sara Lee V I_Financials Preston Offshoring V11_Ramp Plan _ RDA_Editorial_File for Circulation with Volume Discount Revised 3" xfId="47999"/>
    <cellStyle name="_Sara Lee V I_Financials Preston Offshoring V11_Ramp Plan _ RDA_Editorial_HR Assumptions for Pricing2" xfId="48000"/>
    <cellStyle name="_Sara Lee V I_Financials Preston Offshoring V11_Ramp Plan _ RDA_Editorial_HR Assumptions for Pricing2 2" xfId="48001"/>
    <cellStyle name="_Sara Lee V I_Financials Preston Offshoring V11_Ramp Plan _ RDA_Editorial_HR Assumptions for Pricing2 3" xfId="48002"/>
    <cellStyle name="_Sara Lee V I_FTE Deployment v4" xfId="48003"/>
    <cellStyle name="_Sara Lee V I_FTE Deployment v4 2" xfId="48004"/>
    <cellStyle name="_Sara Lee V I_FTE Deployment v4 3" xfId="48005"/>
    <cellStyle name="_Sara Lee V I_FTE Deployment v4 ramp plan" xfId="48006"/>
    <cellStyle name="_Sara Lee V I_FTE Deployment v4 ramp plan 2" xfId="48007"/>
    <cellStyle name="_Sara Lee V I_FTE Deployment v4 ramp plan 3" xfId="48008"/>
    <cellStyle name="_Sara Lee V I_FTE Deployment v4 ramp plan_Advanstar Financials 24 July" xfId="48009"/>
    <cellStyle name="_Sara Lee V I_FTE Deployment v4 ramp plan_Advanstar Financials 24 July 2" xfId="48010"/>
    <cellStyle name="_Sara Lee V I_FTE Deployment v4 ramp plan_Advanstar Financials 24 July 3" xfId="48011"/>
    <cellStyle name="_Sara Lee V I_FTE Deployment v4 ramp plan_Advanstar Financials 24 July v1" xfId="48012"/>
    <cellStyle name="_Sara Lee V I_FTE Deployment v4 ramp plan_Advanstar Financials 24 July v1 2" xfId="48013"/>
    <cellStyle name="_Sara Lee V I_FTE Deployment v4 ramp plan_Advanstar Financials 24 July v1 3" xfId="48014"/>
    <cellStyle name="_Sara Lee V I_FTE Deployment v4 ramp plan_Finance Input Template V6 1 Sep" xfId="48015"/>
    <cellStyle name="_Sara Lee V I_FTE Deployment v4 ramp plan_Finance Input Template V6 1 Sep 2" xfId="48016"/>
    <cellStyle name="_Sara Lee V I_FTE Deployment v4 ramp plan_Finance Input Template V6 1 Sep 3" xfId="48017"/>
    <cellStyle name="_Sara Lee V I_FTE Deployment v4_Advanstar Financials 24 July" xfId="48018"/>
    <cellStyle name="_Sara Lee V I_FTE Deployment v4_Advanstar Financials 24 July 2" xfId="48019"/>
    <cellStyle name="_Sara Lee V I_FTE Deployment v4_Advanstar Financials 24 July 3" xfId="48020"/>
    <cellStyle name="_Sara Lee V I_FTE Deployment v4_Advanstar Financials 24 July v1" xfId="48021"/>
    <cellStyle name="_Sara Lee V I_FTE Deployment v4_Advanstar Financials 24 July v1 2" xfId="48022"/>
    <cellStyle name="_Sara Lee V I_FTE Deployment v4_Advanstar Financials 24 July v1 3" xfId="48023"/>
    <cellStyle name="_Sara Lee V I_FTE Deployment v4_Finance Input Template V6 1 Sep" xfId="48024"/>
    <cellStyle name="_Sara Lee V I_FTE Deployment v4_Finance Input Template V6 1 Sep 2" xfId="48025"/>
    <cellStyle name="_Sara Lee V I_FTE Deployment v4_Finance Input Template V6 1 Sep 3" xfId="48026"/>
    <cellStyle name="_Sara Lee V I_FTE Deployment v5" xfId="48027"/>
    <cellStyle name="_Sara Lee V I_FTE Deployment v5 2" xfId="48028"/>
    <cellStyle name="_Sara Lee V I_FTE Deployment v5 3" xfId="48029"/>
    <cellStyle name="_Sara Lee V I_FTE Deployment v5_Advanstar Financials 24 July" xfId="48030"/>
    <cellStyle name="_Sara Lee V I_FTE Deployment v5_Advanstar Financials 24 July 2" xfId="48031"/>
    <cellStyle name="_Sara Lee V I_FTE Deployment v5_Advanstar Financials 24 July 3" xfId="48032"/>
    <cellStyle name="_Sara Lee V I_FTE Deployment v5_Advanstar Financials 24 July v1" xfId="48033"/>
    <cellStyle name="_Sara Lee V I_FTE Deployment v5_Advanstar Financials 24 July v1 2" xfId="48034"/>
    <cellStyle name="_Sara Lee V I_FTE Deployment v5_Advanstar Financials 24 July v1 3" xfId="48035"/>
    <cellStyle name="_Sara Lee V I_FTE Deployment v5_Finance Input Template V6 1 Sep" xfId="48036"/>
    <cellStyle name="_Sara Lee V I_FTE Deployment v5_Finance Input Template V6 1 Sep 2" xfId="48037"/>
    <cellStyle name="_Sara Lee V I_FTE Deployment v5_Finance Input Template V6 1 Sep 3" xfId="48038"/>
    <cellStyle name="_Sara Lee V I_Newspaper degitation" xfId="48039"/>
    <cellStyle name="_Sara Lee V I_Newspaper degitation 2" xfId="48040"/>
    <cellStyle name="_Sara Lee V I_Newspaper degitation 3" xfId="48041"/>
    <cellStyle name="_Sara Lee V I_PB Carveout" xfId="48042"/>
    <cellStyle name="_Sara Lee V I_PB Carveout 2" xfId="48043"/>
    <cellStyle name="_Sara Lee V I_PB Carveout 3" xfId="48044"/>
    <cellStyle name="_Sara Lee V I_PB Carveout_Advanstar Financials 24 July" xfId="48045"/>
    <cellStyle name="_Sara Lee V I_PB Carveout_Advanstar Financials 24 July 2" xfId="48046"/>
    <cellStyle name="_Sara Lee V I_PB Carveout_Advanstar Financials 24 July 3" xfId="48047"/>
    <cellStyle name="_Sara Lee V I_PB Carveout_Advanstar Financials 24 July v1" xfId="48048"/>
    <cellStyle name="_Sara Lee V I_PB Carveout_Advanstar Financials 24 July v1 2" xfId="48049"/>
    <cellStyle name="_Sara Lee V I_PB Carveout_Advanstar Financials 24 July v1 3" xfId="48050"/>
    <cellStyle name="_Sara Lee V I_PB Carveout_Advanstar Financials 24 July v1_Adv_8oct_Sub Ver 12(4)" xfId="48051"/>
    <cellStyle name="_Sara Lee V I_PB Carveout_Advanstar Financials 24 July v1_Adv_8oct_Sub Ver 12(4) 2" xfId="48052"/>
    <cellStyle name="_Sara Lee V I_PB Carveout_Advanstar Financials 24 July v1_Adv_8oct_Sub Ver 12(4) 3" xfId="48053"/>
    <cellStyle name="_Sara Lee V I_PB Carveout_Advanstar Financials 24 July v1_File for Circulation with Volume Discount Revised" xfId="48054"/>
    <cellStyle name="_Sara Lee V I_PB Carveout_Advanstar Financials 24 July v1_File for Circulation with Volume Discount Revised 2" xfId="48055"/>
    <cellStyle name="_Sara Lee V I_PB Carveout_Advanstar Financials 24 July v1_File for Circulation with Volume Discount Revised 3" xfId="48056"/>
    <cellStyle name="_Sara Lee V I_PB Carveout_Advanstar Financials 24 July v1_HR Assumptions for Pricing2" xfId="48057"/>
    <cellStyle name="_Sara Lee V I_PB Carveout_Advanstar Financials 24 July v1_HR Assumptions for Pricing2 2" xfId="48058"/>
    <cellStyle name="_Sara Lee V I_PB Carveout_Advanstar Financials 24 July v1_HR Assumptions for Pricing2 3" xfId="48059"/>
    <cellStyle name="_Sara Lee V I_PB Carveout_Advanstar Financials 24 July_Adv_8oct_Sub Ver 12(4)" xfId="48060"/>
    <cellStyle name="_Sara Lee V I_PB Carveout_Advanstar Financials 24 July_Adv_8oct_Sub Ver 12(4) 2" xfId="48061"/>
    <cellStyle name="_Sara Lee V I_PB Carveout_Advanstar Financials 24 July_Adv_8oct_Sub Ver 12(4) 3" xfId="48062"/>
    <cellStyle name="_Sara Lee V I_PB Carveout_Advanstar Financials 24 July_File for Circulation with Volume Discount Revised" xfId="48063"/>
    <cellStyle name="_Sara Lee V I_PB Carveout_Advanstar Financials 24 July_File for Circulation with Volume Discount Revised 2" xfId="48064"/>
    <cellStyle name="_Sara Lee V I_PB Carveout_Advanstar Financials 24 July_File for Circulation with Volume Discount Revised 3" xfId="48065"/>
    <cellStyle name="_Sara Lee V I_PB Carveout_Advanstar Financials 24 July_HR Assumptions for Pricing2" xfId="48066"/>
    <cellStyle name="_Sara Lee V I_PB Carveout_Advanstar Financials 24 July_HR Assumptions for Pricing2 2" xfId="48067"/>
    <cellStyle name="_Sara Lee V I_PB Carveout_Advanstar Financials 24 July_HR Assumptions for Pricing2 3" xfId="48068"/>
    <cellStyle name="_Sara Lee V I_PB Carveout_HR Workings Break-up (2)" xfId="48069"/>
    <cellStyle name="_Sara Lee V I_PB Carveout_HR Workings Break-up (2) 2" xfId="48070"/>
    <cellStyle name="_Sara Lee V I_PB Carveout_HR Workings Break-up (2) 3" xfId="48071"/>
    <cellStyle name="_Sara Lee V I_PB Carveout_HR Workings Break-up (2)_Adv_8oct_Sub Ver 12(4)" xfId="48072"/>
    <cellStyle name="_Sara Lee V I_PB Carveout_HR Workings Break-up (2)_Adv_8oct_Sub Ver 12(4) 2" xfId="48073"/>
    <cellStyle name="_Sara Lee V I_PB Carveout_HR Workings Break-up (2)_Adv_8oct_Sub Ver 12(4) 3" xfId="48074"/>
    <cellStyle name="_Sara Lee V I_PB Carveout_HR Workings Break-up (2)_File for Circulation with Volume Discount Revised" xfId="48075"/>
    <cellStyle name="_Sara Lee V I_PB Carveout_HR Workings Break-up (2)_File for Circulation with Volume Discount Revised 2" xfId="48076"/>
    <cellStyle name="_Sara Lee V I_PB Carveout_HR Workings Break-up (2)_File for Circulation with Volume Discount Revised 3" xfId="48077"/>
    <cellStyle name="_Sara Lee V I_PB Carveout_HR Workings Break-up (2)_HR Assumptions for Pricing2" xfId="48078"/>
    <cellStyle name="_Sara Lee V I_PB Carveout_HR Workings Break-up (2)_HR Assumptions for Pricing2 2" xfId="48079"/>
    <cellStyle name="_Sara Lee V I_PB Carveout_HR Workings Break-up (2)_HR Assumptions for Pricing2 3" xfId="48080"/>
    <cellStyle name="_Sara Lee V I_PB Carveout_Ramp Plan _ RDA_Editorial" xfId="48081"/>
    <cellStyle name="_Sara Lee V I_PB Carveout_Ramp Plan _ RDA_Editorial 2" xfId="48082"/>
    <cellStyle name="_Sara Lee V I_PB Carveout_Ramp Plan _ RDA_Editorial 3" xfId="48083"/>
    <cellStyle name="_Sara Lee V I_PB Carveout_Ramp Plan _ RDA_Editorial_Adv_8oct_Sub Ver 12(4)" xfId="48084"/>
    <cellStyle name="_Sara Lee V I_PB Carveout_Ramp Plan _ RDA_Editorial_Adv_8oct_Sub Ver 12(4) 2" xfId="48085"/>
    <cellStyle name="_Sara Lee V I_PB Carveout_Ramp Plan _ RDA_Editorial_Adv_8oct_Sub Ver 12(4) 3" xfId="48086"/>
    <cellStyle name="_Sara Lee V I_PB Carveout_Ramp Plan _ RDA_Editorial_File for Circulation with Volume Discount Revised" xfId="48087"/>
    <cellStyle name="_Sara Lee V I_PB Carveout_Ramp Plan _ RDA_Editorial_File for Circulation with Volume Discount Revised 2" xfId="48088"/>
    <cellStyle name="_Sara Lee V I_PB Carveout_Ramp Plan _ RDA_Editorial_File for Circulation with Volume Discount Revised 3" xfId="48089"/>
    <cellStyle name="_Sara Lee V I_PB Carveout_Ramp Plan _ RDA_Editorial_HR Assumptions for Pricing2" xfId="48090"/>
    <cellStyle name="_Sara Lee V I_PB Carveout_Ramp Plan _ RDA_Editorial_HR Assumptions for Pricing2 2" xfId="48091"/>
    <cellStyle name="_Sara Lee V I_PB Carveout_Ramp Plan _ RDA_Editorial_HR Assumptions for Pricing2 3" xfId="48092"/>
    <cellStyle name="_Sara Lee V I_Pricing Norway Post2" xfId="48093"/>
    <cellStyle name="_Sara Lee V I_Pricing Norway Post2 2" xfId="48094"/>
    <cellStyle name="_Sara Lee V I_Pricing Norway Post2 3" xfId="48095"/>
    <cellStyle name="_Sara Lee V I_Salary Rate Card_v1 0" xfId="48096"/>
    <cellStyle name="_Sara Lee V I_Salary Rate Card_v1 0 2" xfId="48097"/>
    <cellStyle name="_Sara Lee V I_Salary Rate Card_v1 0 3" xfId="48098"/>
    <cellStyle name="_Sara Lee V I_Seat Cost calculation 150110 SkyIt" xfId="48099"/>
    <cellStyle name="_Sara Lee V I_Seat Cost calculation 150110 SkyIt 2" xfId="48100"/>
    <cellStyle name="_Sara Lee V I_Seat Cost calculation 150110 SkyIt 3" xfId="48101"/>
    <cellStyle name="_Sara Lee V I_UMG Financial Model - Apps V 2.0" xfId="48102"/>
    <cellStyle name="_Sara Lee V I_UMG Financial Model - Apps V 2.0 2" xfId="48103"/>
    <cellStyle name="_Sara Lee V I_UMG Financial Model - Apps V 2.0 3" xfId="48104"/>
    <cellStyle name="_Sara Lee V I_UMG_ Pricing Model - Final" xfId="48105"/>
    <cellStyle name="_Sara Lee V I_UMG_ Pricing Model - Final 2" xfId="48106"/>
    <cellStyle name="_Sara Lee V I_UMG_ Pricing Model - Final 3" xfId="48107"/>
    <cellStyle name="_Schemes Analysis  Oct-12" xfId="48108"/>
    <cellStyle name="_Schemes Analysis  Oct-12_Sheet1" xfId="48109"/>
    <cellStyle name="_Security PTC pricingV2 (6)" xfId="48110"/>
    <cellStyle name="_Security PTC pricingV2 (6) 2" xfId="48111"/>
    <cellStyle name="_Selected Skills Rate card offshore1" xfId="48112"/>
    <cellStyle name="_Selected Skills Rate card offshore1 2" xfId="48113"/>
    <cellStyle name="_Selected Skills Rate card offshore1 3" xfId="48114"/>
    <cellStyle name="_Sept 11 Analysis data" xfId="48115"/>
    <cellStyle name="_Sept Billing" xfId="48116"/>
    <cellStyle name="_Sept Billing 2" xfId="48117"/>
    <cellStyle name="_Sept Billing 3" xfId="48118"/>
    <cellStyle name="_Service Master 010608_V8.xls - Rahul" xfId="48119"/>
    <cellStyle name="_Service Master 010608_V8.xls - Rahul 2" xfId="48120"/>
    <cellStyle name="_Service Master -Biz Case Analysis _v3" xfId="48121"/>
    <cellStyle name="_Service Master -Biz Case Analysis _v3 2" xfId="48122"/>
    <cellStyle name="_Service Mgt 2628" xfId="48123"/>
    <cellStyle name="_Service Mgt 2628 2" xfId="48124"/>
    <cellStyle name="_SEW" xfId="48125"/>
    <cellStyle name="_SEW 2" xfId="48126"/>
    <cellStyle name="_SEW 2 2" xfId="48127"/>
    <cellStyle name="_SEW 3" xfId="48128"/>
    <cellStyle name="_SEW 3 2" xfId="48129"/>
    <cellStyle name="_SEW 4" xfId="48130"/>
    <cellStyle name="_SEW 4 2" xfId="48131"/>
    <cellStyle name="_SEW 5" xfId="48132"/>
    <cellStyle name="_SEW 5 2" xfId="48133"/>
    <cellStyle name="_SEW 6" xfId="48134"/>
    <cellStyle name="_SEW 6 2" xfId="48135"/>
    <cellStyle name="_SEW 7" xfId="48136"/>
    <cellStyle name="_SEW 7 2" xfId="48137"/>
    <cellStyle name="_SEW 8" xfId="48138"/>
    <cellStyle name="_SGH Servers" xfId="48139"/>
    <cellStyle name="_SGH Servers 2" xfId="48140"/>
    <cellStyle name="_Sheet1" xfId="48141"/>
    <cellStyle name="_x0013__Sheet1" xfId="48142"/>
    <cellStyle name="_Sheet1 (3)" xfId="48143"/>
    <cellStyle name="_Sheet1 (3) 2" xfId="48144"/>
    <cellStyle name="_Sheet1 2" xfId="48145"/>
    <cellStyle name="_x0013__Sheet1 2" xfId="48146"/>
    <cellStyle name="_Sheet1 2 2" xfId="48147"/>
    <cellStyle name="_Sheet1 2 3" xfId="48148"/>
    <cellStyle name="_Sheet1 2 4" xfId="48149"/>
    <cellStyle name="_Sheet1 2 5" xfId="48150"/>
    <cellStyle name="_Sheet1 2 6" xfId="48151"/>
    <cellStyle name="_Sheet1 3" xfId="48152"/>
    <cellStyle name="_x0013__Sheet1 3" xfId="48153"/>
    <cellStyle name="_Sheet1 4" xfId="48154"/>
    <cellStyle name="_x0013__Sheet1 4" xfId="48155"/>
    <cellStyle name="_Sheet1 5" xfId="48156"/>
    <cellStyle name="_x0013__Sheet1 5" xfId="48157"/>
    <cellStyle name="_Sheet1 6" xfId="48158"/>
    <cellStyle name="_x0013__Sheet1 6" xfId="48159"/>
    <cellStyle name="_Sheet1 7" xfId="48160"/>
    <cellStyle name="_Sheet1 8" xfId="48161"/>
    <cellStyle name="_Sheet1_~9868926" xfId="48162"/>
    <cellStyle name="_Sheet1_2011 10 Nov R&amp;O Register Reporting (Working Copy) Finance Draft" xfId="48163"/>
    <cellStyle name="_Sheet1_2011 10 Nov R&amp;O Register Reporting (Working Copy) Finance Final" xfId="48164"/>
    <cellStyle name="_Sheet1_2012 04 April R&amp;O Register IC Reporting" xfId="48165"/>
    <cellStyle name="_Sheet1_6+6 Forecast Backup Worksheets" xfId="48166"/>
    <cellStyle name="_Sheet1_7+5 waterfall DMC" xfId="48167"/>
    <cellStyle name="_Sheet1_Book1" xfId="48168"/>
    <cellStyle name="_Sheet1_Book2" xfId="48169"/>
    <cellStyle name="_Sheet1_commentary 16 Feb 2012" xfId="48170"/>
    <cellStyle name="_Sheet1_Copy of Corporate waterfall stuart ledger +LBE 10-1-12 month end Jan 12 v3 16-02-12" xfId="48171"/>
    <cellStyle name="_Sheet1_Copy of QRF 2011 6+6 - Final v5.1 - Recut of v4 with uplifted IS &amp; IRE overhead rates" xfId="48172"/>
    <cellStyle name="_Sheet1_Corporate Commentary April 12" xfId="48173"/>
    <cellStyle name="_Sheet1_Corporate Sub AMP5 Net Profiles" xfId="48174"/>
    <cellStyle name="_Sheet1_Corporate waterfall stuart ledger 10-1-12 month end Dec 11" xfId="48175"/>
    <cellStyle name="_Sheet1_Corporate waterfall stuart ledger 10-1-12 month end Dec 11 2" xfId="48176"/>
    <cellStyle name="_Sheet1_Developer Services Waterfall Template v 2+10" xfId="48177"/>
    <cellStyle name="_Sheet1_Flash Report - 12 - Mar12 - Draft - 03Apr12 pm - Values Only copy" xfId="48178"/>
    <cellStyle name="_Sheet1_Forecast March 2012 (FINAL On SAP 8th Mar 2012)" xfId="48179"/>
    <cellStyle name="_Sheet1_Forecast November 2011 (data from QRF file)v4 (as per NP file, some Oct still forecast)" xfId="48180"/>
    <cellStyle name="_Sheet1_January 12 R&amp;O Register" xfId="48181"/>
    <cellStyle name="_Sheet1_May 12 R&amp;O Register v2" xfId="48182"/>
    <cellStyle name="_Sheet1_Monthly CapEx Reporting - April 12" xfId="48183"/>
    <cellStyle name="_Sheet1_Monthly Forecast (1+11) - Final v4 - Values Only copy" xfId="48184"/>
    <cellStyle name="_Sheet1_Monthly Forecast (1+11) - Final v5 - Values Only copy" xfId="48185"/>
    <cellStyle name="_Sheet1_Monthly Forecast (10+2) - 06Feb12 v2 - Values Only Copy" xfId="48186"/>
    <cellStyle name="_Sheet1_Monthly Forecast (11+1) - 06Mar12 v3 - Values Only copy" xfId="48187"/>
    <cellStyle name="_Sheet1_Monthly Forecast (2+10) - Final v3 - Values Only copy" xfId="48188"/>
    <cellStyle name="_Sheet1_Monthly Forecast (9+3) - 06Jan12 v3" xfId="48189"/>
    <cellStyle name="_Sheet1_OHAP Monitoring" xfId="48190"/>
    <cellStyle name="_Sheet1_OHAP Reporting 1stMar12" xfId="48191"/>
    <cellStyle name="_Sheet1_OHAP Reporting 1stMar12 2" xfId="48192"/>
    <cellStyle name="_Sheet1_Poland Rate Working" xfId="48193"/>
    <cellStyle name="_Sheet1_Poland Rate Working 2" xfId="48194"/>
    <cellStyle name="_Sheet1_Poland Rate Working 3" xfId="48195"/>
    <cellStyle name="_Sheet1_Pricing Sky Italia" xfId="48196"/>
    <cellStyle name="_Sheet1_pricing SKY Italia  -" xfId="48197"/>
    <cellStyle name="_Sheet1_pricing SKY Italia  - 2" xfId="48198"/>
    <cellStyle name="_Sheet1_pricing SKY Italia  - 3" xfId="48199"/>
    <cellStyle name="_Sheet1_Pricing Sky Italia 2" xfId="48200"/>
    <cellStyle name="_Sheet1_Pricing template_STW_Revised" xfId="48201"/>
    <cellStyle name="_Sheet1_Pricing template_STW_Revised 2" xfId="48202"/>
    <cellStyle name="_Sheet1_PS Services UMG" xfId="48203"/>
    <cellStyle name="_Sheet1_PS Services UMG 2" xfId="48204"/>
    <cellStyle name="_Sheet1_QRF 2011 6+6 - Draft - 06Oct11 v15.1 (excl unrealised efficiencies)" xfId="48205"/>
    <cellStyle name="_Sheet1_QRF 2011 6+6 - Draft - 06Oct11 v16.2 (incl unrealised efficiencies)" xfId="48206"/>
    <cellStyle name="_Sheet1_QRF 2011 6+6 - Final v2 - Values Only Copy" xfId="48207"/>
    <cellStyle name="_Sheet1_Record of Manual Changes" xfId="48208"/>
    <cellStyle name="_Sheet1_Record of Manual Changes 2" xfId="48209"/>
    <cellStyle name="_Sheet1_Revised AMD Server incremental leasing 28.11.07" xfId="48210"/>
    <cellStyle name="_Sheet1_Revised AMD Server incremental leasing 28.11.07 2" xfId="48211"/>
    <cellStyle name="_Sheet1_Service Master BOM_27May" xfId="48212"/>
    <cellStyle name="_Sheet1_Service Master BOM_27May 2" xfId="48213"/>
    <cellStyle name="_Sheet1_Sheet1" xfId="48214"/>
    <cellStyle name="_Sheet1_Sheet1 2" xfId="48215"/>
    <cellStyle name="_Sheet1_SHS consolidated tools BOM" xfId="48216"/>
    <cellStyle name="_Sheet1_SHS consolidated tools BOM 2" xfId="48217"/>
    <cellStyle name="_Sheet1_SHS_consolidated_tools_BOM" xfId="48218"/>
    <cellStyle name="_Sheet1_SHS_consolidated_tools_BOM 2" xfId="48219"/>
    <cellStyle name="_Sheet1_SKF" xfId="48220"/>
    <cellStyle name="_Sheet1_SKF 2" xfId="48221"/>
    <cellStyle name="_Sheet1_submitted" xfId="48222"/>
    <cellStyle name="_Sheet1_submitted 2" xfId="48223"/>
    <cellStyle name="_Sheet1_Version-6(a)" xfId="48224"/>
    <cellStyle name="_Sheet1_Version-6(a) 2" xfId="48225"/>
    <cellStyle name="_Sheet1_VMware Project Effort Estimates Ver 2" xfId="48226"/>
    <cellStyle name="_Sheet1_VMware Project Effort Estimates Ver 2 2" xfId="48227"/>
    <cellStyle name="_Sheet1_WMG Alternate Pricing 220508" xfId="48228"/>
    <cellStyle name="_Sheet1_WMG Alternate Pricing 220508 2" xfId="48229"/>
    <cellStyle name="_Sheet1_WMG Pricing 210508" xfId="48230"/>
    <cellStyle name="_Sheet1_WMG Pricing 210508 2" xfId="48231"/>
    <cellStyle name="_Sheet1_WMG Pricing 280508" xfId="48232"/>
    <cellStyle name="_Sheet1_WMG Pricing 280508 2" xfId="48233"/>
    <cellStyle name="_Sheet1_Year 3 Budget (Yrs 1&amp; 2 Actuals) - Values Only copy" xfId="48234"/>
    <cellStyle name="_Sheet1_Year 3 Efficiency Targets 28thFeb12" xfId="48235"/>
    <cellStyle name="_Sheet3" xfId="48236"/>
    <cellStyle name="_Sheet3 2" xfId="48237"/>
    <cellStyle name="_Sheet4" xfId="48238"/>
    <cellStyle name="_Sheet4 2" xfId="48239"/>
    <cellStyle name="_Sheet4 2 2" xfId="48240"/>
    <cellStyle name="_Sheet4 2 3" xfId="48241"/>
    <cellStyle name="_Sheet4 3" xfId="48242"/>
    <cellStyle name="_Sheet4 4" xfId="48243"/>
    <cellStyle name="_Sheet6" xfId="48244"/>
    <cellStyle name="_Sheet6 2" xfId="48245"/>
    <cellStyle name="_Sheet6 2 2" xfId="48246"/>
    <cellStyle name="_Sheet6 2 3" xfId="48247"/>
    <cellStyle name="_Sheet6 3" xfId="48248"/>
    <cellStyle name="_Sheet6 4" xfId="48249"/>
    <cellStyle name="_SHS Final transition document" xfId="48250"/>
    <cellStyle name="_SHS Final transition document 2" xfId="48251"/>
    <cellStyle name="_SHS Servers" xfId="48252"/>
    <cellStyle name="_SHS Servers 2" xfId="48253"/>
    <cellStyle name="_SHS_ Pricing Model" xfId="48254"/>
    <cellStyle name="_SHS_ Pricing Model 2" xfId="48255"/>
    <cellStyle name="_SHS_sizing_1st_august_new" xfId="48256"/>
    <cellStyle name="_SHS_sizing_1st_august_new 2" xfId="48257"/>
    <cellStyle name="_SHS_sizing_1st_august_new 3" xfId="48258"/>
    <cellStyle name="_Site 32 CCCWPR 13th august" xfId="48259"/>
    <cellStyle name="_Site 32 CCCWPR 13th august 2" xfId="48260"/>
    <cellStyle name="_Site 32 CCCWPR 13th august 3" xfId="48261"/>
    <cellStyle name="_Site 33 CCCWPR Template Q2 v5 OL -16th August 04" xfId="48262"/>
    <cellStyle name="_Site 33 CCCWPR Template Q2 v5 OL -16th August 04 2" xfId="48263"/>
    <cellStyle name="_Site 33 CCCWPR Template Q2 v5 OL -16th August 04 3" xfId="48264"/>
    <cellStyle name="_Site 33 CCCWPR Template Q2 v5-16th August 04" xfId="48265"/>
    <cellStyle name="_Site 33 CCCWPR Template Q2 v5-16th August 04 2" xfId="48266"/>
    <cellStyle name="_Site 33 CCCWPR Template Q2 v5-16th August 04 3" xfId="48267"/>
    <cellStyle name="_Site Data" xfId="48268"/>
    <cellStyle name="_Site Data 2" xfId="48269"/>
    <cellStyle name="_Site Data 3" xfId="48270"/>
    <cellStyle name="_SKF" xfId="48271"/>
    <cellStyle name="_SKF 2" xfId="48272"/>
    <cellStyle name="_SKF 3" xfId="48273"/>
    <cellStyle name="_Stand Information template - Hercules" xfId="48274"/>
    <cellStyle name="_Stand Information template - Hercules 2" xfId="48275"/>
    <cellStyle name="_Stand Information template - Hercules 3" xfId="48276"/>
    <cellStyle name="_Stand Information template - Hercules_Advanstar Financials 24 July" xfId="48277"/>
    <cellStyle name="_Stand Information template - Hercules_Advanstar Financials 24 July 2" xfId="48278"/>
    <cellStyle name="_Stand Information template - Hercules_Advanstar Financials 24 July 3" xfId="48279"/>
    <cellStyle name="_Stand Information template - Hercules_Advanstar Financials 24 July v1" xfId="48280"/>
    <cellStyle name="_Stand Information template - Hercules_Advanstar Financials 24 July v1 2" xfId="48281"/>
    <cellStyle name="_Stand Information template - Hercules_Advanstar Financials 24 July v1 3" xfId="48282"/>
    <cellStyle name="_Stand Information template - Hercules_Advanstar Financials 24 July v1_Adv_8oct_Sub Ver 12(4)" xfId="48283"/>
    <cellStyle name="_Stand Information template - Hercules_Advanstar Financials 24 July v1_Adv_8oct_Sub Ver 12(4) 2" xfId="48284"/>
    <cellStyle name="_Stand Information template - Hercules_Advanstar Financials 24 July v1_Adv_8oct_Sub Ver 12(4) 3" xfId="48285"/>
    <cellStyle name="_Stand Information template - Hercules_Advanstar Financials 24 July v1_File for Circulation with Volume Discount Revised" xfId="48286"/>
    <cellStyle name="_Stand Information template - Hercules_Advanstar Financials 24 July v1_File for Circulation with Volume Discount Revised 2" xfId="48287"/>
    <cellStyle name="_Stand Information template - Hercules_Advanstar Financials 24 July v1_File for Circulation with Volume Discount Revised 3" xfId="48288"/>
    <cellStyle name="_Stand Information template - Hercules_Advanstar Financials 24 July v1_HR Assumptions for Pricing2" xfId="48289"/>
    <cellStyle name="_Stand Information template - Hercules_Advanstar Financials 24 July v1_HR Assumptions for Pricing2 2" xfId="48290"/>
    <cellStyle name="_Stand Information template - Hercules_Advanstar Financials 24 July v1_HR Assumptions for Pricing2 3" xfId="48291"/>
    <cellStyle name="_Stand Information template - Hercules_Advanstar Financials 24 July_Adv_8oct_Sub Ver 12(4)" xfId="48292"/>
    <cellStyle name="_Stand Information template - Hercules_Advanstar Financials 24 July_Adv_8oct_Sub Ver 12(4) 2" xfId="48293"/>
    <cellStyle name="_Stand Information template - Hercules_Advanstar Financials 24 July_Adv_8oct_Sub Ver 12(4) 3" xfId="48294"/>
    <cellStyle name="_Stand Information template - Hercules_Advanstar Financials 24 July_File for Circulation with Volume Discount Revised" xfId="48295"/>
    <cellStyle name="_Stand Information template - Hercules_Advanstar Financials 24 July_File for Circulation with Volume Discount Revised 2" xfId="48296"/>
    <cellStyle name="_Stand Information template - Hercules_Advanstar Financials 24 July_File for Circulation with Volume Discount Revised 3" xfId="48297"/>
    <cellStyle name="_Stand Information template - Hercules_Advanstar Financials 24 July_HR Assumptions for Pricing2" xfId="48298"/>
    <cellStyle name="_Stand Information template - Hercules_Advanstar Financials 24 July_HR Assumptions for Pricing2 2" xfId="48299"/>
    <cellStyle name="_Stand Information template - Hercules_Advanstar Financials 24 July_HR Assumptions for Pricing2 3" xfId="48300"/>
    <cellStyle name="_Stand Information template - Hercules_FTE Deployment v4" xfId="48301"/>
    <cellStyle name="_Stand Information template - Hercules_FTE Deployment v4 2" xfId="48302"/>
    <cellStyle name="_Stand Information template - Hercules_FTE Deployment v4 3" xfId="48303"/>
    <cellStyle name="_Stand Information template - Hercules_FTE Deployment v4 ramp plan" xfId="48304"/>
    <cellStyle name="_Stand Information template - Hercules_FTE Deployment v4 ramp plan 2" xfId="48305"/>
    <cellStyle name="_Stand Information template - Hercules_FTE Deployment v4 ramp plan 3" xfId="48306"/>
    <cellStyle name="_Stand Information template - Hercules_FTE Deployment v4 ramp plan_Advanstar Financials 24 July" xfId="48307"/>
    <cellStyle name="_Stand Information template - Hercules_FTE Deployment v4 ramp plan_Advanstar Financials 24 July 2" xfId="48308"/>
    <cellStyle name="_Stand Information template - Hercules_FTE Deployment v4 ramp plan_Advanstar Financials 24 July 3" xfId="48309"/>
    <cellStyle name="_Stand Information template - Hercules_FTE Deployment v4 ramp plan_Advanstar Financials 24 July v1" xfId="48310"/>
    <cellStyle name="_Stand Information template - Hercules_FTE Deployment v4 ramp plan_Advanstar Financials 24 July v1 2" xfId="48311"/>
    <cellStyle name="_Stand Information template - Hercules_FTE Deployment v4 ramp plan_Advanstar Financials 24 July v1 3" xfId="48312"/>
    <cellStyle name="_Stand Information template - Hercules_FTE Deployment v4 ramp plan_Finance Input Template V6 1 Sep" xfId="48313"/>
    <cellStyle name="_Stand Information template - Hercules_FTE Deployment v4 ramp plan_Finance Input Template V6 1 Sep 2" xfId="48314"/>
    <cellStyle name="_Stand Information template - Hercules_FTE Deployment v4 ramp plan_Finance Input Template V6 1 Sep 3" xfId="48315"/>
    <cellStyle name="_Stand Information template - Hercules_FTE Deployment v4_Advanstar Financials 24 July" xfId="48316"/>
    <cellStyle name="_Stand Information template - Hercules_FTE Deployment v4_Advanstar Financials 24 July 2" xfId="48317"/>
    <cellStyle name="_Stand Information template - Hercules_FTE Deployment v4_Advanstar Financials 24 July 3" xfId="48318"/>
    <cellStyle name="_Stand Information template - Hercules_FTE Deployment v4_Advanstar Financials 24 July v1" xfId="48319"/>
    <cellStyle name="_Stand Information template - Hercules_FTE Deployment v4_Advanstar Financials 24 July v1 2" xfId="48320"/>
    <cellStyle name="_Stand Information template - Hercules_FTE Deployment v4_Advanstar Financials 24 July v1 3" xfId="48321"/>
    <cellStyle name="_Stand Information template - Hercules_FTE Deployment v4_Finance Input Template V6 1 Sep" xfId="48322"/>
    <cellStyle name="_Stand Information template - Hercules_FTE Deployment v4_Finance Input Template V6 1 Sep 2" xfId="48323"/>
    <cellStyle name="_Stand Information template - Hercules_FTE Deployment v4_Finance Input Template V6 1 Sep 3" xfId="48324"/>
    <cellStyle name="_Stand Information template - Hercules_FTE Deployment v5" xfId="48325"/>
    <cellStyle name="_Stand Information template - Hercules_FTE Deployment v5 2" xfId="48326"/>
    <cellStyle name="_Stand Information template - Hercules_FTE Deployment v5 3" xfId="48327"/>
    <cellStyle name="_Stand Information template - Hercules_FTE Deployment v5_Advanstar Financials 24 July" xfId="48328"/>
    <cellStyle name="_Stand Information template - Hercules_FTE Deployment v5_Advanstar Financials 24 July 2" xfId="48329"/>
    <cellStyle name="_Stand Information template - Hercules_FTE Deployment v5_Advanstar Financials 24 July 3" xfId="48330"/>
    <cellStyle name="_Stand Information template - Hercules_FTE Deployment v5_Advanstar Financials 24 July v1" xfId="48331"/>
    <cellStyle name="_Stand Information template - Hercules_FTE Deployment v5_Advanstar Financials 24 July v1 2" xfId="48332"/>
    <cellStyle name="_Stand Information template - Hercules_FTE Deployment v5_Advanstar Financials 24 July v1 3" xfId="48333"/>
    <cellStyle name="_Stand Information template - Hercules_FTE Deployment v5_Finance Input Template V6 1 Sep" xfId="48334"/>
    <cellStyle name="_Stand Information template - Hercules_FTE Deployment v5_Finance Input Template V6 1 Sep 2" xfId="48335"/>
    <cellStyle name="_Stand Information template - Hercules_FTE Deployment v5_Finance Input Template V6 1 Sep 3" xfId="48336"/>
    <cellStyle name="_Stand Information template - Hercules_Pricing Norway Post2" xfId="48337"/>
    <cellStyle name="_Stand Information template - Hercules_Pricing Norway Post2 2" xfId="48338"/>
    <cellStyle name="_Stand Information template - Hercules_Pricing Norway Post2 3" xfId="48339"/>
    <cellStyle name="_Stand Information template - Hercules_Salary Rate Card_v1 0" xfId="48340"/>
    <cellStyle name="_Stand Information template - Hercules_Salary Rate Card_v1 0 2" xfId="48341"/>
    <cellStyle name="_Stand Information template - Hercules_Salary Rate Card_v1 0 3" xfId="48342"/>
    <cellStyle name="_Stand Information template - Hercules_Seat Cost calculation 150110 SkyIt" xfId="48343"/>
    <cellStyle name="_Stand Information template - Hercules_Seat Cost calculation 150110 SkyIt 2" xfId="48344"/>
    <cellStyle name="_Stand Information template - Hercules_Seat Cost calculation 150110 SkyIt 3" xfId="48345"/>
    <cellStyle name="_Stand Information template - Infra" xfId="48346"/>
    <cellStyle name="_Stand Information template - Infra 2" xfId="48347"/>
    <cellStyle name="_Stand Information template - Infra 3" xfId="48348"/>
    <cellStyle name="_Stand Information template - Infra_Advanstar Financials 24 July" xfId="48349"/>
    <cellStyle name="_Stand Information template - Infra_Advanstar Financials 24 July 2" xfId="48350"/>
    <cellStyle name="_Stand Information template - Infra_Advanstar Financials 24 July 3" xfId="48351"/>
    <cellStyle name="_Stand Information template - Infra_Advanstar Financials 24 July v1" xfId="48352"/>
    <cellStyle name="_Stand Information template - Infra_Advanstar Financials 24 July v1 2" xfId="48353"/>
    <cellStyle name="_Stand Information template - Infra_Advanstar Financials 24 July v1 3" xfId="48354"/>
    <cellStyle name="_Stand Information template - Infra_Advanstar Financials 24 July v1_Adv_8oct_Sub Ver 12(4)" xfId="48355"/>
    <cellStyle name="_Stand Information template - Infra_Advanstar Financials 24 July v1_Adv_8oct_Sub Ver 12(4) 2" xfId="48356"/>
    <cellStyle name="_Stand Information template - Infra_Advanstar Financials 24 July v1_Adv_8oct_Sub Ver 12(4) 3" xfId="48357"/>
    <cellStyle name="_Stand Information template - Infra_Advanstar Financials 24 July v1_File for Circulation with Volume Discount Revised" xfId="48358"/>
    <cellStyle name="_Stand Information template - Infra_Advanstar Financials 24 July v1_File for Circulation with Volume Discount Revised 2" xfId="48359"/>
    <cellStyle name="_Stand Information template - Infra_Advanstar Financials 24 July v1_File for Circulation with Volume Discount Revised 3" xfId="48360"/>
    <cellStyle name="_Stand Information template - Infra_Advanstar Financials 24 July v1_HR Assumptions for Pricing2" xfId="48361"/>
    <cellStyle name="_Stand Information template - Infra_Advanstar Financials 24 July v1_HR Assumptions for Pricing2 2" xfId="48362"/>
    <cellStyle name="_Stand Information template - Infra_Advanstar Financials 24 July v1_HR Assumptions for Pricing2 3" xfId="48363"/>
    <cellStyle name="_Stand Information template - Infra_Advanstar Financials 24 July_Adv_8oct_Sub Ver 12(4)" xfId="48364"/>
    <cellStyle name="_Stand Information template - Infra_Advanstar Financials 24 July_Adv_8oct_Sub Ver 12(4) 2" xfId="48365"/>
    <cellStyle name="_Stand Information template - Infra_Advanstar Financials 24 July_Adv_8oct_Sub Ver 12(4) 3" xfId="48366"/>
    <cellStyle name="_Stand Information template - Infra_Advanstar Financials 24 July_File for Circulation with Volume Discount Revised" xfId="48367"/>
    <cellStyle name="_Stand Information template - Infra_Advanstar Financials 24 July_File for Circulation with Volume Discount Revised 2" xfId="48368"/>
    <cellStyle name="_Stand Information template - Infra_Advanstar Financials 24 July_File for Circulation with Volume Discount Revised 3" xfId="48369"/>
    <cellStyle name="_Stand Information template - Infra_Advanstar Financials 24 July_HR Assumptions for Pricing2" xfId="48370"/>
    <cellStyle name="_Stand Information template - Infra_Advanstar Financials 24 July_HR Assumptions for Pricing2 2" xfId="48371"/>
    <cellStyle name="_Stand Information template - Infra_Advanstar Financials 24 July_HR Assumptions for Pricing2 3" xfId="48372"/>
    <cellStyle name="_Stand Information template - Infra_FTE Deployment v4" xfId="48373"/>
    <cellStyle name="_Stand Information template - Infra_FTE Deployment v4 2" xfId="48374"/>
    <cellStyle name="_Stand Information template - Infra_FTE Deployment v4 3" xfId="48375"/>
    <cellStyle name="_Stand Information template - Infra_FTE Deployment v4 ramp plan" xfId="48376"/>
    <cellStyle name="_Stand Information template - Infra_FTE Deployment v4 ramp plan 2" xfId="48377"/>
    <cellStyle name="_Stand Information template - Infra_FTE Deployment v4 ramp plan 3" xfId="48378"/>
    <cellStyle name="_Stand Information template - Infra_FTE Deployment v4 ramp plan_Advanstar Financials 24 July" xfId="48379"/>
    <cellStyle name="_Stand Information template - Infra_FTE Deployment v4 ramp plan_Advanstar Financials 24 July 2" xfId="48380"/>
    <cellStyle name="_Stand Information template - Infra_FTE Deployment v4 ramp plan_Advanstar Financials 24 July 3" xfId="48381"/>
    <cellStyle name="_Stand Information template - Infra_FTE Deployment v4 ramp plan_Advanstar Financials 24 July v1" xfId="48382"/>
    <cellStyle name="_Stand Information template - Infra_FTE Deployment v4 ramp plan_Advanstar Financials 24 July v1 2" xfId="48383"/>
    <cellStyle name="_Stand Information template - Infra_FTE Deployment v4 ramp plan_Advanstar Financials 24 July v1 3" xfId="48384"/>
    <cellStyle name="_Stand Information template - Infra_FTE Deployment v4 ramp plan_Finance Input Template V6 1 Sep" xfId="48385"/>
    <cellStyle name="_Stand Information template - Infra_FTE Deployment v4 ramp plan_Finance Input Template V6 1 Sep 2" xfId="48386"/>
    <cellStyle name="_Stand Information template - Infra_FTE Deployment v4 ramp plan_Finance Input Template V6 1 Sep 3" xfId="48387"/>
    <cellStyle name="_Stand Information template - Infra_FTE Deployment v4_Advanstar Financials 24 July" xfId="48388"/>
    <cellStyle name="_Stand Information template - Infra_FTE Deployment v4_Advanstar Financials 24 July 2" xfId="48389"/>
    <cellStyle name="_Stand Information template - Infra_FTE Deployment v4_Advanstar Financials 24 July 3" xfId="48390"/>
    <cellStyle name="_Stand Information template - Infra_FTE Deployment v4_Advanstar Financials 24 July v1" xfId="48391"/>
    <cellStyle name="_Stand Information template - Infra_FTE Deployment v4_Advanstar Financials 24 July v1 2" xfId="48392"/>
    <cellStyle name="_Stand Information template - Infra_FTE Deployment v4_Advanstar Financials 24 July v1 3" xfId="48393"/>
    <cellStyle name="_Stand Information template - Infra_FTE Deployment v4_Finance Input Template V6 1 Sep" xfId="48394"/>
    <cellStyle name="_Stand Information template - Infra_FTE Deployment v4_Finance Input Template V6 1 Sep 2" xfId="48395"/>
    <cellStyle name="_Stand Information template - Infra_FTE Deployment v4_Finance Input Template V6 1 Sep 3" xfId="48396"/>
    <cellStyle name="_Stand Information template - Infra_FTE Deployment v5" xfId="48397"/>
    <cellStyle name="_Stand Information template - Infra_FTE Deployment v5 2" xfId="48398"/>
    <cellStyle name="_Stand Information template - Infra_FTE Deployment v5 3" xfId="48399"/>
    <cellStyle name="_Stand Information template - Infra_FTE Deployment v5_Advanstar Financials 24 July" xfId="48400"/>
    <cellStyle name="_Stand Information template - Infra_FTE Deployment v5_Advanstar Financials 24 July 2" xfId="48401"/>
    <cellStyle name="_Stand Information template - Infra_FTE Deployment v5_Advanstar Financials 24 July 3" xfId="48402"/>
    <cellStyle name="_Stand Information template - Infra_FTE Deployment v5_Advanstar Financials 24 July v1" xfId="48403"/>
    <cellStyle name="_Stand Information template - Infra_FTE Deployment v5_Advanstar Financials 24 July v1 2" xfId="48404"/>
    <cellStyle name="_Stand Information template - Infra_FTE Deployment v5_Advanstar Financials 24 July v1 3" xfId="48405"/>
    <cellStyle name="_Stand Information template - Infra_FTE Deployment v5_Finance Input Template V6 1 Sep" xfId="48406"/>
    <cellStyle name="_Stand Information template - Infra_FTE Deployment v5_Finance Input Template V6 1 Sep 2" xfId="48407"/>
    <cellStyle name="_Stand Information template - Infra_FTE Deployment v5_Finance Input Template V6 1 Sep 3" xfId="48408"/>
    <cellStyle name="_Stand Information template - Infra_Pricing Norway Post2" xfId="48409"/>
    <cellStyle name="_Stand Information template - Infra_Pricing Norway Post2 2" xfId="48410"/>
    <cellStyle name="_Stand Information template - Infra_Pricing Norway Post2 3" xfId="48411"/>
    <cellStyle name="_Stand Information template - Infra_Salary Rate Card_v1 0" xfId="48412"/>
    <cellStyle name="_Stand Information template - Infra_Salary Rate Card_v1 0 2" xfId="48413"/>
    <cellStyle name="_Stand Information template - Infra_Salary Rate Card_v1 0 3" xfId="48414"/>
    <cellStyle name="_Stand Information template - Infra_Seat Cost calculation 150110 SkyIt" xfId="48415"/>
    <cellStyle name="_Stand Information template - Infra_Seat Cost calculation 150110 SkyIt 2" xfId="48416"/>
    <cellStyle name="_Stand Information template - Infra_Seat Cost calculation 150110 SkyIt 3" xfId="48417"/>
    <cellStyle name="_Standard_Voice_Revised_v1" xfId="48418"/>
    <cellStyle name="_Standard_Voice_Revised_v1 2" xfId="48419"/>
    <cellStyle name="_Standard_Voice_Revised_v1 3" xfId="48420"/>
    <cellStyle name="_Standard_Voice_Revised_v1_Advanstar Financials" xfId="48421"/>
    <cellStyle name="_Standard_Voice_Revised_v1_Advanstar Financials 2" xfId="48422"/>
    <cellStyle name="_Standard_Voice_Revised_v1_Advanstar Financials 24 July" xfId="48423"/>
    <cellStyle name="_Standard_Voice_Revised_v1_Advanstar Financials 24 July 2" xfId="48424"/>
    <cellStyle name="_Standard_Voice_Revised_v1_Advanstar Financials 24 July 3" xfId="48425"/>
    <cellStyle name="_Standard_Voice_Revised_v1_Advanstar Financials 24 July v1" xfId="48426"/>
    <cellStyle name="_Standard_Voice_Revised_v1_Advanstar Financials 24 July v1 2" xfId="48427"/>
    <cellStyle name="_Standard_Voice_Revised_v1_Advanstar Financials 24 July v1 3" xfId="48428"/>
    <cellStyle name="_Standard_Voice_Revised_v1_Advanstar Financials 24 July v1_Adv_8oct_Sub Ver 12(4)" xfId="48429"/>
    <cellStyle name="_Standard_Voice_Revised_v1_Advanstar Financials 24 July v1_Adv_8oct_Sub Ver 12(4) 2" xfId="48430"/>
    <cellStyle name="_Standard_Voice_Revised_v1_Advanstar Financials 24 July v1_Adv_8oct_Sub Ver 12(4) 3" xfId="48431"/>
    <cellStyle name="_Standard_Voice_Revised_v1_Advanstar Financials 24 July v1_File for Circulation with Volume Discount Revised" xfId="48432"/>
    <cellStyle name="_Standard_Voice_Revised_v1_Advanstar Financials 24 July v1_File for Circulation with Volume Discount Revised 2" xfId="48433"/>
    <cellStyle name="_Standard_Voice_Revised_v1_Advanstar Financials 24 July v1_File for Circulation with Volume Discount Revised 3" xfId="48434"/>
    <cellStyle name="_Standard_Voice_Revised_v1_Advanstar Financials 24 July v1_HR Assumptions for Pricing2" xfId="48435"/>
    <cellStyle name="_Standard_Voice_Revised_v1_Advanstar Financials 24 July v1_HR Assumptions for Pricing2 2" xfId="48436"/>
    <cellStyle name="_Standard_Voice_Revised_v1_Advanstar Financials 24 July v1_HR Assumptions for Pricing2 3" xfId="48437"/>
    <cellStyle name="_Standard_Voice_Revised_v1_Advanstar Financials 24 July_Adv_8oct_Sub Ver 12(4)" xfId="48438"/>
    <cellStyle name="_Standard_Voice_Revised_v1_Advanstar Financials 24 July_Adv_8oct_Sub Ver 12(4) 2" xfId="48439"/>
    <cellStyle name="_Standard_Voice_Revised_v1_Advanstar Financials 24 July_Adv_8oct_Sub Ver 12(4) 3" xfId="48440"/>
    <cellStyle name="_Standard_Voice_Revised_v1_Advanstar Financials 24 July_File for Circulation with Volume Discount Revised" xfId="48441"/>
    <cellStyle name="_Standard_Voice_Revised_v1_Advanstar Financials 24 July_File for Circulation with Volume Discount Revised 2" xfId="48442"/>
    <cellStyle name="_Standard_Voice_Revised_v1_Advanstar Financials 24 July_File for Circulation with Volume Discount Revised 3" xfId="48443"/>
    <cellStyle name="_Standard_Voice_Revised_v1_Advanstar Financials 24 July_HR Assumptions for Pricing2" xfId="48444"/>
    <cellStyle name="_Standard_Voice_Revised_v1_Advanstar Financials 24 July_HR Assumptions for Pricing2 2" xfId="48445"/>
    <cellStyle name="_Standard_Voice_Revised_v1_Advanstar Financials 24 July_HR Assumptions for Pricing2 3" xfId="48446"/>
    <cellStyle name="_Standard_Voice_Revised_v1_Advanstar Financials 3" xfId="48447"/>
    <cellStyle name="_Standard_Voice_Revised_v1_Advanstar Financials_Adv_8oct_Sub Ver 12(4)" xfId="48448"/>
    <cellStyle name="_Standard_Voice_Revised_v1_Advanstar Financials_Adv_8oct_Sub Ver 12(4) 2" xfId="48449"/>
    <cellStyle name="_Standard_Voice_Revised_v1_Advanstar Financials_Adv_8oct_Sub Ver 12(4) 3" xfId="48450"/>
    <cellStyle name="_Standard_Voice_Revised_v1_Advanstar Financials_File for Circulation with Volume Discount Revised" xfId="48451"/>
    <cellStyle name="_Standard_Voice_Revised_v1_Advanstar Financials_File for Circulation with Volume Discount Revised 2" xfId="48452"/>
    <cellStyle name="_Standard_Voice_Revised_v1_Advanstar Financials_File for Circulation with Volume Discount Revised 3" xfId="48453"/>
    <cellStyle name="_Standard_Voice_Revised_v1_Advanstar Financials_HR Assumptions for Pricing2" xfId="48454"/>
    <cellStyle name="_Standard_Voice_Revised_v1_Advanstar Financials_HR Assumptions for Pricing2 2" xfId="48455"/>
    <cellStyle name="_Standard_Voice_Revised_v1_Advanstar Financials_HR Assumptions for Pricing2 3" xfId="48456"/>
    <cellStyle name="_Standard_Voice_Revised_v1_Finance Input Template" xfId="48457"/>
    <cellStyle name="_Standard_Voice_Revised_v1_Finance Input Template 2" xfId="48458"/>
    <cellStyle name="_Standard_Voice_Revised_v1_Finance Input Template 3" xfId="48459"/>
    <cellStyle name="_Standard_Voice_Revised_v1_Finance Input Template_Adv_8oct_Sub Ver 12(4)" xfId="48460"/>
    <cellStyle name="_Standard_Voice_Revised_v1_Finance Input Template_Adv_8oct_Sub Ver 12(4) 2" xfId="48461"/>
    <cellStyle name="_Standard_Voice_Revised_v1_Finance Input Template_Adv_8oct_Sub Ver 12(4) 3" xfId="48462"/>
    <cellStyle name="_Standard_Voice_Revised_v1_Finance Input Template_File for Circulation with Volume Discount Revised" xfId="48463"/>
    <cellStyle name="_Standard_Voice_Revised_v1_Finance Input Template_File for Circulation with Volume Discount Revised 2" xfId="48464"/>
    <cellStyle name="_Standard_Voice_Revised_v1_Finance Input Template_File for Circulation with Volume Discount Revised 3" xfId="48465"/>
    <cellStyle name="_Standard_Voice_Revised_v1_Finance Input Template_HR Assumptions for Pricing2" xfId="48466"/>
    <cellStyle name="_Standard_Voice_Revised_v1_Finance Input Template_HR Assumptions for Pricing2 2" xfId="48467"/>
    <cellStyle name="_Standard_Voice_Revised_v1_Finance Input Template_HR Assumptions for Pricing2 3" xfId="48468"/>
    <cellStyle name="_Standard_Voice_Revised_v1_Financials Preston Offshoring V11" xfId="48469"/>
    <cellStyle name="_Standard_Voice_Revised_v1_Financials Preston Offshoring V11 2" xfId="48470"/>
    <cellStyle name="_Standard_Voice_Revised_v1_Financials Preston Offshoring V11 3" xfId="48471"/>
    <cellStyle name="_Standard_Voice_Revised_v1_Financials Preston Offshoring V11_Advanstar Financials 24 July" xfId="48472"/>
    <cellStyle name="_Standard_Voice_Revised_v1_Financials Preston Offshoring V11_Advanstar Financials 24 July 2" xfId="48473"/>
    <cellStyle name="_Standard_Voice_Revised_v1_Financials Preston Offshoring V11_Advanstar Financials 24 July 3" xfId="48474"/>
    <cellStyle name="_Standard_Voice_Revised_v1_Financials Preston Offshoring V11_Advanstar Financials 24 July v1" xfId="48475"/>
    <cellStyle name="_Standard_Voice_Revised_v1_Financials Preston Offshoring V11_Advanstar Financials 24 July v1 2" xfId="48476"/>
    <cellStyle name="_Standard_Voice_Revised_v1_Financials Preston Offshoring V11_Advanstar Financials 24 July v1 3" xfId="48477"/>
    <cellStyle name="_Standard_Voice_Revised_v1_Financials Preston Offshoring V11_Advanstar Financials 24 July v1_Adv_8oct_Sub Ver 12(4)" xfId="48478"/>
    <cellStyle name="_Standard_Voice_Revised_v1_Financials Preston Offshoring V11_Advanstar Financials 24 July v1_Adv_8oct_Sub Ver 12(4) 2" xfId="48479"/>
    <cellStyle name="_Standard_Voice_Revised_v1_Financials Preston Offshoring V11_Advanstar Financials 24 July v1_Adv_8oct_Sub Ver 12(4) 3" xfId="48480"/>
    <cellStyle name="_Standard_Voice_Revised_v1_Financials Preston Offshoring V11_Advanstar Financials 24 July v1_File for Circulation with Volume Discount Revised" xfId="48481"/>
    <cellStyle name="_Standard_Voice_Revised_v1_Financials Preston Offshoring V11_Advanstar Financials 24 July v1_File for Circulation with Volume Discount Revised 2" xfId="48482"/>
    <cellStyle name="_Standard_Voice_Revised_v1_Financials Preston Offshoring V11_Advanstar Financials 24 July v1_File for Circulation with Volume Discount Revised 3" xfId="48483"/>
    <cellStyle name="_Standard_Voice_Revised_v1_Financials Preston Offshoring V11_Advanstar Financials 24 July v1_HR Assumptions for Pricing2" xfId="48484"/>
    <cellStyle name="_Standard_Voice_Revised_v1_Financials Preston Offshoring V11_Advanstar Financials 24 July v1_HR Assumptions for Pricing2 2" xfId="48485"/>
    <cellStyle name="_Standard_Voice_Revised_v1_Financials Preston Offshoring V11_Advanstar Financials 24 July v1_HR Assumptions for Pricing2 3" xfId="48486"/>
    <cellStyle name="_Standard_Voice_Revised_v1_Financials Preston Offshoring V11_Advanstar Financials 24 July_Adv_8oct_Sub Ver 12(4)" xfId="48487"/>
    <cellStyle name="_Standard_Voice_Revised_v1_Financials Preston Offshoring V11_Advanstar Financials 24 July_Adv_8oct_Sub Ver 12(4) 2" xfId="48488"/>
    <cellStyle name="_Standard_Voice_Revised_v1_Financials Preston Offshoring V11_Advanstar Financials 24 July_Adv_8oct_Sub Ver 12(4) 3" xfId="48489"/>
    <cellStyle name="_Standard_Voice_Revised_v1_Financials Preston Offshoring V11_Advanstar Financials 24 July_File for Circulation with Volume Discount Revised" xfId="48490"/>
    <cellStyle name="_Standard_Voice_Revised_v1_Financials Preston Offshoring V11_Advanstar Financials 24 July_File for Circulation with Volume Discount Revised 2" xfId="48491"/>
    <cellStyle name="_Standard_Voice_Revised_v1_Financials Preston Offshoring V11_Advanstar Financials 24 July_File for Circulation with Volume Discount Revised 3" xfId="48492"/>
    <cellStyle name="_Standard_Voice_Revised_v1_Financials Preston Offshoring V11_Advanstar Financials 24 July_HR Assumptions for Pricing2" xfId="48493"/>
    <cellStyle name="_Standard_Voice_Revised_v1_Financials Preston Offshoring V11_Advanstar Financials 24 July_HR Assumptions for Pricing2 2" xfId="48494"/>
    <cellStyle name="_Standard_Voice_Revised_v1_Financials Preston Offshoring V11_Advanstar Financials 24 July_HR Assumptions for Pricing2 3" xfId="48495"/>
    <cellStyle name="_Standard_Voice_Revised_v1_Financials Preston Offshoring V11_HR Workings Break-up (2)" xfId="48496"/>
    <cellStyle name="_Standard_Voice_Revised_v1_Financials Preston Offshoring V11_HR Workings Break-up (2) 2" xfId="48497"/>
    <cellStyle name="_Standard_Voice_Revised_v1_Financials Preston Offshoring V11_HR Workings Break-up (2) 3" xfId="48498"/>
    <cellStyle name="_Standard_Voice_Revised_v1_Financials Preston Offshoring V11_HR Workings Break-up (2)_Adv_8oct_Sub Ver 12(4)" xfId="48499"/>
    <cellStyle name="_Standard_Voice_Revised_v1_Financials Preston Offshoring V11_HR Workings Break-up (2)_Adv_8oct_Sub Ver 12(4) 2" xfId="48500"/>
    <cellStyle name="_Standard_Voice_Revised_v1_Financials Preston Offshoring V11_HR Workings Break-up (2)_Adv_8oct_Sub Ver 12(4) 3" xfId="48501"/>
    <cellStyle name="_Standard_Voice_Revised_v1_Financials Preston Offshoring V11_HR Workings Break-up (2)_File for Circulation with Volume Discount Revised" xfId="48502"/>
    <cellStyle name="_Standard_Voice_Revised_v1_Financials Preston Offshoring V11_HR Workings Break-up (2)_File for Circulation with Volume Discount Revised 2" xfId="48503"/>
    <cellStyle name="_Standard_Voice_Revised_v1_Financials Preston Offshoring V11_HR Workings Break-up (2)_File for Circulation with Volume Discount Revised 3" xfId="48504"/>
    <cellStyle name="_Standard_Voice_Revised_v1_Financials Preston Offshoring V11_HR Workings Break-up (2)_HR Assumptions for Pricing2" xfId="48505"/>
    <cellStyle name="_Standard_Voice_Revised_v1_Financials Preston Offshoring V11_HR Workings Break-up (2)_HR Assumptions for Pricing2 2" xfId="48506"/>
    <cellStyle name="_Standard_Voice_Revised_v1_Financials Preston Offshoring V11_HR Workings Break-up (2)_HR Assumptions for Pricing2 3" xfId="48507"/>
    <cellStyle name="_Standard_Voice_Revised_v1_Financials Preston Offshoring V11_Ramp Plan _ RDA_Editorial" xfId="48508"/>
    <cellStyle name="_Standard_Voice_Revised_v1_Financials Preston Offshoring V11_Ramp Plan _ RDA_Editorial 2" xfId="48509"/>
    <cellStyle name="_Standard_Voice_Revised_v1_Financials Preston Offshoring V11_Ramp Plan _ RDA_Editorial 3" xfId="48510"/>
    <cellStyle name="_Standard_Voice_Revised_v1_Financials Preston Offshoring V11_Ramp Plan _ RDA_Editorial_Adv_8oct_Sub Ver 12(4)" xfId="48511"/>
    <cellStyle name="_Standard_Voice_Revised_v1_Financials Preston Offshoring V11_Ramp Plan _ RDA_Editorial_Adv_8oct_Sub Ver 12(4) 2" xfId="48512"/>
    <cellStyle name="_Standard_Voice_Revised_v1_Financials Preston Offshoring V11_Ramp Plan _ RDA_Editorial_Adv_8oct_Sub Ver 12(4) 3" xfId="48513"/>
    <cellStyle name="_Standard_Voice_Revised_v1_Financials Preston Offshoring V11_Ramp Plan _ RDA_Editorial_File for Circulation with Volume Discount Revised" xfId="48514"/>
    <cellStyle name="_Standard_Voice_Revised_v1_Financials Preston Offshoring V11_Ramp Plan _ RDA_Editorial_File for Circulation with Volume Discount Revised 2" xfId="48515"/>
    <cellStyle name="_Standard_Voice_Revised_v1_Financials Preston Offshoring V11_Ramp Plan _ RDA_Editorial_File for Circulation with Volume Discount Revised 3" xfId="48516"/>
    <cellStyle name="_Standard_Voice_Revised_v1_Financials Preston Offshoring V11_Ramp Plan _ RDA_Editorial_HR Assumptions for Pricing2" xfId="48517"/>
    <cellStyle name="_Standard_Voice_Revised_v1_Financials Preston Offshoring V11_Ramp Plan _ RDA_Editorial_HR Assumptions for Pricing2 2" xfId="48518"/>
    <cellStyle name="_Standard_Voice_Revised_v1_Financials Preston Offshoring V11_Ramp Plan _ RDA_Editorial_HR Assumptions for Pricing2 3" xfId="48519"/>
    <cellStyle name="_Standard_Voice_Revised_v1_PB Carveout" xfId="48520"/>
    <cellStyle name="_Standard_Voice_Revised_v1_PB Carveout 2" xfId="48521"/>
    <cellStyle name="_Standard_Voice_Revised_v1_PB Carveout 3" xfId="48522"/>
    <cellStyle name="_Standard_Voice_Revised_v1_PB Carveout_Advanstar Financials 24 July" xfId="48523"/>
    <cellStyle name="_Standard_Voice_Revised_v1_PB Carveout_Advanstar Financials 24 July 2" xfId="48524"/>
    <cellStyle name="_Standard_Voice_Revised_v1_PB Carveout_Advanstar Financials 24 July 3" xfId="48525"/>
    <cellStyle name="_Standard_Voice_Revised_v1_PB Carveout_Advanstar Financials 24 July v1" xfId="48526"/>
    <cellStyle name="_Standard_Voice_Revised_v1_PB Carveout_Advanstar Financials 24 July v1 2" xfId="48527"/>
    <cellStyle name="_Standard_Voice_Revised_v1_PB Carveout_Advanstar Financials 24 July v1 3" xfId="48528"/>
    <cellStyle name="_Standard_Voice_Revised_v1_PB Carveout_Advanstar Financials 24 July v1_Adv_8oct_Sub Ver 12(4)" xfId="48529"/>
    <cellStyle name="_Standard_Voice_Revised_v1_PB Carveout_Advanstar Financials 24 July v1_Adv_8oct_Sub Ver 12(4) 2" xfId="48530"/>
    <cellStyle name="_Standard_Voice_Revised_v1_PB Carveout_Advanstar Financials 24 July v1_Adv_8oct_Sub Ver 12(4) 3" xfId="48531"/>
    <cellStyle name="_Standard_Voice_Revised_v1_PB Carveout_Advanstar Financials 24 July v1_File for Circulation with Volume Discount Revised" xfId="48532"/>
    <cellStyle name="_Standard_Voice_Revised_v1_PB Carveout_Advanstar Financials 24 July v1_File for Circulation with Volume Discount Revised 2" xfId="48533"/>
    <cellStyle name="_Standard_Voice_Revised_v1_PB Carveout_Advanstar Financials 24 July v1_File for Circulation with Volume Discount Revised 3" xfId="48534"/>
    <cellStyle name="_Standard_Voice_Revised_v1_PB Carveout_Advanstar Financials 24 July v1_HR Assumptions for Pricing2" xfId="48535"/>
    <cellStyle name="_Standard_Voice_Revised_v1_PB Carveout_Advanstar Financials 24 July v1_HR Assumptions for Pricing2 2" xfId="48536"/>
    <cellStyle name="_Standard_Voice_Revised_v1_PB Carveout_Advanstar Financials 24 July v1_HR Assumptions for Pricing2 3" xfId="48537"/>
    <cellStyle name="_Standard_Voice_Revised_v1_PB Carveout_Advanstar Financials 24 July_Adv_8oct_Sub Ver 12(4)" xfId="48538"/>
    <cellStyle name="_Standard_Voice_Revised_v1_PB Carveout_Advanstar Financials 24 July_Adv_8oct_Sub Ver 12(4) 2" xfId="48539"/>
    <cellStyle name="_Standard_Voice_Revised_v1_PB Carveout_Advanstar Financials 24 July_Adv_8oct_Sub Ver 12(4) 3" xfId="48540"/>
    <cellStyle name="_Standard_Voice_Revised_v1_PB Carveout_Advanstar Financials 24 July_File for Circulation with Volume Discount Revised" xfId="48541"/>
    <cellStyle name="_Standard_Voice_Revised_v1_PB Carveout_Advanstar Financials 24 July_File for Circulation with Volume Discount Revised 2" xfId="48542"/>
    <cellStyle name="_Standard_Voice_Revised_v1_PB Carveout_Advanstar Financials 24 July_File for Circulation with Volume Discount Revised 3" xfId="48543"/>
    <cellStyle name="_Standard_Voice_Revised_v1_PB Carveout_Advanstar Financials 24 July_HR Assumptions for Pricing2" xfId="48544"/>
    <cellStyle name="_Standard_Voice_Revised_v1_PB Carveout_Advanstar Financials 24 July_HR Assumptions for Pricing2 2" xfId="48545"/>
    <cellStyle name="_Standard_Voice_Revised_v1_PB Carveout_Advanstar Financials 24 July_HR Assumptions for Pricing2 3" xfId="48546"/>
    <cellStyle name="_Standard_Voice_Revised_v1_PB Carveout_HR Workings Break-up (2)" xfId="48547"/>
    <cellStyle name="_Standard_Voice_Revised_v1_PB Carveout_HR Workings Break-up (2) 2" xfId="48548"/>
    <cellStyle name="_Standard_Voice_Revised_v1_PB Carveout_HR Workings Break-up (2) 3" xfId="48549"/>
    <cellStyle name="_Standard_Voice_Revised_v1_PB Carveout_HR Workings Break-up (2)_Adv_8oct_Sub Ver 12(4)" xfId="48550"/>
    <cellStyle name="_Standard_Voice_Revised_v1_PB Carveout_HR Workings Break-up (2)_Adv_8oct_Sub Ver 12(4) 2" xfId="48551"/>
    <cellStyle name="_Standard_Voice_Revised_v1_PB Carveout_HR Workings Break-up (2)_Adv_8oct_Sub Ver 12(4) 3" xfId="48552"/>
    <cellStyle name="_Standard_Voice_Revised_v1_PB Carveout_HR Workings Break-up (2)_File for Circulation with Volume Discount Revised" xfId="48553"/>
    <cellStyle name="_Standard_Voice_Revised_v1_PB Carveout_HR Workings Break-up (2)_File for Circulation with Volume Discount Revised 2" xfId="48554"/>
    <cellStyle name="_Standard_Voice_Revised_v1_PB Carveout_HR Workings Break-up (2)_File for Circulation with Volume Discount Revised 3" xfId="48555"/>
    <cellStyle name="_Standard_Voice_Revised_v1_PB Carveout_HR Workings Break-up (2)_HR Assumptions for Pricing2" xfId="48556"/>
    <cellStyle name="_Standard_Voice_Revised_v1_PB Carveout_HR Workings Break-up (2)_HR Assumptions for Pricing2 2" xfId="48557"/>
    <cellStyle name="_Standard_Voice_Revised_v1_PB Carveout_HR Workings Break-up (2)_HR Assumptions for Pricing2 3" xfId="48558"/>
    <cellStyle name="_Standard_Voice_Revised_v1_PB Carveout_Ramp Plan _ RDA_Editorial" xfId="48559"/>
    <cellStyle name="_Standard_Voice_Revised_v1_PB Carveout_Ramp Plan _ RDA_Editorial 2" xfId="48560"/>
    <cellStyle name="_Standard_Voice_Revised_v1_PB Carveout_Ramp Plan _ RDA_Editorial 3" xfId="48561"/>
    <cellStyle name="_Standard_Voice_Revised_v1_PB Carveout_Ramp Plan _ RDA_Editorial_Adv_8oct_Sub Ver 12(4)" xfId="48562"/>
    <cellStyle name="_Standard_Voice_Revised_v1_PB Carveout_Ramp Plan _ RDA_Editorial_Adv_8oct_Sub Ver 12(4) 2" xfId="48563"/>
    <cellStyle name="_Standard_Voice_Revised_v1_PB Carveout_Ramp Plan _ RDA_Editorial_Adv_8oct_Sub Ver 12(4) 3" xfId="48564"/>
    <cellStyle name="_Standard_Voice_Revised_v1_PB Carveout_Ramp Plan _ RDA_Editorial_File for Circulation with Volume Discount Revised" xfId="48565"/>
    <cellStyle name="_Standard_Voice_Revised_v1_PB Carveout_Ramp Plan _ RDA_Editorial_File for Circulation with Volume Discount Revised 2" xfId="48566"/>
    <cellStyle name="_Standard_Voice_Revised_v1_PB Carveout_Ramp Plan _ RDA_Editorial_File for Circulation with Volume Discount Revised 3" xfId="48567"/>
    <cellStyle name="_Standard_Voice_Revised_v1_PB Carveout_Ramp Plan _ RDA_Editorial_HR Assumptions for Pricing2" xfId="48568"/>
    <cellStyle name="_Standard_Voice_Revised_v1_PB Carveout_Ramp Plan _ RDA_Editorial_HR Assumptions for Pricing2 2" xfId="48569"/>
    <cellStyle name="_Standard_Voice_Revised_v1_PB Carveout_Ramp Plan _ RDA_Editorial_HR Assumptions for Pricing2 3" xfId="48570"/>
    <cellStyle name="_x0013__Strategy_Reg" xfId="48571"/>
    <cellStyle name="_x0013__Strategy_Reg 2" xfId="48572"/>
    <cellStyle name="_x0013__Strategy_Reg_1" xfId="48573"/>
    <cellStyle name="_x0013__Strategy_Reg_1 2" xfId="48574"/>
    <cellStyle name="_Summary Electricity Analysis July 11" xfId="48575"/>
    <cellStyle name="_Summary Electricity Analysis July 11 2" xfId="48576"/>
    <cellStyle name="_Summary Electricity Analysis July 11 3" xfId="48577"/>
    <cellStyle name="_Sun_STWCost" xfId="48578"/>
    <cellStyle name="_Sun_STWCost 2" xfId="48579"/>
    <cellStyle name="_x0013__SupplyChain" xfId="48580"/>
    <cellStyle name="_x0013__SupplyChain 2" xfId="48581"/>
    <cellStyle name="_x0013__SupplyChain_1" xfId="48582"/>
    <cellStyle name="_x0013__SupplyChain_1 2" xfId="48583"/>
    <cellStyle name="_Target check file v1" xfId="48584"/>
    <cellStyle name="_Target check file v1 2" xfId="48585"/>
    <cellStyle name="_Target check file v1 3" xfId="48586"/>
    <cellStyle name="_TE Tony McHattie Reforecast June 2011 AC Amendments" xfId="48587"/>
    <cellStyle name="_TE Tony McHattie Reforecast June 2011 AC Amendments 2" xfId="48588"/>
    <cellStyle name="_template" xfId="48589"/>
    <cellStyle name="_template 2" xfId="48590"/>
    <cellStyle name="_Term for Change of Control" xfId="48591"/>
    <cellStyle name="_Term for Change of Control 2" xfId="48592"/>
    <cellStyle name="_Term for Change of Control_Advanstar Financials 24 July" xfId="48593"/>
    <cellStyle name="_Term for Change of Control_Advanstar Financials 24 July 2" xfId="48594"/>
    <cellStyle name="_Term for Change of Control_Advanstar Financials 24 July v1" xfId="48595"/>
    <cellStyle name="_Term for Change of Control_Advanstar Financials 24 July v1 2" xfId="48596"/>
    <cellStyle name="_Term for Change of Control_Advanstar Financials 24 July v1_Adv_8oct_Sub Ver 12(4)" xfId="48597"/>
    <cellStyle name="_Term for Change of Control_Advanstar Financials 24 July v1_Adv_8oct_Sub Ver 12(4) 2" xfId="48598"/>
    <cellStyle name="_Term for Change of Control_Advanstar Financials 24 July v1_File for Circulation with Volume Discount Revised" xfId="48599"/>
    <cellStyle name="_Term for Change of Control_Advanstar Financials 24 July v1_File for Circulation with Volume Discount Revised 2" xfId="48600"/>
    <cellStyle name="_Term for Change of Control_Advanstar Financials 24 July v1_HR Assumptions for Pricing2" xfId="48601"/>
    <cellStyle name="_Term for Change of Control_Advanstar Financials 24 July v1_HR Assumptions for Pricing2 2" xfId="48602"/>
    <cellStyle name="_Term for Change of Control_Advanstar Financials 24 July_Adv_8oct_Sub Ver 12(4)" xfId="48603"/>
    <cellStyle name="_Term for Change of Control_Advanstar Financials 24 July_Adv_8oct_Sub Ver 12(4) 2" xfId="48604"/>
    <cellStyle name="_Term for Change of Control_Advanstar Financials 24 July_File for Circulation with Volume Discount Revised" xfId="48605"/>
    <cellStyle name="_Term for Change of Control_Advanstar Financials 24 July_File for Circulation with Volume Discount Revised 2" xfId="48606"/>
    <cellStyle name="_Term for Change of Control_Advanstar Financials 24 July_HR Assumptions for Pricing2" xfId="48607"/>
    <cellStyle name="_Term for Change of Control_Advanstar Financials 24 July_HR Assumptions for Pricing2 2" xfId="48608"/>
    <cellStyle name="_Term for Change of Control_FTE Deployment v4" xfId="48609"/>
    <cellStyle name="_Term for Change of Control_FTE Deployment v4 2" xfId="48610"/>
    <cellStyle name="_Term for Change of Control_FTE Deployment v4 ramp plan" xfId="48611"/>
    <cellStyle name="_Term for Change of Control_FTE Deployment v4 ramp plan 2" xfId="48612"/>
    <cellStyle name="_Term for Change of Control_FTE Deployment v4 ramp plan_Advanstar Financials 24 July" xfId="48613"/>
    <cellStyle name="_Term for Change of Control_FTE Deployment v4 ramp plan_Advanstar Financials 24 July 2" xfId="48614"/>
    <cellStyle name="_Term for Change of Control_FTE Deployment v4 ramp plan_Advanstar Financials 24 July v1" xfId="48615"/>
    <cellStyle name="_Term for Change of Control_FTE Deployment v4 ramp plan_Advanstar Financials 24 July v1 2" xfId="48616"/>
    <cellStyle name="_Term for Change of Control_FTE Deployment v4 ramp plan_Finance Input Template V6 1 Sep" xfId="48617"/>
    <cellStyle name="_Term for Change of Control_FTE Deployment v4 ramp plan_Finance Input Template V6 1 Sep 2" xfId="48618"/>
    <cellStyle name="_Term for Change of Control_FTE Deployment v4_Advanstar Financials 24 July" xfId="48619"/>
    <cellStyle name="_Term for Change of Control_FTE Deployment v4_Advanstar Financials 24 July 2" xfId="48620"/>
    <cellStyle name="_Term for Change of Control_FTE Deployment v4_Advanstar Financials 24 July v1" xfId="48621"/>
    <cellStyle name="_Term for Change of Control_FTE Deployment v4_Advanstar Financials 24 July v1 2" xfId="48622"/>
    <cellStyle name="_Term for Change of Control_FTE Deployment v4_Finance Input Template V6 1 Sep" xfId="48623"/>
    <cellStyle name="_Term for Change of Control_FTE Deployment v4_Finance Input Template V6 1 Sep 2" xfId="48624"/>
    <cellStyle name="_Term for Change of Control_FTE Deployment v5" xfId="48625"/>
    <cellStyle name="_Term for Change of Control_FTE Deployment v5 2" xfId="48626"/>
    <cellStyle name="_Term for Change of Control_FTE Deployment v5_Advanstar Financials 24 July" xfId="48627"/>
    <cellStyle name="_Term for Change of Control_FTE Deployment v5_Advanstar Financials 24 July 2" xfId="48628"/>
    <cellStyle name="_Term for Change of Control_FTE Deployment v5_Advanstar Financials 24 July v1" xfId="48629"/>
    <cellStyle name="_Term for Change of Control_FTE Deployment v5_Advanstar Financials 24 July v1 2" xfId="48630"/>
    <cellStyle name="_Term for Change of Control_FTE Deployment v5_Finance Input Template V6 1 Sep" xfId="48631"/>
    <cellStyle name="_Term for Change of Control_FTE Deployment v5_Finance Input Template V6 1 Sep 2" xfId="48632"/>
    <cellStyle name="_Term for Change of Control_Ramp Plan _ RDA_Editorial" xfId="48633"/>
    <cellStyle name="_Term for Change of Control_Ramp Plan _ RDA_Editorial 2" xfId="48634"/>
    <cellStyle name="_Term for Convenience" xfId="48635"/>
    <cellStyle name="_Term for Convenience 2" xfId="48636"/>
    <cellStyle name="_Term for Convenience_Advanstar Financials 24 July" xfId="48637"/>
    <cellStyle name="_Term for Convenience_Advanstar Financials 24 July 2" xfId="48638"/>
    <cellStyle name="_Term for Convenience_Advanstar Financials 24 July v1" xfId="48639"/>
    <cellStyle name="_Term for Convenience_Advanstar Financials 24 July v1 2" xfId="48640"/>
    <cellStyle name="_Term for Convenience_Advanstar Financials 24 July v1_Adv_8oct_Sub Ver 12(4)" xfId="48641"/>
    <cellStyle name="_Term for Convenience_Advanstar Financials 24 July v1_Adv_8oct_Sub Ver 12(4) 2" xfId="48642"/>
    <cellStyle name="_Term for Convenience_Advanstar Financials 24 July v1_File for Circulation with Volume Discount Revised" xfId="48643"/>
    <cellStyle name="_Term for Convenience_Advanstar Financials 24 July v1_File for Circulation with Volume Discount Revised 2" xfId="48644"/>
    <cellStyle name="_Term for Convenience_Advanstar Financials 24 July v1_HR Assumptions for Pricing2" xfId="48645"/>
    <cellStyle name="_Term for Convenience_Advanstar Financials 24 July v1_HR Assumptions for Pricing2 2" xfId="48646"/>
    <cellStyle name="_Term for Convenience_Advanstar Financials 24 July_Adv_8oct_Sub Ver 12(4)" xfId="48647"/>
    <cellStyle name="_Term for Convenience_Advanstar Financials 24 July_Adv_8oct_Sub Ver 12(4) 2" xfId="48648"/>
    <cellStyle name="_Term for Convenience_Advanstar Financials 24 July_File for Circulation with Volume Discount Revised" xfId="48649"/>
    <cellStyle name="_Term for Convenience_Advanstar Financials 24 July_File for Circulation with Volume Discount Revised 2" xfId="48650"/>
    <cellStyle name="_Term for Convenience_Advanstar Financials 24 July_HR Assumptions for Pricing2" xfId="48651"/>
    <cellStyle name="_Term for Convenience_Advanstar Financials 24 July_HR Assumptions for Pricing2 2" xfId="48652"/>
    <cellStyle name="_Term for Convenience_FTE Deployment v4" xfId="48653"/>
    <cellStyle name="_Term for Convenience_FTE Deployment v4 2" xfId="48654"/>
    <cellStyle name="_Term for Convenience_FTE Deployment v4 ramp plan" xfId="48655"/>
    <cellStyle name="_Term for Convenience_FTE Deployment v4 ramp plan 2" xfId="48656"/>
    <cellStyle name="_Term for Convenience_FTE Deployment v4 ramp plan_Advanstar Financials 24 July" xfId="48657"/>
    <cellStyle name="_Term for Convenience_FTE Deployment v4 ramp plan_Advanstar Financials 24 July 2" xfId="48658"/>
    <cellStyle name="_Term for Convenience_FTE Deployment v4 ramp plan_Advanstar Financials 24 July v1" xfId="48659"/>
    <cellStyle name="_Term for Convenience_FTE Deployment v4 ramp plan_Advanstar Financials 24 July v1 2" xfId="48660"/>
    <cellStyle name="_Term for Convenience_FTE Deployment v4 ramp plan_Finance Input Template V6 1 Sep" xfId="48661"/>
    <cellStyle name="_Term for Convenience_FTE Deployment v4 ramp plan_Finance Input Template V6 1 Sep 2" xfId="48662"/>
    <cellStyle name="_Term for Convenience_FTE Deployment v4_Advanstar Financials 24 July" xfId="48663"/>
    <cellStyle name="_Term for Convenience_FTE Deployment v4_Advanstar Financials 24 July 2" xfId="48664"/>
    <cellStyle name="_Term for Convenience_FTE Deployment v4_Advanstar Financials 24 July v1" xfId="48665"/>
    <cellStyle name="_Term for Convenience_FTE Deployment v4_Advanstar Financials 24 July v1 2" xfId="48666"/>
    <cellStyle name="_Term for Convenience_FTE Deployment v4_Finance Input Template V6 1 Sep" xfId="48667"/>
    <cellStyle name="_Term for Convenience_FTE Deployment v4_Finance Input Template V6 1 Sep 2" xfId="48668"/>
    <cellStyle name="_Term for Convenience_FTE Deployment v5" xfId="48669"/>
    <cellStyle name="_Term for Convenience_FTE Deployment v5 2" xfId="48670"/>
    <cellStyle name="_Term for Convenience_FTE Deployment v5_Advanstar Financials 24 July" xfId="48671"/>
    <cellStyle name="_Term for Convenience_FTE Deployment v5_Advanstar Financials 24 July 2" xfId="48672"/>
    <cellStyle name="_Term for Convenience_FTE Deployment v5_Advanstar Financials 24 July v1" xfId="48673"/>
    <cellStyle name="_Term for Convenience_FTE Deployment v5_Advanstar Financials 24 July v1 2" xfId="48674"/>
    <cellStyle name="_Term for Convenience_FTE Deployment v5_Finance Input Template V6 1 Sep" xfId="48675"/>
    <cellStyle name="_Term for Convenience_FTE Deployment v5_Finance Input Template V6 1 Sep 2" xfId="48676"/>
    <cellStyle name="_Term for Convenience_Ramp Plan _ RDA_Editorial" xfId="48677"/>
    <cellStyle name="_Term for Convenience_Ramp Plan _ RDA_Editorial 2" xfId="48678"/>
    <cellStyle name="_Thames Water headcount analsyis.11.03.08" xfId="48679"/>
    <cellStyle name="_Thames Water headcount analsyis.11.03.08 2" xfId="48680"/>
    <cellStyle name="_Thames Water headcount analsyis.11.03.08 2 2" xfId="48681"/>
    <cellStyle name="_Thames Water headcount analsyis.11.03.08 2 3" xfId="48682"/>
    <cellStyle name="_Thames Water headcount analsyis.11.03.08 3" xfId="48683"/>
    <cellStyle name="_Thames Water headcount analsyis.11.03.08 4" xfId="48684"/>
    <cellStyle name="_theoretical max dividend v0 6" xfId="48685"/>
    <cellStyle name="_theoretical max dividend v0 6 2" xfId="48686"/>
    <cellStyle name="_theoretical max dividend v0 6 3" xfId="48687"/>
    <cellStyle name="_Third Party Contracts-All Towers" xfId="48688"/>
    <cellStyle name="_Third Party Contracts-All Towers 2" xfId="48689"/>
    <cellStyle name="_Third Party-IT Data Collection Template" xfId="48690"/>
    <cellStyle name="_Third Party-IT Data Collection Template 2" xfId="48691"/>
    <cellStyle name="_Tower Definition (2)" xfId="48692"/>
    <cellStyle name="_Tower Definition (2) 2" xfId="48693"/>
    <cellStyle name="_Training  Pricing Analysis v2" xfId="48694"/>
    <cellStyle name="_Training  Pricing Analysis v2 2" xfId="48695"/>
    <cellStyle name="_transformation analysis (2)" xfId="48696"/>
    <cellStyle name="_transformation analysis (2) 2" xfId="48697"/>
    <cellStyle name="_Transition plan for SHs v2" xfId="48698"/>
    <cellStyle name="_Transition plan for SHs v2 2" xfId="48699"/>
    <cellStyle name="_Transition plan for SHs v2 3" xfId="48700"/>
    <cellStyle name="_Treasury UUW budget 0910 flash v4" xfId="48701"/>
    <cellStyle name="_Treasury UUW budget 0910 flash v4 2" xfId="48702"/>
    <cellStyle name="_Treasury UUW budget 0910 flash v4 3" xfId="48703"/>
    <cellStyle name="_TW Group Business Plan.Overview.First submissions.2008.9.Issue 1.Full version.14.01.2008" xfId="48704"/>
    <cellStyle name="_TW Group Business Plan.Overview.First submissions.2008.9.Issue 1.Full version.14.01.2008 2" xfId="48705"/>
    <cellStyle name="_TW Group Business Plan.Overview.First submissions.2008.9.Issue 1.Full version.14.01.2008 2 2" xfId="48706"/>
    <cellStyle name="_TW Group Business Plan.Overview.First submissions.2008.9.Issue 1.Full version.14.01.2008 2 3" xfId="48707"/>
    <cellStyle name="_TW Group Business Plan.Overview.First submissions.2008.9.Issue 1.Full version.14.01.2008 3" xfId="48708"/>
    <cellStyle name="_TW Group Business Plan.Overview.First submissions.2008.9.Issue 1.Full version.14.01.2008 4" xfId="48709"/>
    <cellStyle name="_TW group variance analysis.Jan 2008.Board report version" xfId="48710"/>
    <cellStyle name="_TW group variance analysis.Jan 2008.Board report version 2" xfId="48711"/>
    <cellStyle name="_TW group variance analysis.Jan 2008.Board report version 2 2" xfId="48712"/>
    <cellStyle name="_TW group variance analysis.Jan 2008.Board report version 2 3" xfId="48713"/>
    <cellStyle name="_TW group variance analysis.Jan 2008.Board report version 3" xfId="48714"/>
    <cellStyle name="_TW group variance analysis.Jan 2008.Board report version 4" xfId="48715"/>
    <cellStyle name="_x0013__TWHCON" xfId="48716"/>
    <cellStyle name="_x0013__TWHCON 2" xfId="48717"/>
    <cellStyle name="_x0013__TWPROP" xfId="48718"/>
    <cellStyle name="_x0013__TWPROP 2" xfId="48719"/>
    <cellStyle name="_x0013__TWPROP_1" xfId="48720"/>
    <cellStyle name="_x0013__TWPROP_1 2" xfId="48721"/>
    <cellStyle name="_x0013__TWPROP_2" xfId="48722"/>
    <cellStyle name="_x0013__TWPROP_2 2" xfId="48723"/>
    <cellStyle name="_x0013__TWUCOR" xfId="48724"/>
    <cellStyle name="_x0013__TWUCOR 2" xfId="48725"/>
    <cellStyle name="_x0013__TWUCOR_1" xfId="48726"/>
    <cellStyle name="_x0013__TWUCOR_1 2" xfId="48727"/>
    <cellStyle name="_TWUL Key Ratio Reconciliation 2008-09" xfId="48728"/>
    <cellStyle name="_x0013__TWUL_TOT_UKGAAP" xfId="48729"/>
    <cellStyle name="_x0013__TWUL_TOT_UKGAAP 2" xfId="48730"/>
    <cellStyle name="_x0013__TWUL_TOT_UKGAAP_1" xfId="48731"/>
    <cellStyle name="_x0013__TWUL_TOT_UKGAAP_1 2" xfId="48732"/>
    <cellStyle name="_x0013__TWULCONJ" xfId="48733"/>
    <cellStyle name="_x0013__TWULCONJ 2" xfId="48734"/>
    <cellStyle name="_TWULI Appendices - AUG09 - FINAL - 02Sep09" xfId="48735"/>
    <cellStyle name="_TWULI Appendices - AUG09 - FINAL - 02Sep09 2" xfId="48736"/>
    <cellStyle name="_TWULI Appendices - AUG09 - FINAL - 02Sep09 3" xfId="48737"/>
    <cellStyle name="_TWULI Appendices - SEP09 - FINAL - 28Sep09" xfId="48738"/>
    <cellStyle name="_TWULI Appendices - SEP09 - FINAL - 28Sep09 2" xfId="48739"/>
    <cellStyle name="_TWULI Appendices - SEP09 - FINAL - 28Sep09 3" xfId="48740"/>
    <cellStyle name="_UKGAAP IFRS template" xfId="48741"/>
    <cellStyle name="_UKGAAP IFRS template 2" xfId="48742"/>
    <cellStyle name="_Unbriefed" xfId="48743"/>
    <cellStyle name="_Unbriefed 2" xfId="48744"/>
    <cellStyle name="_Unbriefed 2 2" xfId="48745"/>
    <cellStyle name="_Unbriefed 2 3" xfId="48746"/>
    <cellStyle name="_Unbriefed 2 4" xfId="48747"/>
    <cellStyle name="_Unbriefed 2 5" xfId="48748"/>
    <cellStyle name="_Unbriefed 2 6" xfId="48749"/>
    <cellStyle name="_Unbriefed 2 7" xfId="48750"/>
    <cellStyle name="_Unbriefed 2 8" xfId="48751"/>
    <cellStyle name="_Unbriefed 2 9" xfId="48752"/>
    <cellStyle name="_Unbriefed 2_IBP - COPI Uplift at Investment Area Level 01Feb12" xfId="48753"/>
    <cellStyle name="_Unbriefed 3" xfId="48754"/>
    <cellStyle name="_Unbriefed 3 2" xfId="48755"/>
    <cellStyle name="_Unbriefed 3 3" xfId="48756"/>
    <cellStyle name="_Unbriefed 3 4" xfId="48757"/>
    <cellStyle name="_Unbriefed 3 5" xfId="48758"/>
    <cellStyle name="_Unbriefed 3 6" xfId="48759"/>
    <cellStyle name="_Unbriefed 3 7" xfId="48760"/>
    <cellStyle name="_Unbriefed 3 8" xfId="48761"/>
    <cellStyle name="_Unbriefed 3 9" xfId="48762"/>
    <cellStyle name="_Unbriefed 3_IBP - COPI Uplift at Investment Area Level 01Feb12" xfId="48763"/>
    <cellStyle name="_Unbriefed 4" xfId="48764"/>
    <cellStyle name="_Unbriefed 4_Adjustments" xfId="48765"/>
    <cellStyle name="_Unbriefed 4_Overall" xfId="48766"/>
    <cellStyle name="_Unbriefed 5" xfId="48767"/>
    <cellStyle name="_Unbriefed 5_Adjustments" xfId="48768"/>
    <cellStyle name="_Unbriefed 5_Overall" xfId="48769"/>
    <cellStyle name="_Unbriefed 6" xfId="48770"/>
    <cellStyle name="_Unbriefed 6_Adjustments" xfId="48771"/>
    <cellStyle name="_Unbriefed 6_Overall" xfId="48772"/>
    <cellStyle name="_Unbriefed 7" xfId="48773"/>
    <cellStyle name="_Unbriefed 8" xfId="48774"/>
    <cellStyle name="_Unbriefed_B &amp; U by Inv Area &amp; Del" xfId="48775"/>
    <cellStyle name="_Unbriefed_budget risk items" xfId="48776"/>
    <cellStyle name="_Unbriefed_IBP by Inv Area" xfId="48777"/>
    <cellStyle name="_Unbriefed_Record of Manual Changes" xfId="48778"/>
    <cellStyle name="_Unbriefed_Table - Deliverer" xfId="48779"/>
    <cellStyle name="_Unbriefed_TT FD" xfId="48780"/>
    <cellStyle name="_Unbriefed_VoWD Data" xfId="48781"/>
    <cellStyle name="_Unbriefed_VoWD Data by Purpose Code" xfId="48782"/>
    <cellStyle name="_Unbriefed_VoWD Sign-Off Sheet" xfId="48783"/>
    <cellStyle name="_unit p1" xfId="48784"/>
    <cellStyle name="_unit p1 2" xfId="48785"/>
    <cellStyle name="_Updated SBP net opex for modelling Feb08 v2(29Feb)" xfId="48786"/>
    <cellStyle name="_Updated SBP net opex for modelling Feb08 v2(29Feb) 2" xfId="48787"/>
    <cellStyle name="_Updated SBP net opex for modelling Feb08 v2(29Feb) 2 2" xfId="48788"/>
    <cellStyle name="_Updated SBP net opex for modelling Feb08 v2(29Feb) 2 3" xfId="48789"/>
    <cellStyle name="_Updated SBP net opex for modelling Feb08 v2(29Feb) 2_Adjustments" xfId="48790"/>
    <cellStyle name="_Updated SBP net opex for modelling Feb08 v2(29Feb) 2_Overall" xfId="48791"/>
    <cellStyle name="_Updated SBP net opex for modelling Feb08 v2(29Feb) 3" xfId="48792"/>
    <cellStyle name="_Updated SBP net opex for modelling Feb08 v2(29Feb) 3 2" xfId="48793"/>
    <cellStyle name="_Updated SBP net opex for modelling Feb08 v2(29Feb) 4" xfId="48794"/>
    <cellStyle name="_Updated SBP net opex for modelling Feb08 v2(29Feb) 4 2" xfId="48795"/>
    <cellStyle name="_Updated SBP net opex for modelling Feb08 v2(29Feb) 5" xfId="48796"/>
    <cellStyle name="_Updated SBP net opex for modelling Feb08 v2(29Feb) 5 2" xfId="48797"/>
    <cellStyle name="_Updated SBP net opex for modelling Feb08 v2(29Feb) 6" xfId="48798"/>
    <cellStyle name="_Updated SBP net opex for modelling Feb08 v2(29Feb) 6 2" xfId="48799"/>
    <cellStyle name="_Updated SBP net opex for modelling Feb08 v2(29Feb) 7" xfId="48800"/>
    <cellStyle name="_Updated SBP net opex for modelling Feb08 v2(29Feb) 7 2" xfId="48801"/>
    <cellStyle name="_Updated SBP net opex for modelling Feb08 v2(29Feb) 8" xfId="48802"/>
    <cellStyle name="_Updated SBP net opex for modelling Feb08 v2(29Feb)_AffinPartner" xfId="48803"/>
    <cellStyle name="_Updated SBP net opex for modelling Feb08 v2(29Feb)_AffinPartner 2" xfId="48804"/>
    <cellStyle name="_Updated SBP net opex for modelling Feb08 v2(29Feb)_AffinPartner_1" xfId="48805"/>
    <cellStyle name="_Updated SBP net opex for modelling Feb08 v2(29Feb)_AffinPartner_1 2" xfId="48806"/>
    <cellStyle name="_Updated SBP net opex for modelling Feb08 v2(29Feb)_Asset_ManagementCON" xfId="48807"/>
    <cellStyle name="_Updated SBP net opex for modelling Feb08 v2(29Feb)_Asset_ManagementCON 2" xfId="48808"/>
    <cellStyle name="_Updated SBP net opex for modelling Feb08 v2(29Feb)_Asset_ManagementCON_1" xfId="48809"/>
    <cellStyle name="_Updated SBP net opex for modelling Feb08 v2(29Feb)_Asset_ManagementCON_1 2" xfId="48810"/>
    <cellStyle name="_Updated SBP net opex for modelling Feb08 v2(29Feb)_Asset_MgmtNonAppoint" xfId="48811"/>
    <cellStyle name="_Updated SBP net opex for modelling Feb08 v2(29Feb)_Asset_MgmtNonAppoint 2" xfId="48812"/>
    <cellStyle name="_Updated SBP net opex for modelling Feb08 v2(29Feb)_B &amp; U by Inv Area &amp; Del" xfId="48813"/>
    <cellStyle name="_Updated SBP net opex for modelling Feb08 v2(29Feb)_Budget Finance" xfId="48814"/>
    <cellStyle name="_Updated SBP net opex for modelling Feb08 v2(29Feb)_Budget Finance 2" xfId="48815"/>
    <cellStyle name="_Updated SBP net opex for modelling Feb08 v2(29Feb)_Budget Finance 3" xfId="48816"/>
    <cellStyle name="_Updated SBP net opex for modelling Feb08 v2(29Feb)_budget risk items" xfId="48817"/>
    <cellStyle name="_Updated SBP net opex for modelling Feb08 v2(29Feb)_Capital_DeliveryCON" xfId="48818"/>
    <cellStyle name="_Updated SBP net opex for modelling Feb08 v2(29Feb)_Capital_DeliveryCON 2" xfId="48819"/>
    <cellStyle name="_Updated SBP net opex for modelling Feb08 v2(29Feb)_Central_Items" xfId="48820"/>
    <cellStyle name="_Updated SBP net opex for modelling Feb08 v2(29Feb)_Central_Items 2" xfId="48821"/>
    <cellStyle name="_Updated SBP net opex for modelling Feb08 v2(29Feb)_Central_Items_1" xfId="48822"/>
    <cellStyle name="_Updated SBP net opex for modelling Feb08 v2(29Feb)_Central_Items_1 2" xfId="48823"/>
    <cellStyle name="_Updated SBP net opex for modelling Feb08 v2(29Feb)_Central_Items_2" xfId="48824"/>
    <cellStyle name="_Updated SBP net opex for modelling Feb08 v2(29Feb)_Central_Items_2 2" xfId="48825"/>
    <cellStyle name="_Updated SBP net opex for modelling Feb08 v2(29Feb)_CENTRE" xfId="48826"/>
    <cellStyle name="_Updated SBP net opex for modelling Feb08 v2(29Feb)_CENTRE 2" xfId="48827"/>
    <cellStyle name="_Updated SBP net opex for modelling Feb08 v2(29Feb)_CENTRE_1" xfId="48828"/>
    <cellStyle name="_Updated SBP net opex for modelling Feb08 v2(29Feb)_CENTRE_1 2" xfId="48829"/>
    <cellStyle name="_Updated SBP net opex for modelling Feb08 v2(29Feb)_CENTRE_2" xfId="48830"/>
    <cellStyle name="_Updated SBP net opex for modelling Feb08 v2(29Feb)_CENTRE_2 2" xfId="48831"/>
    <cellStyle name="_Updated SBP net opex for modelling Feb08 v2(29Feb)_CENTRE_Check" xfId="48832"/>
    <cellStyle name="_Updated SBP net opex for modelling Feb08 v2(29Feb)_CENTRE_Check 2" xfId="48833"/>
    <cellStyle name="_Updated SBP net opex for modelling Feb08 v2(29Feb)_CENTRE_TWPROP" xfId="48834"/>
    <cellStyle name="_Updated SBP net opex for modelling Feb08 v2(29Feb)_CENTRE_TWPROP 2" xfId="48835"/>
    <cellStyle name="_Updated SBP net opex for modelling Feb08 v2(29Feb)_Check" xfId="48836"/>
    <cellStyle name="_Updated SBP net opex for modelling Feb08 v2(29Feb)_Check 2" xfId="48837"/>
    <cellStyle name="_Updated SBP net opex for modelling Feb08 v2(29Feb)_CommCentral" xfId="48838"/>
    <cellStyle name="_Updated SBP net opex for modelling Feb08 v2(29Feb)_CommCentral 2" xfId="48839"/>
    <cellStyle name="_Updated SBP net opex for modelling Feb08 v2(29Feb)_CommCentral_1" xfId="48840"/>
    <cellStyle name="_Updated SBP net opex for modelling Feb08 v2(29Feb)_CommCentral_1 2" xfId="48841"/>
    <cellStyle name="_Updated SBP net opex for modelling Feb08 v2(29Feb)_CommProjects" xfId="48842"/>
    <cellStyle name="_Updated SBP net opex for modelling Feb08 v2(29Feb)_CommProjects 2" xfId="48843"/>
    <cellStyle name="_Updated SBP net opex for modelling Feb08 v2(29Feb)_CommProjects_1" xfId="48844"/>
    <cellStyle name="_Updated SBP net opex for modelling Feb08 v2(29Feb)_CommProjects_1 2" xfId="48845"/>
    <cellStyle name="_Updated SBP net opex for modelling Feb08 v2(29Feb)_CONSOL_G" xfId="48846"/>
    <cellStyle name="_Updated SBP net opex for modelling Feb08 v2(29Feb)_CONSOL_G 2" xfId="48847"/>
    <cellStyle name="_Updated SBP net opex for modelling Feb08 v2(29Feb)_CServices_SwindonCON" xfId="48848"/>
    <cellStyle name="_Updated SBP net opex for modelling Feb08 v2(29Feb)_CServices_SwindonCON 2" xfId="48849"/>
    <cellStyle name="_Updated SBP net opex for modelling Feb08 v2(29Feb)_Employment costs" xfId="48850"/>
    <cellStyle name="_Updated SBP net opex for modelling Feb08 v2(29Feb)_Employment costs 2" xfId="48851"/>
    <cellStyle name="_Updated SBP net opex for modelling Feb08 v2(29Feb)_Employment costs_1" xfId="48852"/>
    <cellStyle name="_Updated SBP net opex for modelling Feb08 v2(29Feb)_Employment costs_1 2" xfId="48853"/>
    <cellStyle name="_Updated SBP net opex for modelling Feb08 v2(29Feb)_Employment costs_2" xfId="48854"/>
    <cellStyle name="_Updated SBP net opex for modelling Feb08 v2(29Feb)_Employment costs_2 2" xfId="48855"/>
    <cellStyle name="_Updated SBP net opex for modelling Feb08 v2(29Feb)_External_Affairs" xfId="48856"/>
    <cellStyle name="_Updated SBP net opex for modelling Feb08 v2(29Feb)_External_Affairs 2" xfId="48857"/>
    <cellStyle name="_Updated SBP net opex for modelling Feb08 v2(29Feb)_External_Affairs_1" xfId="48858"/>
    <cellStyle name="_Updated SBP net opex for modelling Feb08 v2(29Feb)_External_Affairs_1 2" xfId="48859"/>
    <cellStyle name="_Updated SBP net opex for modelling Feb08 v2(29Feb)_Finance" xfId="48860"/>
    <cellStyle name="_Updated SBP net opex for modelling Feb08 v2(29Feb)_Finance 2" xfId="48861"/>
    <cellStyle name="_Updated SBP net opex for modelling Feb08 v2(29Feb)_Finance_1" xfId="48862"/>
    <cellStyle name="_Updated SBP net opex for modelling Feb08 v2(29Feb)_Finance_1 2" xfId="48863"/>
    <cellStyle name="_Updated SBP net opex for modelling Feb08 v2(29Feb)_Fleet" xfId="48864"/>
    <cellStyle name="_Updated SBP net opex for modelling Feb08 v2(29Feb)_Fleet 2" xfId="48865"/>
    <cellStyle name="_Updated SBP net opex for modelling Feb08 v2(29Feb)_Fleet_1" xfId="48866"/>
    <cellStyle name="_Updated SBP net opex for modelling Feb08 v2(29Feb)_Fleet_1 2" xfId="48867"/>
    <cellStyle name="_Updated SBP net opex for modelling Feb08 v2(29Feb)_Fst-Bud Summary" xfId="48868"/>
    <cellStyle name="_Updated SBP net opex for modelling Feb08 v2(29Feb)_Fst-Bud Summary 2" xfId="48869"/>
    <cellStyle name="_Updated SBP net opex for modelling Feb08 v2(29Feb)_Fst-Bud Summary 3" xfId="48870"/>
    <cellStyle name="_Updated SBP net opex for modelling Feb08 v2(29Feb)_General_Councel" xfId="48871"/>
    <cellStyle name="_Updated SBP net opex for modelling Feb08 v2(29Feb)_General_Councel 2" xfId="48872"/>
    <cellStyle name="_Updated SBP net opex for modelling Feb08 v2(29Feb)_General_Councel_1" xfId="48873"/>
    <cellStyle name="_Updated SBP net opex for modelling Feb08 v2(29Feb)_General_Councel_1 2" xfId="48874"/>
    <cellStyle name="_Updated SBP net opex for modelling Feb08 v2(29Feb)_Human_Resources" xfId="48875"/>
    <cellStyle name="_Updated SBP net opex for modelling Feb08 v2(29Feb)_Human_Resources 2" xfId="48876"/>
    <cellStyle name="_Updated SBP net opex for modelling Feb08 v2(29Feb)_Human_Resources_1" xfId="48877"/>
    <cellStyle name="_Updated SBP net opex for modelling Feb08 v2(29Feb)_Human_Resources_1 2" xfId="48878"/>
    <cellStyle name="_Updated SBP net opex for modelling Feb08 v2(29Feb)_Innovation" xfId="48879"/>
    <cellStyle name="_Updated SBP net opex for modelling Feb08 v2(29Feb)_Innovation 2" xfId="48880"/>
    <cellStyle name="_Updated SBP net opex for modelling Feb08 v2(29Feb)_Innovation_1" xfId="48881"/>
    <cellStyle name="_Updated SBP net opex for modelling Feb08 v2(29Feb)_Innovation_1 2" xfId="48882"/>
    <cellStyle name="_Updated SBP net opex for modelling Feb08 v2(29Feb)_IT" xfId="48883"/>
    <cellStyle name="_Updated SBP net opex for modelling Feb08 v2(29Feb)_IT 2" xfId="48884"/>
    <cellStyle name="_Updated SBP net opex for modelling Feb08 v2(29Feb)_IT_1" xfId="48885"/>
    <cellStyle name="_Updated SBP net opex for modelling Feb08 v2(29Feb)_IT_1 2" xfId="48886"/>
    <cellStyle name="_Updated SBP net opex for modelling Feb08 v2(29Feb)_KWFLtd" xfId="48887"/>
    <cellStyle name="_Updated SBP net opex for modelling Feb08 v2(29Feb)_KWFLtd 2" xfId="48888"/>
    <cellStyle name="_Updated SBP net opex for modelling Feb08 v2(29Feb)_KWHLTD_G" xfId="48889"/>
    <cellStyle name="_Updated SBP net opex for modelling Feb08 v2(29Feb)_KWHLTD_G 2" xfId="48890"/>
    <cellStyle name="_Updated SBP net opex for modelling Feb08 v2(29Feb)_KWHLTD_G_1" xfId="48891"/>
    <cellStyle name="_Updated SBP net opex for modelling Feb08 v2(29Feb)_KWHLTD_G_1 2" xfId="48892"/>
    <cellStyle name="_Updated SBP net opex for modelling Feb08 v2(29Feb)_KWHLTD_G_2" xfId="48893"/>
    <cellStyle name="_Updated SBP net opex for modelling Feb08 v2(29Feb)_KWHLTD_G_2 2" xfId="48894"/>
    <cellStyle name="_Updated SBP net opex for modelling Feb08 v2(29Feb)_Major_ProjectsCON" xfId="48895"/>
    <cellStyle name="_Updated SBP net opex for modelling Feb08 v2(29Feb)_Major_ProjectsCON 2" xfId="48896"/>
    <cellStyle name="_Updated SBP net opex for modelling Feb08 v2(29Feb)_Management Structure" xfId="48897"/>
    <cellStyle name="_Updated SBP net opex for modelling Feb08 v2(29Feb)_Management Structure 2" xfId="48898"/>
    <cellStyle name="_Updated SBP net opex for modelling Feb08 v2(29Feb)_Management Structure_1" xfId="48899"/>
    <cellStyle name="_Updated SBP net opex for modelling Feb08 v2(29Feb)_Management Structure_1 2" xfId="48900"/>
    <cellStyle name="_Updated SBP net opex for modelling Feb08 v2(29Feb)_Operations" xfId="48901"/>
    <cellStyle name="_Updated SBP net opex for modelling Feb08 v2(29Feb)_Operations 2" xfId="48902"/>
    <cellStyle name="_Updated SBP net opex for modelling Feb08 v2(29Feb)_Operations_1" xfId="48903"/>
    <cellStyle name="_Updated SBP net opex for modelling Feb08 v2(29Feb)_Operations_1 2" xfId="48904"/>
    <cellStyle name="_Updated SBP net opex for modelling Feb08 v2(29Feb)_Ops contracts" xfId="48905"/>
    <cellStyle name="_Updated SBP net opex for modelling Feb08 v2(29Feb)_Ops contracts 2" xfId="48906"/>
    <cellStyle name="_Updated SBP net opex for modelling Feb08 v2(29Feb)_Ops contracts_1" xfId="48907"/>
    <cellStyle name="_Updated SBP net opex for modelling Feb08 v2(29Feb)_Ops contracts_1 2" xfId="48908"/>
    <cellStyle name="_Updated SBP net opex for modelling Feb08 v2(29Feb)_Ops contracts_2" xfId="48909"/>
    <cellStyle name="_Updated SBP net opex for modelling Feb08 v2(29Feb)_Ops contracts_2 2" xfId="48910"/>
    <cellStyle name="_Updated SBP net opex for modelling Feb08 v2(29Feb)_OtherSS" xfId="48911"/>
    <cellStyle name="_Updated SBP net opex for modelling Feb08 v2(29Feb)_OtherSS 2" xfId="48912"/>
    <cellStyle name="_Updated SBP net opex for modelling Feb08 v2(29Feb)_OtherSS_1" xfId="48913"/>
    <cellStyle name="_Updated SBP net opex for modelling Feb08 v2(29Feb)_OtherSS_1 2" xfId="48914"/>
    <cellStyle name="_Updated SBP net opex for modelling Feb08 v2(29Feb)_P&amp;L_AMP5" xfId="48915"/>
    <cellStyle name="_Updated SBP net opex for modelling Feb08 v2(29Feb)_P&amp;L_AMP5 2" xfId="48916"/>
    <cellStyle name="_Updated SBP net opex for modelling Feb08 v2(29Feb)_Power" xfId="48917"/>
    <cellStyle name="_Updated SBP net opex for modelling Feb08 v2(29Feb)_Power 2" xfId="48918"/>
    <cellStyle name="_Updated SBP net opex for modelling Feb08 v2(29Feb)_Power_1" xfId="48919"/>
    <cellStyle name="_Updated SBP net opex for modelling Feb08 v2(29Feb)_Power_1 2" xfId="48920"/>
    <cellStyle name="_Updated SBP net opex for modelling Feb08 v2(29Feb)_Property_Facilities" xfId="48921"/>
    <cellStyle name="_Updated SBP net opex for modelling Feb08 v2(29Feb)_Property_Facilities 2" xfId="48922"/>
    <cellStyle name="_Updated SBP net opex for modelling Feb08 v2(29Feb)_Property_Facilities_1" xfId="48923"/>
    <cellStyle name="_Updated SBP net opex for modelling Feb08 v2(29Feb)_Property_Facilities_1 2" xfId="48924"/>
    <cellStyle name="_Updated SBP net opex for modelling Feb08 v2(29Feb)_PropertyDisposals" xfId="48925"/>
    <cellStyle name="_Updated SBP net opex for modelling Feb08 v2(29Feb)_PropertyDisposals 2" xfId="48926"/>
    <cellStyle name="_Updated SBP net opex for modelling Feb08 v2(29Feb)_PropFacilitiesNonApp" xfId="48927"/>
    <cellStyle name="_Updated SBP net opex for modelling Feb08 v2(29Feb)_PropFacilitiesNonApp 2" xfId="48928"/>
    <cellStyle name="_Updated SBP net opex for modelling Feb08 v2(29Feb)_PropFacilitiesNonApp_1" xfId="48929"/>
    <cellStyle name="_Updated SBP net opex for modelling Feb08 v2(29Feb)_PropFacilitiesNonApp_1 2" xfId="48930"/>
    <cellStyle name="_Updated SBP net opex for modelling Feb08 v2(29Feb)_PropSearch_Home" xfId="48931"/>
    <cellStyle name="_Updated SBP net opex for modelling Feb08 v2(29Feb)_PropSearch_Home 2" xfId="48932"/>
    <cellStyle name="_Updated SBP net opex for modelling Feb08 v2(29Feb)_PropSearch_Home_1" xfId="48933"/>
    <cellStyle name="_Updated SBP net opex for modelling Feb08 v2(29Feb)_PropSearch_Home_1 2" xfId="48934"/>
    <cellStyle name="_Updated SBP net opex for modelling Feb08 v2(29Feb)_Retail" xfId="48935"/>
    <cellStyle name="_Updated SBP net opex for modelling Feb08 v2(29Feb)_Retail 2" xfId="48936"/>
    <cellStyle name="_Updated SBP net opex for modelling Feb08 v2(29Feb)_Retail_1" xfId="48937"/>
    <cellStyle name="_Updated SBP net opex for modelling Feb08 v2(29Feb)_Retail_1 2" xfId="48938"/>
    <cellStyle name="_Updated SBP net opex for modelling Feb08 v2(29Feb)_Sheet1" xfId="48939"/>
    <cellStyle name="_Updated SBP net opex for modelling Feb08 v2(29Feb)_Sheet1 2" xfId="48940"/>
    <cellStyle name="_Updated SBP net opex for modelling Feb08 v2(29Feb)_Strategy_Reg" xfId="48941"/>
    <cellStyle name="_Updated SBP net opex for modelling Feb08 v2(29Feb)_Strategy_Reg 2" xfId="48942"/>
    <cellStyle name="_Updated SBP net opex for modelling Feb08 v2(29Feb)_Strategy_Reg_1" xfId="48943"/>
    <cellStyle name="_Updated SBP net opex for modelling Feb08 v2(29Feb)_Strategy_Reg_1 2" xfId="48944"/>
    <cellStyle name="_Updated SBP net opex for modelling Feb08 v2(29Feb)_SupplyChain" xfId="48945"/>
    <cellStyle name="_Updated SBP net opex for modelling Feb08 v2(29Feb)_SupplyChain 2" xfId="48946"/>
    <cellStyle name="_Updated SBP net opex for modelling Feb08 v2(29Feb)_SupplyChain_1" xfId="48947"/>
    <cellStyle name="_Updated SBP net opex for modelling Feb08 v2(29Feb)_SupplyChain_1 2" xfId="48948"/>
    <cellStyle name="_Updated SBP net opex for modelling Feb08 v2(29Feb)_TWHCON" xfId="48949"/>
    <cellStyle name="_Updated SBP net opex for modelling Feb08 v2(29Feb)_TWHCON 2" xfId="48950"/>
    <cellStyle name="_Updated SBP net opex for modelling Feb08 v2(29Feb)_TWPROP" xfId="48951"/>
    <cellStyle name="_Updated SBP net opex for modelling Feb08 v2(29Feb)_TWPROP 2" xfId="48952"/>
    <cellStyle name="_Updated SBP net opex for modelling Feb08 v2(29Feb)_TWPROP_1" xfId="48953"/>
    <cellStyle name="_Updated SBP net opex for modelling Feb08 v2(29Feb)_TWPROP_1 2" xfId="48954"/>
    <cellStyle name="_Updated SBP net opex for modelling Feb08 v2(29Feb)_TWPROP_2" xfId="48955"/>
    <cellStyle name="_Updated SBP net opex for modelling Feb08 v2(29Feb)_TWPROP_2 2" xfId="48956"/>
    <cellStyle name="_Updated SBP net opex for modelling Feb08 v2(29Feb)_TWUCOR" xfId="48957"/>
    <cellStyle name="_Updated SBP net opex for modelling Feb08 v2(29Feb)_TWUCOR 2" xfId="48958"/>
    <cellStyle name="_Updated SBP net opex for modelling Feb08 v2(29Feb)_TWUCOR_1" xfId="48959"/>
    <cellStyle name="_Updated SBP net opex for modelling Feb08 v2(29Feb)_TWUCOR_1 2" xfId="48960"/>
    <cellStyle name="_Updated SBP net opex for modelling Feb08 v2(29Feb)_TWUL_TOT_UKGAAP" xfId="48961"/>
    <cellStyle name="_Updated SBP net opex for modelling Feb08 v2(29Feb)_TWUL_TOT_UKGAAP 2" xfId="48962"/>
    <cellStyle name="_Updated SBP net opex for modelling Feb08 v2(29Feb)_TWUL_TOT_UKGAAP_1" xfId="48963"/>
    <cellStyle name="_Updated SBP net opex for modelling Feb08 v2(29Feb)_TWUL_TOT_UKGAAP_1 2" xfId="48964"/>
    <cellStyle name="_Updated SBP net opex for modelling Feb08 v2(29Feb)_TWULCONJ" xfId="48965"/>
    <cellStyle name="_Updated SBP net opex for modelling Feb08 v2(29Feb)_TWULCONJ 2" xfId="48966"/>
    <cellStyle name="_Updated SBP net opex for modelling Feb08 v2(29Feb)_VoWD Data" xfId="48967"/>
    <cellStyle name="_Updated SBP net opex for modelling Feb08 v2(29Feb)_VoWD Data by Purpose Code" xfId="48968"/>
    <cellStyle name="_US - HIRING GRID (ECS- May06onwards)" xfId="48969"/>
    <cellStyle name="_US - HIRING GRID (ECS- May06onwards) 2" xfId="48970"/>
    <cellStyle name="_US - HIRING GRID (ECS- May06onwards) 3" xfId="48971"/>
    <cellStyle name="_US-ERP Skills" xfId="48972"/>
    <cellStyle name="_US-ERP Skills 2" xfId="48973"/>
    <cellStyle name="_US-ERP Skills 3" xfId="48974"/>
    <cellStyle name="_UUW budget 1011 - draft v0.2" xfId="48975"/>
    <cellStyle name="_UUW budget 1011 - draft v0.2 2" xfId="48976"/>
    <cellStyle name="_UUW budget 1011 - draft v0.2 3" xfId="48977"/>
    <cellStyle name="_UUW budget 1011 - draft v0.3" xfId="48978"/>
    <cellStyle name="_UUW budget 1011 - draft v0.3 2" xfId="48979"/>
    <cellStyle name="_UUW budget 1011 - draft v0.3 3" xfId="48980"/>
    <cellStyle name="_UUW budget 1011 - flash v0.8 (FINAL)" xfId="48981"/>
    <cellStyle name="_UUW budget 1011 - flash v0.8 (FINAL) 2" xfId="48982"/>
    <cellStyle name="_UUW budget 1011 - flash v0.8 (FINAL) 3" xfId="48983"/>
    <cellStyle name="_UUW Budget submission" xfId="48984"/>
    <cellStyle name="_UUW Budget submission 2" xfId="48985"/>
    <cellStyle name="_UUW financial model FD v8.800.0.100 20091214" xfId="48986"/>
    <cellStyle name="_UUW financial model FD v8.800.0.100 20091214 2" xfId="48987"/>
    <cellStyle name="_UUW financial model FD v8.800.0.100 20091214 3" xfId="48988"/>
    <cellStyle name="_UUW vs FDg" xfId="48989"/>
    <cellStyle name="_UUW vs FDg 2" xfId="48990"/>
    <cellStyle name="_Valuation case rec" xfId="48991"/>
    <cellStyle name="_Valuation case rec 2" xfId="48992"/>
    <cellStyle name="_Valuation case rec 2 2" xfId="48993"/>
    <cellStyle name="_Valuation case rec 2 3" xfId="48994"/>
    <cellStyle name="_Valuation case rec 3" xfId="48995"/>
    <cellStyle name="_Valuation case rec 3 2" xfId="48996"/>
    <cellStyle name="_Valuation case rec 4" xfId="48997"/>
    <cellStyle name="_Valuation case rec_~0002420" xfId="48998"/>
    <cellStyle name="_Valuation case rec_~0002420 2" xfId="48999"/>
    <cellStyle name="_Valuation case rec_~0002420 3" xfId="49000"/>
    <cellStyle name="_Valuation case rec_~0002420 4" xfId="49001"/>
    <cellStyle name="_Valuation case rec_~0376079" xfId="49002"/>
    <cellStyle name="_Valuation case rec_~0376079 2" xfId="49003"/>
    <cellStyle name="_Valuation case rec_~0376079 3" xfId="49004"/>
    <cellStyle name="_Valuation case rec_~0376079 4" xfId="49005"/>
    <cellStyle name="_Valuation case rec_2011 10 Nov R&amp;O Register Reporting (Working Copy) Finance Final" xfId="49006"/>
    <cellStyle name="_Valuation case rec_CS Plan Opex AMP5-6 V1 Review Cycle2a" xfId="49007"/>
    <cellStyle name="_Valuation case rec_CS Plan Opex AMP5-6 V1 Review Cycle2a 2" xfId="49008"/>
    <cellStyle name="_Valuation case rec_CS Plan Opex AMP5-6 V1 Review Cycle2a 3" xfId="49009"/>
    <cellStyle name="_Valuation case rec_DS initiative Outsource" xfId="49010"/>
    <cellStyle name="_Valuation case rec_DS initiative Outsource 2" xfId="49011"/>
    <cellStyle name="_Valuation case rec_DS initiative Outsource 3" xfId="49012"/>
    <cellStyle name="_Valuation case rec_DS initiative Outsource 4" xfId="49013"/>
    <cellStyle name="_Ventura" xfId="49014"/>
    <cellStyle name="_Ventura 2" xfId="49015"/>
    <cellStyle name="_Ventura 2 2" xfId="49016"/>
    <cellStyle name="_Ventura 3" xfId="49017"/>
    <cellStyle name="_Ventura_Outsource" xfId="49018"/>
    <cellStyle name="_Ventura_Outsource 2" xfId="49019"/>
    <cellStyle name="_VII. ARC &amp; RRC Rates" xfId="49020"/>
    <cellStyle name="_VII. ARC &amp; RRC Rates 2" xfId="49021"/>
    <cellStyle name="_VL Mth 8 310 Leaver Credit Posting" xfId="49022"/>
    <cellStyle name="_VL Mth 8 310 Leaver Credit Posting 2" xfId="49023"/>
    <cellStyle name="_VL Mth 8 310 Leaver Credit Posting 3" xfId="49024"/>
    <cellStyle name="_VMware Project Effort Estimates Ver 2" xfId="49025"/>
    <cellStyle name="_VMware Project Effort Estimates Ver 2 2" xfId="49026"/>
    <cellStyle name="_VMware Project Effort Estimates Ver 2 3" xfId="49027"/>
    <cellStyle name="_x0013__VoWD Data" xfId="49028"/>
    <cellStyle name="_x0013__VoWD Data 2" xfId="49029"/>
    <cellStyle name="_x0013__VoWD Data 2_Adjustments" xfId="49030"/>
    <cellStyle name="_x0013__VoWD Data 2_Overall" xfId="49031"/>
    <cellStyle name="_x0013__VoWD Data by Purpose Code" xfId="49032"/>
    <cellStyle name="_x0013__VoWD Data by Purpose Code 2" xfId="49033"/>
    <cellStyle name="_x0013__VoWD Data by Purpose Code 2_Adjustments" xfId="49034"/>
    <cellStyle name="_x0013__VoWD Data by Purpose Code 2_Overall" xfId="49035"/>
    <cellStyle name="_VOWD Summary 17-11-11 V2 (NP)" xfId="49036"/>
    <cellStyle name="_Waste Chemicals" xfId="49037"/>
    <cellStyle name="_Waste Chemicals 2" xfId="49038"/>
    <cellStyle name="_Waste Chemicals 3" xfId="49039"/>
    <cellStyle name="_Waste Chemicals 4" xfId="49040"/>
    <cellStyle name="_Water Chemicals" xfId="49041"/>
    <cellStyle name="_Water Chemicals 2" xfId="49042"/>
    <cellStyle name="_Water Chemicals 3" xfId="49043"/>
    <cellStyle name="_Water Chemicals 4" xfId="49044"/>
    <cellStyle name="_WaterfallCFBEFOREFUNDINGv1" xfId="49045"/>
    <cellStyle name="_WaterfallCFBEFOREFUNDINGv1 2" xfId="49046"/>
    <cellStyle name="_WaterfallCFBEFOREFUNDINGv1 2 2" xfId="49047"/>
    <cellStyle name="_WaterfallCFBEFOREFUNDINGv1 2 3" xfId="49048"/>
    <cellStyle name="_WaterfallCFBEFOREFUNDINGv1 3" xfId="49049"/>
    <cellStyle name="_WaterfallCFBEFOREFUNDINGv1 4" xfId="49050"/>
    <cellStyle name="_x0013__Waterfalls for budget 2 Dec 2011" xfId="49051"/>
    <cellStyle name="_x0013__Waterfalls for budget 2 Dec 2011 2" xfId="49052"/>
    <cellStyle name="_x0013__Waterfalls for budget 2 Dec 2011 2_Adjustments" xfId="49053"/>
    <cellStyle name="_x0013__Waterfalls for budget 2 Dec 2011 2_Overall" xfId="49054"/>
    <cellStyle name="_x0013__Waterfalls for budget 2 Dec 2011_B &amp; U by Inv Area &amp; Del" xfId="49055"/>
    <cellStyle name="_x0013__Waterfalls for budget 2 Dec 2011_budget risk items" xfId="49056"/>
    <cellStyle name="_x0013__Waterfalls for budget 2 Dec 2011_VoWD Data" xfId="49057"/>
    <cellStyle name="_x0013__Waterfalls for budget 2 Dec 2011_VoWD Data by Purpose Code" xfId="49058"/>
    <cellStyle name="_WEEK ACT Nov" xfId="49059"/>
    <cellStyle name="_WEEK ACT Nov 2" xfId="49060"/>
    <cellStyle name="_Week19 CS values(150)" xfId="49061"/>
    <cellStyle name="_Week19 CS values(150) 2" xfId="49062"/>
    <cellStyle name="_Week19 CS values(150) 3" xfId="49063"/>
    <cellStyle name="_Week19 CS values(FM)" xfId="49064"/>
    <cellStyle name="_Week19 CS values(FM) 2" xfId="49065"/>
    <cellStyle name="_Week19 CS values(FM) 3" xfId="49066"/>
    <cellStyle name="_Week20 CS values(150)" xfId="49067"/>
    <cellStyle name="_Week20 CS values(150) 2" xfId="49068"/>
    <cellStyle name="_Week20 CS values(150) 3" xfId="49069"/>
    <cellStyle name="_Week20 CS values(BusSales)" xfId="49070"/>
    <cellStyle name="_Week20 CS values(BusSales) 2" xfId="49071"/>
    <cellStyle name="_Week20 CS values(BusSales) 3" xfId="49072"/>
    <cellStyle name="_Week20 CS values(FM)" xfId="49073"/>
    <cellStyle name="_Week20 CS values(FM) 2" xfId="49074"/>
    <cellStyle name="_Week20 CS values(FM) 3" xfId="49075"/>
    <cellStyle name="_Weekly Reporting Data Inscope Wk20" xfId="49076"/>
    <cellStyle name="_Weekly Reporting Data Inscope Wk20 2" xfId="49077"/>
    <cellStyle name="_Weekly Reporting Data Inscope Wk20 3" xfId="49078"/>
    <cellStyle name="_West Area Board Paper July 2007" xfId="49079"/>
    <cellStyle name="_West Area Board Paper July 2007 2" xfId="49080"/>
    <cellStyle name="_WMG" xfId="49081"/>
    <cellStyle name="_WMG 2" xfId="49082"/>
    <cellStyle name="_WMG 3" xfId="49083"/>
    <cellStyle name="_woc budget 2011-12 cash profiling" xfId="49084"/>
    <cellStyle name="_woc budget 2011-12 cash profiling 2" xfId="49085"/>
    <cellStyle name="_woc budget 2011-12 cash profiling 2 2" xfId="49086"/>
    <cellStyle name="_woc budget 2011-12 cash profiling 2 3" xfId="49087"/>
    <cellStyle name="_woc budget 2011-12 cash profiling 3" xfId="49088"/>
    <cellStyle name="_Woc Cash Forecasting 0910" xfId="49089"/>
    <cellStyle name="_Woc Cash Forecasting 0910 2" xfId="49090"/>
    <cellStyle name="_Woc Cash Forecasting 0910 2 2" xfId="49091"/>
    <cellStyle name="_Woc Cash Forecasting 0910 2 3" xfId="49092"/>
    <cellStyle name="_Woc Cash Forecasting 0910 3" xfId="49093"/>
    <cellStyle name="_Woc Cash Forecasting 0910 5+7 to AM 240909" xfId="49094"/>
    <cellStyle name="_Woc Cash Forecasting 0910 5+7 to AM 240909 2" xfId="49095"/>
    <cellStyle name="_Woc Cash Forecasting 0910 5+7 to AM 240909 2 2" xfId="49096"/>
    <cellStyle name="_Woc Cash Forecasting 0910 5+7 to AM 240909 2 3" xfId="49097"/>
    <cellStyle name="_Woc Cash Forecasting 0910 5+7 to AM 240909 3" xfId="49098"/>
    <cellStyle name="_WOC's Cash Forecasting 2010-11 V1.0" xfId="49099"/>
    <cellStyle name="_WOC's Cash Forecasting 2010-11 V1.0  20th Oct totals agreed to 5+7" xfId="49100"/>
    <cellStyle name="_WOC's Cash Forecasting 2010-11 V1.0  20th Oct totals agreed to 5+7 2" xfId="49101"/>
    <cellStyle name="_WOC's Cash Forecasting 2010-11 V1.0  20th Oct totals agreed to 5+7 2 2" xfId="49102"/>
    <cellStyle name="_WOC's Cash Forecasting 2010-11 V1.0  20th Oct totals agreed to 5+7 2 3" xfId="49103"/>
    <cellStyle name="_WOC's Cash Forecasting 2010-11 V1.0  20th Oct totals agreed to 5+7 3" xfId="49104"/>
    <cellStyle name="_WOC's Cash Forecasting 2010-11 V1.0 2" xfId="49105"/>
    <cellStyle name="_WOC's Cash Forecasting 2010-11 V1.0 3" xfId="49106"/>
    <cellStyle name="_WOC's Cash Forecasting 2010-11 V1.0 4" xfId="49107"/>
    <cellStyle name="_WOC's Cash Forecasting 2010-11 V1.0 5" xfId="49108"/>
    <cellStyle name="_WOC's Cash Forecasting 2010-11 V1.0 6" xfId="49109"/>
    <cellStyle name="_WOC's Cash Forecasting 2011-12" xfId="49110"/>
    <cellStyle name="_WOC's Cash Forecasting 2011-12 2" xfId="49111"/>
    <cellStyle name="_WOC's Cash Forecasting 2011-12 3" xfId="49112"/>
    <cellStyle name="_WOC's Cash Forecasting 2012-13" xfId="49113"/>
    <cellStyle name="_WOC's Cash Forecasting 2012-13 2" xfId="49114"/>
    <cellStyle name="_WOC's Cash Forecasting 2012-13 3" xfId="49115"/>
    <cellStyle name="_Worksheet in D: Documents and Settings 803284010 Local Settings Temporary Internet Files OLK27 CRAB Reqtsv2" xfId="49116"/>
    <cellStyle name="_Worksheet in D: Documents and Settings 803284010 Local Settings Temporary Internet Files OLK27 CRAB Reqtsv2 2" xfId="49117"/>
    <cellStyle name="_Worksheet in D: Documents and Settings 803284010 Local Settings Temporary Internet Files OLK27 CRAB Reqtsv2 3" xfId="49118"/>
    <cellStyle name="_WPR Templates Q4(New)" xfId="49119"/>
    <cellStyle name="_WPR Templates Q4(New) 2" xfId="49120"/>
    <cellStyle name="_WPR Templates Q4(New) 3" xfId="49121"/>
    <cellStyle name="_WWU Asset Information - December 2006 Valuation (2)" xfId="49122"/>
    <cellStyle name="_WWU Asset Information - December 2006 Valuation (2) 2" xfId="49123"/>
    <cellStyle name="_WWU Asset Information - December 2006 Valuation (2) 2 2" xfId="49124"/>
    <cellStyle name="_WWU Asset Information - December 2006 Valuation (2) 3" xfId="49125"/>
    <cellStyle name="_WWU Asset Information - December 2006 Valuation (2) 3 2" xfId="49126"/>
    <cellStyle name="_WWU Asset Information - December 2006 Valuation (2) 4" xfId="49127"/>
    <cellStyle name="_WWU Asset Information - December 2006 Valuation (2) 4 2" xfId="49128"/>
    <cellStyle name="_WWU Asset Information - December 2006 Valuation (2) 5" xfId="49129"/>
    <cellStyle name="_WWU Asset Information - December 2006 Valuation (2) 5 2" xfId="49130"/>
    <cellStyle name="_WWU Asset Information - December 2006 Valuation (2) 6" xfId="49131"/>
    <cellStyle name="_WWU Asset Information - December 2006 Valuation (2) 6 2" xfId="49132"/>
    <cellStyle name="_WWU Asset Information - December 2006 Valuation (2) 7" xfId="49133"/>
    <cellStyle name="_WWU Asset Information - December 2006 Valuation (2) 7 2" xfId="49134"/>
    <cellStyle name="_WWU Asset Information - December 2006 Valuation (2) 8" xfId="49135"/>
    <cellStyle name="_Yin Wan - Capex Legal Entity Unwinds HY1 Sept 2009" xfId="49136"/>
    <cellStyle name="_Yin Wan - Capex Legal Entity Unwinds HY1 Sept 2009 2" xfId="49137"/>
    <cellStyle name="_YW UUW segmental LBE summary" xfId="49138"/>
    <cellStyle name="_YW UUW segmental LBE summary 2" xfId="49139"/>
    <cellStyle name="¨_x000c_ LŒB" xfId="49140"/>
    <cellStyle name="¨_x000c_ LŒB 2" xfId="49141"/>
    <cellStyle name="¨_x000c_ LŒB 3" xfId="49142"/>
    <cellStyle name="’Ê‰Ý [0.00]_Area" xfId="49143"/>
    <cellStyle name="’Ê‰Ý_Area" xfId="49144"/>
    <cellStyle name="£ BP" xfId="49145"/>
    <cellStyle name="£ BP 2" xfId="49146"/>
    <cellStyle name="¥ JY" xfId="49147"/>
    <cellStyle name="¥ JY 2" xfId="49148"/>
    <cellStyle name="=C:\WINNT\SYSTEM32\COMMAND.COM" xfId="49149"/>
    <cellStyle name="=C:\WINNT\SYSTEM32\COMMAND.COM 2" xfId="49150"/>
    <cellStyle name="=C:\WINNT\SYSTEM32\COMMAND.COM 2 2" xfId="49151"/>
    <cellStyle name="=C:\WINNT\SYSTEM32\COMMAND.COM 3" xfId="49152"/>
    <cellStyle name="=C:\WINNT\SYSTEM32\COMMAND.COM 4" xfId="49153"/>
    <cellStyle name="=C:\WINNT\SYSTEM32\COMMAND.COM_~9868926" xfId="49154"/>
    <cellStyle name="=C:\WINNT35\SYSTEM32\COMMAND.COM" xfId="49155"/>
    <cellStyle name="=C:\WINNT35\SYSTEM32\COMMAND.COM 10" xfId="49156"/>
    <cellStyle name="=C:\WINNT35\SYSTEM32\COMMAND.COM 11" xfId="49157"/>
    <cellStyle name="=C:\WINNT35\SYSTEM32\COMMAND.COM 12" xfId="49158"/>
    <cellStyle name="=C:\WINNT35\SYSTEM32\COMMAND.COM 13" xfId="49159"/>
    <cellStyle name="=C:\WINNT35\SYSTEM32\COMMAND.COM 14" xfId="49160"/>
    <cellStyle name="=C:\WINNT35\SYSTEM32\COMMAND.COM 15" xfId="49161"/>
    <cellStyle name="=C:\WINNT35\SYSTEM32\COMMAND.COM 16" xfId="49162"/>
    <cellStyle name="=C:\WINNT35\SYSTEM32\COMMAND.COM 17" xfId="49163"/>
    <cellStyle name="=C:\WINNT35\SYSTEM32\COMMAND.COM 18" xfId="49164"/>
    <cellStyle name="=C:\WINNT35\SYSTEM32\COMMAND.COM 19" xfId="49165"/>
    <cellStyle name="=C:\WINNT35\SYSTEM32\COMMAND.COM 2" xfId="49166"/>
    <cellStyle name="=C:\WINNT35\SYSTEM32\COMMAND.COM 2 2" xfId="49167"/>
    <cellStyle name="=C:\WINNT35\SYSTEM32\COMMAND.COM 2 3" xfId="49168"/>
    <cellStyle name="=C:\WINNT35\SYSTEM32\COMMAND.COM 20" xfId="49169"/>
    <cellStyle name="=C:\WINNT35\SYSTEM32\COMMAND.COM 21" xfId="49170"/>
    <cellStyle name="=C:\WINNT35\SYSTEM32\COMMAND.COM 22" xfId="49171"/>
    <cellStyle name="=C:\WINNT35\SYSTEM32\COMMAND.COM 23" xfId="49172"/>
    <cellStyle name="=C:\WINNT35\SYSTEM32\COMMAND.COM 24" xfId="49173"/>
    <cellStyle name="=C:\WINNT35\SYSTEM32\COMMAND.COM 25" xfId="49174"/>
    <cellStyle name="=C:\WINNT35\SYSTEM32\COMMAND.COM 26" xfId="49175"/>
    <cellStyle name="=C:\WINNT35\SYSTEM32\COMMAND.COM 27" xfId="49176"/>
    <cellStyle name="=C:\WINNT35\SYSTEM32\COMMAND.COM 28" xfId="49177"/>
    <cellStyle name="=C:\WINNT35\SYSTEM32\COMMAND.COM 29" xfId="49178"/>
    <cellStyle name="=C:\WINNT35\SYSTEM32\COMMAND.COM 3" xfId="49179"/>
    <cellStyle name="=C:\WINNT35\SYSTEM32\COMMAND.COM 3 2" xfId="49180"/>
    <cellStyle name="=C:\WINNT35\SYSTEM32\COMMAND.COM 30" xfId="49181"/>
    <cellStyle name="=C:\WINNT35\SYSTEM32\COMMAND.COM 31" xfId="49182"/>
    <cellStyle name="=C:\WINNT35\SYSTEM32\COMMAND.COM 32" xfId="49183"/>
    <cellStyle name="=C:\WINNT35\SYSTEM32\COMMAND.COM 4" xfId="49184"/>
    <cellStyle name="=C:\WINNT35\SYSTEM32\COMMAND.COM 5" xfId="49185"/>
    <cellStyle name="=C:\WINNT35\SYSTEM32\COMMAND.COM 6" xfId="49186"/>
    <cellStyle name="=C:\WINNT35\SYSTEM32\COMMAND.COM 7" xfId="49187"/>
    <cellStyle name="=C:\WINNT35\SYSTEM32\COMMAND.COM 8" xfId="49188"/>
    <cellStyle name="=C:\WINNT35\SYSTEM32\COMMAND.COM 9" xfId="49189"/>
    <cellStyle name="=C:\WINNT35\SYSTEM32\COMMAND.COM_~7661871" xfId="49190"/>
    <cellStyle name="•W€_Area" xfId="49191"/>
    <cellStyle name="•W_Area" xfId="49192"/>
    <cellStyle name="0,0_x000a__x000a_NA_x000a__x000a_" xfId="49193"/>
    <cellStyle name="0,0_x000a__x000a_NA_x000a__x000a_ 2" xfId="49194"/>
    <cellStyle name="0,0_x000a__x000a_NA_x000a__x000a_ 3" xfId="49195"/>
    <cellStyle name="0,0_x000d__x000a_NA_x000d__x000a_" xfId="49196"/>
    <cellStyle name="0,0_x000d__x000a_NA_x000d__x000a_ 2" xfId="49197"/>
    <cellStyle name="0,0_x000d__x000a_NA_x000d__x000a_ 2 2" xfId="49198"/>
    <cellStyle name="0,0_x000d__x000a_NA_x000d__x000a_ 2 3" xfId="49199"/>
    <cellStyle name="0,0_x000d__x000a_NA_x000d__x000a_ 3" xfId="49200"/>
    <cellStyle name="0,0_x000d__x000a_NA_x000d__x000a_ 4" xfId="49201"/>
    <cellStyle name="1000s (0)" xfId="49202"/>
    <cellStyle name="1Normal" xfId="49203"/>
    <cellStyle name="1Normal 2" xfId="49204"/>
    <cellStyle name="20 % - Accent1" xfId="49205"/>
    <cellStyle name="20 % - Accent1 2" xfId="49206"/>
    <cellStyle name="20 % - Accent2" xfId="49207"/>
    <cellStyle name="20 % - Accent2 2" xfId="49208"/>
    <cellStyle name="20 % - Accent3" xfId="49209"/>
    <cellStyle name="20 % - Accent3 2" xfId="49210"/>
    <cellStyle name="20 % - Accent4" xfId="49211"/>
    <cellStyle name="20 % - Accent4 2" xfId="49212"/>
    <cellStyle name="20 % - Accent5" xfId="49213"/>
    <cellStyle name="20 % - Accent5 2" xfId="49214"/>
    <cellStyle name="20 % - Accent6" xfId="49215"/>
    <cellStyle name="20 % - Accent6 2" xfId="49216"/>
    <cellStyle name="20% - Accent1" xfId="1" builtinId="30" customBuiltin="1"/>
    <cellStyle name="20% - Accent1 10" xfId="1094"/>
    <cellStyle name="20% - Accent1 10 2" xfId="1095"/>
    <cellStyle name="20% - Accent1 10 2 2" xfId="1096"/>
    <cellStyle name="20% - Accent1 10 2 2 2" xfId="1097"/>
    <cellStyle name="20% - Accent1 10 2 3" xfId="1098"/>
    <cellStyle name="20% - Accent1 10 2 4" xfId="1099"/>
    <cellStyle name="20% - Accent1 10 3" xfId="1100"/>
    <cellStyle name="20% - Accent1 10 3 2" xfId="1101"/>
    <cellStyle name="20% - Accent1 10 3 2 2" xfId="1102"/>
    <cellStyle name="20% - Accent1 10 3 3" xfId="1103"/>
    <cellStyle name="20% - Accent1 10 4" xfId="1104"/>
    <cellStyle name="20% - Accent1 10 4 2" xfId="1105"/>
    <cellStyle name="20% - Accent1 10 5" xfId="1106"/>
    <cellStyle name="20% - Accent1 10 6" xfId="1107"/>
    <cellStyle name="20% - Accent1 10 7" xfId="1108"/>
    <cellStyle name="20% - Accent1 11" xfId="1109"/>
    <cellStyle name="20% - Accent1 11 2" xfId="1110"/>
    <cellStyle name="20% - Accent1 11 2 2" xfId="1111"/>
    <cellStyle name="20% - Accent1 11 2 2 2" xfId="1112"/>
    <cellStyle name="20% - Accent1 11 2 3" xfId="1113"/>
    <cellStyle name="20% - Accent1 11 2 4" xfId="1114"/>
    <cellStyle name="20% - Accent1 11 3" xfId="1115"/>
    <cellStyle name="20% - Accent1 11 3 2" xfId="1116"/>
    <cellStyle name="20% - Accent1 11 3 2 2" xfId="1117"/>
    <cellStyle name="20% - Accent1 11 3 3" xfId="1118"/>
    <cellStyle name="20% - Accent1 11 4" xfId="1119"/>
    <cellStyle name="20% - Accent1 11 4 2" xfId="1120"/>
    <cellStyle name="20% - Accent1 11 5" xfId="1121"/>
    <cellStyle name="20% - Accent1 11 6" xfId="1122"/>
    <cellStyle name="20% - Accent1 11 7" xfId="1123"/>
    <cellStyle name="20% - Accent1 12" xfId="1124"/>
    <cellStyle name="20% - Accent1 12 2" xfId="1125"/>
    <cellStyle name="20% - Accent1 12 2 2" xfId="1126"/>
    <cellStyle name="20% - Accent1 12 3" xfId="1127"/>
    <cellStyle name="20% - Accent1 12 4" xfId="1128"/>
    <cellStyle name="20% - Accent1 13" xfId="1129"/>
    <cellStyle name="20% - Accent1 13 2" xfId="1130"/>
    <cellStyle name="20% - Accent1 13 2 2" xfId="1131"/>
    <cellStyle name="20% - Accent1 13 3" xfId="1132"/>
    <cellStyle name="20% - Accent1 14" xfId="1133"/>
    <cellStyle name="20% - Accent1 14 2" xfId="1134"/>
    <cellStyle name="20% - Accent1 15" xfId="1135"/>
    <cellStyle name="20% - Accent1 15 2" xfId="1136"/>
    <cellStyle name="20% - Accent1 16" xfId="1137"/>
    <cellStyle name="20% - Accent1 16 2" xfId="1138"/>
    <cellStyle name="20% - Accent1 17" xfId="1139"/>
    <cellStyle name="20% - Accent1 18" xfId="1140"/>
    <cellStyle name="20% - Accent1 19" xfId="1141"/>
    <cellStyle name="20% - Accent1 2" xfId="68"/>
    <cellStyle name="20% - Accent1 2 10" xfId="1142"/>
    <cellStyle name="20% - Accent1 2 10 2" xfId="1143"/>
    <cellStyle name="20% - Accent1 2 10 2 2" xfId="1144"/>
    <cellStyle name="20% - Accent1 2 10 3" xfId="1145"/>
    <cellStyle name="20% - Accent1 2 10 4" xfId="1146"/>
    <cellStyle name="20% - Accent1 2 11" xfId="1147"/>
    <cellStyle name="20% - Accent1 2 11 2" xfId="1148"/>
    <cellStyle name="20% - Accent1 2 11 2 2" xfId="1149"/>
    <cellStyle name="20% - Accent1 2 11 3" xfId="1150"/>
    <cellStyle name="20% - Accent1 2 12" xfId="1151"/>
    <cellStyle name="20% - Accent1 2 12 2" xfId="1152"/>
    <cellStyle name="20% - Accent1 2 13" xfId="1153"/>
    <cellStyle name="20% - Accent1 2 13 2" xfId="1154"/>
    <cellStyle name="20% - Accent1 2 14" xfId="1155"/>
    <cellStyle name="20% - Accent1 2 15" xfId="1156"/>
    <cellStyle name="20% - Accent1 2 16" xfId="1157"/>
    <cellStyle name="20% - Accent1 2 17" xfId="1158"/>
    <cellStyle name="20% - Accent1 2 18" xfId="1159"/>
    <cellStyle name="20% - Accent1 2 19" xfId="1160"/>
    <cellStyle name="20% - Accent1 2 2" xfId="69"/>
    <cellStyle name="20% - Accent1 2 2 2" xfId="1161"/>
    <cellStyle name="20% - Accent1 2 2 2 2" xfId="1162"/>
    <cellStyle name="20% - Accent1 2 2 2 2 2" xfId="1163"/>
    <cellStyle name="20% - Accent1 2 2 2 2 2 2" xfId="1164"/>
    <cellStyle name="20% - Accent1 2 2 2 2 3" xfId="1165"/>
    <cellStyle name="20% - Accent1 2 2 2 2 4" xfId="1166"/>
    <cellStyle name="20% - Accent1 2 2 2 2 5" xfId="1167"/>
    <cellStyle name="20% - Accent1 2 2 2 3" xfId="1168"/>
    <cellStyle name="20% - Accent1 2 2 2 3 2" xfId="1169"/>
    <cellStyle name="20% - Accent1 2 2 2 3 2 2" xfId="1170"/>
    <cellStyle name="20% - Accent1 2 2 2 3 3" xfId="1171"/>
    <cellStyle name="20% - Accent1 2 2 2 4" xfId="1172"/>
    <cellStyle name="20% - Accent1 2 2 2 4 2" xfId="1173"/>
    <cellStyle name="20% - Accent1 2 2 2 5" xfId="1174"/>
    <cellStyle name="20% - Accent1 2 2 2 6" xfId="1175"/>
    <cellStyle name="20% - Accent1 2 2 2 7" xfId="1176"/>
    <cellStyle name="20% - Accent1 2 2 2 8" xfId="1177"/>
    <cellStyle name="20% - Accent1 2 2 2 9" xfId="1178"/>
    <cellStyle name="20% - Accent1 2 2 3" xfId="1179"/>
    <cellStyle name="20% - Accent1 2 2 4" xfId="1180"/>
    <cellStyle name="20% - Accent1 2 2 4 2" xfId="1181"/>
    <cellStyle name="20% - Accent1 2 2 4 2 2" xfId="1182"/>
    <cellStyle name="20% - Accent1 2 2 4 3" xfId="1183"/>
    <cellStyle name="20% - Accent1 2 2 4 4" xfId="1184"/>
    <cellStyle name="20% - Accent1 2 2 5" xfId="1185"/>
    <cellStyle name="20% - Accent1 2 2 5 2" xfId="1186"/>
    <cellStyle name="20% - Accent1 2 2 5 2 2" xfId="1187"/>
    <cellStyle name="20% - Accent1 2 2 5 3" xfId="1188"/>
    <cellStyle name="20% - Accent1 2 2 6" xfId="1189"/>
    <cellStyle name="20% - Accent1 2 2 6 2" xfId="1190"/>
    <cellStyle name="20% - Accent1 2 2 7" xfId="1191"/>
    <cellStyle name="20% - Accent1 2 2 8" xfId="1192"/>
    <cellStyle name="20% - Accent1 2 3" xfId="1193"/>
    <cellStyle name="20% - Accent1 2 3 10" xfId="1194"/>
    <cellStyle name="20% - Accent1 2 3 2" xfId="1195"/>
    <cellStyle name="20% - Accent1 2 3 2 2" xfId="1196"/>
    <cellStyle name="20% - Accent1 2 3 2 2 2" xfId="1197"/>
    <cellStyle name="20% - Accent1 2 3 2 2 2 2" xfId="1198"/>
    <cellStyle name="20% - Accent1 2 3 2 2 3" xfId="1199"/>
    <cellStyle name="20% - Accent1 2 3 2 2 4" xfId="1200"/>
    <cellStyle name="20% - Accent1 2 3 2 3" xfId="1201"/>
    <cellStyle name="20% - Accent1 2 3 2 3 2" xfId="1202"/>
    <cellStyle name="20% - Accent1 2 3 2 3 2 2" xfId="1203"/>
    <cellStyle name="20% - Accent1 2 3 2 3 3" xfId="1204"/>
    <cellStyle name="20% - Accent1 2 3 2 4" xfId="1205"/>
    <cellStyle name="20% - Accent1 2 3 2 4 2" xfId="1206"/>
    <cellStyle name="20% - Accent1 2 3 2 5" xfId="1207"/>
    <cellStyle name="20% - Accent1 2 3 2 6" xfId="1208"/>
    <cellStyle name="20% - Accent1 2 3 2 7" xfId="1209"/>
    <cellStyle name="20% - Accent1 2 3 3" xfId="1210"/>
    <cellStyle name="20% - Accent1 2 3 3 2" xfId="1211"/>
    <cellStyle name="20% - Accent1 2 3 3 2 2" xfId="1212"/>
    <cellStyle name="20% - Accent1 2 3 3 3" xfId="1213"/>
    <cellStyle name="20% - Accent1 2 3 3 4" xfId="1214"/>
    <cellStyle name="20% - Accent1 2 3 3 5" xfId="1215"/>
    <cellStyle name="20% - Accent1 2 3 4" xfId="1216"/>
    <cellStyle name="20% - Accent1 2 3 4 2" xfId="1217"/>
    <cellStyle name="20% - Accent1 2 3 4 2 2" xfId="1218"/>
    <cellStyle name="20% - Accent1 2 3 4 3" xfId="1219"/>
    <cellStyle name="20% - Accent1 2 3 5" xfId="1220"/>
    <cellStyle name="20% - Accent1 2 3 5 2" xfId="1221"/>
    <cellStyle name="20% - Accent1 2 3 6" xfId="1222"/>
    <cellStyle name="20% - Accent1 2 3 7" xfId="1223"/>
    <cellStyle name="20% - Accent1 2 3 8" xfId="1224"/>
    <cellStyle name="20% - Accent1 2 3 9" xfId="1225"/>
    <cellStyle name="20% - Accent1 2 4" xfId="1226"/>
    <cellStyle name="20% - Accent1 2 4 10" xfId="1227"/>
    <cellStyle name="20% - Accent1 2 4 2" xfId="1228"/>
    <cellStyle name="20% - Accent1 2 4 2 2" xfId="1229"/>
    <cellStyle name="20% - Accent1 2 4 2 2 2" xfId="1230"/>
    <cellStyle name="20% - Accent1 2 4 2 2 2 2" xfId="1231"/>
    <cellStyle name="20% - Accent1 2 4 2 2 3" xfId="1232"/>
    <cellStyle name="20% - Accent1 2 4 2 2 4" xfId="1233"/>
    <cellStyle name="20% - Accent1 2 4 2 3" xfId="1234"/>
    <cellStyle name="20% - Accent1 2 4 2 3 2" xfId="1235"/>
    <cellStyle name="20% - Accent1 2 4 2 3 2 2" xfId="1236"/>
    <cellStyle name="20% - Accent1 2 4 2 3 3" xfId="1237"/>
    <cellStyle name="20% - Accent1 2 4 2 4" xfId="1238"/>
    <cellStyle name="20% - Accent1 2 4 2 4 2" xfId="1239"/>
    <cellStyle name="20% - Accent1 2 4 2 5" xfId="1240"/>
    <cellStyle name="20% - Accent1 2 4 2 6" xfId="1241"/>
    <cellStyle name="20% - Accent1 2 4 2 7" xfId="1242"/>
    <cellStyle name="20% - Accent1 2 4 3" xfId="1243"/>
    <cellStyle name="20% - Accent1 2 4 3 2" xfId="1244"/>
    <cellStyle name="20% - Accent1 2 4 3 2 2" xfId="1245"/>
    <cellStyle name="20% - Accent1 2 4 3 3" xfId="1246"/>
    <cellStyle name="20% - Accent1 2 4 3 4" xfId="1247"/>
    <cellStyle name="20% - Accent1 2 4 4" xfId="1248"/>
    <cellStyle name="20% - Accent1 2 4 4 2" xfId="1249"/>
    <cellStyle name="20% - Accent1 2 4 4 2 2" xfId="1250"/>
    <cellStyle name="20% - Accent1 2 4 4 3" xfId="1251"/>
    <cellStyle name="20% - Accent1 2 4 5" xfId="1252"/>
    <cellStyle name="20% - Accent1 2 4 5 2" xfId="1253"/>
    <cellStyle name="20% - Accent1 2 4 6" xfId="1254"/>
    <cellStyle name="20% - Accent1 2 4 7" xfId="1255"/>
    <cellStyle name="20% - Accent1 2 4 8" xfId="1256"/>
    <cellStyle name="20% - Accent1 2 4 9" xfId="1257"/>
    <cellStyle name="20% - Accent1 2 5" xfId="1258"/>
    <cellStyle name="20% - Accent1 2 5 10" xfId="1259"/>
    <cellStyle name="20% - Accent1 2 5 2" xfId="1260"/>
    <cellStyle name="20% - Accent1 2 5 2 2" xfId="1261"/>
    <cellStyle name="20% - Accent1 2 5 2 2 2" xfId="1262"/>
    <cellStyle name="20% - Accent1 2 5 2 2 2 2" xfId="1263"/>
    <cellStyle name="20% - Accent1 2 5 2 2 3" xfId="1264"/>
    <cellStyle name="20% - Accent1 2 5 2 2 4" xfId="1265"/>
    <cellStyle name="20% - Accent1 2 5 2 3" xfId="1266"/>
    <cellStyle name="20% - Accent1 2 5 2 3 2" xfId="1267"/>
    <cellStyle name="20% - Accent1 2 5 2 3 2 2" xfId="1268"/>
    <cellStyle name="20% - Accent1 2 5 2 3 3" xfId="1269"/>
    <cellStyle name="20% - Accent1 2 5 2 4" xfId="1270"/>
    <cellStyle name="20% - Accent1 2 5 2 4 2" xfId="1271"/>
    <cellStyle name="20% - Accent1 2 5 2 5" xfId="1272"/>
    <cellStyle name="20% - Accent1 2 5 2 6" xfId="1273"/>
    <cellStyle name="20% - Accent1 2 5 3" xfId="1274"/>
    <cellStyle name="20% - Accent1 2 5 3 2" xfId="1275"/>
    <cellStyle name="20% - Accent1 2 5 3 2 2" xfId="1276"/>
    <cellStyle name="20% - Accent1 2 5 3 3" xfId="1277"/>
    <cellStyle name="20% - Accent1 2 5 3 4" xfId="1278"/>
    <cellStyle name="20% - Accent1 2 5 4" xfId="1279"/>
    <cellStyle name="20% - Accent1 2 5 4 2" xfId="1280"/>
    <cellStyle name="20% - Accent1 2 5 4 2 2" xfId="1281"/>
    <cellStyle name="20% - Accent1 2 5 4 3" xfId="1282"/>
    <cellStyle name="20% - Accent1 2 5 5" xfId="1283"/>
    <cellStyle name="20% - Accent1 2 5 5 2" xfId="1284"/>
    <cellStyle name="20% - Accent1 2 5 6" xfId="1285"/>
    <cellStyle name="20% - Accent1 2 5 7" xfId="1286"/>
    <cellStyle name="20% - Accent1 2 5 8" xfId="1287"/>
    <cellStyle name="20% - Accent1 2 5 9" xfId="1288"/>
    <cellStyle name="20% - Accent1 2 6" xfId="1289"/>
    <cellStyle name="20% - Accent1 2 6 2" xfId="1290"/>
    <cellStyle name="20% - Accent1 2 6 2 2" xfId="1291"/>
    <cellStyle name="20% - Accent1 2 6 2 2 2" xfId="1292"/>
    <cellStyle name="20% - Accent1 2 6 2 3" xfId="1293"/>
    <cellStyle name="20% - Accent1 2 6 2 4" xfId="1294"/>
    <cellStyle name="20% - Accent1 2 6 3" xfId="1295"/>
    <cellStyle name="20% - Accent1 2 6 3 2" xfId="1296"/>
    <cellStyle name="20% - Accent1 2 6 3 2 2" xfId="1297"/>
    <cellStyle name="20% - Accent1 2 6 3 3" xfId="1298"/>
    <cellStyle name="20% - Accent1 2 6 4" xfId="1299"/>
    <cellStyle name="20% - Accent1 2 6 4 2" xfId="1300"/>
    <cellStyle name="20% - Accent1 2 6 5" xfId="1301"/>
    <cellStyle name="20% - Accent1 2 6 6" xfId="1302"/>
    <cellStyle name="20% - Accent1 2 6 7" xfId="1303"/>
    <cellStyle name="20% - Accent1 2 6 8" xfId="1304"/>
    <cellStyle name="20% - Accent1 2 7" xfId="1305"/>
    <cellStyle name="20% - Accent1 2 7 2" xfId="1306"/>
    <cellStyle name="20% - Accent1 2 7 2 2" xfId="1307"/>
    <cellStyle name="20% - Accent1 2 7 2 2 2" xfId="1308"/>
    <cellStyle name="20% - Accent1 2 7 2 3" xfId="1309"/>
    <cellStyle name="20% - Accent1 2 7 2 4" xfId="1310"/>
    <cellStyle name="20% - Accent1 2 7 3" xfId="1311"/>
    <cellStyle name="20% - Accent1 2 7 3 2" xfId="1312"/>
    <cellStyle name="20% - Accent1 2 7 3 2 2" xfId="1313"/>
    <cellStyle name="20% - Accent1 2 7 3 3" xfId="1314"/>
    <cellStyle name="20% - Accent1 2 7 4" xfId="1315"/>
    <cellStyle name="20% - Accent1 2 7 4 2" xfId="1316"/>
    <cellStyle name="20% - Accent1 2 7 5" xfId="1317"/>
    <cellStyle name="20% - Accent1 2 7 6" xfId="1318"/>
    <cellStyle name="20% - Accent1 2 7 7" xfId="1319"/>
    <cellStyle name="20% - Accent1 2 8" xfId="1320"/>
    <cellStyle name="20% - Accent1 2 8 2" xfId="1321"/>
    <cellStyle name="20% - Accent1 2 8 2 2" xfId="1322"/>
    <cellStyle name="20% - Accent1 2 8 2 2 2" xfId="1323"/>
    <cellStyle name="20% - Accent1 2 8 2 3" xfId="1324"/>
    <cellStyle name="20% - Accent1 2 8 2 4" xfId="1325"/>
    <cellStyle name="20% - Accent1 2 8 3" xfId="1326"/>
    <cellStyle name="20% - Accent1 2 8 3 2" xfId="1327"/>
    <cellStyle name="20% - Accent1 2 8 3 2 2" xfId="1328"/>
    <cellStyle name="20% - Accent1 2 8 3 3" xfId="1329"/>
    <cellStyle name="20% - Accent1 2 8 4" xfId="1330"/>
    <cellStyle name="20% - Accent1 2 8 4 2" xfId="1331"/>
    <cellStyle name="20% - Accent1 2 8 5" xfId="1332"/>
    <cellStyle name="20% - Accent1 2 8 6" xfId="1333"/>
    <cellStyle name="20% - Accent1 2 8 7" xfId="1334"/>
    <cellStyle name="20% - Accent1 2 9" xfId="1335"/>
    <cellStyle name="20% - Accent1 2 9 2" xfId="1336"/>
    <cellStyle name="20% - Accent1 2 9 2 2" xfId="1337"/>
    <cellStyle name="20% - Accent1 2 9 2 2 2" xfId="1338"/>
    <cellStyle name="20% - Accent1 2 9 2 3" xfId="1339"/>
    <cellStyle name="20% - Accent1 2 9 2 4" xfId="1340"/>
    <cellStyle name="20% - Accent1 2 9 3" xfId="1341"/>
    <cellStyle name="20% - Accent1 2 9 3 2" xfId="1342"/>
    <cellStyle name="20% - Accent1 2 9 3 2 2" xfId="1343"/>
    <cellStyle name="20% - Accent1 2 9 3 3" xfId="1344"/>
    <cellStyle name="20% - Accent1 2 9 4" xfId="1345"/>
    <cellStyle name="20% - Accent1 2 9 4 2" xfId="1346"/>
    <cellStyle name="20% - Accent1 2 9 5" xfId="1347"/>
    <cellStyle name="20% - Accent1 2 9 6" xfId="1348"/>
    <cellStyle name="20% - Accent1 2_IBP - COPI Uplift at Investment Area Level 01Feb12" xfId="49217"/>
    <cellStyle name="20% - Accent1 3" xfId="70"/>
    <cellStyle name="20% - Accent1 3 10" xfId="1349"/>
    <cellStyle name="20% - Accent1 3 10 2" xfId="1350"/>
    <cellStyle name="20% - Accent1 3 10 2 2" xfId="1351"/>
    <cellStyle name="20% - Accent1 3 10 3" xfId="1352"/>
    <cellStyle name="20% - Accent1 3 11" xfId="1353"/>
    <cellStyle name="20% - Accent1 3 11 2" xfId="1354"/>
    <cellStyle name="20% - Accent1 3 12" xfId="1355"/>
    <cellStyle name="20% - Accent1 3 12 2" xfId="1356"/>
    <cellStyle name="20% - Accent1 3 13" xfId="1357"/>
    <cellStyle name="20% - Accent1 3 14" xfId="1358"/>
    <cellStyle name="20% - Accent1 3 15" xfId="1359"/>
    <cellStyle name="20% - Accent1 3 16" xfId="1360"/>
    <cellStyle name="20% - Accent1 3 2" xfId="1361"/>
    <cellStyle name="20% - Accent1 3 2 10" xfId="1362"/>
    <cellStyle name="20% - Accent1 3 2 2" xfId="1363"/>
    <cellStyle name="20% - Accent1 3 2 2 2" xfId="1364"/>
    <cellStyle name="20% - Accent1 3 2 2 2 2" xfId="1365"/>
    <cellStyle name="20% - Accent1 3 2 2 2 2 2" xfId="1366"/>
    <cellStyle name="20% - Accent1 3 2 2 2 3" xfId="1367"/>
    <cellStyle name="20% - Accent1 3 2 2 2 4" xfId="1368"/>
    <cellStyle name="20% - Accent1 3 2 2 3" xfId="1369"/>
    <cellStyle name="20% - Accent1 3 2 2 3 2" xfId="1370"/>
    <cellStyle name="20% - Accent1 3 2 2 3 2 2" xfId="1371"/>
    <cellStyle name="20% - Accent1 3 2 2 3 3" xfId="1372"/>
    <cellStyle name="20% - Accent1 3 2 2 4" xfId="1373"/>
    <cellStyle name="20% - Accent1 3 2 2 4 2" xfId="1374"/>
    <cellStyle name="20% - Accent1 3 2 2 5" xfId="1375"/>
    <cellStyle name="20% - Accent1 3 2 2 6" xfId="1376"/>
    <cellStyle name="20% - Accent1 3 2 2 7" xfId="1377"/>
    <cellStyle name="20% - Accent1 3 2 3" xfId="1378"/>
    <cellStyle name="20% - Accent1 3 2 3 2" xfId="1379"/>
    <cellStyle name="20% - Accent1 3 2 3 2 2" xfId="1380"/>
    <cellStyle name="20% - Accent1 3 2 3 3" xfId="1381"/>
    <cellStyle name="20% - Accent1 3 2 3 4" xfId="1382"/>
    <cellStyle name="20% - Accent1 3 2 3 5" xfId="1383"/>
    <cellStyle name="20% - Accent1 3 2 4" xfId="1384"/>
    <cellStyle name="20% - Accent1 3 2 4 2" xfId="1385"/>
    <cellStyle name="20% - Accent1 3 2 4 2 2" xfId="1386"/>
    <cellStyle name="20% - Accent1 3 2 4 3" xfId="1387"/>
    <cellStyle name="20% - Accent1 3 2 5" xfId="1388"/>
    <cellStyle name="20% - Accent1 3 2 5 2" xfId="1389"/>
    <cellStyle name="20% - Accent1 3 2 6" xfId="1390"/>
    <cellStyle name="20% - Accent1 3 2 7" xfId="1391"/>
    <cellStyle name="20% - Accent1 3 2 8" xfId="1392"/>
    <cellStyle name="20% - Accent1 3 2 9" xfId="1393"/>
    <cellStyle name="20% - Accent1 3 3" xfId="1394"/>
    <cellStyle name="20% - Accent1 3 3 2" xfId="1395"/>
    <cellStyle name="20% - Accent1 3 3 2 2" xfId="1396"/>
    <cellStyle name="20% - Accent1 3 3 2 2 2" xfId="1397"/>
    <cellStyle name="20% - Accent1 3 3 2 2 2 2" xfId="1398"/>
    <cellStyle name="20% - Accent1 3 3 2 2 3" xfId="1399"/>
    <cellStyle name="20% - Accent1 3 3 2 2 4" xfId="1400"/>
    <cellStyle name="20% - Accent1 3 3 2 3" xfId="1401"/>
    <cellStyle name="20% - Accent1 3 3 2 3 2" xfId="1402"/>
    <cellStyle name="20% - Accent1 3 3 2 3 2 2" xfId="1403"/>
    <cellStyle name="20% - Accent1 3 3 2 3 3" xfId="1404"/>
    <cellStyle name="20% - Accent1 3 3 2 4" xfId="1405"/>
    <cellStyle name="20% - Accent1 3 3 2 4 2" xfId="1406"/>
    <cellStyle name="20% - Accent1 3 3 2 5" xfId="1407"/>
    <cellStyle name="20% - Accent1 3 3 2 6" xfId="1408"/>
    <cellStyle name="20% - Accent1 3 3 3" xfId="1409"/>
    <cellStyle name="20% - Accent1 3 3 3 2" xfId="1410"/>
    <cellStyle name="20% - Accent1 3 3 3 2 2" xfId="1411"/>
    <cellStyle name="20% - Accent1 3 3 3 3" xfId="1412"/>
    <cellStyle name="20% - Accent1 3 3 3 4" xfId="1413"/>
    <cellStyle name="20% - Accent1 3 3 4" xfId="1414"/>
    <cellStyle name="20% - Accent1 3 3 4 2" xfId="1415"/>
    <cellStyle name="20% - Accent1 3 3 4 2 2" xfId="1416"/>
    <cellStyle name="20% - Accent1 3 3 4 3" xfId="1417"/>
    <cellStyle name="20% - Accent1 3 3 5" xfId="1418"/>
    <cellStyle name="20% - Accent1 3 3 5 2" xfId="1419"/>
    <cellStyle name="20% - Accent1 3 3 6" xfId="1420"/>
    <cellStyle name="20% - Accent1 3 3 7" xfId="1421"/>
    <cellStyle name="20% - Accent1 3 3 8" xfId="1422"/>
    <cellStyle name="20% - Accent1 3 3 9" xfId="1423"/>
    <cellStyle name="20% - Accent1 3 4" xfId="1424"/>
    <cellStyle name="20% - Accent1 3 4 2" xfId="1425"/>
    <cellStyle name="20% - Accent1 3 4 2 2" xfId="1426"/>
    <cellStyle name="20% - Accent1 3 4 2 2 2" xfId="1427"/>
    <cellStyle name="20% - Accent1 3 4 2 2 2 2" xfId="1428"/>
    <cellStyle name="20% - Accent1 3 4 2 2 3" xfId="1429"/>
    <cellStyle name="20% - Accent1 3 4 2 2 4" xfId="1430"/>
    <cellStyle name="20% - Accent1 3 4 2 3" xfId="1431"/>
    <cellStyle name="20% - Accent1 3 4 2 3 2" xfId="1432"/>
    <cellStyle name="20% - Accent1 3 4 2 3 2 2" xfId="1433"/>
    <cellStyle name="20% - Accent1 3 4 2 3 3" xfId="1434"/>
    <cellStyle name="20% - Accent1 3 4 2 4" xfId="1435"/>
    <cellStyle name="20% - Accent1 3 4 2 4 2" xfId="1436"/>
    <cellStyle name="20% - Accent1 3 4 2 5" xfId="1437"/>
    <cellStyle name="20% - Accent1 3 4 2 6" xfId="1438"/>
    <cellStyle name="20% - Accent1 3 4 3" xfId="1439"/>
    <cellStyle name="20% - Accent1 3 4 3 2" xfId="1440"/>
    <cellStyle name="20% - Accent1 3 4 3 2 2" xfId="1441"/>
    <cellStyle name="20% - Accent1 3 4 3 3" xfId="1442"/>
    <cellStyle name="20% - Accent1 3 4 3 4" xfId="1443"/>
    <cellStyle name="20% - Accent1 3 4 4" xfId="1444"/>
    <cellStyle name="20% - Accent1 3 4 4 2" xfId="1445"/>
    <cellStyle name="20% - Accent1 3 4 4 2 2" xfId="1446"/>
    <cellStyle name="20% - Accent1 3 4 4 3" xfId="1447"/>
    <cellStyle name="20% - Accent1 3 4 5" xfId="1448"/>
    <cellStyle name="20% - Accent1 3 4 5 2" xfId="1449"/>
    <cellStyle name="20% - Accent1 3 4 6" xfId="1450"/>
    <cellStyle name="20% - Accent1 3 4 7" xfId="1451"/>
    <cellStyle name="20% - Accent1 3 4 8" xfId="1452"/>
    <cellStyle name="20% - Accent1 3 5" xfId="1453"/>
    <cellStyle name="20% - Accent1 3 5 2" xfId="1454"/>
    <cellStyle name="20% - Accent1 3 5 2 2" xfId="1455"/>
    <cellStyle name="20% - Accent1 3 5 2 2 2" xfId="1456"/>
    <cellStyle name="20% - Accent1 3 5 2 3" xfId="1457"/>
    <cellStyle name="20% - Accent1 3 5 2 4" xfId="1458"/>
    <cellStyle name="20% - Accent1 3 5 3" xfId="1459"/>
    <cellStyle name="20% - Accent1 3 5 3 2" xfId="1460"/>
    <cellStyle name="20% - Accent1 3 5 3 2 2" xfId="1461"/>
    <cellStyle name="20% - Accent1 3 5 3 3" xfId="1462"/>
    <cellStyle name="20% - Accent1 3 5 4" xfId="1463"/>
    <cellStyle name="20% - Accent1 3 5 4 2" xfId="1464"/>
    <cellStyle name="20% - Accent1 3 5 5" xfId="1465"/>
    <cellStyle name="20% - Accent1 3 5 6" xfId="1466"/>
    <cellStyle name="20% - Accent1 3 5 7" xfId="1467"/>
    <cellStyle name="20% - Accent1 3 6" xfId="1468"/>
    <cellStyle name="20% - Accent1 3 6 2" xfId="1469"/>
    <cellStyle name="20% - Accent1 3 6 2 2" xfId="1470"/>
    <cellStyle name="20% - Accent1 3 6 2 2 2" xfId="1471"/>
    <cellStyle name="20% - Accent1 3 6 2 3" xfId="1472"/>
    <cellStyle name="20% - Accent1 3 6 2 4" xfId="1473"/>
    <cellStyle name="20% - Accent1 3 6 3" xfId="1474"/>
    <cellStyle name="20% - Accent1 3 6 3 2" xfId="1475"/>
    <cellStyle name="20% - Accent1 3 6 3 2 2" xfId="1476"/>
    <cellStyle name="20% - Accent1 3 6 3 3" xfId="1477"/>
    <cellStyle name="20% - Accent1 3 6 4" xfId="1478"/>
    <cellStyle name="20% - Accent1 3 6 4 2" xfId="1479"/>
    <cellStyle name="20% - Accent1 3 6 5" xfId="1480"/>
    <cellStyle name="20% - Accent1 3 6 6" xfId="1481"/>
    <cellStyle name="20% - Accent1 3 6 7" xfId="1482"/>
    <cellStyle name="20% - Accent1 3 7" xfId="1483"/>
    <cellStyle name="20% - Accent1 3 7 2" xfId="1484"/>
    <cellStyle name="20% - Accent1 3 7 2 2" xfId="1485"/>
    <cellStyle name="20% - Accent1 3 7 2 2 2" xfId="1486"/>
    <cellStyle name="20% - Accent1 3 7 2 3" xfId="1487"/>
    <cellStyle name="20% - Accent1 3 7 2 4" xfId="1488"/>
    <cellStyle name="20% - Accent1 3 7 3" xfId="1489"/>
    <cellStyle name="20% - Accent1 3 7 3 2" xfId="1490"/>
    <cellStyle name="20% - Accent1 3 7 3 2 2" xfId="1491"/>
    <cellStyle name="20% - Accent1 3 7 3 3" xfId="1492"/>
    <cellStyle name="20% - Accent1 3 7 4" xfId="1493"/>
    <cellStyle name="20% - Accent1 3 7 4 2" xfId="1494"/>
    <cellStyle name="20% - Accent1 3 7 5" xfId="1495"/>
    <cellStyle name="20% - Accent1 3 7 6" xfId="1496"/>
    <cellStyle name="20% - Accent1 3 7 7" xfId="1497"/>
    <cellStyle name="20% - Accent1 3 8" xfId="1498"/>
    <cellStyle name="20% - Accent1 3 8 2" xfId="1499"/>
    <cellStyle name="20% - Accent1 3 8 2 2" xfId="1500"/>
    <cellStyle name="20% - Accent1 3 8 2 2 2" xfId="1501"/>
    <cellStyle name="20% - Accent1 3 8 2 3" xfId="1502"/>
    <cellStyle name="20% - Accent1 3 8 2 4" xfId="1503"/>
    <cellStyle name="20% - Accent1 3 8 3" xfId="1504"/>
    <cellStyle name="20% - Accent1 3 8 3 2" xfId="1505"/>
    <cellStyle name="20% - Accent1 3 8 3 2 2" xfId="1506"/>
    <cellStyle name="20% - Accent1 3 8 3 3" xfId="1507"/>
    <cellStyle name="20% - Accent1 3 8 4" xfId="1508"/>
    <cellStyle name="20% - Accent1 3 8 4 2" xfId="1509"/>
    <cellStyle name="20% - Accent1 3 8 5" xfId="1510"/>
    <cellStyle name="20% - Accent1 3 8 6" xfId="1511"/>
    <cellStyle name="20% - Accent1 3 9" xfId="1512"/>
    <cellStyle name="20% - Accent1 3 9 2" xfId="1513"/>
    <cellStyle name="20% - Accent1 3 9 2 2" xfId="1514"/>
    <cellStyle name="20% - Accent1 3 9 3" xfId="1515"/>
    <cellStyle name="20% - Accent1 3 9 4" xfId="1516"/>
    <cellStyle name="20% - Accent1 3_IBP - COPI Uplift at Investment Area Level 01Feb12" xfId="49218"/>
    <cellStyle name="20% - Accent1 4" xfId="1517"/>
    <cellStyle name="20% - Accent1 4 10" xfId="1518"/>
    <cellStyle name="20% - Accent1 4 2" xfId="1519"/>
    <cellStyle name="20% - Accent1 4 2 2" xfId="1520"/>
    <cellStyle name="20% - Accent1 4 2 2 2" xfId="1521"/>
    <cellStyle name="20% - Accent1 4 2 2 2 2" xfId="1522"/>
    <cellStyle name="20% - Accent1 4 2 2 3" xfId="1523"/>
    <cellStyle name="20% - Accent1 4 2 2 4" xfId="1524"/>
    <cellStyle name="20% - Accent1 4 2 3" xfId="1525"/>
    <cellStyle name="20% - Accent1 4 2 3 2" xfId="1526"/>
    <cellStyle name="20% - Accent1 4 2 3 2 2" xfId="1527"/>
    <cellStyle name="20% - Accent1 4 2 3 3" xfId="1528"/>
    <cellStyle name="20% - Accent1 4 2 4" xfId="1529"/>
    <cellStyle name="20% - Accent1 4 2 4 2" xfId="1530"/>
    <cellStyle name="20% - Accent1 4 2 5" xfId="1531"/>
    <cellStyle name="20% - Accent1 4 2 6" xfId="1532"/>
    <cellStyle name="20% - Accent1 4 2 7" xfId="1533"/>
    <cellStyle name="20% - Accent1 4 3" xfId="1534"/>
    <cellStyle name="20% - Accent1 4 3 2" xfId="1535"/>
    <cellStyle name="20% - Accent1 4 3 2 2" xfId="1536"/>
    <cellStyle name="20% - Accent1 4 3 3" xfId="1537"/>
    <cellStyle name="20% - Accent1 4 3 4" xfId="1538"/>
    <cellStyle name="20% - Accent1 4 3 5" xfId="1539"/>
    <cellStyle name="20% - Accent1 4 4" xfId="1540"/>
    <cellStyle name="20% - Accent1 4 4 2" xfId="1541"/>
    <cellStyle name="20% - Accent1 4 4 2 2" xfId="1542"/>
    <cellStyle name="20% - Accent1 4 4 3" xfId="1543"/>
    <cellStyle name="20% - Accent1 4 5" xfId="1544"/>
    <cellStyle name="20% - Accent1 4 5 2" xfId="1545"/>
    <cellStyle name="20% - Accent1 4 6" xfId="1546"/>
    <cellStyle name="20% - Accent1 4 7" xfId="1547"/>
    <cellStyle name="20% - Accent1 4 8" xfId="1548"/>
    <cellStyle name="20% - Accent1 4 9" xfId="1549"/>
    <cellStyle name="20% - Accent1 5" xfId="1550"/>
    <cellStyle name="20% - Accent1 5 2" xfId="1551"/>
    <cellStyle name="20% - Accent1 5 2 2" xfId="1552"/>
    <cellStyle name="20% - Accent1 5 2 2 2" xfId="1553"/>
    <cellStyle name="20% - Accent1 5 2 2 2 2" xfId="1554"/>
    <cellStyle name="20% - Accent1 5 2 2 3" xfId="1555"/>
    <cellStyle name="20% - Accent1 5 2 2 4" xfId="1556"/>
    <cellStyle name="20% - Accent1 5 2 3" xfId="1557"/>
    <cellStyle name="20% - Accent1 5 2 3 2" xfId="1558"/>
    <cellStyle name="20% - Accent1 5 2 3 2 2" xfId="1559"/>
    <cellStyle name="20% - Accent1 5 2 3 3" xfId="1560"/>
    <cellStyle name="20% - Accent1 5 2 4" xfId="1561"/>
    <cellStyle name="20% - Accent1 5 2 4 2" xfId="1562"/>
    <cellStyle name="20% - Accent1 5 2 5" xfId="1563"/>
    <cellStyle name="20% - Accent1 5 2 6" xfId="1564"/>
    <cellStyle name="20% - Accent1 5 3" xfId="1565"/>
    <cellStyle name="20% - Accent1 5 3 2" xfId="1566"/>
    <cellStyle name="20% - Accent1 5 3 2 2" xfId="1567"/>
    <cellStyle name="20% - Accent1 5 3 3" xfId="1568"/>
    <cellStyle name="20% - Accent1 5 3 4" xfId="1569"/>
    <cellStyle name="20% - Accent1 5 4" xfId="1570"/>
    <cellStyle name="20% - Accent1 5 4 2" xfId="1571"/>
    <cellStyle name="20% - Accent1 5 4 2 2" xfId="1572"/>
    <cellStyle name="20% - Accent1 5 4 3" xfId="1573"/>
    <cellStyle name="20% - Accent1 5 5" xfId="1574"/>
    <cellStyle name="20% - Accent1 5 5 2" xfId="1575"/>
    <cellStyle name="20% - Accent1 5 6" xfId="1576"/>
    <cellStyle name="20% - Accent1 5 7" xfId="1577"/>
    <cellStyle name="20% - Accent1 5 8" xfId="1578"/>
    <cellStyle name="20% - Accent1 5 9" xfId="1579"/>
    <cellStyle name="20% - Accent1 6" xfId="1580"/>
    <cellStyle name="20% - Accent1 6 2" xfId="1581"/>
    <cellStyle name="20% - Accent1 6 2 2" xfId="1582"/>
    <cellStyle name="20% - Accent1 6 2 2 2" xfId="1583"/>
    <cellStyle name="20% - Accent1 6 2 2 2 2" xfId="1584"/>
    <cellStyle name="20% - Accent1 6 2 2 3" xfId="1585"/>
    <cellStyle name="20% - Accent1 6 2 2 4" xfId="1586"/>
    <cellStyle name="20% - Accent1 6 2 3" xfId="1587"/>
    <cellStyle name="20% - Accent1 6 2 3 2" xfId="1588"/>
    <cellStyle name="20% - Accent1 6 2 3 2 2" xfId="1589"/>
    <cellStyle name="20% - Accent1 6 2 3 3" xfId="1590"/>
    <cellStyle name="20% - Accent1 6 2 4" xfId="1591"/>
    <cellStyle name="20% - Accent1 6 2 4 2" xfId="1592"/>
    <cellStyle name="20% - Accent1 6 2 5" xfId="1593"/>
    <cellStyle name="20% - Accent1 6 2 6" xfId="1594"/>
    <cellStyle name="20% - Accent1 6 3" xfId="1595"/>
    <cellStyle name="20% - Accent1 6 3 2" xfId="1596"/>
    <cellStyle name="20% - Accent1 6 3 2 2" xfId="1597"/>
    <cellStyle name="20% - Accent1 6 3 3" xfId="1598"/>
    <cellStyle name="20% - Accent1 6 3 4" xfId="1599"/>
    <cellStyle name="20% - Accent1 6 4" xfId="1600"/>
    <cellStyle name="20% - Accent1 6 4 2" xfId="1601"/>
    <cellStyle name="20% - Accent1 6 4 2 2" xfId="1602"/>
    <cellStyle name="20% - Accent1 6 4 3" xfId="1603"/>
    <cellStyle name="20% - Accent1 6 5" xfId="1604"/>
    <cellStyle name="20% - Accent1 6 5 2" xfId="1605"/>
    <cellStyle name="20% - Accent1 6 6" xfId="1606"/>
    <cellStyle name="20% - Accent1 6 7" xfId="1607"/>
    <cellStyle name="20% - Accent1 6 8" xfId="1608"/>
    <cellStyle name="20% - Accent1 7" xfId="1609"/>
    <cellStyle name="20% - Accent1 7 2" xfId="1610"/>
    <cellStyle name="20% - Accent1 7 2 2" xfId="1611"/>
    <cellStyle name="20% - Accent1 7 2 2 2" xfId="1612"/>
    <cellStyle name="20% - Accent1 7 2 2 2 2" xfId="1613"/>
    <cellStyle name="20% - Accent1 7 2 2 3" xfId="1614"/>
    <cellStyle name="20% - Accent1 7 2 2 4" xfId="1615"/>
    <cellStyle name="20% - Accent1 7 2 3" xfId="1616"/>
    <cellStyle name="20% - Accent1 7 2 3 2" xfId="1617"/>
    <cellStyle name="20% - Accent1 7 2 3 2 2" xfId="1618"/>
    <cellStyle name="20% - Accent1 7 2 3 3" xfId="1619"/>
    <cellStyle name="20% - Accent1 7 2 4" xfId="1620"/>
    <cellStyle name="20% - Accent1 7 2 4 2" xfId="1621"/>
    <cellStyle name="20% - Accent1 7 2 5" xfId="1622"/>
    <cellStyle name="20% - Accent1 7 2 6" xfId="1623"/>
    <cellStyle name="20% - Accent1 7 3" xfId="1624"/>
    <cellStyle name="20% - Accent1 7 3 2" xfId="1625"/>
    <cellStyle name="20% - Accent1 7 3 2 2" xfId="1626"/>
    <cellStyle name="20% - Accent1 7 3 3" xfId="1627"/>
    <cellStyle name="20% - Accent1 7 3 4" xfId="1628"/>
    <cellStyle name="20% - Accent1 7 4" xfId="1629"/>
    <cellStyle name="20% - Accent1 7 4 2" xfId="1630"/>
    <cellStyle name="20% - Accent1 7 4 2 2" xfId="1631"/>
    <cellStyle name="20% - Accent1 7 4 3" xfId="1632"/>
    <cellStyle name="20% - Accent1 7 5" xfId="1633"/>
    <cellStyle name="20% - Accent1 7 5 2" xfId="1634"/>
    <cellStyle name="20% - Accent1 7 6" xfId="1635"/>
    <cellStyle name="20% - Accent1 7 7" xfId="1636"/>
    <cellStyle name="20% - Accent1 7 8" xfId="1637"/>
    <cellStyle name="20% - Accent1 8" xfId="1638"/>
    <cellStyle name="20% - Accent1 8 2" xfId="1639"/>
    <cellStyle name="20% - Accent1 8 2 2" xfId="1640"/>
    <cellStyle name="20% - Accent1 8 2 2 2" xfId="1641"/>
    <cellStyle name="20% - Accent1 8 2 3" xfId="1642"/>
    <cellStyle name="20% - Accent1 8 2 4" xfId="1643"/>
    <cellStyle name="20% - Accent1 8 3" xfId="1644"/>
    <cellStyle name="20% - Accent1 8 3 2" xfId="1645"/>
    <cellStyle name="20% - Accent1 8 3 2 2" xfId="1646"/>
    <cellStyle name="20% - Accent1 8 3 3" xfId="1647"/>
    <cellStyle name="20% - Accent1 8 4" xfId="1648"/>
    <cellStyle name="20% - Accent1 8 4 2" xfId="1649"/>
    <cellStyle name="20% - Accent1 8 5" xfId="1650"/>
    <cellStyle name="20% - Accent1 8 6" xfId="1651"/>
    <cellStyle name="20% - Accent1 8 7" xfId="1652"/>
    <cellStyle name="20% - Accent1 9" xfId="1653"/>
    <cellStyle name="20% - Accent1 9 2" xfId="1654"/>
    <cellStyle name="20% - Accent1 9 2 2" xfId="1655"/>
    <cellStyle name="20% - Accent1 9 2 2 2" xfId="1656"/>
    <cellStyle name="20% - Accent1 9 2 3" xfId="1657"/>
    <cellStyle name="20% - Accent1 9 2 4" xfId="1658"/>
    <cellStyle name="20% - Accent1 9 3" xfId="1659"/>
    <cellStyle name="20% - Accent1 9 3 2" xfId="1660"/>
    <cellStyle name="20% - Accent1 9 3 2 2" xfId="1661"/>
    <cellStyle name="20% - Accent1 9 3 3" xfId="1662"/>
    <cellStyle name="20% - Accent1 9 4" xfId="1663"/>
    <cellStyle name="20% - Accent1 9 4 2" xfId="1664"/>
    <cellStyle name="20% - Accent1 9 5" xfId="1665"/>
    <cellStyle name="20% - Accent1 9 6" xfId="1666"/>
    <cellStyle name="20% - Accent1 9 7" xfId="1667"/>
    <cellStyle name="20% - Accent2" xfId="2" builtinId="34" customBuiltin="1"/>
    <cellStyle name="20% - Accent2 10" xfId="1668"/>
    <cellStyle name="20% - Accent2 10 2" xfId="1669"/>
    <cellStyle name="20% - Accent2 10 2 2" xfId="1670"/>
    <cellStyle name="20% - Accent2 10 2 2 2" xfId="1671"/>
    <cellStyle name="20% - Accent2 10 2 3" xfId="1672"/>
    <cellStyle name="20% - Accent2 10 2 4" xfId="1673"/>
    <cellStyle name="20% - Accent2 10 3" xfId="1674"/>
    <cellStyle name="20% - Accent2 10 3 2" xfId="1675"/>
    <cellStyle name="20% - Accent2 10 3 2 2" xfId="1676"/>
    <cellStyle name="20% - Accent2 10 3 3" xfId="1677"/>
    <cellStyle name="20% - Accent2 10 4" xfId="1678"/>
    <cellStyle name="20% - Accent2 10 4 2" xfId="1679"/>
    <cellStyle name="20% - Accent2 10 5" xfId="1680"/>
    <cellStyle name="20% - Accent2 10 6" xfId="1681"/>
    <cellStyle name="20% - Accent2 10 7" xfId="1682"/>
    <cellStyle name="20% - Accent2 11" xfId="1683"/>
    <cellStyle name="20% - Accent2 11 2" xfId="1684"/>
    <cellStyle name="20% - Accent2 11 2 2" xfId="1685"/>
    <cellStyle name="20% - Accent2 11 2 2 2" xfId="1686"/>
    <cellStyle name="20% - Accent2 11 2 3" xfId="1687"/>
    <cellStyle name="20% - Accent2 11 2 4" xfId="1688"/>
    <cellStyle name="20% - Accent2 11 3" xfId="1689"/>
    <cellStyle name="20% - Accent2 11 3 2" xfId="1690"/>
    <cellStyle name="20% - Accent2 11 3 2 2" xfId="1691"/>
    <cellStyle name="20% - Accent2 11 3 3" xfId="1692"/>
    <cellStyle name="20% - Accent2 11 4" xfId="1693"/>
    <cellStyle name="20% - Accent2 11 4 2" xfId="1694"/>
    <cellStyle name="20% - Accent2 11 5" xfId="1695"/>
    <cellStyle name="20% - Accent2 11 6" xfId="1696"/>
    <cellStyle name="20% - Accent2 11 7" xfId="1697"/>
    <cellStyle name="20% - Accent2 12" xfId="1698"/>
    <cellStyle name="20% - Accent2 12 2" xfId="1699"/>
    <cellStyle name="20% - Accent2 12 2 2" xfId="1700"/>
    <cellStyle name="20% - Accent2 12 3" xfId="1701"/>
    <cellStyle name="20% - Accent2 12 4" xfId="1702"/>
    <cellStyle name="20% - Accent2 13" xfId="1703"/>
    <cellStyle name="20% - Accent2 13 2" xfId="1704"/>
    <cellStyle name="20% - Accent2 13 2 2" xfId="1705"/>
    <cellStyle name="20% - Accent2 13 3" xfId="1706"/>
    <cellStyle name="20% - Accent2 14" xfId="1707"/>
    <cellStyle name="20% - Accent2 14 2" xfId="1708"/>
    <cellStyle name="20% - Accent2 15" xfId="1709"/>
    <cellStyle name="20% - Accent2 15 2" xfId="1710"/>
    <cellStyle name="20% - Accent2 16" xfId="1711"/>
    <cellStyle name="20% - Accent2 16 2" xfId="1712"/>
    <cellStyle name="20% - Accent2 17" xfId="1713"/>
    <cellStyle name="20% - Accent2 18" xfId="1714"/>
    <cellStyle name="20% - Accent2 19" xfId="1715"/>
    <cellStyle name="20% - Accent2 2" xfId="71"/>
    <cellStyle name="20% - Accent2 2 10" xfId="1716"/>
    <cellStyle name="20% - Accent2 2 10 2" xfId="1717"/>
    <cellStyle name="20% - Accent2 2 10 2 2" xfId="1718"/>
    <cellStyle name="20% - Accent2 2 10 3" xfId="1719"/>
    <cellStyle name="20% - Accent2 2 10 4" xfId="1720"/>
    <cellStyle name="20% - Accent2 2 11" xfId="1721"/>
    <cellStyle name="20% - Accent2 2 11 2" xfId="1722"/>
    <cellStyle name="20% - Accent2 2 11 2 2" xfId="1723"/>
    <cellStyle name="20% - Accent2 2 11 3" xfId="1724"/>
    <cellStyle name="20% - Accent2 2 12" xfId="1725"/>
    <cellStyle name="20% - Accent2 2 12 2" xfId="1726"/>
    <cellStyle name="20% - Accent2 2 13" xfId="1727"/>
    <cellStyle name="20% - Accent2 2 13 2" xfId="1728"/>
    <cellStyle name="20% - Accent2 2 14" xfId="1729"/>
    <cellStyle name="20% - Accent2 2 15" xfId="1730"/>
    <cellStyle name="20% - Accent2 2 16" xfId="1731"/>
    <cellStyle name="20% - Accent2 2 17" xfId="1732"/>
    <cellStyle name="20% - Accent2 2 18" xfId="1733"/>
    <cellStyle name="20% - Accent2 2 2" xfId="72"/>
    <cellStyle name="20% - Accent2 2 2 2" xfId="1734"/>
    <cellStyle name="20% - Accent2 2 2 2 2" xfId="1735"/>
    <cellStyle name="20% - Accent2 2 2 2 2 2" xfId="1736"/>
    <cellStyle name="20% - Accent2 2 2 2 2 2 2" xfId="1737"/>
    <cellStyle name="20% - Accent2 2 2 2 2 3" xfId="1738"/>
    <cellStyle name="20% - Accent2 2 2 2 2 4" xfId="1739"/>
    <cellStyle name="20% - Accent2 2 2 2 2 5" xfId="1740"/>
    <cellStyle name="20% - Accent2 2 2 2 3" xfId="1741"/>
    <cellStyle name="20% - Accent2 2 2 2 3 2" xfId="1742"/>
    <cellStyle name="20% - Accent2 2 2 2 3 2 2" xfId="1743"/>
    <cellStyle name="20% - Accent2 2 2 2 3 3" xfId="1744"/>
    <cellStyle name="20% - Accent2 2 2 2 4" xfId="1745"/>
    <cellStyle name="20% - Accent2 2 2 2 4 2" xfId="1746"/>
    <cellStyle name="20% - Accent2 2 2 2 5" xfId="1747"/>
    <cellStyle name="20% - Accent2 2 2 2 6" xfId="1748"/>
    <cellStyle name="20% - Accent2 2 2 2 7" xfId="1749"/>
    <cellStyle name="20% - Accent2 2 2 2 8" xfId="1750"/>
    <cellStyle name="20% - Accent2 2 2 2 9" xfId="1751"/>
    <cellStyle name="20% - Accent2 2 2 3" xfId="1752"/>
    <cellStyle name="20% - Accent2 2 2 4" xfId="1753"/>
    <cellStyle name="20% - Accent2 2 2 4 2" xfId="1754"/>
    <cellStyle name="20% - Accent2 2 2 4 2 2" xfId="1755"/>
    <cellStyle name="20% - Accent2 2 2 4 3" xfId="1756"/>
    <cellStyle name="20% - Accent2 2 2 4 4" xfId="1757"/>
    <cellStyle name="20% - Accent2 2 2 5" xfId="1758"/>
    <cellStyle name="20% - Accent2 2 2 5 2" xfId="1759"/>
    <cellStyle name="20% - Accent2 2 2 5 2 2" xfId="1760"/>
    <cellStyle name="20% - Accent2 2 2 5 3" xfId="1761"/>
    <cellStyle name="20% - Accent2 2 2 6" xfId="1762"/>
    <cellStyle name="20% - Accent2 2 2 6 2" xfId="1763"/>
    <cellStyle name="20% - Accent2 2 2 7" xfId="1764"/>
    <cellStyle name="20% - Accent2 2 2 8" xfId="1765"/>
    <cellStyle name="20% - Accent2 2 3" xfId="1766"/>
    <cellStyle name="20% - Accent2 2 3 10" xfId="1767"/>
    <cellStyle name="20% - Accent2 2 3 2" xfId="1768"/>
    <cellStyle name="20% - Accent2 2 3 2 2" xfId="1769"/>
    <cellStyle name="20% - Accent2 2 3 2 2 2" xfId="1770"/>
    <cellStyle name="20% - Accent2 2 3 2 2 2 2" xfId="1771"/>
    <cellStyle name="20% - Accent2 2 3 2 2 3" xfId="1772"/>
    <cellStyle name="20% - Accent2 2 3 2 2 4" xfId="1773"/>
    <cellStyle name="20% - Accent2 2 3 2 3" xfId="1774"/>
    <cellStyle name="20% - Accent2 2 3 2 3 2" xfId="1775"/>
    <cellStyle name="20% - Accent2 2 3 2 3 2 2" xfId="1776"/>
    <cellStyle name="20% - Accent2 2 3 2 3 3" xfId="1777"/>
    <cellStyle name="20% - Accent2 2 3 2 4" xfId="1778"/>
    <cellStyle name="20% - Accent2 2 3 2 4 2" xfId="1779"/>
    <cellStyle name="20% - Accent2 2 3 2 5" xfId="1780"/>
    <cellStyle name="20% - Accent2 2 3 2 6" xfId="1781"/>
    <cellStyle name="20% - Accent2 2 3 2 7" xfId="1782"/>
    <cellStyle name="20% - Accent2 2 3 3" xfId="1783"/>
    <cellStyle name="20% - Accent2 2 3 3 2" xfId="1784"/>
    <cellStyle name="20% - Accent2 2 3 3 2 2" xfId="1785"/>
    <cellStyle name="20% - Accent2 2 3 3 3" xfId="1786"/>
    <cellStyle name="20% - Accent2 2 3 3 4" xfId="1787"/>
    <cellStyle name="20% - Accent2 2 3 3 5" xfId="1788"/>
    <cellStyle name="20% - Accent2 2 3 4" xfId="1789"/>
    <cellStyle name="20% - Accent2 2 3 4 2" xfId="1790"/>
    <cellStyle name="20% - Accent2 2 3 4 2 2" xfId="1791"/>
    <cellStyle name="20% - Accent2 2 3 4 3" xfId="1792"/>
    <cellStyle name="20% - Accent2 2 3 5" xfId="1793"/>
    <cellStyle name="20% - Accent2 2 3 5 2" xfId="1794"/>
    <cellStyle name="20% - Accent2 2 3 6" xfId="1795"/>
    <cellStyle name="20% - Accent2 2 3 7" xfId="1796"/>
    <cellStyle name="20% - Accent2 2 3 8" xfId="1797"/>
    <cellStyle name="20% - Accent2 2 3 9" xfId="1798"/>
    <cellStyle name="20% - Accent2 2 4" xfId="1799"/>
    <cellStyle name="20% - Accent2 2 4 10" xfId="1800"/>
    <cellStyle name="20% - Accent2 2 4 2" xfId="1801"/>
    <cellStyle name="20% - Accent2 2 4 2 2" xfId="1802"/>
    <cellStyle name="20% - Accent2 2 4 2 2 2" xfId="1803"/>
    <cellStyle name="20% - Accent2 2 4 2 2 2 2" xfId="1804"/>
    <cellStyle name="20% - Accent2 2 4 2 2 3" xfId="1805"/>
    <cellStyle name="20% - Accent2 2 4 2 2 4" xfId="1806"/>
    <cellStyle name="20% - Accent2 2 4 2 3" xfId="1807"/>
    <cellStyle name="20% - Accent2 2 4 2 3 2" xfId="1808"/>
    <cellStyle name="20% - Accent2 2 4 2 3 2 2" xfId="1809"/>
    <cellStyle name="20% - Accent2 2 4 2 3 3" xfId="1810"/>
    <cellStyle name="20% - Accent2 2 4 2 4" xfId="1811"/>
    <cellStyle name="20% - Accent2 2 4 2 4 2" xfId="1812"/>
    <cellStyle name="20% - Accent2 2 4 2 5" xfId="1813"/>
    <cellStyle name="20% - Accent2 2 4 2 6" xfId="1814"/>
    <cellStyle name="20% - Accent2 2 4 2 7" xfId="1815"/>
    <cellStyle name="20% - Accent2 2 4 3" xfId="1816"/>
    <cellStyle name="20% - Accent2 2 4 3 2" xfId="1817"/>
    <cellStyle name="20% - Accent2 2 4 3 2 2" xfId="1818"/>
    <cellStyle name="20% - Accent2 2 4 3 3" xfId="1819"/>
    <cellStyle name="20% - Accent2 2 4 3 4" xfId="1820"/>
    <cellStyle name="20% - Accent2 2 4 4" xfId="1821"/>
    <cellStyle name="20% - Accent2 2 4 4 2" xfId="1822"/>
    <cellStyle name="20% - Accent2 2 4 4 2 2" xfId="1823"/>
    <cellStyle name="20% - Accent2 2 4 4 3" xfId="1824"/>
    <cellStyle name="20% - Accent2 2 4 5" xfId="1825"/>
    <cellStyle name="20% - Accent2 2 4 5 2" xfId="1826"/>
    <cellStyle name="20% - Accent2 2 4 6" xfId="1827"/>
    <cellStyle name="20% - Accent2 2 4 7" xfId="1828"/>
    <cellStyle name="20% - Accent2 2 4 8" xfId="1829"/>
    <cellStyle name="20% - Accent2 2 4 9" xfId="1830"/>
    <cellStyle name="20% - Accent2 2 5" xfId="1831"/>
    <cellStyle name="20% - Accent2 2 5 10" xfId="1832"/>
    <cellStyle name="20% - Accent2 2 5 2" xfId="1833"/>
    <cellStyle name="20% - Accent2 2 5 2 2" xfId="1834"/>
    <cellStyle name="20% - Accent2 2 5 2 2 2" xfId="1835"/>
    <cellStyle name="20% - Accent2 2 5 2 2 2 2" xfId="1836"/>
    <cellStyle name="20% - Accent2 2 5 2 2 3" xfId="1837"/>
    <cellStyle name="20% - Accent2 2 5 2 2 4" xfId="1838"/>
    <cellStyle name="20% - Accent2 2 5 2 3" xfId="1839"/>
    <cellStyle name="20% - Accent2 2 5 2 3 2" xfId="1840"/>
    <cellStyle name="20% - Accent2 2 5 2 3 2 2" xfId="1841"/>
    <cellStyle name="20% - Accent2 2 5 2 3 3" xfId="1842"/>
    <cellStyle name="20% - Accent2 2 5 2 4" xfId="1843"/>
    <cellStyle name="20% - Accent2 2 5 2 4 2" xfId="1844"/>
    <cellStyle name="20% - Accent2 2 5 2 5" xfId="1845"/>
    <cellStyle name="20% - Accent2 2 5 2 6" xfId="1846"/>
    <cellStyle name="20% - Accent2 2 5 3" xfId="1847"/>
    <cellStyle name="20% - Accent2 2 5 3 2" xfId="1848"/>
    <cellStyle name="20% - Accent2 2 5 3 2 2" xfId="1849"/>
    <cellStyle name="20% - Accent2 2 5 3 3" xfId="1850"/>
    <cellStyle name="20% - Accent2 2 5 3 4" xfId="1851"/>
    <cellStyle name="20% - Accent2 2 5 4" xfId="1852"/>
    <cellStyle name="20% - Accent2 2 5 4 2" xfId="1853"/>
    <cellStyle name="20% - Accent2 2 5 4 2 2" xfId="1854"/>
    <cellStyle name="20% - Accent2 2 5 4 3" xfId="1855"/>
    <cellStyle name="20% - Accent2 2 5 5" xfId="1856"/>
    <cellStyle name="20% - Accent2 2 5 5 2" xfId="1857"/>
    <cellStyle name="20% - Accent2 2 5 6" xfId="1858"/>
    <cellStyle name="20% - Accent2 2 5 7" xfId="1859"/>
    <cellStyle name="20% - Accent2 2 5 8" xfId="1860"/>
    <cellStyle name="20% - Accent2 2 5 9" xfId="1861"/>
    <cellStyle name="20% - Accent2 2 6" xfId="1862"/>
    <cellStyle name="20% - Accent2 2 6 2" xfId="1863"/>
    <cellStyle name="20% - Accent2 2 6 2 2" xfId="1864"/>
    <cellStyle name="20% - Accent2 2 6 2 2 2" xfId="1865"/>
    <cellStyle name="20% - Accent2 2 6 2 3" xfId="1866"/>
    <cellStyle name="20% - Accent2 2 6 2 4" xfId="1867"/>
    <cellStyle name="20% - Accent2 2 6 3" xfId="1868"/>
    <cellStyle name="20% - Accent2 2 6 3 2" xfId="1869"/>
    <cellStyle name="20% - Accent2 2 6 3 2 2" xfId="1870"/>
    <cellStyle name="20% - Accent2 2 6 3 3" xfId="1871"/>
    <cellStyle name="20% - Accent2 2 6 4" xfId="1872"/>
    <cellStyle name="20% - Accent2 2 6 4 2" xfId="1873"/>
    <cellStyle name="20% - Accent2 2 6 5" xfId="1874"/>
    <cellStyle name="20% - Accent2 2 6 6" xfId="1875"/>
    <cellStyle name="20% - Accent2 2 6 7" xfId="1876"/>
    <cellStyle name="20% - Accent2 2 6 8" xfId="1877"/>
    <cellStyle name="20% - Accent2 2 7" xfId="1878"/>
    <cellStyle name="20% - Accent2 2 7 2" xfId="1879"/>
    <cellStyle name="20% - Accent2 2 7 2 2" xfId="1880"/>
    <cellStyle name="20% - Accent2 2 7 2 2 2" xfId="1881"/>
    <cellStyle name="20% - Accent2 2 7 2 3" xfId="1882"/>
    <cellStyle name="20% - Accent2 2 7 2 4" xfId="1883"/>
    <cellStyle name="20% - Accent2 2 7 3" xfId="1884"/>
    <cellStyle name="20% - Accent2 2 7 3 2" xfId="1885"/>
    <cellStyle name="20% - Accent2 2 7 3 2 2" xfId="1886"/>
    <cellStyle name="20% - Accent2 2 7 3 3" xfId="1887"/>
    <cellStyle name="20% - Accent2 2 7 4" xfId="1888"/>
    <cellStyle name="20% - Accent2 2 7 4 2" xfId="1889"/>
    <cellStyle name="20% - Accent2 2 7 5" xfId="1890"/>
    <cellStyle name="20% - Accent2 2 7 6" xfId="1891"/>
    <cellStyle name="20% - Accent2 2 7 7" xfId="1892"/>
    <cellStyle name="20% - Accent2 2 8" xfId="1893"/>
    <cellStyle name="20% - Accent2 2 8 2" xfId="1894"/>
    <cellStyle name="20% - Accent2 2 8 2 2" xfId="1895"/>
    <cellStyle name="20% - Accent2 2 8 2 2 2" xfId="1896"/>
    <cellStyle name="20% - Accent2 2 8 2 3" xfId="1897"/>
    <cellStyle name="20% - Accent2 2 8 2 4" xfId="1898"/>
    <cellStyle name="20% - Accent2 2 8 3" xfId="1899"/>
    <cellStyle name="20% - Accent2 2 8 3 2" xfId="1900"/>
    <cellStyle name="20% - Accent2 2 8 3 2 2" xfId="1901"/>
    <cellStyle name="20% - Accent2 2 8 3 3" xfId="1902"/>
    <cellStyle name="20% - Accent2 2 8 4" xfId="1903"/>
    <cellStyle name="20% - Accent2 2 8 4 2" xfId="1904"/>
    <cellStyle name="20% - Accent2 2 8 5" xfId="1905"/>
    <cellStyle name="20% - Accent2 2 8 6" xfId="1906"/>
    <cellStyle name="20% - Accent2 2 8 7" xfId="1907"/>
    <cellStyle name="20% - Accent2 2 9" xfId="1908"/>
    <cellStyle name="20% - Accent2 2 9 2" xfId="1909"/>
    <cellStyle name="20% - Accent2 2 9 2 2" xfId="1910"/>
    <cellStyle name="20% - Accent2 2 9 2 2 2" xfId="1911"/>
    <cellStyle name="20% - Accent2 2 9 2 3" xfId="1912"/>
    <cellStyle name="20% - Accent2 2 9 2 4" xfId="1913"/>
    <cellStyle name="20% - Accent2 2 9 3" xfId="1914"/>
    <cellStyle name="20% - Accent2 2 9 3 2" xfId="1915"/>
    <cellStyle name="20% - Accent2 2 9 3 2 2" xfId="1916"/>
    <cellStyle name="20% - Accent2 2 9 3 3" xfId="1917"/>
    <cellStyle name="20% - Accent2 2 9 4" xfId="1918"/>
    <cellStyle name="20% - Accent2 2 9 4 2" xfId="1919"/>
    <cellStyle name="20% - Accent2 2 9 5" xfId="1920"/>
    <cellStyle name="20% - Accent2 2 9 6" xfId="1921"/>
    <cellStyle name="20% - Accent2 2_IBP - COPI Uplift at Investment Area Level 01Feb12" xfId="49219"/>
    <cellStyle name="20% - Accent2 3" xfId="73"/>
    <cellStyle name="20% - Accent2 3 10" xfId="1922"/>
    <cellStyle name="20% - Accent2 3 10 2" xfId="1923"/>
    <cellStyle name="20% - Accent2 3 10 2 2" xfId="1924"/>
    <cellStyle name="20% - Accent2 3 10 3" xfId="1925"/>
    <cellStyle name="20% - Accent2 3 11" xfId="1926"/>
    <cellStyle name="20% - Accent2 3 11 2" xfId="1927"/>
    <cellStyle name="20% - Accent2 3 12" xfId="1928"/>
    <cellStyle name="20% - Accent2 3 12 2" xfId="1929"/>
    <cellStyle name="20% - Accent2 3 13" xfId="1930"/>
    <cellStyle name="20% - Accent2 3 14" xfId="1931"/>
    <cellStyle name="20% - Accent2 3 15" xfId="1932"/>
    <cellStyle name="20% - Accent2 3 16" xfId="1933"/>
    <cellStyle name="20% - Accent2 3 2" xfId="1934"/>
    <cellStyle name="20% - Accent2 3 2 10" xfId="1935"/>
    <cellStyle name="20% - Accent2 3 2 2" xfId="1936"/>
    <cellStyle name="20% - Accent2 3 2 2 2" xfId="1937"/>
    <cellStyle name="20% - Accent2 3 2 2 2 2" xfId="1938"/>
    <cellStyle name="20% - Accent2 3 2 2 2 2 2" xfId="1939"/>
    <cellStyle name="20% - Accent2 3 2 2 2 3" xfId="1940"/>
    <cellStyle name="20% - Accent2 3 2 2 2 4" xfId="1941"/>
    <cellStyle name="20% - Accent2 3 2 2 3" xfId="1942"/>
    <cellStyle name="20% - Accent2 3 2 2 3 2" xfId="1943"/>
    <cellStyle name="20% - Accent2 3 2 2 3 2 2" xfId="1944"/>
    <cellStyle name="20% - Accent2 3 2 2 3 3" xfId="1945"/>
    <cellStyle name="20% - Accent2 3 2 2 4" xfId="1946"/>
    <cellStyle name="20% - Accent2 3 2 2 4 2" xfId="1947"/>
    <cellStyle name="20% - Accent2 3 2 2 5" xfId="1948"/>
    <cellStyle name="20% - Accent2 3 2 2 6" xfId="1949"/>
    <cellStyle name="20% - Accent2 3 2 2 7" xfId="1950"/>
    <cellStyle name="20% - Accent2 3 2 3" xfId="1951"/>
    <cellStyle name="20% - Accent2 3 2 3 2" xfId="1952"/>
    <cellStyle name="20% - Accent2 3 2 3 2 2" xfId="1953"/>
    <cellStyle name="20% - Accent2 3 2 3 3" xfId="1954"/>
    <cellStyle name="20% - Accent2 3 2 3 4" xfId="1955"/>
    <cellStyle name="20% - Accent2 3 2 3 5" xfId="1956"/>
    <cellStyle name="20% - Accent2 3 2 4" xfId="1957"/>
    <cellStyle name="20% - Accent2 3 2 4 2" xfId="1958"/>
    <cellStyle name="20% - Accent2 3 2 4 2 2" xfId="1959"/>
    <cellStyle name="20% - Accent2 3 2 4 3" xfId="1960"/>
    <cellStyle name="20% - Accent2 3 2 5" xfId="1961"/>
    <cellStyle name="20% - Accent2 3 2 5 2" xfId="1962"/>
    <cellStyle name="20% - Accent2 3 2 6" xfId="1963"/>
    <cellStyle name="20% - Accent2 3 2 7" xfId="1964"/>
    <cellStyle name="20% - Accent2 3 2 8" xfId="1965"/>
    <cellStyle name="20% - Accent2 3 2 9" xfId="1966"/>
    <cellStyle name="20% - Accent2 3 3" xfId="1967"/>
    <cellStyle name="20% - Accent2 3 3 2" xfId="1968"/>
    <cellStyle name="20% - Accent2 3 3 2 2" xfId="1969"/>
    <cellStyle name="20% - Accent2 3 3 2 2 2" xfId="1970"/>
    <cellStyle name="20% - Accent2 3 3 2 2 2 2" xfId="1971"/>
    <cellStyle name="20% - Accent2 3 3 2 2 3" xfId="1972"/>
    <cellStyle name="20% - Accent2 3 3 2 2 4" xfId="1973"/>
    <cellStyle name="20% - Accent2 3 3 2 3" xfId="1974"/>
    <cellStyle name="20% - Accent2 3 3 2 3 2" xfId="1975"/>
    <cellStyle name="20% - Accent2 3 3 2 3 2 2" xfId="1976"/>
    <cellStyle name="20% - Accent2 3 3 2 3 3" xfId="1977"/>
    <cellStyle name="20% - Accent2 3 3 2 4" xfId="1978"/>
    <cellStyle name="20% - Accent2 3 3 2 4 2" xfId="1979"/>
    <cellStyle name="20% - Accent2 3 3 2 5" xfId="1980"/>
    <cellStyle name="20% - Accent2 3 3 2 6" xfId="1981"/>
    <cellStyle name="20% - Accent2 3 3 3" xfId="1982"/>
    <cellStyle name="20% - Accent2 3 3 3 2" xfId="1983"/>
    <cellStyle name="20% - Accent2 3 3 3 2 2" xfId="1984"/>
    <cellStyle name="20% - Accent2 3 3 3 3" xfId="1985"/>
    <cellStyle name="20% - Accent2 3 3 3 4" xfId="1986"/>
    <cellStyle name="20% - Accent2 3 3 4" xfId="1987"/>
    <cellStyle name="20% - Accent2 3 3 4 2" xfId="1988"/>
    <cellStyle name="20% - Accent2 3 3 4 2 2" xfId="1989"/>
    <cellStyle name="20% - Accent2 3 3 4 3" xfId="1990"/>
    <cellStyle name="20% - Accent2 3 3 5" xfId="1991"/>
    <cellStyle name="20% - Accent2 3 3 5 2" xfId="1992"/>
    <cellStyle name="20% - Accent2 3 3 6" xfId="1993"/>
    <cellStyle name="20% - Accent2 3 3 7" xfId="1994"/>
    <cellStyle name="20% - Accent2 3 3 8" xfId="1995"/>
    <cellStyle name="20% - Accent2 3 3 9" xfId="1996"/>
    <cellStyle name="20% - Accent2 3 4" xfId="1997"/>
    <cellStyle name="20% - Accent2 3 4 2" xfId="1998"/>
    <cellStyle name="20% - Accent2 3 4 2 2" xfId="1999"/>
    <cellStyle name="20% - Accent2 3 4 2 2 2" xfId="2000"/>
    <cellStyle name="20% - Accent2 3 4 2 2 2 2" xfId="2001"/>
    <cellStyle name="20% - Accent2 3 4 2 2 3" xfId="2002"/>
    <cellStyle name="20% - Accent2 3 4 2 2 4" xfId="2003"/>
    <cellStyle name="20% - Accent2 3 4 2 3" xfId="2004"/>
    <cellStyle name="20% - Accent2 3 4 2 3 2" xfId="2005"/>
    <cellStyle name="20% - Accent2 3 4 2 3 2 2" xfId="2006"/>
    <cellStyle name="20% - Accent2 3 4 2 3 3" xfId="2007"/>
    <cellStyle name="20% - Accent2 3 4 2 4" xfId="2008"/>
    <cellStyle name="20% - Accent2 3 4 2 4 2" xfId="2009"/>
    <cellStyle name="20% - Accent2 3 4 2 5" xfId="2010"/>
    <cellStyle name="20% - Accent2 3 4 2 6" xfId="2011"/>
    <cellStyle name="20% - Accent2 3 4 3" xfId="2012"/>
    <cellStyle name="20% - Accent2 3 4 3 2" xfId="2013"/>
    <cellStyle name="20% - Accent2 3 4 3 2 2" xfId="2014"/>
    <cellStyle name="20% - Accent2 3 4 3 3" xfId="2015"/>
    <cellStyle name="20% - Accent2 3 4 3 4" xfId="2016"/>
    <cellStyle name="20% - Accent2 3 4 4" xfId="2017"/>
    <cellStyle name="20% - Accent2 3 4 4 2" xfId="2018"/>
    <cellStyle name="20% - Accent2 3 4 4 2 2" xfId="2019"/>
    <cellStyle name="20% - Accent2 3 4 4 3" xfId="2020"/>
    <cellStyle name="20% - Accent2 3 4 5" xfId="2021"/>
    <cellStyle name="20% - Accent2 3 4 5 2" xfId="2022"/>
    <cellStyle name="20% - Accent2 3 4 6" xfId="2023"/>
    <cellStyle name="20% - Accent2 3 4 7" xfId="2024"/>
    <cellStyle name="20% - Accent2 3 4 8" xfId="2025"/>
    <cellStyle name="20% - Accent2 3 5" xfId="2026"/>
    <cellStyle name="20% - Accent2 3 5 2" xfId="2027"/>
    <cellStyle name="20% - Accent2 3 5 2 2" xfId="2028"/>
    <cellStyle name="20% - Accent2 3 5 2 2 2" xfId="2029"/>
    <cellStyle name="20% - Accent2 3 5 2 3" xfId="2030"/>
    <cellStyle name="20% - Accent2 3 5 2 4" xfId="2031"/>
    <cellStyle name="20% - Accent2 3 5 3" xfId="2032"/>
    <cellStyle name="20% - Accent2 3 5 3 2" xfId="2033"/>
    <cellStyle name="20% - Accent2 3 5 3 2 2" xfId="2034"/>
    <cellStyle name="20% - Accent2 3 5 3 3" xfId="2035"/>
    <cellStyle name="20% - Accent2 3 5 4" xfId="2036"/>
    <cellStyle name="20% - Accent2 3 5 4 2" xfId="2037"/>
    <cellStyle name="20% - Accent2 3 5 5" xfId="2038"/>
    <cellStyle name="20% - Accent2 3 5 6" xfId="2039"/>
    <cellStyle name="20% - Accent2 3 5 7" xfId="2040"/>
    <cellStyle name="20% - Accent2 3 6" xfId="2041"/>
    <cellStyle name="20% - Accent2 3 6 2" xfId="2042"/>
    <cellStyle name="20% - Accent2 3 6 2 2" xfId="2043"/>
    <cellStyle name="20% - Accent2 3 6 2 2 2" xfId="2044"/>
    <cellStyle name="20% - Accent2 3 6 2 3" xfId="2045"/>
    <cellStyle name="20% - Accent2 3 6 2 4" xfId="2046"/>
    <cellStyle name="20% - Accent2 3 6 3" xfId="2047"/>
    <cellStyle name="20% - Accent2 3 6 3 2" xfId="2048"/>
    <cellStyle name="20% - Accent2 3 6 3 2 2" xfId="2049"/>
    <cellStyle name="20% - Accent2 3 6 3 3" xfId="2050"/>
    <cellStyle name="20% - Accent2 3 6 4" xfId="2051"/>
    <cellStyle name="20% - Accent2 3 6 4 2" xfId="2052"/>
    <cellStyle name="20% - Accent2 3 6 5" xfId="2053"/>
    <cellStyle name="20% - Accent2 3 6 6" xfId="2054"/>
    <cellStyle name="20% - Accent2 3 6 7" xfId="2055"/>
    <cellStyle name="20% - Accent2 3 7" xfId="2056"/>
    <cellStyle name="20% - Accent2 3 7 2" xfId="2057"/>
    <cellStyle name="20% - Accent2 3 7 2 2" xfId="2058"/>
    <cellStyle name="20% - Accent2 3 7 2 2 2" xfId="2059"/>
    <cellStyle name="20% - Accent2 3 7 2 3" xfId="2060"/>
    <cellStyle name="20% - Accent2 3 7 2 4" xfId="2061"/>
    <cellStyle name="20% - Accent2 3 7 3" xfId="2062"/>
    <cellStyle name="20% - Accent2 3 7 3 2" xfId="2063"/>
    <cellStyle name="20% - Accent2 3 7 3 2 2" xfId="2064"/>
    <cellStyle name="20% - Accent2 3 7 3 3" xfId="2065"/>
    <cellStyle name="20% - Accent2 3 7 4" xfId="2066"/>
    <cellStyle name="20% - Accent2 3 7 4 2" xfId="2067"/>
    <cellStyle name="20% - Accent2 3 7 5" xfId="2068"/>
    <cellStyle name="20% - Accent2 3 7 6" xfId="2069"/>
    <cellStyle name="20% - Accent2 3 7 7" xfId="2070"/>
    <cellStyle name="20% - Accent2 3 8" xfId="2071"/>
    <cellStyle name="20% - Accent2 3 8 2" xfId="2072"/>
    <cellStyle name="20% - Accent2 3 8 2 2" xfId="2073"/>
    <cellStyle name="20% - Accent2 3 8 2 2 2" xfId="2074"/>
    <cellStyle name="20% - Accent2 3 8 2 3" xfId="2075"/>
    <cellStyle name="20% - Accent2 3 8 2 4" xfId="2076"/>
    <cellStyle name="20% - Accent2 3 8 3" xfId="2077"/>
    <cellStyle name="20% - Accent2 3 8 3 2" xfId="2078"/>
    <cellStyle name="20% - Accent2 3 8 3 2 2" xfId="2079"/>
    <cellStyle name="20% - Accent2 3 8 3 3" xfId="2080"/>
    <cellStyle name="20% - Accent2 3 8 4" xfId="2081"/>
    <cellStyle name="20% - Accent2 3 8 4 2" xfId="2082"/>
    <cellStyle name="20% - Accent2 3 8 5" xfId="2083"/>
    <cellStyle name="20% - Accent2 3 8 6" xfId="2084"/>
    <cellStyle name="20% - Accent2 3 9" xfId="2085"/>
    <cellStyle name="20% - Accent2 3 9 2" xfId="2086"/>
    <cellStyle name="20% - Accent2 3 9 2 2" xfId="2087"/>
    <cellStyle name="20% - Accent2 3 9 3" xfId="2088"/>
    <cellStyle name="20% - Accent2 3 9 4" xfId="2089"/>
    <cellStyle name="20% - Accent2 3_IBP - COPI Uplift at Investment Area Level 01Feb12" xfId="49220"/>
    <cellStyle name="20% - Accent2 4" xfId="2090"/>
    <cellStyle name="20% - Accent2 4 10" xfId="2091"/>
    <cellStyle name="20% - Accent2 4 2" xfId="2092"/>
    <cellStyle name="20% - Accent2 4 2 2" xfId="2093"/>
    <cellStyle name="20% - Accent2 4 2 2 2" xfId="2094"/>
    <cellStyle name="20% - Accent2 4 2 2 2 2" xfId="2095"/>
    <cellStyle name="20% - Accent2 4 2 2 3" xfId="2096"/>
    <cellStyle name="20% - Accent2 4 2 2 4" xfId="2097"/>
    <cellStyle name="20% - Accent2 4 2 3" xfId="2098"/>
    <cellStyle name="20% - Accent2 4 2 3 2" xfId="2099"/>
    <cellStyle name="20% - Accent2 4 2 3 2 2" xfId="2100"/>
    <cellStyle name="20% - Accent2 4 2 3 3" xfId="2101"/>
    <cellStyle name="20% - Accent2 4 2 4" xfId="2102"/>
    <cellStyle name="20% - Accent2 4 2 4 2" xfId="2103"/>
    <cellStyle name="20% - Accent2 4 2 5" xfId="2104"/>
    <cellStyle name="20% - Accent2 4 2 6" xfId="2105"/>
    <cellStyle name="20% - Accent2 4 2 7" xfId="2106"/>
    <cellStyle name="20% - Accent2 4 3" xfId="2107"/>
    <cellStyle name="20% - Accent2 4 3 2" xfId="2108"/>
    <cellStyle name="20% - Accent2 4 3 2 2" xfId="2109"/>
    <cellStyle name="20% - Accent2 4 3 3" xfId="2110"/>
    <cellStyle name="20% - Accent2 4 3 4" xfId="2111"/>
    <cellStyle name="20% - Accent2 4 3 5" xfId="2112"/>
    <cellStyle name="20% - Accent2 4 4" xfId="2113"/>
    <cellStyle name="20% - Accent2 4 4 2" xfId="2114"/>
    <cellStyle name="20% - Accent2 4 4 2 2" xfId="2115"/>
    <cellStyle name="20% - Accent2 4 4 3" xfId="2116"/>
    <cellStyle name="20% - Accent2 4 5" xfId="2117"/>
    <cellStyle name="20% - Accent2 4 5 2" xfId="2118"/>
    <cellStyle name="20% - Accent2 4 6" xfId="2119"/>
    <cellStyle name="20% - Accent2 4 7" xfId="2120"/>
    <cellStyle name="20% - Accent2 4 8" xfId="2121"/>
    <cellStyle name="20% - Accent2 4 9" xfId="2122"/>
    <cellStyle name="20% - Accent2 5" xfId="2123"/>
    <cellStyle name="20% - Accent2 5 2" xfId="2124"/>
    <cellStyle name="20% - Accent2 5 2 2" xfId="2125"/>
    <cellStyle name="20% - Accent2 5 2 2 2" xfId="2126"/>
    <cellStyle name="20% - Accent2 5 2 2 2 2" xfId="2127"/>
    <cellStyle name="20% - Accent2 5 2 2 3" xfId="2128"/>
    <cellStyle name="20% - Accent2 5 2 2 4" xfId="2129"/>
    <cellStyle name="20% - Accent2 5 2 3" xfId="2130"/>
    <cellStyle name="20% - Accent2 5 2 3 2" xfId="2131"/>
    <cellStyle name="20% - Accent2 5 2 3 2 2" xfId="2132"/>
    <cellStyle name="20% - Accent2 5 2 3 3" xfId="2133"/>
    <cellStyle name="20% - Accent2 5 2 4" xfId="2134"/>
    <cellStyle name="20% - Accent2 5 2 4 2" xfId="2135"/>
    <cellStyle name="20% - Accent2 5 2 5" xfId="2136"/>
    <cellStyle name="20% - Accent2 5 2 6" xfId="2137"/>
    <cellStyle name="20% - Accent2 5 3" xfId="2138"/>
    <cellStyle name="20% - Accent2 5 3 2" xfId="2139"/>
    <cellStyle name="20% - Accent2 5 3 2 2" xfId="2140"/>
    <cellStyle name="20% - Accent2 5 3 3" xfId="2141"/>
    <cellStyle name="20% - Accent2 5 3 4" xfId="2142"/>
    <cellStyle name="20% - Accent2 5 4" xfId="2143"/>
    <cellStyle name="20% - Accent2 5 4 2" xfId="2144"/>
    <cellStyle name="20% - Accent2 5 4 2 2" xfId="2145"/>
    <cellStyle name="20% - Accent2 5 4 3" xfId="2146"/>
    <cellStyle name="20% - Accent2 5 5" xfId="2147"/>
    <cellStyle name="20% - Accent2 5 5 2" xfId="2148"/>
    <cellStyle name="20% - Accent2 5 6" xfId="2149"/>
    <cellStyle name="20% - Accent2 5 7" xfId="2150"/>
    <cellStyle name="20% - Accent2 5 8" xfId="2151"/>
    <cellStyle name="20% - Accent2 5 9" xfId="2152"/>
    <cellStyle name="20% - Accent2 6" xfId="2153"/>
    <cellStyle name="20% - Accent2 6 2" xfId="2154"/>
    <cellStyle name="20% - Accent2 6 2 2" xfId="2155"/>
    <cellStyle name="20% - Accent2 6 2 2 2" xfId="2156"/>
    <cellStyle name="20% - Accent2 6 2 2 2 2" xfId="2157"/>
    <cellStyle name="20% - Accent2 6 2 2 3" xfId="2158"/>
    <cellStyle name="20% - Accent2 6 2 2 4" xfId="2159"/>
    <cellStyle name="20% - Accent2 6 2 3" xfId="2160"/>
    <cellStyle name="20% - Accent2 6 2 3 2" xfId="2161"/>
    <cellStyle name="20% - Accent2 6 2 3 2 2" xfId="2162"/>
    <cellStyle name="20% - Accent2 6 2 3 3" xfId="2163"/>
    <cellStyle name="20% - Accent2 6 2 4" xfId="2164"/>
    <cellStyle name="20% - Accent2 6 2 4 2" xfId="2165"/>
    <cellStyle name="20% - Accent2 6 2 5" xfId="2166"/>
    <cellStyle name="20% - Accent2 6 2 6" xfId="2167"/>
    <cellStyle name="20% - Accent2 6 3" xfId="2168"/>
    <cellStyle name="20% - Accent2 6 3 2" xfId="2169"/>
    <cellStyle name="20% - Accent2 6 3 2 2" xfId="2170"/>
    <cellStyle name="20% - Accent2 6 3 3" xfId="2171"/>
    <cellStyle name="20% - Accent2 6 3 4" xfId="2172"/>
    <cellStyle name="20% - Accent2 6 4" xfId="2173"/>
    <cellStyle name="20% - Accent2 6 4 2" xfId="2174"/>
    <cellStyle name="20% - Accent2 6 4 2 2" xfId="2175"/>
    <cellStyle name="20% - Accent2 6 4 3" xfId="2176"/>
    <cellStyle name="20% - Accent2 6 5" xfId="2177"/>
    <cellStyle name="20% - Accent2 6 5 2" xfId="2178"/>
    <cellStyle name="20% - Accent2 6 6" xfId="2179"/>
    <cellStyle name="20% - Accent2 6 7" xfId="2180"/>
    <cellStyle name="20% - Accent2 6 8" xfId="2181"/>
    <cellStyle name="20% - Accent2 7" xfId="2182"/>
    <cellStyle name="20% - Accent2 7 2" xfId="2183"/>
    <cellStyle name="20% - Accent2 7 2 2" xfId="2184"/>
    <cellStyle name="20% - Accent2 7 2 2 2" xfId="2185"/>
    <cellStyle name="20% - Accent2 7 2 2 2 2" xfId="2186"/>
    <cellStyle name="20% - Accent2 7 2 2 3" xfId="2187"/>
    <cellStyle name="20% - Accent2 7 2 2 4" xfId="2188"/>
    <cellStyle name="20% - Accent2 7 2 3" xfId="2189"/>
    <cellStyle name="20% - Accent2 7 2 3 2" xfId="2190"/>
    <cellStyle name="20% - Accent2 7 2 3 2 2" xfId="2191"/>
    <cellStyle name="20% - Accent2 7 2 3 3" xfId="2192"/>
    <cellStyle name="20% - Accent2 7 2 4" xfId="2193"/>
    <cellStyle name="20% - Accent2 7 2 4 2" xfId="2194"/>
    <cellStyle name="20% - Accent2 7 2 5" xfId="2195"/>
    <cellStyle name="20% - Accent2 7 2 6" xfId="2196"/>
    <cellStyle name="20% - Accent2 7 3" xfId="2197"/>
    <cellStyle name="20% - Accent2 7 3 2" xfId="2198"/>
    <cellStyle name="20% - Accent2 7 3 2 2" xfId="2199"/>
    <cellStyle name="20% - Accent2 7 3 3" xfId="2200"/>
    <cellStyle name="20% - Accent2 7 3 4" xfId="2201"/>
    <cellStyle name="20% - Accent2 7 4" xfId="2202"/>
    <cellStyle name="20% - Accent2 7 4 2" xfId="2203"/>
    <cellStyle name="20% - Accent2 7 4 2 2" xfId="2204"/>
    <cellStyle name="20% - Accent2 7 4 3" xfId="2205"/>
    <cellStyle name="20% - Accent2 7 5" xfId="2206"/>
    <cellStyle name="20% - Accent2 7 5 2" xfId="2207"/>
    <cellStyle name="20% - Accent2 7 6" xfId="2208"/>
    <cellStyle name="20% - Accent2 7 7" xfId="2209"/>
    <cellStyle name="20% - Accent2 7 8" xfId="2210"/>
    <cellStyle name="20% - Accent2 8" xfId="2211"/>
    <cellStyle name="20% - Accent2 8 2" xfId="2212"/>
    <cellStyle name="20% - Accent2 8 2 2" xfId="2213"/>
    <cellStyle name="20% - Accent2 8 2 2 2" xfId="2214"/>
    <cellStyle name="20% - Accent2 8 2 3" xfId="2215"/>
    <cellStyle name="20% - Accent2 8 2 4" xfId="2216"/>
    <cellStyle name="20% - Accent2 8 3" xfId="2217"/>
    <cellStyle name="20% - Accent2 8 3 2" xfId="2218"/>
    <cellStyle name="20% - Accent2 8 3 2 2" xfId="2219"/>
    <cellStyle name="20% - Accent2 8 3 3" xfId="2220"/>
    <cellStyle name="20% - Accent2 8 4" xfId="2221"/>
    <cellStyle name="20% - Accent2 8 4 2" xfId="2222"/>
    <cellStyle name="20% - Accent2 8 5" xfId="2223"/>
    <cellStyle name="20% - Accent2 8 6" xfId="2224"/>
    <cellStyle name="20% - Accent2 8 7" xfId="2225"/>
    <cellStyle name="20% - Accent2 9" xfId="2226"/>
    <cellStyle name="20% - Accent2 9 2" xfId="2227"/>
    <cellStyle name="20% - Accent2 9 2 2" xfId="2228"/>
    <cellStyle name="20% - Accent2 9 2 2 2" xfId="2229"/>
    <cellStyle name="20% - Accent2 9 2 3" xfId="2230"/>
    <cellStyle name="20% - Accent2 9 2 4" xfId="2231"/>
    <cellStyle name="20% - Accent2 9 3" xfId="2232"/>
    <cellStyle name="20% - Accent2 9 3 2" xfId="2233"/>
    <cellStyle name="20% - Accent2 9 3 2 2" xfId="2234"/>
    <cellStyle name="20% - Accent2 9 3 3" xfId="2235"/>
    <cellStyle name="20% - Accent2 9 4" xfId="2236"/>
    <cellStyle name="20% - Accent2 9 4 2" xfId="2237"/>
    <cellStyle name="20% - Accent2 9 5" xfId="2238"/>
    <cellStyle name="20% - Accent2 9 6" xfId="2239"/>
    <cellStyle name="20% - Accent2 9 7" xfId="2240"/>
    <cellStyle name="20% - Accent3" xfId="3" builtinId="38" customBuiltin="1"/>
    <cellStyle name="20% - Accent3 10" xfId="2241"/>
    <cellStyle name="20% - Accent3 10 2" xfId="2242"/>
    <cellStyle name="20% - Accent3 10 2 2" xfId="2243"/>
    <cellStyle name="20% - Accent3 10 2 2 2" xfId="2244"/>
    <cellStyle name="20% - Accent3 10 2 3" xfId="2245"/>
    <cellStyle name="20% - Accent3 10 2 4" xfId="2246"/>
    <cellStyle name="20% - Accent3 10 3" xfId="2247"/>
    <cellStyle name="20% - Accent3 10 3 2" xfId="2248"/>
    <cellStyle name="20% - Accent3 10 3 2 2" xfId="2249"/>
    <cellStyle name="20% - Accent3 10 3 3" xfId="2250"/>
    <cellStyle name="20% - Accent3 10 4" xfId="2251"/>
    <cellStyle name="20% - Accent3 10 4 2" xfId="2252"/>
    <cellStyle name="20% - Accent3 10 5" xfId="2253"/>
    <cellStyle name="20% - Accent3 10 6" xfId="2254"/>
    <cellStyle name="20% - Accent3 10 7" xfId="2255"/>
    <cellStyle name="20% - Accent3 11" xfId="2256"/>
    <cellStyle name="20% - Accent3 11 2" xfId="2257"/>
    <cellStyle name="20% - Accent3 11 2 2" xfId="2258"/>
    <cellStyle name="20% - Accent3 11 2 2 2" xfId="2259"/>
    <cellStyle name="20% - Accent3 11 2 3" xfId="2260"/>
    <cellStyle name="20% - Accent3 11 2 4" xfId="2261"/>
    <cellStyle name="20% - Accent3 11 3" xfId="2262"/>
    <cellStyle name="20% - Accent3 11 3 2" xfId="2263"/>
    <cellStyle name="20% - Accent3 11 3 2 2" xfId="2264"/>
    <cellStyle name="20% - Accent3 11 3 3" xfId="2265"/>
    <cellStyle name="20% - Accent3 11 4" xfId="2266"/>
    <cellStyle name="20% - Accent3 11 4 2" xfId="2267"/>
    <cellStyle name="20% - Accent3 11 5" xfId="2268"/>
    <cellStyle name="20% - Accent3 11 6" xfId="2269"/>
    <cellStyle name="20% - Accent3 11 7" xfId="2270"/>
    <cellStyle name="20% - Accent3 12" xfId="2271"/>
    <cellStyle name="20% - Accent3 12 2" xfId="2272"/>
    <cellStyle name="20% - Accent3 12 2 2" xfId="2273"/>
    <cellStyle name="20% - Accent3 12 3" xfId="2274"/>
    <cellStyle name="20% - Accent3 12 4" xfId="2275"/>
    <cellStyle name="20% - Accent3 13" xfId="2276"/>
    <cellStyle name="20% - Accent3 13 2" xfId="2277"/>
    <cellStyle name="20% - Accent3 13 2 2" xfId="2278"/>
    <cellStyle name="20% - Accent3 13 3" xfId="2279"/>
    <cellStyle name="20% - Accent3 14" xfId="2280"/>
    <cellStyle name="20% - Accent3 14 2" xfId="2281"/>
    <cellStyle name="20% - Accent3 15" xfId="2282"/>
    <cellStyle name="20% - Accent3 15 2" xfId="2283"/>
    <cellStyle name="20% - Accent3 16" xfId="2284"/>
    <cellStyle name="20% - Accent3 16 2" xfId="2285"/>
    <cellStyle name="20% - Accent3 17" xfId="2286"/>
    <cellStyle name="20% - Accent3 18" xfId="2287"/>
    <cellStyle name="20% - Accent3 19" xfId="2288"/>
    <cellStyle name="20% - Accent3 2" xfId="74"/>
    <cellStyle name="20% - Accent3 2 10" xfId="2289"/>
    <cellStyle name="20% - Accent3 2 10 2" xfId="2290"/>
    <cellStyle name="20% - Accent3 2 10 2 2" xfId="2291"/>
    <cellStyle name="20% - Accent3 2 10 3" xfId="2292"/>
    <cellStyle name="20% - Accent3 2 10 4" xfId="2293"/>
    <cellStyle name="20% - Accent3 2 11" xfId="2294"/>
    <cellStyle name="20% - Accent3 2 11 2" xfId="2295"/>
    <cellStyle name="20% - Accent3 2 11 2 2" xfId="2296"/>
    <cellStyle name="20% - Accent3 2 11 3" xfId="2297"/>
    <cellStyle name="20% - Accent3 2 12" xfId="2298"/>
    <cellStyle name="20% - Accent3 2 12 2" xfId="2299"/>
    <cellStyle name="20% - Accent3 2 13" xfId="2300"/>
    <cellStyle name="20% - Accent3 2 13 2" xfId="2301"/>
    <cellStyle name="20% - Accent3 2 14" xfId="2302"/>
    <cellStyle name="20% - Accent3 2 15" xfId="2303"/>
    <cellStyle name="20% - Accent3 2 16" xfId="2304"/>
    <cellStyle name="20% - Accent3 2 17" xfId="2305"/>
    <cellStyle name="20% - Accent3 2 18" xfId="2306"/>
    <cellStyle name="20% - Accent3 2 19" xfId="2307"/>
    <cellStyle name="20% - Accent3 2 2" xfId="75"/>
    <cellStyle name="20% - Accent3 2 2 2" xfId="2308"/>
    <cellStyle name="20% - Accent3 2 2 2 2" xfId="2309"/>
    <cellStyle name="20% - Accent3 2 2 2 2 2" xfId="2310"/>
    <cellStyle name="20% - Accent3 2 2 2 2 2 2" xfId="2311"/>
    <cellStyle name="20% - Accent3 2 2 2 2 3" xfId="2312"/>
    <cellStyle name="20% - Accent3 2 2 2 2 4" xfId="2313"/>
    <cellStyle name="20% - Accent3 2 2 2 2 5" xfId="2314"/>
    <cellStyle name="20% - Accent3 2 2 2 3" xfId="2315"/>
    <cellStyle name="20% - Accent3 2 2 2 3 2" xfId="2316"/>
    <cellStyle name="20% - Accent3 2 2 2 3 2 2" xfId="2317"/>
    <cellStyle name="20% - Accent3 2 2 2 3 3" xfId="2318"/>
    <cellStyle name="20% - Accent3 2 2 2 4" xfId="2319"/>
    <cellStyle name="20% - Accent3 2 2 2 4 2" xfId="2320"/>
    <cellStyle name="20% - Accent3 2 2 2 5" xfId="2321"/>
    <cellStyle name="20% - Accent3 2 2 2 6" xfId="2322"/>
    <cellStyle name="20% - Accent3 2 2 2 7" xfId="2323"/>
    <cellStyle name="20% - Accent3 2 2 2 8" xfId="2324"/>
    <cellStyle name="20% - Accent3 2 2 2 9" xfId="2325"/>
    <cellStyle name="20% - Accent3 2 2 3" xfId="2326"/>
    <cellStyle name="20% - Accent3 2 2 4" xfId="2327"/>
    <cellStyle name="20% - Accent3 2 2 4 2" xfId="2328"/>
    <cellStyle name="20% - Accent3 2 2 4 2 2" xfId="2329"/>
    <cellStyle name="20% - Accent3 2 2 4 3" xfId="2330"/>
    <cellStyle name="20% - Accent3 2 2 4 4" xfId="2331"/>
    <cellStyle name="20% - Accent3 2 2 5" xfId="2332"/>
    <cellStyle name="20% - Accent3 2 2 5 2" xfId="2333"/>
    <cellStyle name="20% - Accent3 2 2 5 2 2" xfId="2334"/>
    <cellStyle name="20% - Accent3 2 2 5 3" xfId="2335"/>
    <cellStyle name="20% - Accent3 2 2 6" xfId="2336"/>
    <cellStyle name="20% - Accent3 2 2 6 2" xfId="2337"/>
    <cellStyle name="20% - Accent3 2 2 7" xfId="2338"/>
    <cellStyle name="20% - Accent3 2 2 8" xfId="2339"/>
    <cellStyle name="20% - Accent3 2 3" xfId="2340"/>
    <cellStyle name="20% - Accent3 2 3 10" xfId="2341"/>
    <cellStyle name="20% - Accent3 2 3 2" xfId="2342"/>
    <cellStyle name="20% - Accent3 2 3 2 2" xfId="2343"/>
    <cellStyle name="20% - Accent3 2 3 2 2 2" xfId="2344"/>
    <cellStyle name="20% - Accent3 2 3 2 2 2 2" xfId="2345"/>
    <cellStyle name="20% - Accent3 2 3 2 2 3" xfId="2346"/>
    <cellStyle name="20% - Accent3 2 3 2 2 4" xfId="2347"/>
    <cellStyle name="20% - Accent3 2 3 2 3" xfId="2348"/>
    <cellStyle name="20% - Accent3 2 3 2 3 2" xfId="2349"/>
    <cellStyle name="20% - Accent3 2 3 2 3 2 2" xfId="2350"/>
    <cellStyle name="20% - Accent3 2 3 2 3 3" xfId="2351"/>
    <cellStyle name="20% - Accent3 2 3 2 4" xfId="2352"/>
    <cellStyle name="20% - Accent3 2 3 2 4 2" xfId="2353"/>
    <cellStyle name="20% - Accent3 2 3 2 5" xfId="2354"/>
    <cellStyle name="20% - Accent3 2 3 2 6" xfId="2355"/>
    <cellStyle name="20% - Accent3 2 3 2 7" xfId="2356"/>
    <cellStyle name="20% - Accent3 2 3 3" xfId="2357"/>
    <cellStyle name="20% - Accent3 2 3 3 2" xfId="2358"/>
    <cellStyle name="20% - Accent3 2 3 3 2 2" xfId="2359"/>
    <cellStyle name="20% - Accent3 2 3 3 3" xfId="2360"/>
    <cellStyle name="20% - Accent3 2 3 3 4" xfId="2361"/>
    <cellStyle name="20% - Accent3 2 3 3 5" xfId="2362"/>
    <cellStyle name="20% - Accent3 2 3 4" xfId="2363"/>
    <cellStyle name="20% - Accent3 2 3 4 2" xfId="2364"/>
    <cellStyle name="20% - Accent3 2 3 4 2 2" xfId="2365"/>
    <cellStyle name="20% - Accent3 2 3 4 3" xfId="2366"/>
    <cellStyle name="20% - Accent3 2 3 5" xfId="2367"/>
    <cellStyle name="20% - Accent3 2 3 5 2" xfId="2368"/>
    <cellStyle name="20% - Accent3 2 3 6" xfId="2369"/>
    <cellStyle name="20% - Accent3 2 3 7" xfId="2370"/>
    <cellStyle name="20% - Accent3 2 3 8" xfId="2371"/>
    <cellStyle name="20% - Accent3 2 3 9" xfId="2372"/>
    <cellStyle name="20% - Accent3 2 4" xfId="2373"/>
    <cellStyle name="20% - Accent3 2 4 10" xfId="2374"/>
    <cellStyle name="20% - Accent3 2 4 2" xfId="2375"/>
    <cellStyle name="20% - Accent3 2 4 2 2" xfId="2376"/>
    <cellStyle name="20% - Accent3 2 4 2 2 2" xfId="2377"/>
    <cellStyle name="20% - Accent3 2 4 2 2 2 2" xfId="2378"/>
    <cellStyle name="20% - Accent3 2 4 2 2 3" xfId="2379"/>
    <cellStyle name="20% - Accent3 2 4 2 2 4" xfId="2380"/>
    <cellStyle name="20% - Accent3 2 4 2 3" xfId="2381"/>
    <cellStyle name="20% - Accent3 2 4 2 3 2" xfId="2382"/>
    <cellStyle name="20% - Accent3 2 4 2 3 2 2" xfId="2383"/>
    <cellStyle name="20% - Accent3 2 4 2 3 3" xfId="2384"/>
    <cellStyle name="20% - Accent3 2 4 2 4" xfId="2385"/>
    <cellStyle name="20% - Accent3 2 4 2 4 2" xfId="2386"/>
    <cellStyle name="20% - Accent3 2 4 2 5" xfId="2387"/>
    <cellStyle name="20% - Accent3 2 4 2 6" xfId="2388"/>
    <cellStyle name="20% - Accent3 2 4 2 7" xfId="2389"/>
    <cellStyle name="20% - Accent3 2 4 3" xfId="2390"/>
    <cellStyle name="20% - Accent3 2 4 3 2" xfId="2391"/>
    <cellStyle name="20% - Accent3 2 4 3 2 2" xfId="2392"/>
    <cellStyle name="20% - Accent3 2 4 3 3" xfId="2393"/>
    <cellStyle name="20% - Accent3 2 4 3 4" xfId="2394"/>
    <cellStyle name="20% - Accent3 2 4 4" xfId="2395"/>
    <cellStyle name="20% - Accent3 2 4 4 2" xfId="2396"/>
    <cellStyle name="20% - Accent3 2 4 4 2 2" xfId="2397"/>
    <cellStyle name="20% - Accent3 2 4 4 3" xfId="2398"/>
    <cellStyle name="20% - Accent3 2 4 5" xfId="2399"/>
    <cellStyle name="20% - Accent3 2 4 5 2" xfId="2400"/>
    <cellStyle name="20% - Accent3 2 4 6" xfId="2401"/>
    <cellStyle name="20% - Accent3 2 4 7" xfId="2402"/>
    <cellStyle name="20% - Accent3 2 4 8" xfId="2403"/>
    <cellStyle name="20% - Accent3 2 4 9" xfId="2404"/>
    <cellStyle name="20% - Accent3 2 5" xfId="2405"/>
    <cellStyle name="20% - Accent3 2 5 10" xfId="2406"/>
    <cellStyle name="20% - Accent3 2 5 2" xfId="2407"/>
    <cellStyle name="20% - Accent3 2 5 2 2" xfId="2408"/>
    <cellStyle name="20% - Accent3 2 5 2 2 2" xfId="2409"/>
    <cellStyle name="20% - Accent3 2 5 2 2 2 2" xfId="2410"/>
    <cellStyle name="20% - Accent3 2 5 2 2 3" xfId="2411"/>
    <cellStyle name="20% - Accent3 2 5 2 2 4" xfId="2412"/>
    <cellStyle name="20% - Accent3 2 5 2 3" xfId="2413"/>
    <cellStyle name="20% - Accent3 2 5 2 3 2" xfId="2414"/>
    <cellStyle name="20% - Accent3 2 5 2 3 2 2" xfId="2415"/>
    <cellStyle name="20% - Accent3 2 5 2 3 3" xfId="2416"/>
    <cellStyle name="20% - Accent3 2 5 2 4" xfId="2417"/>
    <cellStyle name="20% - Accent3 2 5 2 4 2" xfId="2418"/>
    <cellStyle name="20% - Accent3 2 5 2 5" xfId="2419"/>
    <cellStyle name="20% - Accent3 2 5 2 6" xfId="2420"/>
    <cellStyle name="20% - Accent3 2 5 3" xfId="2421"/>
    <cellStyle name="20% - Accent3 2 5 3 2" xfId="2422"/>
    <cellStyle name="20% - Accent3 2 5 3 2 2" xfId="2423"/>
    <cellStyle name="20% - Accent3 2 5 3 3" xfId="2424"/>
    <cellStyle name="20% - Accent3 2 5 3 4" xfId="2425"/>
    <cellStyle name="20% - Accent3 2 5 4" xfId="2426"/>
    <cellStyle name="20% - Accent3 2 5 4 2" xfId="2427"/>
    <cellStyle name="20% - Accent3 2 5 4 2 2" xfId="2428"/>
    <cellStyle name="20% - Accent3 2 5 4 3" xfId="2429"/>
    <cellStyle name="20% - Accent3 2 5 5" xfId="2430"/>
    <cellStyle name="20% - Accent3 2 5 5 2" xfId="2431"/>
    <cellStyle name="20% - Accent3 2 5 6" xfId="2432"/>
    <cellStyle name="20% - Accent3 2 5 7" xfId="2433"/>
    <cellStyle name="20% - Accent3 2 5 8" xfId="2434"/>
    <cellStyle name="20% - Accent3 2 5 9" xfId="2435"/>
    <cellStyle name="20% - Accent3 2 6" xfId="2436"/>
    <cellStyle name="20% - Accent3 2 6 2" xfId="2437"/>
    <cellStyle name="20% - Accent3 2 6 2 2" xfId="2438"/>
    <cellStyle name="20% - Accent3 2 6 2 2 2" xfId="2439"/>
    <cellStyle name="20% - Accent3 2 6 2 3" xfId="2440"/>
    <cellStyle name="20% - Accent3 2 6 2 4" xfId="2441"/>
    <cellStyle name="20% - Accent3 2 6 3" xfId="2442"/>
    <cellStyle name="20% - Accent3 2 6 3 2" xfId="2443"/>
    <cellStyle name="20% - Accent3 2 6 3 2 2" xfId="2444"/>
    <cellStyle name="20% - Accent3 2 6 3 3" xfId="2445"/>
    <cellStyle name="20% - Accent3 2 6 4" xfId="2446"/>
    <cellStyle name="20% - Accent3 2 6 4 2" xfId="2447"/>
    <cellStyle name="20% - Accent3 2 6 5" xfId="2448"/>
    <cellStyle name="20% - Accent3 2 6 6" xfId="2449"/>
    <cellStyle name="20% - Accent3 2 6 7" xfId="2450"/>
    <cellStyle name="20% - Accent3 2 6 8" xfId="2451"/>
    <cellStyle name="20% - Accent3 2 7" xfId="2452"/>
    <cellStyle name="20% - Accent3 2 7 2" xfId="2453"/>
    <cellStyle name="20% - Accent3 2 7 2 2" xfId="2454"/>
    <cellStyle name="20% - Accent3 2 7 2 2 2" xfId="2455"/>
    <cellStyle name="20% - Accent3 2 7 2 3" xfId="2456"/>
    <cellStyle name="20% - Accent3 2 7 2 4" xfId="2457"/>
    <cellStyle name="20% - Accent3 2 7 3" xfId="2458"/>
    <cellStyle name="20% - Accent3 2 7 3 2" xfId="2459"/>
    <cellStyle name="20% - Accent3 2 7 3 2 2" xfId="2460"/>
    <cellStyle name="20% - Accent3 2 7 3 3" xfId="2461"/>
    <cellStyle name="20% - Accent3 2 7 4" xfId="2462"/>
    <cellStyle name="20% - Accent3 2 7 4 2" xfId="2463"/>
    <cellStyle name="20% - Accent3 2 7 5" xfId="2464"/>
    <cellStyle name="20% - Accent3 2 7 6" xfId="2465"/>
    <cellStyle name="20% - Accent3 2 7 7" xfId="2466"/>
    <cellStyle name="20% - Accent3 2 8" xfId="2467"/>
    <cellStyle name="20% - Accent3 2 8 2" xfId="2468"/>
    <cellStyle name="20% - Accent3 2 8 2 2" xfId="2469"/>
    <cellStyle name="20% - Accent3 2 8 2 2 2" xfId="2470"/>
    <cellStyle name="20% - Accent3 2 8 2 3" xfId="2471"/>
    <cellStyle name="20% - Accent3 2 8 2 4" xfId="2472"/>
    <cellStyle name="20% - Accent3 2 8 3" xfId="2473"/>
    <cellStyle name="20% - Accent3 2 8 3 2" xfId="2474"/>
    <cellStyle name="20% - Accent3 2 8 3 2 2" xfId="2475"/>
    <cellStyle name="20% - Accent3 2 8 3 3" xfId="2476"/>
    <cellStyle name="20% - Accent3 2 8 4" xfId="2477"/>
    <cellStyle name="20% - Accent3 2 8 4 2" xfId="2478"/>
    <cellStyle name="20% - Accent3 2 8 5" xfId="2479"/>
    <cellStyle name="20% - Accent3 2 8 6" xfId="2480"/>
    <cellStyle name="20% - Accent3 2 8 7" xfId="2481"/>
    <cellStyle name="20% - Accent3 2 9" xfId="2482"/>
    <cellStyle name="20% - Accent3 2 9 2" xfId="2483"/>
    <cellStyle name="20% - Accent3 2 9 2 2" xfId="2484"/>
    <cellStyle name="20% - Accent3 2 9 2 2 2" xfId="2485"/>
    <cellStyle name="20% - Accent3 2 9 2 3" xfId="2486"/>
    <cellStyle name="20% - Accent3 2 9 2 4" xfId="2487"/>
    <cellStyle name="20% - Accent3 2 9 3" xfId="2488"/>
    <cellStyle name="20% - Accent3 2 9 3 2" xfId="2489"/>
    <cellStyle name="20% - Accent3 2 9 3 2 2" xfId="2490"/>
    <cellStyle name="20% - Accent3 2 9 3 3" xfId="2491"/>
    <cellStyle name="20% - Accent3 2 9 4" xfId="2492"/>
    <cellStyle name="20% - Accent3 2 9 4 2" xfId="2493"/>
    <cellStyle name="20% - Accent3 2 9 5" xfId="2494"/>
    <cellStyle name="20% - Accent3 2 9 6" xfId="2495"/>
    <cellStyle name="20% - Accent3 2_IBP - COPI Uplift at Investment Area Level 01Feb12" xfId="49221"/>
    <cellStyle name="20% - Accent3 3" xfId="76"/>
    <cellStyle name="20% - Accent3 3 10" xfId="2496"/>
    <cellStyle name="20% - Accent3 3 10 2" xfId="2497"/>
    <cellStyle name="20% - Accent3 3 10 2 2" xfId="2498"/>
    <cellStyle name="20% - Accent3 3 10 3" xfId="2499"/>
    <cellStyle name="20% - Accent3 3 11" xfId="2500"/>
    <cellStyle name="20% - Accent3 3 11 2" xfId="2501"/>
    <cellStyle name="20% - Accent3 3 12" xfId="2502"/>
    <cellStyle name="20% - Accent3 3 12 2" xfId="2503"/>
    <cellStyle name="20% - Accent3 3 13" xfId="2504"/>
    <cellStyle name="20% - Accent3 3 14" xfId="2505"/>
    <cellStyle name="20% - Accent3 3 15" xfId="2506"/>
    <cellStyle name="20% - Accent3 3 16" xfId="2507"/>
    <cellStyle name="20% - Accent3 3 2" xfId="2508"/>
    <cellStyle name="20% - Accent3 3 2 10" xfId="2509"/>
    <cellStyle name="20% - Accent3 3 2 2" xfId="2510"/>
    <cellStyle name="20% - Accent3 3 2 2 2" xfId="2511"/>
    <cellStyle name="20% - Accent3 3 2 2 2 2" xfId="2512"/>
    <cellStyle name="20% - Accent3 3 2 2 2 2 2" xfId="2513"/>
    <cellStyle name="20% - Accent3 3 2 2 2 3" xfId="2514"/>
    <cellStyle name="20% - Accent3 3 2 2 2 4" xfId="2515"/>
    <cellStyle name="20% - Accent3 3 2 2 3" xfId="2516"/>
    <cellStyle name="20% - Accent3 3 2 2 3 2" xfId="2517"/>
    <cellStyle name="20% - Accent3 3 2 2 3 2 2" xfId="2518"/>
    <cellStyle name="20% - Accent3 3 2 2 3 3" xfId="2519"/>
    <cellStyle name="20% - Accent3 3 2 2 4" xfId="2520"/>
    <cellStyle name="20% - Accent3 3 2 2 4 2" xfId="2521"/>
    <cellStyle name="20% - Accent3 3 2 2 5" xfId="2522"/>
    <cellStyle name="20% - Accent3 3 2 2 6" xfId="2523"/>
    <cellStyle name="20% - Accent3 3 2 2 7" xfId="2524"/>
    <cellStyle name="20% - Accent3 3 2 3" xfId="2525"/>
    <cellStyle name="20% - Accent3 3 2 3 2" xfId="2526"/>
    <cellStyle name="20% - Accent3 3 2 3 2 2" xfId="2527"/>
    <cellStyle name="20% - Accent3 3 2 3 3" xfId="2528"/>
    <cellStyle name="20% - Accent3 3 2 3 4" xfId="2529"/>
    <cellStyle name="20% - Accent3 3 2 3 5" xfId="2530"/>
    <cellStyle name="20% - Accent3 3 2 4" xfId="2531"/>
    <cellStyle name="20% - Accent3 3 2 4 2" xfId="2532"/>
    <cellStyle name="20% - Accent3 3 2 4 2 2" xfId="2533"/>
    <cellStyle name="20% - Accent3 3 2 4 3" xfId="2534"/>
    <cellStyle name="20% - Accent3 3 2 5" xfId="2535"/>
    <cellStyle name="20% - Accent3 3 2 5 2" xfId="2536"/>
    <cellStyle name="20% - Accent3 3 2 6" xfId="2537"/>
    <cellStyle name="20% - Accent3 3 2 7" xfId="2538"/>
    <cellStyle name="20% - Accent3 3 2 8" xfId="2539"/>
    <cellStyle name="20% - Accent3 3 2 9" xfId="2540"/>
    <cellStyle name="20% - Accent3 3 3" xfId="2541"/>
    <cellStyle name="20% - Accent3 3 3 2" xfId="2542"/>
    <cellStyle name="20% - Accent3 3 3 2 2" xfId="2543"/>
    <cellStyle name="20% - Accent3 3 3 2 2 2" xfId="2544"/>
    <cellStyle name="20% - Accent3 3 3 2 2 2 2" xfId="2545"/>
    <cellStyle name="20% - Accent3 3 3 2 2 3" xfId="2546"/>
    <cellStyle name="20% - Accent3 3 3 2 2 4" xfId="2547"/>
    <cellStyle name="20% - Accent3 3 3 2 3" xfId="2548"/>
    <cellStyle name="20% - Accent3 3 3 2 3 2" xfId="2549"/>
    <cellStyle name="20% - Accent3 3 3 2 3 2 2" xfId="2550"/>
    <cellStyle name="20% - Accent3 3 3 2 3 3" xfId="2551"/>
    <cellStyle name="20% - Accent3 3 3 2 4" xfId="2552"/>
    <cellStyle name="20% - Accent3 3 3 2 4 2" xfId="2553"/>
    <cellStyle name="20% - Accent3 3 3 2 5" xfId="2554"/>
    <cellStyle name="20% - Accent3 3 3 2 6" xfId="2555"/>
    <cellStyle name="20% - Accent3 3 3 3" xfId="2556"/>
    <cellStyle name="20% - Accent3 3 3 3 2" xfId="2557"/>
    <cellStyle name="20% - Accent3 3 3 3 2 2" xfId="2558"/>
    <cellStyle name="20% - Accent3 3 3 3 3" xfId="2559"/>
    <cellStyle name="20% - Accent3 3 3 3 4" xfId="2560"/>
    <cellStyle name="20% - Accent3 3 3 4" xfId="2561"/>
    <cellStyle name="20% - Accent3 3 3 4 2" xfId="2562"/>
    <cellStyle name="20% - Accent3 3 3 4 2 2" xfId="2563"/>
    <cellStyle name="20% - Accent3 3 3 4 3" xfId="2564"/>
    <cellStyle name="20% - Accent3 3 3 5" xfId="2565"/>
    <cellStyle name="20% - Accent3 3 3 5 2" xfId="2566"/>
    <cellStyle name="20% - Accent3 3 3 6" xfId="2567"/>
    <cellStyle name="20% - Accent3 3 3 7" xfId="2568"/>
    <cellStyle name="20% - Accent3 3 3 8" xfId="2569"/>
    <cellStyle name="20% - Accent3 3 3 9" xfId="2570"/>
    <cellStyle name="20% - Accent3 3 4" xfId="2571"/>
    <cellStyle name="20% - Accent3 3 4 2" xfId="2572"/>
    <cellStyle name="20% - Accent3 3 4 2 2" xfId="2573"/>
    <cellStyle name="20% - Accent3 3 4 2 2 2" xfId="2574"/>
    <cellStyle name="20% - Accent3 3 4 2 2 2 2" xfId="2575"/>
    <cellStyle name="20% - Accent3 3 4 2 2 3" xfId="2576"/>
    <cellStyle name="20% - Accent3 3 4 2 2 4" xfId="2577"/>
    <cellStyle name="20% - Accent3 3 4 2 3" xfId="2578"/>
    <cellStyle name="20% - Accent3 3 4 2 3 2" xfId="2579"/>
    <cellStyle name="20% - Accent3 3 4 2 3 2 2" xfId="2580"/>
    <cellStyle name="20% - Accent3 3 4 2 3 3" xfId="2581"/>
    <cellStyle name="20% - Accent3 3 4 2 4" xfId="2582"/>
    <cellStyle name="20% - Accent3 3 4 2 4 2" xfId="2583"/>
    <cellStyle name="20% - Accent3 3 4 2 5" xfId="2584"/>
    <cellStyle name="20% - Accent3 3 4 2 6" xfId="2585"/>
    <cellStyle name="20% - Accent3 3 4 3" xfId="2586"/>
    <cellStyle name="20% - Accent3 3 4 3 2" xfId="2587"/>
    <cellStyle name="20% - Accent3 3 4 3 2 2" xfId="2588"/>
    <cellStyle name="20% - Accent3 3 4 3 3" xfId="2589"/>
    <cellStyle name="20% - Accent3 3 4 3 4" xfId="2590"/>
    <cellStyle name="20% - Accent3 3 4 4" xfId="2591"/>
    <cellStyle name="20% - Accent3 3 4 4 2" xfId="2592"/>
    <cellStyle name="20% - Accent3 3 4 4 2 2" xfId="2593"/>
    <cellStyle name="20% - Accent3 3 4 4 3" xfId="2594"/>
    <cellStyle name="20% - Accent3 3 4 5" xfId="2595"/>
    <cellStyle name="20% - Accent3 3 4 5 2" xfId="2596"/>
    <cellStyle name="20% - Accent3 3 4 6" xfId="2597"/>
    <cellStyle name="20% - Accent3 3 4 7" xfId="2598"/>
    <cellStyle name="20% - Accent3 3 4 8" xfId="2599"/>
    <cellStyle name="20% - Accent3 3 5" xfId="2600"/>
    <cellStyle name="20% - Accent3 3 5 2" xfId="2601"/>
    <cellStyle name="20% - Accent3 3 5 2 2" xfId="2602"/>
    <cellStyle name="20% - Accent3 3 5 2 2 2" xfId="2603"/>
    <cellStyle name="20% - Accent3 3 5 2 3" xfId="2604"/>
    <cellStyle name="20% - Accent3 3 5 2 4" xfId="2605"/>
    <cellStyle name="20% - Accent3 3 5 3" xfId="2606"/>
    <cellStyle name="20% - Accent3 3 5 3 2" xfId="2607"/>
    <cellStyle name="20% - Accent3 3 5 3 2 2" xfId="2608"/>
    <cellStyle name="20% - Accent3 3 5 3 3" xfId="2609"/>
    <cellStyle name="20% - Accent3 3 5 4" xfId="2610"/>
    <cellStyle name="20% - Accent3 3 5 4 2" xfId="2611"/>
    <cellStyle name="20% - Accent3 3 5 5" xfId="2612"/>
    <cellStyle name="20% - Accent3 3 5 6" xfId="2613"/>
    <cellStyle name="20% - Accent3 3 5 7" xfId="2614"/>
    <cellStyle name="20% - Accent3 3 6" xfId="2615"/>
    <cellStyle name="20% - Accent3 3 6 2" xfId="2616"/>
    <cellStyle name="20% - Accent3 3 6 2 2" xfId="2617"/>
    <cellStyle name="20% - Accent3 3 6 2 2 2" xfId="2618"/>
    <cellStyle name="20% - Accent3 3 6 2 3" xfId="2619"/>
    <cellStyle name="20% - Accent3 3 6 2 4" xfId="2620"/>
    <cellStyle name="20% - Accent3 3 6 3" xfId="2621"/>
    <cellStyle name="20% - Accent3 3 6 3 2" xfId="2622"/>
    <cellStyle name="20% - Accent3 3 6 3 2 2" xfId="2623"/>
    <cellStyle name="20% - Accent3 3 6 3 3" xfId="2624"/>
    <cellStyle name="20% - Accent3 3 6 4" xfId="2625"/>
    <cellStyle name="20% - Accent3 3 6 4 2" xfId="2626"/>
    <cellStyle name="20% - Accent3 3 6 5" xfId="2627"/>
    <cellStyle name="20% - Accent3 3 6 6" xfId="2628"/>
    <cellStyle name="20% - Accent3 3 6 7" xfId="2629"/>
    <cellStyle name="20% - Accent3 3 7" xfId="2630"/>
    <cellStyle name="20% - Accent3 3 7 2" xfId="2631"/>
    <cellStyle name="20% - Accent3 3 7 2 2" xfId="2632"/>
    <cellStyle name="20% - Accent3 3 7 2 2 2" xfId="2633"/>
    <cellStyle name="20% - Accent3 3 7 2 3" xfId="2634"/>
    <cellStyle name="20% - Accent3 3 7 2 4" xfId="2635"/>
    <cellStyle name="20% - Accent3 3 7 3" xfId="2636"/>
    <cellStyle name="20% - Accent3 3 7 3 2" xfId="2637"/>
    <cellStyle name="20% - Accent3 3 7 3 2 2" xfId="2638"/>
    <cellStyle name="20% - Accent3 3 7 3 3" xfId="2639"/>
    <cellStyle name="20% - Accent3 3 7 4" xfId="2640"/>
    <cellStyle name="20% - Accent3 3 7 4 2" xfId="2641"/>
    <cellStyle name="20% - Accent3 3 7 5" xfId="2642"/>
    <cellStyle name="20% - Accent3 3 7 6" xfId="2643"/>
    <cellStyle name="20% - Accent3 3 7 7" xfId="2644"/>
    <cellStyle name="20% - Accent3 3 8" xfId="2645"/>
    <cellStyle name="20% - Accent3 3 8 2" xfId="2646"/>
    <cellStyle name="20% - Accent3 3 8 2 2" xfId="2647"/>
    <cellStyle name="20% - Accent3 3 8 2 2 2" xfId="2648"/>
    <cellStyle name="20% - Accent3 3 8 2 3" xfId="2649"/>
    <cellStyle name="20% - Accent3 3 8 2 4" xfId="2650"/>
    <cellStyle name="20% - Accent3 3 8 3" xfId="2651"/>
    <cellStyle name="20% - Accent3 3 8 3 2" xfId="2652"/>
    <cellStyle name="20% - Accent3 3 8 3 2 2" xfId="2653"/>
    <cellStyle name="20% - Accent3 3 8 3 3" xfId="2654"/>
    <cellStyle name="20% - Accent3 3 8 4" xfId="2655"/>
    <cellStyle name="20% - Accent3 3 8 4 2" xfId="2656"/>
    <cellStyle name="20% - Accent3 3 8 5" xfId="2657"/>
    <cellStyle name="20% - Accent3 3 8 6" xfId="2658"/>
    <cellStyle name="20% - Accent3 3 9" xfId="2659"/>
    <cellStyle name="20% - Accent3 3 9 2" xfId="2660"/>
    <cellStyle name="20% - Accent3 3 9 2 2" xfId="2661"/>
    <cellStyle name="20% - Accent3 3 9 3" xfId="2662"/>
    <cellStyle name="20% - Accent3 3 9 4" xfId="2663"/>
    <cellStyle name="20% - Accent3 3_IBP - COPI Uplift at Investment Area Level 01Feb12" xfId="49222"/>
    <cellStyle name="20% - Accent3 4" xfId="2664"/>
    <cellStyle name="20% - Accent3 4 10" xfId="2665"/>
    <cellStyle name="20% - Accent3 4 2" xfId="2666"/>
    <cellStyle name="20% - Accent3 4 2 2" xfId="2667"/>
    <cellStyle name="20% - Accent3 4 2 2 2" xfId="2668"/>
    <cellStyle name="20% - Accent3 4 2 2 2 2" xfId="2669"/>
    <cellStyle name="20% - Accent3 4 2 2 3" xfId="2670"/>
    <cellStyle name="20% - Accent3 4 2 2 4" xfId="2671"/>
    <cellStyle name="20% - Accent3 4 2 3" xfId="2672"/>
    <cellStyle name="20% - Accent3 4 2 3 2" xfId="2673"/>
    <cellStyle name="20% - Accent3 4 2 3 2 2" xfId="2674"/>
    <cellStyle name="20% - Accent3 4 2 3 3" xfId="2675"/>
    <cellStyle name="20% - Accent3 4 2 4" xfId="2676"/>
    <cellStyle name="20% - Accent3 4 2 4 2" xfId="2677"/>
    <cellStyle name="20% - Accent3 4 2 5" xfId="2678"/>
    <cellStyle name="20% - Accent3 4 2 6" xfId="2679"/>
    <cellStyle name="20% - Accent3 4 2 7" xfId="2680"/>
    <cellStyle name="20% - Accent3 4 3" xfId="2681"/>
    <cellStyle name="20% - Accent3 4 3 2" xfId="2682"/>
    <cellStyle name="20% - Accent3 4 3 2 2" xfId="2683"/>
    <cellStyle name="20% - Accent3 4 3 3" xfId="2684"/>
    <cellStyle name="20% - Accent3 4 3 4" xfId="2685"/>
    <cellStyle name="20% - Accent3 4 3 5" xfId="2686"/>
    <cellStyle name="20% - Accent3 4 4" xfId="2687"/>
    <cellStyle name="20% - Accent3 4 4 2" xfId="2688"/>
    <cellStyle name="20% - Accent3 4 4 2 2" xfId="2689"/>
    <cellStyle name="20% - Accent3 4 4 3" xfId="2690"/>
    <cellStyle name="20% - Accent3 4 5" xfId="2691"/>
    <cellStyle name="20% - Accent3 4 5 2" xfId="2692"/>
    <cellStyle name="20% - Accent3 4 6" xfId="2693"/>
    <cellStyle name="20% - Accent3 4 7" xfId="2694"/>
    <cellStyle name="20% - Accent3 4 8" xfId="2695"/>
    <cellStyle name="20% - Accent3 4 9" xfId="2696"/>
    <cellStyle name="20% - Accent3 5" xfId="2697"/>
    <cellStyle name="20% - Accent3 5 2" xfId="2698"/>
    <cellStyle name="20% - Accent3 5 2 2" xfId="2699"/>
    <cellStyle name="20% - Accent3 5 2 2 2" xfId="2700"/>
    <cellStyle name="20% - Accent3 5 2 2 2 2" xfId="2701"/>
    <cellStyle name="20% - Accent3 5 2 2 3" xfId="2702"/>
    <cellStyle name="20% - Accent3 5 2 2 4" xfId="2703"/>
    <cellStyle name="20% - Accent3 5 2 3" xfId="2704"/>
    <cellStyle name="20% - Accent3 5 2 3 2" xfId="2705"/>
    <cellStyle name="20% - Accent3 5 2 3 2 2" xfId="2706"/>
    <cellStyle name="20% - Accent3 5 2 3 3" xfId="2707"/>
    <cellStyle name="20% - Accent3 5 2 4" xfId="2708"/>
    <cellStyle name="20% - Accent3 5 2 4 2" xfId="2709"/>
    <cellStyle name="20% - Accent3 5 2 5" xfId="2710"/>
    <cellStyle name="20% - Accent3 5 2 6" xfId="2711"/>
    <cellStyle name="20% - Accent3 5 3" xfId="2712"/>
    <cellStyle name="20% - Accent3 5 3 2" xfId="2713"/>
    <cellStyle name="20% - Accent3 5 3 2 2" xfId="2714"/>
    <cellStyle name="20% - Accent3 5 3 3" xfId="2715"/>
    <cellStyle name="20% - Accent3 5 3 4" xfId="2716"/>
    <cellStyle name="20% - Accent3 5 4" xfId="2717"/>
    <cellStyle name="20% - Accent3 5 4 2" xfId="2718"/>
    <cellStyle name="20% - Accent3 5 4 2 2" xfId="2719"/>
    <cellStyle name="20% - Accent3 5 4 3" xfId="2720"/>
    <cellStyle name="20% - Accent3 5 5" xfId="2721"/>
    <cellStyle name="20% - Accent3 5 5 2" xfId="2722"/>
    <cellStyle name="20% - Accent3 5 6" xfId="2723"/>
    <cellStyle name="20% - Accent3 5 7" xfId="2724"/>
    <cellStyle name="20% - Accent3 5 8" xfId="2725"/>
    <cellStyle name="20% - Accent3 5 9" xfId="2726"/>
    <cellStyle name="20% - Accent3 6" xfId="2727"/>
    <cellStyle name="20% - Accent3 6 2" xfId="2728"/>
    <cellStyle name="20% - Accent3 6 2 2" xfId="2729"/>
    <cellStyle name="20% - Accent3 6 2 2 2" xfId="2730"/>
    <cellStyle name="20% - Accent3 6 2 2 2 2" xfId="2731"/>
    <cellStyle name="20% - Accent3 6 2 2 3" xfId="2732"/>
    <cellStyle name="20% - Accent3 6 2 2 4" xfId="2733"/>
    <cellStyle name="20% - Accent3 6 2 3" xfId="2734"/>
    <cellStyle name="20% - Accent3 6 2 3 2" xfId="2735"/>
    <cellStyle name="20% - Accent3 6 2 3 2 2" xfId="2736"/>
    <cellStyle name="20% - Accent3 6 2 3 3" xfId="2737"/>
    <cellStyle name="20% - Accent3 6 2 4" xfId="2738"/>
    <cellStyle name="20% - Accent3 6 2 4 2" xfId="2739"/>
    <cellStyle name="20% - Accent3 6 2 5" xfId="2740"/>
    <cellStyle name="20% - Accent3 6 2 6" xfId="2741"/>
    <cellStyle name="20% - Accent3 6 3" xfId="2742"/>
    <cellStyle name="20% - Accent3 6 3 2" xfId="2743"/>
    <cellStyle name="20% - Accent3 6 3 2 2" xfId="2744"/>
    <cellStyle name="20% - Accent3 6 3 3" xfId="2745"/>
    <cellStyle name="20% - Accent3 6 3 4" xfId="2746"/>
    <cellStyle name="20% - Accent3 6 4" xfId="2747"/>
    <cellStyle name="20% - Accent3 6 4 2" xfId="2748"/>
    <cellStyle name="20% - Accent3 6 4 2 2" xfId="2749"/>
    <cellStyle name="20% - Accent3 6 4 3" xfId="2750"/>
    <cellStyle name="20% - Accent3 6 5" xfId="2751"/>
    <cellStyle name="20% - Accent3 6 5 2" xfId="2752"/>
    <cellStyle name="20% - Accent3 6 6" xfId="2753"/>
    <cellStyle name="20% - Accent3 6 7" xfId="2754"/>
    <cellStyle name="20% - Accent3 6 8" xfId="2755"/>
    <cellStyle name="20% - Accent3 7" xfId="2756"/>
    <cellStyle name="20% - Accent3 7 2" xfId="2757"/>
    <cellStyle name="20% - Accent3 7 2 2" xfId="2758"/>
    <cellStyle name="20% - Accent3 7 2 2 2" xfId="2759"/>
    <cellStyle name="20% - Accent3 7 2 2 2 2" xfId="2760"/>
    <cellStyle name="20% - Accent3 7 2 2 3" xfId="2761"/>
    <cellStyle name="20% - Accent3 7 2 2 4" xfId="2762"/>
    <cellStyle name="20% - Accent3 7 2 3" xfId="2763"/>
    <cellStyle name="20% - Accent3 7 2 3 2" xfId="2764"/>
    <cellStyle name="20% - Accent3 7 2 3 2 2" xfId="2765"/>
    <cellStyle name="20% - Accent3 7 2 3 3" xfId="2766"/>
    <cellStyle name="20% - Accent3 7 2 4" xfId="2767"/>
    <cellStyle name="20% - Accent3 7 2 4 2" xfId="2768"/>
    <cellStyle name="20% - Accent3 7 2 5" xfId="2769"/>
    <cellStyle name="20% - Accent3 7 2 6" xfId="2770"/>
    <cellStyle name="20% - Accent3 7 3" xfId="2771"/>
    <cellStyle name="20% - Accent3 7 3 2" xfId="2772"/>
    <cellStyle name="20% - Accent3 7 3 2 2" xfId="2773"/>
    <cellStyle name="20% - Accent3 7 3 3" xfId="2774"/>
    <cellStyle name="20% - Accent3 7 3 4" xfId="2775"/>
    <cellStyle name="20% - Accent3 7 4" xfId="2776"/>
    <cellStyle name="20% - Accent3 7 4 2" xfId="2777"/>
    <cellStyle name="20% - Accent3 7 4 2 2" xfId="2778"/>
    <cellStyle name="20% - Accent3 7 4 3" xfId="2779"/>
    <cellStyle name="20% - Accent3 7 5" xfId="2780"/>
    <cellStyle name="20% - Accent3 7 5 2" xfId="2781"/>
    <cellStyle name="20% - Accent3 7 6" xfId="2782"/>
    <cellStyle name="20% - Accent3 7 7" xfId="2783"/>
    <cellStyle name="20% - Accent3 7 8" xfId="2784"/>
    <cellStyle name="20% - Accent3 8" xfId="2785"/>
    <cellStyle name="20% - Accent3 8 2" xfId="2786"/>
    <cellStyle name="20% - Accent3 8 2 2" xfId="2787"/>
    <cellStyle name="20% - Accent3 8 2 2 2" xfId="2788"/>
    <cellStyle name="20% - Accent3 8 2 3" xfId="2789"/>
    <cellStyle name="20% - Accent3 8 2 4" xfId="2790"/>
    <cellStyle name="20% - Accent3 8 3" xfId="2791"/>
    <cellStyle name="20% - Accent3 8 3 2" xfId="2792"/>
    <cellStyle name="20% - Accent3 8 3 2 2" xfId="2793"/>
    <cellStyle name="20% - Accent3 8 3 3" xfId="2794"/>
    <cellStyle name="20% - Accent3 8 4" xfId="2795"/>
    <cellStyle name="20% - Accent3 8 4 2" xfId="2796"/>
    <cellStyle name="20% - Accent3 8 5" xfId="2797"/>
    <cellStyle name="20% - Accent3 8 6" xfId="2798"/>
    <cellStyle name="20% - Accent3 8 7" xfId="2799"/>
    <cellStyle name="20% - Accent3 9" xfId="2800"/>
    <cellStyle name="20% - Accent3 9 2" xfId="2801"/>
    <cellStyle name="20% - Accent3 9 2 2" xfId="2802"/>
    <cellStyle name="20% - Accent3 9 2 2 2" xfId="2803"/>
    <cellStyle name="20% - Accent3 9 2 3" xfId="2804"/>
    <cellStyle name="20% - Accent3 9 2 4" xfId="2805"/>
    <cellStyle name="20% - Accent3 9 3" xfId="2806"/>
    <cellStyle name="20% - Accent3 9 3 2" xfId="2807"/>
    <cellStyle name="20% - Accent3 9 3 2 2" xfId="2808"/>
    <cellStyle name="20% - Accent3 9 3 3" xfId="2809"/>
    <cellStyle name="20% - Accent3 9 4" xfId="2810"/>
    <cellStyle name="20% - Accent3 9 4 2" xfId="2811"/>
    <cellStyle name="20% - Accent3 9 5" xfId="2812"/>
    <cellStyle name="20% - Accent3 9 6" xfId="2813"/>
    <cellStyle name="20% - Accent3 9 7" xfId="2814"/>
    <cellStyle name="20% - Accent4" xfId="4" builtinId="42" customBuiltin="1"/>
    <cellStyle name="20% - Accent4 10" xfId="2815"/>
    <cellStyle name="20% - Accent4 10 2" xfId="2816"/>
    <cellStyle name="20% - Accent4 10 2 2" xfId="2817"/>
    <cellStyle name="20% - Accent4 10 2 2 2" xfId="2818"/>
    <cellStyle name="20% - Accent4 10 2 3" xfId="2819"/>
    <cellStyle name="20% - Accent4 10 2 4" xfId="2820"/>
    <cellStyle name="20% - Accent4 10 3" xfId="2821"/>
    <cellStyle name="20% - Accent4 10 3 2" xfId="2822"/>
    <cellStyle name="20% - Accent4 10 3 2 2" xfId="2823"/>
    <cellStyle name="20% - Accent4 10 3 3" xfId="2824"/>
    <cellStyle name="20% - Accent4 10 4" xfId="2825"/>
    <cellStyle name="20% - Accent4 10 4 2" xfId="2826"/>
    <cellStyle name="20% - Accent4 10 5" xfId="2827"/>
    <cellStyle name="20% - Accent4 10 6" xfId="2828"/>
    <cellStyle name="20% - Accent4 10 7" xfId="2829"/>
    <cellStyle name="20% - Accent4 11" xfId="2830"/>
    <cellStyle name="20% - Accent4 11 2" xfId="2831"/>
    <cellStyle name="20% - Accent4 11 2 2" xfId="2832"/>
    <cellStyle name="20% - Accent4 11 2 2 2" xfId="2833"/>
    <cellStyle name="20% - Accent4 11 2 3" xfId="2834"/>
    <cellStyle name="20% - Accent4 11 2 4" xfId="2835"/>
    <cellStyle name="20% - Accent4 11 3" xfId="2836"/>
    <cellStyle name="20% - Accent4 11 3 2" xfId="2837"/>
    <cellStyle name="20% - Accent4 11 3 2 2" xfId="2838"/>
    <cellStyle name="20% - Accent4 11 3 3" xfId="2839"/>
    <cellStyle name="20% - Accent4 11 4" xfId="2840"/>
    <cellStyle name="20% - Accent4 11 4 2" xfId="2841"/>
    <cellStyle name="20% - Accent4 11 5" xfId="2842"/>
    <cellStyle name="20% - Accent4 11 6" xfId="2843"/>
    <cellStyle name="20% - Accent4 11 7" xfId="2844"/>
    <cellStyle name="20% - Accent4 12" xfId="2845"/>
    <cellStyle name="20% - Accent4 12 2" xfId="2846"/>
    <cellStyle name="20% - Accent4 12 2 2" xfId="2847"/>
    <cellStyle name="20% - Accent4 12 3" xfId="2848"/>
    <cellStyle name="20% - Accent4 12 4" xfId="2849"/>
    <cellStyle name="20% - Accent4 13" xfId="2850"/>
    <cellStyle name="20% - Accent4 13 2" xfId="2851"/>
    <cellStyle name="20% - Accent4 13 2 2" xfId="2852"/>
    <cellStyle name="20% - Accent4 13 3" xfId="2853"/>
    <cellStyle name="20% - Accent4 14" xfId="2854"/>
    <cellStyle name="20% - Accent4 14 2" xfId="2855"/>
    <cellStyle name="20% - Accent4 15" xfId="2856"/>
    <cellStyle name="20% - Accent4 15 2" xfId="2857"/>
    <cellStyle name="20% - Accent4 16" xfId="2858"/>
    <cellStyle name="20% - Accent4 16 2" xfId="2859"/>
    <cellStyle name="20% - Accent4 17" xfId="2860"/>
    <cellStyle name="20% - Accent4 18" xfId="2861"/>
    <cellStyle name="20% - Accent4 19" xfId="2862"/>
    <cellStyle name="20% - Accent4 2" xfId="77"/>
    <cellStyle name="20% - Accent4 2 10" xfId="2863"/>
    <cellStyle name="20% - Accent4 2 10 2" xfId="2864"/>
    <cellStyle name="20% - Accent4 2 10 2 2" xfId="2865"/>
    <cellStyle name="20% - Accent4 2 10 3" xfId="2866"/>
    <cellStyle name="20% - Accent4 2 10 4" xfId="2867"/>
    <cellStyle name="20% - Accent4 2 11" xfId="2868"/>
    <cellStyle name="20% - Accent4 2 11 2" xfId="2869"/>
    <cellStyle name="20% - Accent4 2 11 2 2" xfId="2870"/>
    <cellStyle name="20% - Accent4 2 11 3" xfId="2871"/>
    <cellStyle name="20% - Accent4 2 12" xfId="2872"/>
    <cellStyle name="20% - Accent4 2 12 2" xfId="2873"/>
    <cellStyle name="20% - Accent4 2 13" xfId="2874"/>
    <cellStyle name="20% - Accent4 2 13 2" xfId="2875"/>
    <cellStyle name="20% - Accent4 2 14" xfId="2876"/>
    <cellStyle name="20% - Accent4 2 15" xfId="2877"/>
    <cellStyle name="20% - Accent4 2 16" xfId="2878"/>
    <cellStyle name="20% - Accent4 2 17" xfId="2879"/>
    <cellStyle name="20% - Accent4 2 18" xfId="2880"/>
    <cellStyle name="20% - Accent4 2 2" xfId="78"/>
    <cellStyle name="20% - Accent4 2 2 2" xfId="2881"/>
    <cellStyle name="20% - Accent4 2 2 2 2" xfId="2882"/>
    <cellStyle name="20% - Accent4 2 2 2 2 2" xfId="2883"/>
    <cellStyle name="20% - Accent4 2 2 2 2 2 2" xfId="2884"/>
    <cellStyle name="20% - Accent4 2 2 2 2 3" xfId="2885"/>
    <cellStyle name="20% - Accent4 2 2 2 2 4" xfId="2886"/>
    <cellStyle name="20% - Accent4 2 2 2 2 5" xfId="2887"/>
    <cellStyle name="20% - Accent4 2 2 2 3" xfId="2888"/>
    <cellStyle name="20% - Accent4 2 2 2 3 2" xfId="2889"/>
    <cellStyle name="20% - Accent4 2 2 2 3 2 2" xfId="2890"/>
    <cellStyle name="20% - Accent4 2 2 2 3 3" xfId="2891"/>
    <cellStyle name="20% - Accent4 2 2 2 4" xfId="2892"/>
    <cellStyle name="20% - Accent4 2 2 2 4 2" xfId="2893"/>
    <cellStyle name="20% - Accent4 2 2 2 5" xfId="2894"/>
    <cellStyle name="20% - Accent4 2 2 2 6" xfId="2895"/>
    <cellStyle name="20% - Accent4 2 2 2 7" xfId="2896"/>
    <cellStyle name="20% - Accent4 2 2 2 8" xfId="2897"/>
    <cellStyle name="20% - Accent4 2 2 2 9" xfId="2898"/>
    <cellStyle name="20% - Accent4 2 2 3" xfId="2899"/>
    <cellStyle name="20% - Accent4 2 2 4" xfId="2900"/>
    <cellStyle name="20% - Accent4 2 2 4 2" xfId="2901"/>
    <cellStyle name="20% - Accent4 2 2 4 2 2" xfId="2902"/>
    <cellStyle name="20% - Accent4 2 2 4 3" xfId="2903"/>
    <cellStyle name="20% - Accent4 2 2 4 4" xfId="2904"/>
    <cellStyle name="20% - Accent4 2 2 5" xfId="2905"/>
    <cellStyle name="20% - Accent4 2 2 5 2" xfId="2906"/>
    <cellStyle name="20% - Accent4 2 2 5 2 2" xfId="2907"/>
    <cellStyle name="20% - Accent4 2 2 5 3" xfId="2908"/>
    <cellStyle name="20% - Accent4 2 2 6" xfId="2909"/>
    <cellStyle name="20% - Accent4 2 2 6 2" xfId="2910"/>
    <cellStyle name="20% - Accent4 2 2 7" xfId="2911"/>
    <cellStyle name="20% - Accent4 2 2 8" xfId="2912"/>
    <cellStyle name="20% - Accent4 2 3" xfId="2913"/>
    <cellStyle name="20% - Accent4 2 3 10" xfId="2914"/>
    <cellStyle name="20% - Accent4 2 3 2" xfId="2915"/>
    <cellStyle name="20% - Accent4 2 3 2 2" xfId="2916"/>
    <cellStyle name="20% - Accent4 2 3 2 2 2" xfId="2917"/>
    <cellStyle name="20% - Accent4 2 3 2 2 2 2" xfId="2918"/>
    <cellStyle name="20% - Accent4 2 3 2 2 3" xfId="2919"/>
    <cellStyle name="20% - Accent4 2 3 2 2 4" xfId="2920"/>
    <cellStyle name="20% - Accent4 2 3 2 3" xfId="2921"/>
    <cellStyle name="20% - Accent4 2 3 2 3 2" xfId="2922"/>
    <cellStyle name="20% - Accent4 2 3 2 3 2 2" xfId="2923"/>
    <cellStyle name="20% - Accent4 2 3 2 3 3" xfId="2924"/>
    <cellStyle name="20% - Accent4 2 3 2 4" xfId="2925"/>
    <cellStyle name="20% - Accent4 2 3 2 4 2" xfId="2926"/>
    <cellStyle name="20% - Accent4 2 3 2 5" xfId="2927"/>
    <cellStyle name="20% - Accent4 2 3 2 6" xfId="2928"/>
    <cellStyle name="20% - Accent4 2 3 2 7" xfId="2929"/>
    <cellStyle name="20% - Accent4 2 3 3" xfId="2930"/>
    <cellStyle name="20% - Accent4 2 3 3 2" xfId="2931"/>
    <cellStyle name="20% - Accent4 2 3 3 2 2" xfId="2932"/>
    <cellStyle name="20% - Accent4 2 3 3 3" xfId="2933"/>
    <cellStyle name="20% - Accent4 2 3 3 4" xfId="2934"/>
    <cellStyle name="20% - Accent4 2 3 3 5" xfId="2935"/>
    <cellStyle name="20% - Accent4 2 3 4" xfId="2936"/>
    <cellStyle name="20% - Accent4 2 3 4 2" xfId="2937"/>
    <cellStyle name="20% - Accent4 2 3 4 2 2" xfId="2938"/>
    <cellStyle name="20% - Accent4 2 3 4 3" xfId="2939"/>
    <cellStyle name="20% - Accent4 2 3 5" xfId="2940"/>
    <cellStyle name="20% - Accent4 2 3 5 2" xfId="2941"/>
    <cellStyle name="20% - Accent4 2 3 6" xfId="2942"/>
    <cellStyle name="20% - Accent4 2 3 7" xfId="2943"/>
    <cellStyle name="20% - Accent4 2 3 8" xfId="2944"/>
    <cellStyle name="20% - Accent4 2 3 9" xfId="2945"/>
    <cellStyle name="20% - Accent4 2 4" xfId="2946"/>
    <cellStyle name="20% - Accent4 2 4 10" xfId="2947"/>
    <cellStyle name="20% - Accent4 2 4 2" xfId="2948"/>
    <cellStyle name="20% - Accent4 2 4 2 2" xfId="2949"/>
    <cellStyle name="20% - Accent4 2 4 2 2 2" xfId="2950"/>
    <cellStyle name="20% - Accent4 2 4 2 2 2 2" xfId="2951"/>
    <cellStyle name="20% - Accent4 2 4 2 2 3" xfId="2952"/>
    <cellStyle name="20% - Accent4 2 4 2 2 4" xfId="2953"/>
    <cellStyle name="20% - Accent4 2 4 2 3" xfId="2954"/>
    <cellStyle name="20% - Accent4 2 4 2 3 2" xfId="2955"/>
    <cellStyle name="20% - Accent4 2 4 2 3 2 2" xfId="2956"/>
    <cellStyle name="20% - Accent4 2 4 2 3 3" xfId="2957"/>
    <cellStyle name="20% - Accent4 2 4 2 4" xfId="2958"/>
    <cellStyle name="20% - Accent4 2 4 2 4 2" xfId="2959"/>
    <cellStyle name="20% - Accent4 2 4 2 5" xfId="2960"/>
    <cellStyle name="20% - Accent4 2 4 2 6" xfId="2961"/>
    <cellStyle name="20% - Accent4 2 4 2 7" xfId="2962"/>
    <cellStyle name="20% - Accent4 2 4 3" xfId="2963"/>
    <cellStyle name="20% - Accent4 2 4 3 2" xfId="2964"/>
    <cellStyle name="20% - Accent4 2 4 3 2 2" xfId="2965"/>
    <cellStyle name="20% - Accent4 2 4 3 3" xfId="2966"/>
    <cellStyle name="20% - Accent4 2 4 3 4" xfId="2967"/>
    <cellStyle name="20% - Accent4 2 4 4" xfId="2968"/>
    <cellStyle name="20% - Accent4 2 4 4 2" xfId="2969"/>
    <cellStyle name="20% - Accent4 2 4 4 2 2" xfId="2970"/>
    <cellStyle name="20% - Accent4 2 4 4 3" xfId="2971"/>
    <cellStyle name="20% - Accent4 2 4 5" xfId="2972"/>
    <cellStyle name="20% - Accent4 2 4 5 2" xfId="2973"/>
    <cellStyle name="20% - Accent4 2 4 6" xfId="2974"/>
    <cellStyle name="20% - Accent4 2 4 7" xfId="2975"/>
    <cellStyle name="20% - Accent4 2 4 8" xfId="2976"/>
    <cellStyle name="20% - Accent4 2 4 9" xfId="2977"/>
    <cellStyle name="20% - Accent4 2 5" xfId="2978"/>
    <cellStyle name="20% - Accent4 2 5 10" xfId="2979"/>
    <cellStyle name="20% - Accent4 2 5 2" xfId="2980"/>
    <cellStyle name="20% - Accent4 2 5 2 2" xfId="2981"/>
    <cellStyle name="20% - Accent4 2 5 2 2 2" xfId="2982"/>
    <cellStyle name="20% - Accent4 2 5 2 2 2 2" xfId="2983"/>
    <cellStyle name="20% - Accent4 2 5 2 2 3" xfId="2984"/>
    <cellStyle name="20% - Accent4 2 5 2 2 4" xfId="2985"/>
    <cellStyle name="20% - Accent4 2 5 2 3" xfId="2986"/>
    <cellStyle name="20% - Accent4 2 5 2 3 2" xfId="2987"/>
    <cellStyle name="20% - Accent4 2 5 2 3 2 2" xfId="2988"/>
    <cellStyle name="20% - Accent4 2 5 2 3 3" xfId="2989"/>
    <cellStyle name="20% - Accent4 2 5 2 4" xfId="2990"/>
    <cellStyle name="20% - Accent4 2 5 2 4 2" xfId="2991"/>
    <cellStyle name="20% - Accent4 2 5 2 5" xfId="2992"/>
    <cellStyle name="20% - Accent4 2 5 2 6" xfId="2993"/>
    <cellStyle name="20% - Accent4 2 5 3" xfId="2994"/>
    <cellStyle name="20% - Accent4 2 5 3 2" xfId="2995"/>
    <cellStyle name="20% - Accent4 2 5 3 2 2" xfId="2996"/>
    <cellStyle name="20% - Accent4 2 5 3 3" xfId="2997"/>
    <cellStyle name="20% - Accent4 2 5 3 4" xfId="2998"/>
    <cellStyle name="20% - Accent4 2 5 4" xfId="2999"/>
    <cellStyle name="20% - Accent4 2 5 4 2" xfId="3000"/>
    <cellStyle name="20% - Accent4 2 5 4 2 2" xfId="3001"/>
    <cellStyle name="20% - Accent4 2 5 4 3" xfId="3002"/>
    <cellStyle name="20% - Accent4 2 5 5" xfId="3003"/>
    <cellStyle name="20% - Accent4 2 5 5 2" xfId="3004"/>
    <cellStyle name="20% - Accent4 2 5 6" xfId="3005"/>
    <cellStyle name="20% - Accent4 2 5 7" xfId="3006"/>
    <cellStyle name="20% - Accent4 2 5 8" xfId="3007"/>
    <cellStyle name="20% - Accent4 2 5 9" xfId="3008"/>
    <cellStyle name="20% - Accent4 2 6" xfId="3009"/>
    <cellStyle name="20% - Accent4 2 6 2" xfId="3010"/>
    <cellStyle name="20% - Accent4 2 6 2 2" xfId="3011"/>
    <cellStyle name="20% - Accent4 2 6 2 2 2" xfId="3012"/>
    <cellStyle name="20% - Accent4 2 6 2 3" xfId="3013"/>
    <cellStyle name="20% - Accent4 2 6 2 4" xfId="3014"/>
    <cellStyle name="20% - Accent4 2 6 3" xfId="3015"/>
    <cellStyle name="20% - Accent4 2 6 3 2" xfId="3016"/>
    <cellStyle name="20% - Accent4 2 6 3 2 2" xfId="3017"/>
    <cellStyle name="20% - Accent4 2 6 3 3" xfId="3018"/>
    <cellStyle name="20% - Accent4 2 6 4" xfId="3019"/>
    <cellStyle name="20% - Accent4 2 6 4 2" xfId="3020"/>
    <cellStyle name="20% - Accent4 2 6 5" xfId="3021"/>
    <cellStyle name="20% - Accent4 2 6 6" xfId="3022"/>
    <cellStyle name="20% - Accent4 2 6 7" xfId="3023"/>
    <cellStyle name="20% - Accent4 2 6 8" xfId="3024"/>
    <cellStyle name="20% - Accent4 2 7" xfId="3025"/>
    <cellStyle name="20% - Accent4 2 7 2" xfId="3026"/>
    <cellStyle name="20% - Accent4 2 7 2 2" xfId="3027"/>
    <cellStyle name="20% - Accent4 2 7 2 2 2" xfId="3028"/>
    <cellStyle name="20% - Accent4 2 7 2 3" xfId="3029"/>
    <cellStyle name="20% - Accent4 2 7 2 4" xfId="3030"/>
    <cellStyle name="20% - Accent4 2 7 3" xfId="3031"/>
    <cellStyle name="20% - Accent4 2 7 3 2" xfId="3032"/>
    <cellStyle name="20% - Accent4 2 7 3 2 2" xfId="3033"/>
    <cellStyle name="20% - Accent4 2 7 3 3" xfId="3034"/>
    <cellStyle name="20% - Accent4 2 7 4" xfId="3035"/>
    <cellStyle name="20% - Accent4 2 7 4 2" xfId="3036"/>
    <cellStyle name="20% - Accent4 2 7 5" xfId="3037"/>
    <cellStyle name="20% - Accent4 2 7 6" xfId="3038"/>
    <cellStyle name="20% - Accent4 2 7 7" xfId="3039"/>
    <cellStyle name="20% - Accent4 2 8" xfId="3040"/>
    <cellStyle name="20% - Accent4 2 8 2" xfId="3041"/>
    <cellStyle name="20% - Accent4 2 8 2 2" xfId="3042"/>
    <cellStyle name="20% - Accent4 2 8 2 2 2" xfId="3043"/>
    <cellStyle name="20% - Accent4 2 8 2 3" xfId="3044"/>
    <cellStyle name="20% - Accent4 2 8 2 4" xfId="3045"/>
    <cellStyle name="20% - Accent4 2 8 3" xfId="3046"/>
    <cellStyle name="20% - Accent4 2 8 3 2" xfId="3047"/>
    <cellStyle name="20% - Accent4 2 8 3 2 2" xfId="3048"/>
    <cellStyle name="20% - Accent4 2 8 3 3" xfId="3049"/>
    <cellStyle name="20% - Accent4 2 8 4" xfId="3050"/>
    <cellStyle name="20% - Accent4 2 8 4 2" xfId="3051"/>
    <cellStyle name="20% - Accent4 2 8 5" xfId="3052"/>
    <cellStyle name="20% - Accent4 2 8 6" xfId="3053"/>
    <cellStyle name="20% - Accent4 2 8 7" xfId="3054"/>
    <cellStyle name="20% - Accent4 2 9" xfId="3055"/>
    <cellStyle name="20% - Accent4 2 9 2" xfId="3056"/>
    <cellStyle name="20% - Accent4 2 9 2 2" xfId="3057"/>
    <cellStyle name="20% - Accent4 2 9 2 2 2" xfId="3058"/>
    <cellStyle name="20% - Accent4 2 9 2 3" xfId="3059"/>
    <cellStyle name="20% - Accent4 2 9 2 4" xfId="3060"/>
    <cellStyle name="20% - Accent4 2 9 3" xfId="3061"/>
    <cellStyle name="20% - Accent4 2 9 3 2" xfId="3062"/>
    <cellStyle name="20% - Accent4 2 9 3 2 2" xfId="3063"/>
    <cellStyle name="20% - Accent4 2 9 3 3" xfId="3064"/>
    <cellStyle name="20% - Accent4 2 9 4" xfId="3065"/>
    <cellStyle name="20% - Accent4 2 9 4 2" xfId="3066"/>
    <cellStyle name="20% - Accent4 2 9 5" xfId="3067"/>
    <cellStyle name="20% - Accent4 2 9 6" xfId="3068"/>
    <cellStyle name="20% - Accent4 2_IBP - COPI Uplift at Investment Area Level 01Feb12" xfId="49223"/>
    <cellStyle name="20% - Accent4 3" xfId="79"/>
    <cellStyle name="20% - Accent4 3 10" xfId="3069"/>
    <cellStyle name="20% - Accent4 3 10 2" xfId="3070"/>
    <cellStyle name="20% - Accent4 3 10 2 2" xfId="3071"/>
    <cellStyle name="20% - Accent4 3 10 3" xfId="3072"/>
    <cellStyle name="20% - Accent4 3 11" xfId="3073"/>
    <cellStyle name="20% - Accent4 3 11 2" xfId="3074"/>
    <cellStyle name="20% - Accent4 3 12" xfId="3075"/>
    <cellStyle name="20% - Accent4 3 12 2" xfId="3076"/>
    <cellStyle name="20% - Accent4 3 13" xfId="3077"/>
    <cellStyle name="20% - Accent4 3 14" xfId="3078"/>
    <cellStyle name="20% - Accent4 3 15" xfId="3079"/>
    <cellStyle name="20% - Accent4 3 16" xfId="3080"/>
    <cellStyle name="20% - Accent4 3 2" xfId="3081"/>
    <cellStyle name="20% - Accent4 3 2 10" xfId="3082"/>
    <cellStyle name="20% - Accent4 3 2 2" xfId="3083"/>
    <cellStyle name="20% - Accent4 3 2 2 2" xfId="3084"/>
    <cellStyle name="20% - Accent4 3 2 2 2 2" xfId="3085"/>
    <cellStyle name="20% - Accent4 3 2 2 2 2 2" xfId="3086"/>
    <cellStyle name="20% - Accent4 3 2 2 2 3" xfId="3087"/>
    <cellStyle name="20% - Accent4 3 2 2 2 4" xfId="3088"/>
    <cellStyle name="20% - Accent4 3 2 2 3" xfId="3089"/>
    <cellStyle name="20% - Accent4 3 2 2 3 2" xfId="3090"/>
    <cellStyle name="20% - Accent4 3 2 2 3 2 2" xfId="3091"/>
    <cellStyle name="20% - Accent4 3 2 2 3 3" xfId="3092"/>
    <cellStyle name="20% - Accent4 3 2 2 4" xfId="3093"/>
    <cellStyle name="20% - Accent4 3 2 2 4 2" xfId="3094"/>
    <cellStyle name="20% - Accent4 3 2 2 5" xfId="3095"/>
    <cellStyle name="20% - Accent4 3 2 2 6" xfId="3096"/>
    <cellStyle name="20% - Accent4 3 2 2 7" xfId="3097"/>
    <cellStyle name="20% - Accent4 3 2 3" xfId="3098"/>
    <cellStyle name="20% - Accent4 3 2 3 2" xfId="3099"/>
    <cellStyle name="20% - Accent4 3 2 3 2 2" xfId="3100"/>
    <cellStyle name="20% - Accent4 3 2 3 3" xfId="3101"/>
    <cellStyle name="20% - Accent4 3 2 3 4" xfId="3102"/>
    <cellStyle name="20% - Accent4 3 2 3 5" xfId="3103"/>
    <cellStyle name="20% - Accent4 3 2 4" xfId="3104"/>
    <cellStyle name="20% - Accent4 3 2 4 2" xfId="3105"/>
    <cellStyle name="20% - Accent4 3 2 4 2 2" xfId="3106"/>
    <cellStyle name="20% - Accent4 3 2 4 3" xfId="3107"/>
    <cellStyle name="20% - Accent4 3 2 5" xfId="3108"/>
    <cellStyle name="20% - Accent4 3 2 5 2" xfId="3109"/>
    <cellStyle name="20% - Accent4 3 2 6" xfId="3110"/>
    <cellStyle name="20% - Accent4 3 2 7" xfId="3111"/>
    <cellStyle name="20% - Accent4 3 2 8" xfId="3112"/>
    <cellStyle name="20% - Accent4 3 2 9" xfId="3113"/>
    <cellStyle name="20% - Accent4 3 3" xfId="3114"/>
    <cellStyle name="20% - Accent4 3 3 2" xfId="3115"/>
    <cellStyle name="20% - Accent4 3 3 2 2" xfId="3116"/>
    <cellStyle name="20% - Accent4 3 3 2 2 2" xfId="3117"/>
    <cellStyle name="20% - Accent4 3 3 2 2 2 2" xfId="3118"/>
    <cellStyle name="20% - Accent4 3 3 2 2 3" xfId="3119"/>
    <cellStyle name="20% - Accent4 3 3 2 2 4" xfId="3120"/>
    <cellStyle name="20% - Accent4 3 3 2 3" xfId="3121"/>
    <cellStyle name="20% - Accent4 3 3 2 3 2" xfId="3122"/>
    <cellStyle name="20% - Accent4 3 3 2 3 2 2" xfId="3123"/>
    <cellStyle name="20% - Accent4 3 3 2 3 3" xfId="3124"/>
    <cellStyle name="20% - Accent4 3 3 2 4" xfId="3125"/>
    <cellStyle name="20% - Accent4 3 3 2 4 2" xfId="3126"/>
    <cellStyle name="20% - Accent4 3 3 2 5" xfId="3127"/>
    <cellStyle name="20% - Accent4 3 3 2 6" xfId="3128"/>
    <cellStyle name="20% - Accent4 3 3 3" xfId="3129"/>
    <cellStyle name="20% - Accent4 3 3 3 2" xfId="3130"/>
    <cellStyle name="20% - Accent4 3 3 3 2 2" xfId="3131"/>
    <cellStyle name="20% - Accent4 3 3 3 3" xfId="3132"/>
    <cellStyle name="20% - Accent4 3 3 3 4" xfId="3133"/>
    <cellStyle name="20% - Accent4 3 3 4" xfId="3134"/>
    <cellStyle name="20% - Accent4 3 3 4 2" xfId="3135"/>
    <cellStyle name="20% - Accent4 3 3 4 2 2" xfId="3136"/>
    <cellStyle name="20% - Accent4 3 3 4 3" xfId="3137"/>
    <cellStyle name="20% - Accent4 3 3 5" xfId="3138"/>
    <cellStyle name="20% - Accent4 3 3 5 2" xfId="3139"/>
    <cellStyle name="20% - Accent4 3 3 6" xfId="3140"/>
    <cellStyle name="20% - Accent4 3 3 7" xfId="3141"/>
    <cellStyle name="20% - Accent4 3 3 8" xfId="3142"/>
    <cellStyle name="20% - Accent4 3 3 9" xfId="3143"/>
    <cellStyle name="20% - Accent4 3 4" xfId="3144"/>
    <cellStyle name="20% - Accent4 3 4 2" xfId="3145"/>
    <cellStyle name="20% - Accent4 3 4 2 2" xfId="3146"/>
    <cellStyle name="20% - Accent4 3 4 2 2 2" xfId="3147"/>
    <cellStyle name="20% - Accent4 3 4 2 2 2 2" xfId="3148"/>
    <cellStyle name="20% - Accent4 3 4 2 2 3" xfId="3149"/>
    <cellStyle name="20% - Accent4 3 4 2 2 4" xfId="3150"/>
    <cellStyle name="20% - Accent4 3 4 2 3" xfId="3151"/>
    <cellStyle name="20% - Accent4 3 4 2 3 2" xfId="3152"/>
    <cellStyle name="20% - Accent4 3 4 2 3 2 2" xfId="3153"/>
    <cellStyle name="20% - Accent4 3 4 2 3 3" xfId="3154"/>
    <cellStyle name="20% - Accent4 3 4 2 4" xfId="3155"/>
    <cellStyle name="20% - Accent4 3 4 2 4 2" xfId="3156"/>
    <cellStyle name="20% - Accent4 3 4 2 5" xfId="3157"/>
    <cellStyle name="20% - Accent4 3 4 2 6" xfId="3158"/>
    <cellStyle name="20% - Accent4 3 4 3" xfId="3159"/>
    <cellStyle name="20% - Accent4 3 4 3 2" xfId="3160"/>
    <cellStyle name="20% - Accent4 3 4 3 2 2" xfId="3161"/>
    <cellStyle name="20% - Accent4 3 4 3 3" xfId="3162"/>
    <cellStyle name="20% - Accent4 3 4 3 4" xfId="3163"/>
    <cellStyle name="20% - Accent4 3 4 4" xfId="3164"/>
    <cellStyle name="20% - Accent4 3 4 4 2" xfId="3165"/>
    <cellStyle name="20% - Accent4 3 4 4 2 2" xfId="3166"/>
    <cellStyle name="20% - Accent4 3 4 4 3" xfId="3167"/>
    <cellStyle name="20% - Accent4 3 4 5" xfId="3168"/>
    <cellStyle name="20% - Accent4 3 4 5 2" xfId="3169"/>
    <cellStyle name="20% - Accent4 3 4 6" xfId="3170"/>
    <cellStyle name="20% - Accent4 3 4 7" xfId="3171"/>
    <cellStyle name="20% - Accent4 3 4 8" xfId="3172"/>
    <cellStyle name="20% - Accent4 3 5" xfId="3173"/>
    <cellStyle name="20% - Accent4 3 5 2" xfId="3174"/>
    <cellStyle name="20% - Accent4 3 5 2 2" xfId="3175"/>
    <cellStyle name="20% - Accent4 3 5 2 2 2" xfId="3176"/>
    <cellStyle name="20% - Accent4 3 5 2 3" xfId="3177"/>
    <cellStyle name="20% - Accent4 3 5 2 4" xfId="3178"/>
    <cellStyle name="20% - Accent4 3 5 3" xfId="3179"/>
    <cellStyle name="20% - Accent4 3 5 3 2" xfId="3180"/>
    <cellStyle name="20% - Accent4 3 5 3 2 2" xfId="3181"/>
    <cellStyle name="20% - Accent4 3 5 3 3" xfId="3182"/>
    <cellStyle name="20% - Accent4 3 5 4" xfId="3183"/>
    <cellStyle name="20% - Accent4 3 5 4 2" xfId="3184"/>
    <cellStyle name="20% - Accent4 3 5 5" xfId="3185"/>
    <cellStyle name="20% - Accent4 3 5 6" xfId="3186"/>
    <cellStyle name="20% - Accent4 3 5 7" xfId="3187"/>
    <cellStyle name="20% - Accent4 3 6" xfId="3188"/>
    <cellStyle name="20% - Accent4 3 6 2" xfId="3189"/>
    <cellStyle name="20% - Accent4 3 6 2 2" xfId="3190"/>
    <cellStyle name="20% - Accent4 3 6 2 2 2" xfId="3191"/>
    <cellStyle name="20% - Accent4 3 6 2 3" xfId="3192"/>
    <cellStyle name="20% - Accent4 3 6 2 4" xfId="3193"/>
    <cellStyle name="20% - Accent4 3 6 3" xfId="3194"/>
    <cellStyle name="20% - Accent4 3 6 3 2" xfId="3195"/>
    <cellStyle name="20% - Accent4 3 6 3 2 2" xfId="3196"/>
    <cellStyle name="20% - Accent4 3 6 3 3" xfId="3197"/>
    <cellStyle name="20% - Accent4 3 6 4" xfId="3198"/>
    <cellStyle name="20% - Accent4 3 6 4 2" xfId="3199"/>
    <cellStyle name="20% - Accent4 3 6 5" xfId="3200"/>
    <cellStyle name="20% - Accent4 3 6 6" xfId="3201"/>
    <cellStyle name="20% - Accent4 3 6 7" xfId="3202"/>
    <cellStyle name="20% - Accent4 3 7" xfId="3203"/>
    <cellStyle name="20% - Accent4 3 7 2" xfId="3204"/>
    <cellStyle name="20% - Accent4 3 7 2 2" xfId="3205"/>
    <cellStyle name="20% - Accent4 3 7 2 2 2" xfId="3206"/>
    <cellStyle name="20% - Accent4 3 7 2 3" xfId="3207"/>
    <cellStyle name="20% - Accent4 3 7 2 4" xfId="3208"/>
    <cellStyle name="20% - Accent4 3 7 3" xfId="3209"/>
    <cellStyle name="20% - Accent4 3 7 3 2" xfId="3210"/>
    <cellStyle name="20% - Accent4 3 7 3 2 2" xfId="3211"/>
    <cellStyle name="20% - Accent4 3 7 3 3" xfId="3212"/>
    <cellStyle name="20% - Accent4 3 7 4" xfId="3213"/>
    <cellStyle name="20% - Accent4 3 7 4 2" xfId="3214"/>
    <cellStyle name="20% - Accent4 3 7 5" xfId="3215"/>
    <cellStyle name="20% - Accent4 3 7 6" xfId="3216"/>
    <cellStyle name="20% - Accent4 3 7 7" xfId="3217"/>
    <cellStyle name="20% - Accent4 3 8" xfId="3218"/>
    <cellStyle name="20% - Accent4 3 8 2" xfId="3219"/>
    <cellStyle name="20% - Accent4 3 8 2 2" xfId="3220"/>
    <cellStyle name="20% - Accent4 3 8 2 2 2" xfId="3221"/>
    <cellStyle name="20% - Accent4 3 8 2 3" xfId="3222"/>
    <cellStyle name="20% - Accent4 3 8 2 4" xfId="3223"/>
    <cellStyle name="20% - Accent4 3 8 3" xfId="3224"/>
    <cellStyle name="20% - Accent4 3 8 3 2" xfId="3225"/>
    <cellStyle name="20% - Accent4 3 8 3 2 2" xfId="3226"/>
    <cellStyle name="20% - Accent4 3 8 3 3" xfId="3227"/>
    <cellStyle name="20% - Accent4 3 8 4" xfId="3228"/>
    <cellStyle name="20% - Accent4 3 8 4 2" xfId="3229"/>
    <cellStyle name="20% - Accent4 3 8 5" xfId="3230"/>
    <cellStyle name="20% - Accent4 3 8 6" xfId="3231"/>
    <cellStyle name="20% - Accent4 3 9" xfId="3232"/>
    <cellStyle name="20% - Accent4 3 9 2" xfId="3233"/>
    <cellStyle name="20% - Accent4 3 9 2 2" xfId="3234"/>
    <cellStyle name="20% - Accent4 3 9 3" xfId="3235"/>
    <cellStyle name="20% - Accent4 3 9 4" xfId="3236"/>
    <cellStyle name="20% - Accent4 3_IBP - COPI Uplift at Investment Area Level 01Feb12" xfId="49224"/>
    <cellStyle name="20% - Accent4 4" xfId="3237"/>
    <cellStyle name="20% - Accent4 4 10" xfId="3238"/>
    <cellStyle name="20% - Accent4 4 2" xfId="3239"/>
    <cellStyle name="20% - Accent4 4 2 2" xfId="3240"/>
    <cellStyle name="20% - Accent4 4 2 2 2" xfId="3241"/>
    <cellStyle name="20% - Accent4 4 2 2 2 2" xfId="3242"/>
    <cellStyle name="20% - Accent4 4 2 2 3" xfId="3243"/>
    <cellStyle name="20% - Accent4 4 2 2 4" xfId="3244"/>
    <cellStyle name="20% - Accent4 4 2 3" xfId="3245"/>
    <cellStyle name="20% - Accent4 4 2 3 2" xfId="3246"/>
    <cellStyle name="20% - Accent4 4 2 3 2 2" xfId="3247"/>
    <cellStyle name="20% - Accent4 4 2 3 3" xfId="3248"/>
    <cellStyle name="20% - Accent4 4 2 4" xfId="3249"/>
    <cellStyle name="20% - Accent4 4 2 4 2" xfId="3250"/>
    <cellStyle name="20% - Accent4 4 2 5" xfId="3251"/>
    <cellStyle name="20% - Accent4 4 2 6" xfId="3252"/>
    <cellStyle name="20% - Accent4 4 2 7" xfId="3253"/>
    <cellStyle name="20% - Accent4 4 3" xfId="3254"/>
    <cellStyle name="20% - Accent4 4 3 2" xfId="3255"/>
    <cellStyle name="20% - Accent4 4 3 2 2" xfId="3256"/>
    <cellStyle name="20% - Accent4 4 3 3" xfId="3257"/>
    <cellStyle name="20% - Accent4 4 3 4" xfId="3258"/>
    <cellStyle name="20% - Accent4 4 3 5" xfId="3259"/>
    <cellStyle name="20% - Accent4 4 4" xfId="3260"/>
    <cellStyle name="20% - Accent4 4 4 2" xfId="3261"/>
    <cellStyle name="20% - Accent4 4 4 2 2" xfId="3262"/>
    <cellStyle name="20% - Accent4 4 4 3" xfId="3263"/>
    <cellStyle name="20% - Accent4 4 5" xfId="3264"/>
    <cellStyle name="20% - Accent4 4 5 2" xfId="3265"/>
    <cellStyle name="20% - Accent4 4 6" xfId="3266"/>
    <cellStyle name="20% - Accent4 4 7" xfId="3267"/>
    <cellStyle name="20% - Accent4 4 8" xfId="3268"/>
    <cellStyle name="20% - Accent4 4 9" xfId="3269"/>
    <cellStyle name="20% - Accent4 5" xfId="3270"/>
    <cellStyle name="20% - Accent4 5 2" xfId="3271"/>
    <cellStyle name="20% - Accent4 5 2 2" xfId="3272"/>
    <cellStyle name="20% - Accent4 5 2 2 2" xfId="3273"/>
    <cellStyle name="20% - Accent4 5 2 2 2 2" xfId="3274"/>
    <cellStyle name="20% - Accent4 5 2 2 3" xfId="3275"/>
    <cellStyle name="20% - Accent4 5 2 2 4" xfId="3276"/>
    <cellStyle name="20% - Accent4 5 2 3" xfId="3277"/>
    <cellStyle name="20% - Accent4 5 2 3 2" xfId="3278"/>
    <cellStyle name="20% - Accent4 5 2 3 2 2" xfId="3279"/>
    <cellStyle name="20% - Accent4 5 2 3 3" xfId="3280"/>
    <cellStyle name="20% - Accent4 5 2 4" xfId="3281"/>
    <cellStyle name="20% - Accent4 5 2 4 2" xfId="3282"/>
    <cellStyle name="20% - Accent4 5 2 5" xfId="3283"/>
    <cellStyle name="20% - Accent4 5 2 6" xfId="3284"/>
    <cellStyle name="20% - Accent4 5 3" xfId="3285"/>
    <cellStyle name="20% - Accent4 5 3 2" xfId="3286"/>
    <cellStyle name="20% - Accent4 5 3 2 2" xfId="3287"/>
    <cellStyle name="20% - Accent4 5 3 3" xfId="3288"/>
    <cellStyle name="20% - Accent4 5 3 4" xfId="3289"/>
    <cellStyle name="20% - Accent4 5 4" xfId="3290"/>
    <cellStyle name="20% - Accent4 5 4 2" xfId="3291"/>
    <cellStyle name="20% - Accent4 5 4 2 2" xfId="3292"/>
    <cellStyle name="20% - Accent4 5 4 3" xfId="3293"/>
    <cellStyle name="20% - Accent4 5 5" xfId="3294"/>
    <cellStyle name="20% - Accent4 5 5 2" xfId="3295"/>
    <cellStyle name="20% - Accent4 5 6" xfId="3296"/>
    <cellStyle name="20% - Accent4 5 7" xfId="3297"/>
    <cellStyle name="20% - Accent4 5 8" xfId="3298"/>
    <cellStyle name="20% - Accent4 5 9" xfId="3299"/>
    <cellStyle name="20% - Accent4 6" xfId="3300"/>
    <cellStyle name="20% - Accent4 6 2" xfId="3301"/>
    <cellStyle name="20% - Accent4 6 2 2" xfId="3302"/>
    <cellStyle name="20% - Accent4 6 2 2 2" xfId="3303"/>
    <cellStyle name="20% - Accent4 6 2 2 2 2" xfId="3304"/>
    <cellStyle name="20% - Accent4 6 2 2 3" xfId="3305"/>
    <cellStyle name="20% - Accent4 6 2 2 4" xfId="3306"/>
    <cellStyle name="20% - Accent4 6 2 3" xfId="3307"/>
    <cellStyle name="20% - Accent4 6 2 3 2" xfId="3308"/>
    <cellStyle name="20% - Accent4 6 2 3 2 2" xfId="3309"/>
    <cellStyle name="20% - Accent4 6 2 3 3" xfId="3310"/>
    <cellStyle name="20% - Accent4 6 2 4" xfId="3311"/>
    <cellStyle name="20% - Accent4 6 2 4 2" xfId="3312"/>
    <cellStyle name="20% - Accent4 6 2 5" xfId="3313"/>
    <cellStyle name="20% - Accent4 6 2 6" xfId="3314"/>
    <cellStyle name="20% - Accent4 6 3" xfId="3315"/>
    <cellStyle name="20% - Accent4 6 3 2" xfId="3316"/>
    <cellStyle name="20% - Accent4 6 3 2 2" xfId="3317"/>
    <cellStyle name="20% - Accent4 6 3 3" xfId="3318"/>
    <cellStyle name="20% - Accent4 6 3 4" xfId="3319"/>
    <cellStyle name="20% - Accent4 6 4" xfId="3320"/>
    <cellStyle name="20% - Accent4 6 4 2" xfId="3321"/>
    <cellStyle name="20% - Accent4 6 4 2 2" xfId="3322"/>
    <cellStyle name="20% - Accent4 6 4 3" xfId="3323"/>
    <cellStyle name="20% - Accent4 6 5" xfId="3324"/>
    <cellStyle name="20% - Accent4 6 5 2" xfId="3325"/>
    <cellStyle name="20% - Accent4 6 6" xfId="3326"/>
    <cellStyle name="20% - Accent4 6 7" xfId="3327"/>
    <cellStyle name="20% - Accent4 6 8" xfId="3328"/>
    <cellStyle name="20% - Accent4 7" xfId="3329"/>
    <cellStyle name="20% - Accent4 7 2" xfId="3330"/>
    <cellStyle name="20% - Accent4 7 2 2" xfId="3331"/>
    <cellStyle name="20% - Accent4 7 2 2 2" xfId="3332"/>
    <cellStyle name="20% - Accent4 7 2 2 2 2" xfId="3333"/>
    <cellStyle name="20% - Accent4 7 2 2 3" xfId="3334"/>
    <cellStyle name="20% - Accent4 7 2 2 4" xfId="3335"/>
    <cellStyle name="20% - Accent4 7 2 3" xfId="3336"/>
    <cellStyle name="20% - Accent4 7 2 3 2" xfId="3337"/>
    <cellStyle name="20% - Accent4 7 2 3 2 2" xfId="3338"/>
    <cellStyle name="20% - Accent4 7 2 3 3" xfId="3339"/>
    <cellStyle name="20% - Accent4 7 2 4" xfId="3340"/>
    <cellStyle name="20% - Accent4 7 2 4 2" xfId="3341"/>
    <cellStyle name="20% - Accent4 7 2 5" xfId="3342"/>
    <cellStyle name="20% - Accent4 7 2 6" xfId="3343"/>
    <cellStyle name="20% - Accent4 7 3" xfId="3344"/>
    <cellStyle name="20% - Accent4 7 3 2" xfId="3345"/>
    <cellStyle name="20% - Accent4 7 3 2 2" xfId="3346"/>
    <cellStyle name="20% - Accent4 7 3 3" xfId="3347"/>
    <cellStyle name="20% - Accent4 7 3 4" xfId="3348"/>
    <cellStyle name="20% - Accent4 7 4" xfId="3349"/>
    <cellStyle name="20% - Accent4 7 4 2" xfId="3350"/>
    <cellStyle name="20% - Accent4 7 4 2 2" xfId="3351"/>
    <cellStyle name="20% - Accent4 7 4 3" xfId="3352"/>
    <cellStyle name="20% - Accent4 7 5" xfId="3353"/>
    <cellStyle name="20% - Accent4 7 5 2" xfId="3354"/>
    <cellStyle name="20% - Accent4 7 6" xfId="3355"/>
    <cellStyle name="20% - Accent4 7 7" xfId="3356"/>
    <cellStyle name="20% - Accent4 7 8" xfId="3357"/>
    <cellStyle name="20% - Accent4 8" xfId="3358"/>
    <cellStyle name="20% - Accent4 8 2" xfId="3359"/>
    <cellStyle name="20% - Accent4 8 2 2" xfId="3360"/>
    <cellStyle name="20% - Accent4 8 2 2 2" xfId="3361"/>
    <cellStyle name="20% - Accent4 8 2 3" xfId="3362"/>
    <cellStyle name="20% - Accent4 8 2 4" xfId="3363"/>
    <cellStyle name="20% - Accent4 8 3" xfId="3364"/>
    <cellStyle name="20% - Accent4 8 3 2" xfId="3365"/>
    <cellStyle name="20% - Accent4 8 3 2 2" xfId="3366"/>
    <cellStyle name="20% - Accent4 8 3 3" xfId="3367"/>
    <cellStyle name="20% - Accent4 8 4" xfId="3368"/>
    <cellStyle name="20% - Accent4 8 4 2" xfId="3369"/>
    <cellStyle name="20% - Accent4 8 5" xfId="3370"/>
    <cellStyle name="20% - Accent4 8 6" xfId="3371"/>
    <cellStyle name="20% - Accent4 8 7" xfId="3372"/>
    <cellStyle name="20% - Accent4 9" xfId="3373"/>
    <cellStyle name="20% - Accent4 9 2" xfId="3374"/>
    <cellStyle name="20% - Accent4 9 2 2" xfId="3375"/>
    <cellStyle name="20% - Accent4 9 2 2 2" xfId="3376"/>
    <cellStyle name="20% - Accent4 9 2 3" xfId="3377"/>
    <cellStyle name="20% - Accent4 9 2 4" xfId="3378"/>
    <cellStyle name="20% - Accent4 9 3" xfId="3379"/>
    <cellStyle name="20% - Accent4 9 3 2" xfId="3380"/>
    <cellStyle name="20% - Accent4 9 3 2 2" xfId="3381"/>
    <cellStyle name="20% - Accent4 9 3 3" xfId="3382"/>
    <cellStyle name="20% - Accent4 9 4" xfId="3383"/>
    <cellStyle name="20% - Accent4 9 4 2" xfId="3384"/>
    <cellStyle name="20% - Accent4 9 5" xfId="3385"/>
    <cellStyle name="20% - Accent4 9 6" xfId="3386"/>
    <cellStyle name="20% - Accent4 9 7" xfId="3387"/>
    <cellStyle name="20% - Accent5" xfId="5" builtinId="46" customBuiltin="1"/>
    <cellStyle name="20% - Accent5 10" xfId="3388"/>
    <cellStyle name="20% - Accent5 10 2" xfId="3389"/>
    <cellStyle name="20% - Accent5 10 2 2" xfId="3390"/>
    <cellStyle name="20% - Accent5 10 2 2 2" xfId="3391"/>
    <cellStyle name="20% - Accent5 10 2 3" xfId="3392"/>
    <cellStyle name="20% - Accent5 10 2 4" xfId="3393"/>
    <cellStyle name="20% - Accent5 10 3" xfId="3394"/>
    <cellStyle name="20% - Accent5 10 3 2" xfId="3395"/>
    <cellStyle name="20% - Accent5 10 3 2 2" xfId="3396"/>
    <cellStyle name="20% - Accent5 10 3 3" xfId="3397"/>
    <cellStyle name="20% - Accent5 10 4" xfId="3398"/>
    <cellStyle name="20% - Accent5 10 4 2" xfId="3399"/>
    <cellStyle name="20% - Accent5 10 5" xfId="3400"/>
    <cellStyle name="20% - Accent5 10 6" xfId="3401"/>
    <cellStyle name="20% - Accent5 10 7" xfId="3402"/>
    <cellStyle name="20% - Accent5 11" xfId="3403"/>
    <cellStyle name="20% - Accent5 11 2" xfId="3404"/>
    <cellStyle name="20% - Accent5 11 2 2" xfId="3405"/>
    <cellStyle name="20% - Accent5 11 2 2 2" xfId="3406"/>
    <cellStyle name="20% - Accent5 11 2 3" xfId="3407"/>
    <cellStyle name="20% - Accent5 11 2 4" xfId="3408"/>
    <cellStyle name="20% - Accent5 11 3" xfId="3409"/>
    <cellStyle name="20% - Accent5 11 3 2" xfId="3410"/>
    <cellStyle name="20% - Accent5 11 3 2 2" xfId="3411"/>
    <cellStyle name="20% - Accent5 11 3 3" xfId="3412"/>
    <cellStyle name="20% - Accent5 11 4" xfId="3413"/>
    <cellStyle name="20% - Accent5 11 4 2" xfId="3414"/>
    <cellStyle name="20% - Accent5 11 5" xfId="3415"/>
    <cellStyle name="20% - Accent5 11 6" xfId="3416"/>
    <cellStyle name="20% - Accent5 11 7" xfId="3417"/>
    <cellStyle name="20% - Accent5 12" xfId="3418"/>
    <cellStyle name="20% - Accent5 12 2" xfId="3419"/>
    <cellStyle name="20% - Accent5 12 2 2" xfId="3420"/>
    <cellStyle name="20% - Accent5 12 3" xfId="3421"/>
    <cellStyle name="20% - Accent5 12 4" xfId="3422"/>
    <cellStyle name="20% - Accent5 13" xfId="3423"/>
    <cellStyle name="20% - Accent5 13 2" xfId="3424"/>
    <cellStyle name="20% - Accent5 13 2 2" xfId="3425"/>
    <cellStyle name="20% - Accent5 13 3" xfId="3426"/>
    <cellStyle name="20% - Accent5 14" xfId="3427"/>
    <cellStyle name="20% - Accent5 14 2" xfId="3428"/>
    <cellStyle name="20% - Accent5 15" xfId="3429"/>
    <cellStyle name="20% - Accent5 15 2" xfId="3430"/>
    <cellStyle name="20% - Accent5 16" xfId="3431"/>
    <cellStyle name="20% - Accent5 16 2" xfId="3432"/>
    <cellStyle name="20% - Accent5 17" xfId="3433"/>
    <cellStyle name="20% - Accent5 18" xfId="3434"/>
    <cellStyle name="20% - Accent5 19" xfId="3435"/>
    <cellStyle name="20% - Accent5 2" xfId="80"/>
    <cellStyle name="20% - Accent5 2 10" xfId="3436"/>
    <cellStyle name="20% - Accent5 2 10 2" xfId="3437"/>
    <cellStyle name="20% - Accent5 2 10 2 2" xfId="3438"/>
    <cellStyle name="20% - Accent5 2 10 3" xfId="3439"/>
    <cellStyle name="20% - Accent5 2 10 4" xfId="3440"/>
    <cellStyle name="20% - Accent5 2 11" xfId="3441"/>
    <cellStyle name="20% - Accent5 2 11 2" xfId="3442"/>
    <cellStyle name="20% - Accent5 2 11 2 2" xfId="3443"/>
    <cellStyle name="20% - Accent5 2 11 3" xfId="3444"/>
    <cellStyle name="20% - Accent5 2 12" xfId="3445"/>
    <cellStyle name="20% - Accent5 2 12 2" xfId="3446"/>
    <cellStyle name="20% - Accent5 2 13" xfId="3447"/>
    <cellStyle name="20% - Accent5 2 13 2" xfId="3448"/>
    <cellStyle name="20% - Accent5 2 14" xfId="3449"/>
    <cellStyle name="20% - Accent5 2 15" xfId="3450"/>
    <cellStyle name="20% - Accent5 2 16" xfId="3451"/>
    <cellStyle name="20% - Accent5 2 17" xfId="3452"/>
    <cellStyle name="20% - Accent5 2 18" xfId="3453"/>
    <cellStyle name="20% - Accent5 2 19" xfId="3454"/>
    <cellStyle name="20% - Accent5 2 2" xfId="81"/>
    <cellStyle name="20% - Accent5 2 2 2" xfId="3455"/>
    <cellStyle name="20% - Accent5 2 2 2 2" xfId="3456"/>
    <cellStyle name="20% - Accent5 2 2 2 2 2" xfId="3457"/>
    <cellStyle name="20% - Accent5 2 2 2 2 2 2" xfId="3458"/>
    <cellStyle name="20% - Accent5 2 2 2 2 3" xfId="3459"/>
    <cellStyle name="20% - Accent5 2 2 2 2 4" xfId="3460"/>
    <cellStyle name="20% - Accent5 2 2 2 2 5" xfId="3461"/>
    <cellStyle name="20% - Accent5 2 2 2 3" xfId="3462"/>
    <cellStyle name="20% - Accent5 2 2 2 3 2" xfId="3463"/>
    <cellStyle name="20% - Accent5 2 2 2 3 2 2" xfId="3464"/>
    <cellStyle name="20% - Accent5 2 2 2 3 3" xfId="3465"/>
    <cellStyle name="20% - Accent5 2 2 2 4" xfId="3466"/>
    <cellStyle name="20% - Accent5 2 2 2 4 2" xfId="3467"/>
    <cellStyle name="20% - Accent5 2 2 2 5" xfId="3468"/>
    <cellStyle name="20% - Accent5 2 2 2 6" xfId="3469"/>
    <cellStyle name="20% - Accent5 2 2 2 7" xfId="3470"/>
    <cellStyle name="20% - Accent5 2 2 2 8" xfId="3471"/>
    <cellStyle name="20% - Accent5 2 2 2 9" xfId="3472"/>
    <cellStyle name="20% - Accent5 2 2 3" xfId="3473"/>
    <cellStyle name="20% - Accent5 2 2 4" xfId="3474"/>
    <cellStyle name="20% - Accent5 2 2 4 2" xfId="3475"/>
    <cellStyle name="20% - Accent5 2 2 4 2 2" xfId="3476"/>
    <cellStyle name="20% - Accent5 2 2 4 3" xfId="3477"/>
    <cellStyle name="20% - Accent5 2 2 4 4" xfId="3478"/>
    <cellStyle name="20% - Accent5 2 2 5" xfId="3479"/>
    <cellStyle name="20% - Accent5 2 2 5 2" xfId="3480"/>
    <cellStyle name="20% - Accent5 2 2 5 2 2" xfId="3481"/>
    <cellStyle name="20% - Accent5 2 2 5 3" xfId="3482"/>
    <cellStyle name="20% - Accent5 2 2 6" xfId="3483"/>
    <cellStyle name="20% - Accent5 2 2 6 2" xfId="3484"/>
    <cellStyle name="20% - Accent5 2 2 7" xfId="3485"/>
    <cellStyle name="20% - Accent5 2 2 8" xfId="3486"/>
    <cellStyle name="20% - Accent5 2 3" xfId="3487"/>
    <cellStyle name="20% - Accent5 2 3 10" xfId="3488"/>
    <cellStyle name="20% - Accent5 2 3 2" xfId="3489"/>
    <cellStyle name="20% - Accent5 2 3 2 2" xfId="3490"/>
    <cellStyle name="20% - Accent5 2 3 2 2 2" xfId="3491"/>
    <cellStyle name="20% - Accent5 2 3 2 2 2 2" xfId="3492"/>
    <cellStyle name="20% - Accent5 2 3 2 2 3" xfId="3493"/>
    <cellStyle name="20% - Accent5 2 3 2 2 4" xfId="3494"/>
    <cellStyle name="20% - Accent5 2 3 2 3" xfId="3495"/>
    <cellStyle name="20% - Accent5 2 3 2 3 2" xfId="3496"/>
    <cellStyle name="20% - Accent5 2 3 2 3 2 2" xfId="3497"/>
    <cellStyle name="20% - Accent5 2 3 2 3 3" xfId="3498"/>
    <cellStyle name="20% - Accent5 2 3 2 4" xfId="3499"/>
    <cellStyle name="20% - Accent5 2 3 2 4 2" xfId="3500"/>
    <cellStyle name="20% - Accent5 2 3 2 5" xfId="3501"/>
    <cellStyle name="20% - Accent5 2 3 2 6" xfId="3502"/>
    <cellStyle name="20% - Accent5 2 3 2 7" xfId="3503"/>
    <cellStyle name="20% - Accent5 2 3 3" xfId="3504"/>
    <cellStyle name="20% - Accent5 2 3 3 2" xfId="3505"/>
    <cellStyle name="20% - Accent5 2 3 3 2 2" xfId="3506"/>
    <cellStyle name="20% - Accent5 2 3 3 3" xfId="3507"/>
    <cellStyle name="20% - Accent5 2 3 3 4" xfId="3508"/>
    <cellStyle name="20% - Accent5 2 3 3 5" xfId="3509"/>
    <cellStyle name="20% - Accent5 2 3 4" xfId="3510"/>
    <cellStyle name="20% - Accent5 2 3 4 2" xfId="3511"/>
    <cellStyle name="20% - Accent5 2 3 4 2 2" xfId="3512"/>
    <cellStyle name="20% - Accent5 2 3 4 3" xfId="3513"/>
    <cellStyle name="20% - Accent5 2 3 5" xfId="3514"/>
    <cellStyle name="20% - Accent5 2 3 5 2" xfId="3515"/>
    <cellStyle name="20% - Accent5 2 3 6" xfId="3516"/>
    <cellStyle name="20% - Accent5 2 3 7" xfId="3517"/>
    <cellStyle name="20% - Accent5 2 3 8" xfId="3518"/>
    <cellStyle name="20% - Accent5 2 3 9" xfId="3519"/>
    <cellStyle name="20% - Accent5 2 4" xfId="3520"/>
    <cellStyle name="20% - Accent5 2 4 10" xfId="3521"/>
    <cellStyle name="20% - Accent5 2 4 2" xfId="3522"/>
    <cellStyle name="20% - Accent5 2 4 2 2" xfId="3523"/>
    <cellStyle name="20% - Accent5 2 4 2 2 2" xfId="3524"/>
    <cellStyle name="20% - Accent5 2 4 2 2 2 2" xfId="3525"/>
    <cellStyle name="20% - Accent5 2 4 2 2 3" xfId="3526"/>
    <cellStyle name="20% - Accent5 2 4 2 2 4" xfId="3527"/>
    <cellStyle name="20% - Accent5 2 4 2 3" xfId="3528"/>
    <cellStyle name="20% - Accent5 2 4 2 3 2" xfId="3529"/>
    <cellStyle name="20% - Accent5 2 4 2 3 2 2" xfId="3530"/>
    <cellStyle name="20% - Accent5 2 4 2 3 3" xfId="3531"/>
    <cellStyle name="20% - Accent5 2 4 2 4" xfId="3532"/>
    <cellStyle name="20% - Accent5 2 4 2 4 2" xfId="3533"/>
    <cellStyle name="20% - Accent5 2 4 2 5" xfId="3534"/>
    <cellStyle name="20% - Accent5 2 4 2 6" xfId="3535"/>
    <cellStyle name="20% - Accent5 2 4 2 7" xfId="3536"/>
    <cellStyle name="20% - Accent5 2 4 3" xfId="3537"/>
    <cellStyle name="20% - Accent5 2 4 3 2" xfId="3538"/>
    <cellStyle name="20% - Accent5 2 4 3 2 2" xfId="3539"/>
    <cellStyle name="20% - Accent5 2 4 3 3" xfId="3540"/>
    <cellStyle name="20% - Accent5 2 4 3 4" xfId="3541"/>
    <cellStyle name="20% - Accent5 2 4 4" xfId="3542"/>
    <cellStyle name="20% - Accent5 2 4 4 2" xfId="3543"/>
    <cellStyle name="20% - Accent5 2 4 4 2 2" xfId="3544"/>
    <cellStyle name="20% - Accent5 2 4 4 3" xfId="3545"/>
    <cellStyle name="20% - Accent5 2 4 5" xfId="3546"/>
    <cellStyle name="20% - Accent5 2 4 5 2" xfId="3547"/>
    <cellStyle name="20% - Accent5 2 4 6" xfId="3548"/>
    <cellStyle name="20% - Accent5 2 4 7" xfId="3549"/>
    <cellStyle name="20% - Accent5 2 4 8" xfId="3550"/>
    <cellStyle name="20% - Accent5 2 4 9" xfId="3551"/>
    <cellStyle name="20% - Accent5 2 5" xfId="3552"/>
    <cellStyle name="20% - Accent5 2 5 10" xfId="3553"/>
    <cellStyle name="20% - Accent5 2 5 2" xfId="3554"/>
    <cellStyle name="20% - Accent5 2 5 2 2" xfId="3555"/>
    <cellStyle name="20% - Accent5 2 5 2 2 2" xfId="3556"/>
    <cellStyle name="20% - Accent5 2 5 2 2 2 2" xfId="3557"/>
    <cellStyle name="20% - Accent5 2 5 2 2 3" xfId="3558"/>
    <cellStyle name="20% - Accent5 2 5 2 2 4" xfId="3559"/>
    <cellStyle name="20% - Accent5 2 5 2 3" xfId="3560"/>
    <cellStyle name="20% - Accent5 2 5 2 3 2" xfId="3561"/>
    <cellStyle name="20% - Accent5 2 5 2 3 2 2" xfId="3562"/>
    <cellStyle name="20% - Accent5 2 5 2 3 3" xfId="3563"/>
    <cellStyle name="20% - Accent5 2 5 2 4" xfId="3564"/>
    <cellStyle name="20% - Accent5 2 5 2 4 2" xfId="3565"/>
    <cellStyle name="20% - Accent5 2 5 2 5" xfId="3566"/>
    <cellStyle name="20% - Accent5 2 5 2 6" xfId="3567"/>
    <cellStyle name="20% - Accent5 2 5 3" xfId="3568"/>
    <cellStyle name="20% - Accent5 2 5 3 2" xfId="3569"/>
    <cellStyle name="20% - Accent5 2 5 3 2 2" xfId="3570"/>
    <cellStyle name="20% - Accent5 2 5 3 3" xfId="3571"/>
    <cellStyle name="20% - Accent5 2 5 3 4" xfId="3572"/>
    <cellStyle name="20% - Accent5 2 5 4" xfId="3573"/>
    <cellStyle name="20% - Accent5 2 5 4 2" xfId="3574"/>
    <cellStyle name="20% - Accent5 2 5 4 2 2" xfId="3575"/>
    <cellStyle name="20% - Accent5 2 5 4 3" xfId="3576"/>
    <cellStyle name="20% - Accent5 2 5 5" xfId="3577"/>
    <cellStyle name="20% - Accent5 2 5 5 2" xfId="3578"/>
    <cellStyle name="20% - Accent5 2 5 6" xfId="3579"/>
    <cellStyle name="20% - Accent5 2 5 7" xfId="3580"/>
    <cellStyle name="20% - Accent5 2 5 8" xfId="3581"/>
    <cellStyle name="20% - Accent5 2 5 9" xfId="3582"/>
    <cellStyle name="20% - Accent5 2 6" xfId="3583"/>
    <cellStyle name="20% - Accent5 2 6 2" xfId="3584"/>
    <cellStyle name="20% - Accent5 2 6 2 2" xfId="3585"/>
    <cellStyle name="20% - Accent5 2 6 2 2 2" xfId="3586"/>
    <cellStyle name="20% - Accent5 2 6 2 3" xfId="3587"/>
    <cellStyle name="20% - Accent5 2 6 2 4" xfId="3588"/>
    <cellStyle name="20% - Accent5 2 6 3" xfId="3589"/>
    <cellStyle name="20% - Accent5 2 6 3 2" xfId="3590"/>
    <cellStyle name="20% - Accent5 2 6 3 2 2" xfId="3591"/>
    <cellStyle name="20% - Accent5 2 6 3 3" xfId="3592"/>
    <cellStyle name="20% - Accent5 2 6 4" xfId="3593"/>
    <cellStyle name="20% - Accent5 2 6 4 2" xfId="3594"/>
    <cellStyle name="20% - Accent5 2 6 5" xfId="3595"/>
    <cellStyle name="20% - Accent5 2 6 6" xfId="3596"/>
    <cellStyle name="20% - Accent5 2 6 7" xfId="3597"/>
    <cellStyle name="20% - Accent5 2 6 8" xfId="3598"/>
    <cellStyle name="20% - Accent5 2 7" xfId="3599"/>
    <cellStyle name="20% - Accent5 2 7 2" xfId="3600"/>
    <cellStyle name="20% - Accent5 2 7 2 2" xfId="3601"/>
    <cellStyle name="20% - Accent5 2 7 2 2 2" xfId="3602"/>
    <cellStyle name="20% - Accent5 2 7 2 3" xfId="3603"/>
    <cellStyle name="20% - Accent5 2 7 2 4" xfId="3604"/>
    <cellStyle name="20% - Accent5 2 7 3" xfId="3605"/>
    <cellStyle name="20% - Accent5 2 7 3 2" xfId="3606"/>
    <cellStyle name="20% - Accent5 2 7 3 2 2" xfId="3607"/>
    <cellStyle name="20% - Accent5 2 7 3 3" xfId="3608"/>
    <cellStyle name="20% - Accent5 2 7 4" xfId="3609"/>
    <cellStyle name="20% - Accent5 2 7 4 2" xfId="3610"/>
    <cellStyle name="20% - Accent5 2 7 5" xfId="3611"/>
    <cellStyle name="20% - Accent5 2 7 6" xfId="3612"/>
    <cellStyle name="20% - Accent5 2 7 7" xfId="3613"/>
    <cellStyle name="20% - Accent5 2 8" xfId="3614"/>
    <cellStyle name="20% - Accent5 2 8 2" xfId="3615"/>
    <cellStyle name="20% - Accent5 2 8 2 2" xfId="3616"/>
    <cellStyle name="20% - Accent5 2 8 2 2 2" xfId="3617"/>
    <cellStyle name="20% - Accent5 2 8 2 3" xfId="3618"/>
    <cellStyle name="20% - Accent5 2 8 2 4" xfId="3619"/>
    <cellStyle name="20% - Accent5 2 8 3" xfId="3620"/>
    <cellStyle name="20% - Accent5 2 8 3 2" xfId="3621"/>
    <cellStyle name="20% - Accent5 2 8 3 2 2" xfId="3622"/>
    <cellStyle name="20% - Accent5 2 8 3 3" xfId="3623"/>
    <cellStyle name="20% - Accent5 2 8 4" xfId="3624"/>
    <cellStyle name="20% - Accent5 2 8 4 2" xfId="3625"/>
    <cellStyle name="20% - Accent5 2 8 5" xfId="3626"/>
    <cellStyle name="20% - Accent5 2 8 6" xfId="3627"/>
    <cellStyle name="20% - Accent5 2 8 7" xfId="3628"/>
    <cellStyle name="20% - Accent5 2 9" xfId="3629"/>
    <cellStyle name="20% - Accent5 2 9 2" xfId="3630"/>
    <cellStyle name="20% - Accent5 2 9 2 2" xfId="3631"/>
    <cellStyle name="20% - Accent5 2 9 2 2 2" xfId="3632"/>
    <cellStyle name="20% - Accent5 2 9 2 3" xfId="3633"/>
    <cellStyle name="20% - Accent5 2 9 2 4" xfId="3634"/>
    <cellStyle name="20% - Accent5 2 9 3" xfId="3635"/>
    <cellStyle name="20% - Accent5 2 9 3 2" xfId="3636"/>
    <cellStyle name="20% - Accent5 2 9 3 2 2" xfId="3637"/>
    <cellStyle name="20% - Accent5 2 9 3 3" xfId="3638"/>
    <cellStyle name="20% - Accent5 2 9 4" xfId="3639"/>
    <cellStyle name="20% - Accent5 2 9 4 2" xfId="3640"/>
    <cellStyle name="20% - Accent5 2 9 5" xfId="3641"/>
    <cellStyle name="20% - Accent5 2 9 6" xfId="3642"/>
    <cellStyle name="20% - Accent5 2_IBP - COPI Uplift at Investment Area Level 01Feb12" xfId="49225"/>
    <cellStyle name="20% - Accent5 3" xfId="82"/>
    <cellStyle name="20% - Accent5 3 10" xfId="3643"/>
    <cellStyle name="20% - Accent5 3 10 2" xfId="3644"/>
    <cellStyle name="20% - Accent5 3 10 2 2" xfId="3645"/>
    <cellStyle name="20% - Accent5 3 10 3" xfId="3646"/>
    <cellStyle name="20% - Accent5 3 11" xfId="3647"/>
    <cellStyle name="20% - Accent5 3 11 2" xfId="3648"/>
    <cellStyle name="20% - Accent5 3 12" xfId="3649"/>
    <cellStyle name="20% - Accent5 3 12 2" xfId="3650"/>
    <cellStyle name="20% - Accent5 3 13" xfId="3651"/>
    <cellStyle name="20% - Accent5 3 14" xfId="3652"/>
    <cellStyle name="20% - Accent5 3 15" xfId="3653"/>
    <cellStyle name="20% - Accent5 3 16" xfId="3654"/>
    <cellStyle name="20% - Accent5 3 2" xfId="3655"/>
    <cellStyle name="20% - Accent5 3 2 10" xfId="3656"/>
    <cellStyle name="20% - Accent5 3 2 2" xfId="3657"/>
    <cellStyle name="20% - Accent5 3 2 2 2" xfId="3658"/>
    <cellStyle name="20% - Accent5 3 2 2 2 2" xfId="3659"/>
    <cellStyle name="20% - Accent5 3 2 2 2 2 2" xfId="3660"/>
    <cellStyle name="20% - Accent5 3 2 2 2 3" xfId="3661"/>
    <cellStyle name="20% - Accent5 3 2 2 2 4" xfId="3662"/>
    <cellStyle name="20% - Accent5 3 2 2 3" xfId="3663"/>
    <cellStyle name="20% - Accent5 3 2 2 3 2" xfId="3664"/>
    <cellStyle name="20% - Accent5 3 2 2 3 2 2" xfId="3665"/>
    <cellStyle name="20% - Accent5 3 2 2 3 3" xfId="3666"/>
    <cellStyle name="20% - Accent5 3 2 2 4" xfId="3667"/>
    <cellStyle name="20% - Accent5 3 2 2 4 2" xfId="3668"/>
    <cellStyle name="20% - Accent5 3 2 2 5" xfId="3669"/>
    <cellStyle name="20% - Accent5 3 2 2 6" xfId="3670"/>
    <cellStyle name="20% - Accent5 3 2 2 7" xfId="3671"/>
    <cellStyle name="20% - Accent5 3 2 3" xfId="3672"/>
    <cellStyle name="20% - Accent5 3 2 3 2" xfId="3673"/>
    <cellStyle name="20% - Accent5 3 2 3 2 2" xfId="3674"/>
    <cellStyle name="20% - Accent5 3 2 3 3" xfId="3675"/>
    <cellStyle name="20% - Accent5 3 2 3 4" xfId="3676"/>
    <cellStyle name="20% - Accent5 3 2 3 5" xfId="3677"/>
    <cellStyle name="20% - Accent5 3 2 4" xfId="3678"/>
    <cellStyle name="20% - Accent5 3 2 4 2" xfId="3679"/>
    <cellStyle name="20% - Accent5 3 2 4 2 2" xfId="3680"/>
    <cellStyle name="20% - Accent5 3 2 4 3" xfId="3681"/>
    <cellStyle name="20% - Accent5 3 2 5" xfId="3682"/>
    <cellStyle name="20% - Accent5 3 2 5 2" xfId="3683"/>
    <cellStyle name="20% - Accent5 3 2 6" xfId="3684"/>
    <cellStyle name="20% - Accent5 3 2 7" xfId="3685"/>
    <cellStyle name="20% - Accent5 3 2 8" xfId="3686"/>
    <cellStyle name="20% - Accent5 3 2 9" xfId="3687"/>
    <cellStyle name="20% - Accent5 3 3" xfId="3688"/>
    <cellStyle name="20% - Accent5 3 3 2" xfId="3689"/>
    <cellStyle name="20% - Accent5 3 3 2 2" xfId="3690"/>
    <cellStyle name="20% - Accent5 3 3 2 2 2" xfId="3691"/>
    <cellStyle name="20% - Accent5 3 3 2 2 2 2" xfId="3692"/>
    <cellStyle name="20% - Accent5 3 3 2 2 3" xfId="3693"/>
    <cellStyle name="20% - Accent5 3 3 2 2 4" xfId="3694"/>
    <cellStyle name="20% - Accent5 3 3 2 3" xfId="3695"/>
    <cellStyle name="20% - Accent5 3 3 2 3 2" xfId="3696"/>
    <cellStyle name="20% - Accent5 3 3 2 3 2 2" xfId="3697"/>
    <cellStyle name="20% - Accent5 3 3 2 3 3" xfId="3698"/>
    <cellStyle name="20% - Accent5 3 3 2 4" xfId="3699"/>
    <cellStyle name="20% - Accent5 3 3 2 4 2" xfId="3700"/>
    <cellStyle name="20% - Accent5 3 3 2 5" xfId="3701"/>
    <cellStyle name="20% - Accent5 3 3 2 6" xfId="3702"/>
    <cellStyle name="20% - Accent5 3 3 3" xfId="3703"/>
    <cellStyle name="20% - Accent5 3 3 3 2" xfId="3704"/>
    <cellStyle name="20% - Accent5 3 3 3 2 2" xfId="3705"/>
    <cellStyle name="20% - Accent5 3 3 3 3" xfId="3706"/>
    <cellStyle name="20% - Accent5 3 3 3 4" xfId="3707"/>
    <cellStyle name="20% - Accent5 3 3 4" xfId="3708"/>
    <cellStyle name="20% - Accent5 3 3 4 2" xfId="3709"/>
    <cellStyle name="20% - Accent5 3 3 4 2 2" xfId="3710"/>
    <cellStyle name="20% - Accent5 3 3 4 3" xfId="3711"/>
    <cellStyle name="20% - Accent5 3 3 5" xfId="3712"/>
    <cellStyle name="20% - Accent5 3 3 5 2" xfId="3713"/>
    <cellStyle name="20% - Accent5 3 3 6" xfId="3714"/>
    <cellStyle name="20% - Accent5 3 3 7" xfId="3715"/>
    <cellStyle name="20% - Accent5 3 3 8" xfId="3716"/>
    <cellStyle name="20% - Accent5 3 3 9" xfId="3717"/>
    <cellStyle name="20% - Accent5 3 4" xfId="3718"/>
    <cellStyle name="20% - Accent5 3 4 2" xfId="3719"/>
    <cellStyle name="20% - Accent5 3 4 2 2" xfId="3720"/>
    <cellStyle name="20% - Accent5 3 4 2 2 2" xfId="3721"/>
    <cellStyle name="20% - Accent5 3 4 2 2 2 2" xfId="3722"/>
    <cellStyle name="20% - Accent5 3 4 2 2 3" xfId="3723"/>
    <cellStyle name="20% - Accent5 3 4 2 2 4" xfId="3724"/>
    <cellStyle name="20% - Accent5 3 4 2 3" xfId="3725"/>
    <cellStyle name="20% - Accent5 3 4 2 3 2" xfId="3726"/>
    <cellStyle name="20% - Accent5 3 4 2 3 2 2" xfId="3727"/>
    <cellStyle name="20% - Accent5 3 4 2 3 3" xfId="3728"/>
    <cellStyle name="20% - Accent5 3 4 2 4" xfId="3729"/>
    <cellStyle name="20% - Accent5 3 4 2 4 2" xfId="3730"/>
    <cellStyle name="20% - Accent5 3 4 2 5" xfId="3731"/>
    <cellStyle name="20% - Accent5 3 4 2 6" xfId="3732"/>
    <cellStyle name="20% - Accent5 3 4 3" xfId="3733"/>
    <cellStyle name="20% - Accent5 3 4 3 2" xfId="3734"/>
    <cellStyle name="20% - Accent5 3 4 3 2 2" xfId="3735"/>
    <cellStyle name="20% - Accent5 3 4 3 3" xfId="3736"/>
    <cellStyle name="20% - Accent5 3 4 3 4" xfId="3737"/>
    <cellStyle name="20% - Accent5 3 4 4" xfId="3738"/>
    <cellStyle name="20% - Accent5 3 4 4 2" xfId="3739"/>
    <cellStyle name="20% - Accent5 3 4 4 2 2" xfId="3740"/>
    <cellStyle name="20% - Accent5 3 4 4 3" xfId="3741"/>
    <cellStyle name="20% - Accent5 3 4 5" xfId="3742"/>
    <cellStyle name="20% - Accent5 3 4 5 2" xfId="3743"/>
    <cellStyle name="20% - Accent5 3 4 6" xfId="3744"/>
    <cellStyle name="20% - Accent5 3 4 7" xfId="3745"/>
    <cellStyle name="20% - Accent5 3 4 8" xfId="3746"/>
    <cellStyle name="20% - Accent5 3 5" xfId="3747"/>
    <cellStyle name="20% - Accent5 3 5 2" xfId="3748"/>
    <cellStyle name="20% - Accent5 3 5 2 2" xfId="3749"/>
    <cellStyle name="20% - Accent5 3 5 2 2 2" xfId="3750"/>
    <cellStyle name="20% - Accent5 3 5 2 3" xfId="3751"/>
    <cellStyle name="20% - Accent5 3 5 2 4" xfId="3752"/>
    <cellStyle name="20% - Accent5 3 5 3" xfId="3753"/>
    <cellStyle name="20% - Accent5 3 5 3 2" xfId="3754"/>
    <cellStyle name="20% - Accent5 3 5 3 2 2" xfId="3755"/>
    <cellStyle name="20% - Accent5 3 5 3 3" xfId="3756"/>
    <cellStyle name="20% - Accent5 3 5 4" xfId="3757"/>
    <cellStyle name="20% - Accent5 3 5 4 2" xfId="3758"/>
    <cellStyle name="20% - Accent5 3 5 5" xfId="3759"/>
    <cellStyle name="20% - Accent5 3 5 6" xfId="3760"/>
    <cellStyle name="20% - Accent5 3 5 7" xfId="3761"/>
    <cellStyle name="20% - Accent5 3 6" xfId="3762"/>
    <cellStyle name="20% - Accent5 3 6 2" xfId="3763"/>
    <cellStyle name="20% - Accent5 3 6 2 2" xfId="3764"/>
    <cellStyle name="20% - Accent5 3 6 2 2 2" xfId="3765"/>
    <cellStyle name="20% - Accent5 3 6 2 3" xfId="3766"/>
    <cellStyle name="20% - Accent5 3 6 2 4" xfId="3767"/>
    <cellStyle name="20% - Accent5 3 6 3" xfId="3768"/>
    <cellStyle name="20% - Accent5 3 6 3 2" xfId="3769"/>
    <cellStyle name="20% - Accent5 3 6 3 2 2" xfId="3770"/>
    <cellStyle name="20% - Accent5 3 6 3 3" xfId="3771"/>
    <cellStyle name="20% - Accent5 3 6 4" xfId="3772"/>
    <cellStyle name="20% - Accent5 3 6 4 2" xfId="3773"/>
    <cellStyle name="20% - Accent5 3 6 5" xfId="3774"/>
    <cellStyle name="20% - Accent5 3 6 6" xfId="3775"/>
    <cellStyle name="20% - Accent5 3 6 7" xfId="3776"/>
    <cellStyle name="20% - Accent5 3 7" xfId="3777"/>
    <cellStyle name="20% - Accent5 3 7 2" xfId="3778"/>
    <cellStyle name="20% - Accent5 3 7 2 2" xfId="3779"/>
    <cellStyle name="20% - Accent5 3 7 2 2 2" xfId="3780"/>
    <cellStyle name="20% - Accent5 3 7 2 3" xfId="3781"/>
    <cellStyle name="20% - Accent5 3 7 2 4" xfId="3782"/>
    <cellStyle name="20% - Accent5 3 7 3" xfId="3783"/>
    <cellStyle name="20% - Accent5 3 7 3 2" xfId="3784"/>
    <cellStyle name="20% - Accent5 3 7 3 2 2" xfId="3785"/>
    <cellStyle name="20% - Accent5 3 7 3 3" xfId="3786"/>
    <cellStyle name="20% - Accent5 3 7 4" xfId="3787"/>
    <cellStyle name="20% - Accent5 3 7 4 2" xfId="3788"/>
    <cellStyle name="20% - Accent5 3 7 5" xfId="3789"/>
    <cellStyle name="20% - Accent5 3 7 6" xfId="3790"/>
    <cellStyle name="20% - Accent5 3 7 7" xfId="3791"/>
    <cellStyle name="20% - Accent5 3 8" xfId="3792"/>
    <cellStyle name="20% - Accent5 3 8 2" xfId="3793"/>
    <cellStyle name="20% - Accent5 3 8 2 2" xfId="3794"/>
    <cellStyle name="20% - Accent5 3 8 2 2 2" xfId="3795"/>
    <cellStyle name="20% - Accent5 3 8 2 3" xfId="3796"/>
    <cellStyle name="20% - Accent5 3 8 2 4" xfId="3797"/>
    <cellStyle name="20% - Accent5 3 8 3" xfId="3798"/>
    <cellStyle name="20% - Accent5 3 8 3 2" xfId="3799"/>
    <cellStyle name="20% - Accent5 3 8 3 2 2" xfId="3800"/>
    <cellStyle name="20% - Accent5 3 8 3 3" xfId="3801"/>
    <cellStyle name="20% - Accent5 3 8 4" xfId="3802"/>
    <cellStyle name="20% - Accent5 3 8 4 2" xfId="3803"/>
    <cellStyle name="20% - Accent5 3 8 5" xfId="3804"/>
    <cellStyle name="20% - Accent5 3 8 6" xfId="3805"/>
    <cellStyle name="20% - Accent5 3 9" xfId="3806"/>
    <cellStyle name="20% - Accent5 3 9 2" xfId="3807"/>
    <cellStyle name="20% - Accent5 3 9 2 2" xfId="3808"/>
    <cellStyle name="20% - Accent5 3 9 3" xfId="3809"/>
    <cellStyle name="20% - Accent5 3 9 4" xfId="3810"/>
    <cellStyle name="20% - Accent5 3_IBP - COPI Uplift at Investment Area Level 01Feb12" xfId="49226"/>
    <cellStyle name="20% - Accent5 4" xfId="3811"/>
    <cellStyle name="20% - Accent5 4 10" xfId="3812"/>
    <cellStyle name="20% - Accent5 4 2" xfId="3813"/>
    <cellStyle name="20% - Accent5 4 2 2" xfId="3814"/>
    <cellStyle name="20% - Accent5 4 2 2 2" xfId="3815"/>
    <cellStyle name="20% - Accent5 4 2 2 2 2" xfId="3816"/>
    <cellStyle name="20% - Accent5 4 2 2 3" xfId="3817"/>
    <cellStyle name="20% - Accent5 4 2 2 4" xfId="3818"/>
    <cellStyle name="20% - Accent5 4 2 3" xfId="3819"/>
    <cellStyle name="20% - Accent5 4 2 3 2" xfId="3820"/>
    <cellStyle name="20% - Accent5 4 2 3 2 2" xfId="3821"/>
    <cellStyle name="20% - Accent5 4 2 3 3" xfId="3822"/>
    <cellStyle name="20% - Accent5 4 2 4" xfId="3823"/>
    <cellStyle name="20% - Accent5 4 2 4 2" xfId="3824"/>
    <cellStyle name="20% - Accent5 4 2 5" xfId="3825"/>
    <cellStyle name="20% - Accent5 4 2 6" xfId="3826"/>
    <cellStyle name="20% - Accent5 4 2 7" xfId="3827"/>
    <cellStyle name="20% - Accent5 4 3" xfId="3828"/>
    <cellStyle name="20% - Accent5 4 3 2" xfId="3829"/>
    <cellStyle name="20% - Accent5 4 3 2 2" xfId="3830"/>
    <cellStyle name="20% - Accent5 4 3 3" xfId="3831"/>
    <cellStyle name="20% - Accent5 4 3 4" xfId="3832"/>
    <cellStyle name="20% - Accent5 4 3 5" xfId="3833"/>
    <cellStyle name="20% - Accent5 4 4" xfId="3834"/>
    <cellStyle name="20% - Accent5 4 4 2" xfId="3835"/>
    <cellStyle name="20% - Accent5 4 4 2 2" xfId="3836"/>
    <cellStyle name="20% - Accent5 4 4 3" xfId="3837"/>
    <cellStyle name="20% - Accent5 4 5" xfId="3838"/>
    <cellStyle name="20% - Accent5 4 5 2" xfId="3839"/>
    <cellStyle name="20% - Accent5 4 6" xfId="3840"/>
    <cellStyle name="20% - Accent5 4 7" xfId="3841"/>
    <cellStyle name="20% - Accent5 4 8" xfId="3842"/>
    <cellStyle name="20% - Accent5 4 9" xfId="3843"/>
    <cellStyle name="20% - Accent5 5" xfId="3844"/>
    <cellStyle name="20% - Accent5 5 2" xfId="3845"/>
    <cellStyle name="20% - Accent5 5 2 2" xfId="3846"/>
    <cellStyle name="20% - Accent5 5 2 2 2" xfId="3847"/>
    <cellStyle name="20% - Accent5 5 2 2 2 2" xfId="3848"/>
    <cellStyle name="20% - Accent5 5 2 2 3" xfId="3849"/>
    <cellStyle name="20% - Accent5 5 2 2 4" xfId="3850"/>
    <cellStyle name="20% - Accent5 5 2 3" xfId="3851"/>
    <cellStyle name="20% - Accent5 5 2 3 2" xfId="3852"/>
    <cellStyle name="20% - Accent5 5 2 3 2 2" xfId="3853"/>
    <cellStyle name="20% - Accent5 5 2 3 3" xfId="3854"/>
    <cellStyle name="20% - Accent5 5 2 4" xfId="3855"/>
    <cellStyle name="20% - Accent5 5 2 4 2" xfId="3856"/>
    <cellStyle name="20% - Accent5 5 2 5" xfId="3857"/>
    <cellStyle name="20% - Accent5 5 2 6" xfId="3858"/>
    <cellStyle name="20% - Accent5 5 3" xfId="3859"/>
    <cellStyle name="20% - Accent5 5 3 2" xfId="3860"/>
    <cellStyle name="20% - Accent5 5 3 2 2" xfId="3861"/>
    <cellStyle name="20% - Accent5 5 3 3" xfId="3862"/>
    <cellStyle name="20% - Accent5 5 3 4" xfId="3863"/>
    <cellStyle name="20% - Accent5 5 4" xfId="3864"/>
    <cellStyle name="20% - Accent5 5 4 2" xfId="3865"/>
    <cellStyle name="20% - Accent5 5 4 2 2" xfId="3866"/>
    <cellStyle name="20% - Accent5 5 4 3" xfId="3867"/>
    <cellStyle name="20% - Accent5 5 5" xfId="3868"/>
    <cellStyle name="20% - Accent5 5 5 2" xfId="3869"/>
    <cellStyle name="20% - Accent5 5 6" xfId="3870"/>
    <cellStyle name="20% - Accent5 5 7" xfId="3871"/>
    <cellStyle name="20% - Accent5 5 8" xfId="3872"/>
    <cellStyle name="20% - Accent5 5 9" xfId="3873"/>
    <cellStyle name="20% - Accent5 6" xfId="3874"/>
    <cellStyle name="20% - Accent5 6 2" xfId="3875"/>
    <cellStyle name="20% - Accent5 6 2 2" xfId="3876"/>
    <cellStyle name="20% - Accent5 6 2 2 2" xfId="3877"/>
    <cellStyle name="20% - Accent5 6 2 2 2 2" xfId="3878"/>
    <cellStyle name="20% - Accent5 6 2 2 3" xfId="3879"/>
    <cellStyle name="20% - Accent5 6 2 2 4" xfId="3880"/>
    <cellStyle name="20% - Accent5 6 2 3" xfId="3881"/>
    <cellStyle name="20% - Accent5 6 2 3 2" xfId="3882"/>
    <cellStyle name="20% - Accent5 6 2 3 2 2" xfId="3883"/>
    <cellStyle name="20% - Accent5 6 2 3 3" xfId="3884"/>
    <cellStyle name="20% - Accent5 6 2 4" xfId="3885"/>
    <cellStyle name="20% - Accent5 6 2 4 2" xfId="3886"/>
    <cellStyle name="20% - Accent5 6 2 5" xfId="3887"/>
    <cellStyle name="20% - Accent5 6 2 6" xfId="3888"/>
    <cellStyle name="20% - Accent5 6 3" xfId="3889"/>
    <cellStyle name="20% - Accent5 6 3 2" xfId="3890"/>
    <cellStyle name="20% - Accent5 6 3 2 2" xfId="3891"/>
    <cellStyle name="20% - Accent5 6 3 3" xfId="3892"/>
    <cellStyle name="20% - Accent5 6 3 4" xfId="3893"/>
    <cellStyle name="20% - Accent5 6 4" xfId="3894"/>
    <cellStyle name="20% - Accent5 6 4 2" xfId="3895"/>
    <cellStyle name="20% - Accent5 6 4 2 2" xfId="3896"/>
    <cellStyle name="20% - Accent5 6 4 3" xfId="3897"/>
    <cellStyle name="20% - Accent5 6 5" xfId="3898"/>
    <cellStyle name="20% - Accent5 6 5 2" xfId="3899"/>
    <cellStyle name="20% - Accent5 6 6" xfId="3900"/>
    <cellStyle name="20% - Accent5 6 7" xfId="3901"/>
    <cellStyle name="20% - Accent5 6 8" xfId="3902"/>
    <cellStyle name="20% - Accent5 7" xfId="3903"/>
    <cellStyle name="20% - Accent5 7 2" xfId="3904"/>
    <cellStyle name="20% - Accent5 7 2 2" xfId="3905"/>
    <cellStyle name="20% - Accent5 7 2 2 2" xfId="3906"/>
    <cellStyle name="20% - Accent5 7 2 2 2 2" xfId="3907"/>
    <cellStyle name="20% - Accent5 7 2 2 3" xfId="3908"/>
    <cellStyle name="20% - Accent5 7 2 2 4" xfId="3909"/>
    <cellStyle name="20% - Accent5 7 2 3" xfId="3910"/>
    <cellStyle name="20% - Accent5 7 2 3 2" xfId="3911"/>
    <cellStyle name="20% - Accent5 7 2 3 2 2" xfId="3912"/>
    <cellStyle name="20% - Accent5 7 2 3 3" xfId="3913"/>
    <cellStyle name="20% - Accent5 7 2 4" xfId="3914"/>
    <cellStyle name="20% - Accent5 7 2 4 2" xfId="3915"/>
    <cellStyle name="20% - Accent5 7 2 5" xfId="3916"/>
    <cellStyle name="20% - Accent5 7 2 6" xfId="3917"/>
    <cellStyle name="20% - Accent5 7 3" xfId="3918"/>
    <cellStyle name="20% - Accent5 7 3 2" xfId="3919"/>
    <cellStyle name="20% - Accent5 7 3 2 2" xfId="3920"/>
    <cellStyle name="20% - Accent5 7 3 3" xfId="3921"/>
    <cellStyle name="20% - Accent5 7 3 4" xfId="3922"/>
    <cellStyle name="20% - Accent5 7 4" xfId="3923"/>
    <cellStyle name="20% - Accent5 7 4 2" xfId="3924"/>
    <cellStyle name="20% - Accent5 7 4 2 2" xfId="3925"/>
    <cellStyle name="20% - Accent5 7 4 3" xfId="3926"/>
    <cellStyle name="20% - Accent5 7 5" xfId="3927"/>
    <cellStyle name="20% - Accent5 7 5 2" xfId="3928"/>
    <cellStyle name="20% - Accent5 7 6" xfId="3929"/>
    <cellStyle name="20% - Accent5 7 7" xfId="3930"/>
    <cellStyle name="20% - Accent5 7 8" xfId="3931"/>
    <cellStyle name="20% - Accent5 8" xfId="3932"/>
    <cellStyle name="20% - Accent5 8 2" xfId="3933"/>
    <cellStyle name="20% - Accent5 8 2 2" xfId="3934"/>
    <cellStyle name="20% - Accent5 8 2 2 2" xfId="3935"/>
    <cellStyle name="20% - Accent5 8 2 3" xfId="3936"/>
    <cellStyle name="20% - Accent5 8 2 4" xfId="3937"/>
    <cellStyle name="20% - Accent5 8 3" xfId="3938"/>
    <cellStyle name="20% - Accent5 8 3 2" xfId="3939"/>
    <cellStyle name="20% - Accent5 8 3 2 2" xfId="3940"/>
    <cellStyle name="20% - Accent5 8 3 3" xfId="3941"/>
    <cellStyle name="20% - Accent5 8 4" xfId="3942"/>
    <cellStyle name="20% - Accent5 8 4 2" xfId="3943"/>
    <cellStyle name="20% - Accent5 8 5" xfId="3944"/>
    <cellStyle name="20% - Accent5 8 6" xfId="3945"/>
    <cellStyle name="20% - Accent5 8 7" xfId="3946"/>
    <cellStyle name="20% - Accent5 9" xfId="3947"/>
    <cellStyle name="20% - Accent5 9 2" xfId="3948"/>
    <cellStyle name="20% - Accent5 9 2 2" xfId="3949"/>
    <cellStyle name="20% - Accent5 9 2 2 2" xfId="3950"/>
    <cellStyle name="20% - Accent5 9 2 3" xfId="3951"/>
    <cellStyle name="20% - Accent5 9 2 4" xfId="3952"/>
    <cellStyle name="20% - Accent5 9 3" xfId="3953"/>
    <cellStyle name="20% - Accent5 9 3 2" xfId="3954"/>
    <cellStyle name="20% - Accent5 9 3 2 2" xfId="3955"/>
    <cellStyle name="20% - Accent5 9 3 3" xfId="3956"/>
    <cellStyle name="20% - Accent5 9 4" xfId="3957"/>
    <cellStyle name="20% - Accent5 9 4 2" xfId="3958"/>
    <cellStyle name="20% - Accent5 9 5" xfId="3959"/>
    <cellStyle name="20% - Accent5 9 6" xfId="3960"/>
    <cellStyle name="20% - Accent5 9 7" xfId="3961"/>
    <cellStyle name="20% - Accent6" xfId="6" builtinId="50" customBuiltin="1"/>
    <cellStyle name="20% - Accent6 10" xfId="3962"/>
    <cellStyle name="20% - Accent6 10 2" xfId="3963"/>
    <cellStyle name="20% - Accent6 10 2 2" xfId="3964"/>
    <cellStyle name="20% - Accent6 10 2 2 2" xfId="3965"/>
    <cellStyle name="20% - Accent6 10 2 3" xfId="3966"/>
    <cellStyle name="20% - Accent6 10 2 4" xfId="3967"/>
    <cellStyle name="20% - Accent6 10 3" xfId="3968"/>
    <cellStyle name="20% - Accent6 10 3 2" xfId="3969"/>
    <cellStyle name="20% - Accent6 10 3 2 2" xfId="3970"/>
    <cellStyle name="20% - Accent6 10 3 3" xfId="3971"/>
    <cellStyle name="20% - Accent6 10 4" xfId="3972"/>
    <cellStyle name="20% - Accent6 10 4 2" xfId="3973"/>
    <cellStyle name="20% - Accent6 10 5" xfId="3974"/>
    <cellStyle name="20% - Accent6 10 6" xfId="3975"/>
    <cellStyle name="20% - Accent6 10 7" xfId="3976"/>
    <cellStyle name="20% - Accent6 11" xfId="3977"/>
    <cellStyle name="20% - Accent6 11 2" xfId="3978"/>
    <cellStyle name="20% - Accent6 11 2 2" xfId="3979"/>
    <cellStyle name="20% - Accent6 11 2 2 2" xfId="3980"/>
    <cellStyle name="20% - Accent6 11 2 3" xfId="3981"/>
    <cellStyle name="20% - Accent6 11 2 4" xfId="3982"/>
    <cellStyle name="20% - Accent6 11 3" xfId="3983"/>
    <cellStyle name="20% - Accent6 11 3 2" xfId="3984"/>
    <cellStyle name="20% - Accent6 11 3 2 2" xfId="3985"/>
    <cellStyle name="20% - Accent6 11 3 3" xfId="3986"/>
    <cellStyle name="20% - Accent6 11 4" xfId="3987"/>
    <cellStyle name="20% - Accent6 11 4 2" xfId="3988"/>
    <cellStyle name="20% - Accent6 11 5" xfId="3989"/>
    <cellStyle name="20% - Accent6 11 6" xfId="3990"/>
    <cellStyle name="20% - Accent6 11 7" xfId="3991"/>
    <cellStyle name="20% - Accent6 12" xfId="3992"/>
    <cellStyle name="20% - Accent6 12 2" xfId="3993"/>
    <cellStyle name="20% - Accent6 12 2 2" xfId="3994"/>
    <cellStyle name="20% - Accent6 12 3" xfId="3995"/>
    <cellStyle name="20% - Accent6 12 4" xfId="3996"/>
    <cellStyle name="20% - Accent6 13" xfId="3997"/>
    <cellStyle name="20% - Accent6 13 2" xfId="3998"/>
    <cellStyle name="20% - Accent6 13 2 2" xfId="3999"/>
    <cellStyle name="20% - Accent6 13 3" xfId="4000"/>
    <cellStyle name="20% - Accent6 14" xfId="4001"/>
    <cellStyle name="20% - Accent6 14 2" xfId="4002"/>
    <cellStyle name="20% - Accent6 15" xfId="4003"/>
    <cellStyle name="20% - Accent6 15 2" xfId="4004"/>
    <cellStyle name="20% - Accent6 16" xfId="4005"/>
    <cellStyle name="20% - Accent6 16 2" xfId="4006"/>
    <cellStyle name="20% - Accent6 17" xfId="4007"/>
    <cellStyle name="20% - Accent6 18" xfId="4008"/>
    <cellStyle name="20% - Accent6 19" xfId="4009"/>
    <cellStyle name="20% - Accent6 2" xfId="83"/>
    <cellStyle name="20% - Accent6 2 10" xfId="4010"/>
    <cellStyle name="20% - Accent6 2 10 2" xfId="4011"/>
    <cellStyle name="20% - Accent6 2 10 2 2" xfId="4012"/>
    <cellStyle name="20% - Accent6 2 10 3" xfId="4013"/>
    <cellStyle name="20% - Accent6 2 10 4" xfId="4014"/>
    <cellStyle name="20% - Accent6 2 11" xfId="4015"/>
    <cellStyle name="20% - Accent6 2 11 2" xfId="4016"/>
    <cellStyle name="20% - Accent6 2 11 2 2" xfId="4017"/>
    <cellStyle name="20% - Accent6 2 11 3" xfId="4018"/>
    <cellStyle name="20% - Accent6 2 12" xfId="4019"/>
    <cellStyle name="20% - Accent6 2 12 2" xfId="4020"/>
    <cellStyle name="20% - Accent6 2 13" xfId="4021"/>
    <cellStyle name="20% - Accent6 2 13 2" xfId="4022"/>
    <cellStyle name="20% - Accent6 2 14" xfId="4023"/>
    <cellStyle name="20% - Accent6 2 15" xfId="4024"/>
    <cellStyle name="20% - Accent6 2 16" xfId="4025"/>
    <cellStyle name="20% - Accent6 2 17" xfId="4026"/>
    <cellStyle name="20% - Accent6 2 18" xfId="4027"/>
    <cellStyle name="20% - Accent6 2 2" xfId="84"/>
    <cellStyle name="20% - Accent6 2 2 2" xfId="4028"/>
    <cellStyle name="20% - Accent6 2 2 2 2" xfId="4029"/>
    <cellStyle name="20% - Accent6 2 2 2 2 2" xfId="4030"/>
    <cellStyle name="20% - Accent6 2 2 2 2 2 2" xfId="4031"/>
    <cellStyle name="20% - Accent6 2 2 2 2 3" xfId="4032"/>
    <cellStyle name="20% - Accent6 2 2 2 2 4" xfId="4033"/>
    <cellStyle name="20% - Accent6 2 2 2 2 5" xfId="4034"/>
    <cellStyle name="20% - Accent6 2 2 2 3" xfId="4035"/>
    <cellStyle name="20% - Accent6 2 2 2 3 2" xfId="4036"/>
    <cellStyle name="20% - Accent6 2 2 2 3 2 2" xfId="4037"/>
    <cellStyle name="20% - Accent6 2 2 2 3 3" xfId="4038"/>
    <cellStyle name="20% - Accent6 2 2 2 4" xfId="4039"/>
    <cellStyle name="20% - Accent6 2 2 2 4 2" xfId="4040"/>
    <cellStyle name="20% - Accent6 2 2 2 5" xfId="4041"/>
    <cellStyle name="20% - Accent6 2 2 2 6" xfId="4042"/>
    <cellStyle name="20% - Accent6 2 2 2 7" xfId="4043"/>
    <cellStyle name="20% - Accent6 2 2 2 8" xfId="4044"/>
    <cellStyle name="20% - Accent6 2 2 2 9" xfId="4045"/>
    <cellStyle name="20% - Accent6 2 2 3" xfId="4046"/>
    <cellStyle name="20% - Accent6 2 2 4" xfId="4047"/>
    <cellStyle name="20% - Accent6 2 2 4 2" xfId="4048"/>
    <cellStyle name="20% - Accent6 2 2 4 2 2" xfId="4049"/>
    <cellStyle name="20% - Accent6 2 2 4 3" xfId="4050"/>
    <cellStyle name="20% - Accent6 2 2 4 4" xfId="4051"/>
    <cellStyle name="20% - Accent6 2 2 5" xfId="4052"/>
    <cellStyle name="20% - Accent6 2 2 5 2" xfId="4053"/>
    <cellStyle name="20% - Accent6 2 2 5 2 2" xfId="4054"/>
    <cellStyle name="20% - Accent6 2 2 5 3" xfId="4055"/>
    <cellStyle name="20% - Accent6 2 2 6" xfId="4056"/>
    <cellStyle name="20% - Accent6 2 2 6 2" xfId="4057"/>
    <cellStyle name="20% - Accent6 2 2 7" xfId="4058"/>
    <cellStyle name="20% - Accent6 2 2 8" xfId="4059"/>
    <cellStyle name="20% - Accent6 2 3" xfId="4060"/>
    <cellStyle name="20% - Accent6 2 3 10" xfId="4061"/>
    <cellStyle name="20% - Accent6 2 3 2" xfId="4062"/>
    <cellStyle name="20% - Accent6 2 3 2 2" xfId="4063"/>
    <cellStyle name="20% - Accent6 2 3 2 2 2" xfId="4064"/>
    <cellStyle name="20% - Accent6 2 3 2 2 2 2" xfId="4065"/>
    <cellStyle name="20% - Accent6 2 3 2 2 3" xfId="4066"/>
    <cellStyle name="20% - Accent6 2 3 2 2 4" xfId="4067"/>
    <cellStyle name="20% - Accent6 2 3 2 3" xfId="4068"/>
    <cellStyle name="20% - Accent6 2 3 2 3 2" xfId="4069"/>
    <cellStyle name="20% - Accent6 2 3 2 3 2 2" xfId="4070"/>
    <cellStyle name="20% - Accent6 2 3 2 3 3" xfId="4071"/>
    <cellStyle name="20% - Accent6 2 3 2 4" xfId="4072"/>
    <cellStyle name="20% - Accent6 2 3 2 4 2" xfId="4073"/>
    <cellStyle name="20% - Accent6 2 3 2 5" xfId="4074"/>
    <cellStyle name="20% - Accent6 2 3 2 6" xfId="4075"/>
    <cellStyle name="20% - Accent6 2 3 2 7" xfId="4076"/>
    <cellStyle name="20% - Accent6 2 3 3" xfId="4077"/>
    <cellStyle name="20% - Accent6 2 3 3 2" xfId="4078"/>
    <cellStyle name="20% - Accent6 2 3 3 2 2" xfId="4079"/>
    <cellStyle name="20% - Accent6 2 3 3 3" xfId="4080"/>
    <cellStyle name="20% - Accent6 2 3 3 4" xfId="4081"/>
    <cellStyle name="20% - Accent6 2 3 3 5" xfId="4082"/>
    <cellStyle name="20% - Accent6 2 3 4" xfId="4083"/>
    <cellStyle name="20% - Accent6 2 3 4 2" xfId="4084"/>
    <cellStyle name="20% - Accent6 2 3 4 2 2" xfId="4085"/>
    <cellStyle name="20% - Accent6 2 3 4 3" xfId="4086"/>
    <cellStyle name="20% - Accent6 2 3 5" xfId="4087"/>
    <cellStyle name="20% - Accent6 2 3 5 2" xfId="4088"/>
    <cellStyle name="20% - Accent6 2 3 6" xfId="4089"/>
    <cellStyle name="20% - Accent6 2 3 7" xfId="4090"/>
    <cellStyle name="20% - Accent6 2 3 8" xfId="4091"/>
    <cellStyle name="20% - Accent6 2 3 9" xfId="4092"/>
    <cellStyle name="20% - Accent6 2 4" xfId="4093"/>
    <cellStyle name="20% - Accent6 2 4 10" xfId="4094"/>
    <cellStyle name="20% - Accent6 2 4 2" xfId="4095"/>
    <cellStyle name="20% - Accent6 2 4 2 2" xfId="4096"/>
    <cellStyle name="20% - Accent6 2 4 2 2 2" xfId="4097"/>
    <cellStyle name="20% - Accent6 2 4 2 2 2 2" xfId="4098"/>
    <cellStyle name="20% - Accent6 2 4 2 2 3" xfId="4099"/>
    <cellStyle name="20% - Accent6 2 4 2 2 4" xfId="4100"/>
    <cellStyle name="20% - Accent6 2 4 2 3" xfId="4101"/>
    <cellStyle name="20% - Accent6 2 4 2 3 2" xfId="4102"/>
    <cellStyle name="20% - Accent6 2 4 2 3 2 2" xfId="4103"/>
    <cellStyle name="20% - Accent6 2 4 2 3 3" xfId="4104"/>
    <cellStyle name="20% - Accent6 2 4 2 4" xfId="4105"/>
    <cellStyle name="20% - Accent6 2 4 2 4 2" xfId="4106"/>
    <cellStyle name="20% - Accent6 2 4 2 5" xfId="4107"/>
    <cellStyle name="20% - Accent6 2 4 2 6" xfId="4108"/>
    <cellStyle name="20% - Accent6 2 4 2 7" xfId="4109"/>
    <cellStyle name="20% - Accent6 2 4 3" xfId="4110"/>
    <cellStyle name="20% - Accent6 2 4 3 2" xfId="4111"/>
    <cellStyle name="20% - Accent6 2 4 3 2 2" xfId="4112"/>
    <cellStyle name="20% - Accent6 2 4 3 3" xfId="4113"/>
    <cellStyle name="20% - Accent6 2 4 3 4" xfId="4114"/>
    <cellStyle name="20% - Accent6 2 4 4" xfId="4115"/>
    <cellStyle name="20% - Accent6 2 4 4 2" xfId="4116"/>
    <cellStyle name="20% - Accent6 2 4 4 2 2" xfId="4117"/>
    <cellStyle name="20% - Accent6 2 4 4 3" xfId="4118"/>
    <cellStyle name="20% - Accent6 2 4 5" xfId="4119"/>
    <cellStyle name="20% - Accent6 2 4 5 2" xfId="4120"/>
    <cellStyle name="20% - Accent6 2 4 6" xfId="4121"/>
    <cellStyle name="20% - Accent6 2 4 7" xfId="4122"/>
    <cellStyle name="20% - Accent6 2 4 8" xfId="4123"/>
    <cellStyle name="20% - Accent6 2 4 9" xfId="4124"/>
    <cellStyle name="20% - Accent6 2 5" xfId="4125"/>
    <cellStyle name="20% - Accent6 2 5 10" xfId="4126"/>
    <cellStyle name="20% - Accent6 2 5 2" xfId="4127"/>
    <cellStyle name="20% - Accent6 2 5 2 2" xfId="4128"/>
    <cellStyle name="20% - Accent6 2 5 2 2 2" xfId="4129"/>
    <cellStyle name="20% - Accent6 2 5 2 2 2 2" xfId="4130"/>
    <cellStyle name="20% - Accent6 2 5 2 2 3" xfId="4131"/>
    <cellStyle name="20% - Accent6 2 5 2 2 4" xfId="4132"/>
    <cellStyle name="20% - Accent6 2 5 2 3" xfId="4133"/>
    <cellStyle name="20% - Accent6 2 5 2 3 2" xfId="4134"/>
    <cellStyle name="20% - Accent6 2 5 2 3 2 2" xfId="4135"/>
    <cellStyle name="20% - Accent6 2 5 2 3 3" xfId="4136"/>
    <cellStyle name="20% - Accent6 2 5 2 4" xfId="4137"/>
    <cellStyle name="20% - Accent6 2 5 2 4 2" xfId="4138"/>
    <cellStyle name="20% - Accent6 2 5 2 5" xfId="4139"/>
    <cellStyle name="20% - Accent6 2 5 2 6" xfId="4140"/>
    <cellStyle name="20% - Accent6 2 5 3" xfId="4141"/>
    <cellStyle name="20% - Accent6 2 5 3 2" xfId="4142"/>
    <cellStyle name="20% - Accent6 2 5 3 2 2" xfId="4143"/>
    <cellStyle name="20% - Accent6 2 5 3 3" xfId="4144"/>
    <cellStyle name="20% - Accent6 2 5 3 4" xfId="4145"/>
    <cellStyle name="20% - Accent6 2 5 4" xfId="4146"/>
    <cellStyle name="20% - Accent6 2 5 4 2" xfId="4147"/>
    <cellStyle name="20% - Accent6 2 5 4 2 2" xfId="4148"/>
    <cellStyle name="20% - Accent6 2 5 4 3" xfId="4149"/>
    <cellStyle name="20% - Accent6 2 5 5" xfId="4150"/>
    <cellStyle name="20% - Accent6 2 5 5 2" xfId="4151"/>
    <cellStyle name="20% - Accent6 2 5 6" xfId="4152"/>
    <cellStyle name="20% - Accent6 2 5 7" xfId="4153"/>
    <cellStyle name="20% - Accent6 2 5 8" xfId="4154"/>
    <cellStyle name="20% - Accent6 2 5 9" xfId="4155"/>
    <cellStyle name="20% - Accent6 2 6" xfId="4156"/>
    <cellStyle name="20% - Accent6 2 6 2" xfId="4157"/>
    <cellStyle name="20% - Accent6 2 6 2 2" xfId="4158"/>
    <cellStyle name="20% - Accent6 2 6 2 2 2" xfId="4159"/>
    <cellStyle name="20% - Accent6 2 6 2 3" xfId="4160"/>
    <cellStyle name="20% - Accent6 2 6 2 4" xfId="4161"/>
    <cellStyle name="20% - Accent6 2 6 3" xfId="4162"/>
    <cellStyle name="20% - Accent6 2 6 3 2" xfId="4163"/>
    <cellStyle name="20% - Accent6 2 6 3 2 2" xfId="4164"/>
    <cellStyle name="20% - Accent6 2 6 3 3" xfId="4165"/>
    <cellStyle name="20% - Accent6 2 6 4" xfId="4166"/>
    <cellStyle name="20% - Accent6 2 6 4 2" xfId="4167"/>
    <cellStyle name="20% - Accent6 2 6 5" xfId="4168"/>
    <cellStyle name="20% - Accent6 2 6 6" xfId="4169"/>
    <cellStyle name="20% - Accent6 2 6 7" xfId="4170"/>
    <cellStyle name="20% - Accent6 2 6 8" xfId="4171"/>
    <cellStyle name="20% - Accent6 2 7" xfId="4172"/>
    <cellStyle name="20% - Accent6 2 7 2" xfId="4173"/>
    <cellStyle name="20% - Accent6 2 7 2 2" xfId="4174"/>
    <cellStyle name="20% - Accent6 2 7 2 2 2" xfId="4175"/>
    <cellStyle name="20% - Accent6 2 7 2 3" xfId="4176"/>
    <cellStyle name="20% - Accent6 2 7 2 4" xfId="4177"/>
    <cellStyle name="20% - Accent6 2 7 3" xfId="4178"/>
    <cellStyle name="20% - Accent6 2 7 3 2" xfId="4179"/>
    <cellStyle name="20% - Accent6 2 7 3 2 2" xfId="4180"/>
    <cellStyle name="20% - Accent6 2 7 3 3" xfId="4181"/>
    <cellStyle name="20% - Accent6 2 7 4" xfId="4182"/>
    <cellStyle name="20% - Accent6 2 7 4 2" xfId="4183"/>
    <cellStyle name="20% - Accent6 2 7 5" xfId="4184"/>
    <cellStyle name="20% - Accent6 2 7 6" xfId="4185"/>
    <cellStyle name="20% - Accent6 2 7 7" xfId="4186"/>
    <cellStyle name="20% - Accent6 2 8" xfId="4187"/>
    <cellStyle name="20% - Accent6 2 8 2" xfId="4188"/>
    <cellStyle name="20% - Accent6 2 8 2 2" xfId="4189"/>
    <cellStyle name="20% - Accent6 2 8 2 2 2" xfId="4190"/>
    <cellStyle name="20% - Accent6 2 8 2 3" xfId="4191"/>
    <cellStyle name="20% - Accent6 2 8 2 4" xfId="4192"/>
    <cellStyle name="20% - Accent6 2 8 3" xfId="4193"/>
    <cellStyle name="20% - Accent6 2 8 3 2" xfId="4194"/>
    <cellStyle name="20% - Accent6 2 8 3 2 2" xfId="4195"/>
    <cellStyle name="20% - Accent6 2 8 3 3" xfId="4196"/>
    <cellStyle name="20% - Accent6 2 8 4" xfId="4197"/>
    <cellStyle name="20% - Accent6 2 8 4 2" xfId="4198"/>
    <cellStyle name="20% - Accent6 2 8 5" xfId="4199"/>
    <cellStyle name="20% - Accent6 2 8 6" xfId="4200"/>
    <cellStyle name="20% - Accent6 2 8 7" xfId="4201"/>
    <cellStyle name="20% - Accent6 2 9" xfId="4202"/>
    <cellStyle name="20% - Accent6 2 9 2" xfId="4203"/>
    <cellStyle name="20% - Accent6 2 9 2 2" xfId="4204"/>
    <cellStyle name="20% - Accent6 2 9 2 2 2" xfId="4205"/>
    <cellStyle name="20% - Accent6 2 9 2 3" xfId="4206"/>
    <cellStyle name="20% - Accent6 2 9 2 4" xfId="4207"/>
    <cellStyle name="20% - Accent6 2 9 3" xfId="4208"/>
    <cellStyle name="20% - Accent6 2 9 3 2" xfId="4209"/>
    <cellStyle name="20% - Accent6 2 9 3 2 2" xfId="4210"/>
    <cellStyle name="20% - Accent6 2 9 3 3" xfId="4211"/>
    <cellStyle name="20% - Accent6 2 9 4" xfId="4212"/>
    <cellStyle name="20% - Accent6 2 9 4 2" xfId="4213"/>
    <cellStyle name="20% - Accent6 2 9 5" xfId="4214"/>
    <cellStyle name="20% - Accent6 2 9 6" xfId="4215"/>
    <cellStyle name="20% - Accent6 2_IBP - COPI Uplift at Investment Area Level 01Feb12" xfId="49227"/>
    <cellStyle name="20% - Accent6 3" xfId="85"/>
    <cellStyle name="20% - Accent6 3 10" xfId="4216"/>
    <cellStyle name="20% - Accent6 3 10 2" xfId="4217"/>
    <cellStyle name="20% - Accent6 3 10 2 2" xfId="4218"/>
    <cellStyle name="20% - Accent6 3 10 3" xfId="4219"/>
    <cellStyle name="20% - Accent6 3 11" xfId="4220"/>
    <cellStyle name="20% - Accent6 3 11 2" xfId="4221"/>
    <cellStyle name="20% - Accent6 3 12" xfId="4222"/>
    <cellStyle name="20% - Accent6 3 12 2" xfId="4223"/>
    <cellStyle name="20% - Accent6 3 13" xfId="4224"/>
    <cellStyle name="20% - Accent6 3 14" xfId="4225"/>
    <cellStyle name="20% - Accent6 3 15" xfId="4226"/>
    <cellStyle name="20% - Accent6 3 16" xfId="4227"/>
    <cellStyle name="20% - Accent6 3 2" xfId="4228"/>
    <cellStyle name="20% - Accent6 3 2 10" xfId="4229"/>
    <cellStyle name="20% - Accent6 3 2 2" xfId="4230"/>
    <cellStyle name="20% - Accent6 3 2 2 2" xfId="4231"/>
    <cellStyle name="20% - Accent6 3 2 2 2 2" xfId="4232"/>
    <cellStyle name="20% - Accent6 3 2 2 2 2 2" xfId="4233"/>
    <cellStyle name="20% - Accent6 3 2 2 2 3" xfId="4234"/>
    <cellStyle name="20% - Accent6 3 2 2 2 4" xfId="4235"/>
    <cellStyle name="20% - Accent6 3 2 2 3" xfId="4236"/>
    <cellStyle name="20% - Accent6 3 2 2 3 2" xfId="4237"/>
    <cellStyle name="20% - Accent6 3 2 2 3 2 2" xfId="4238"/>
    <cellStyle name="20% - Accent6 3 2 2 3 3" xfId="4239"/>
    <cellStyle name="20% - Accent6 3 2 2 4" xfId="4240"/>
    <cellStyle name="20% - Accent6 3 2 2 4 2" xfId="4241"/>
    <cellStyle name="20% - Accent6 3 2 2 5" xfId="4242"/>
    <cellStyle name="20% - Accent6 3 2 2 6" xfId="4243"/>
    <cellStyle name="20% - Accent6 3 2 2 7" xfId="4244"/>
    <cellStyle name="20% - Accent6 3 2 3" xfId="4245"/>
    <cellStyle name="20% - Accent6 3 2 3 2" xfId="4246"/>
    <cellStyle name="20% - Accent6 3 2 3 2 2" xfId="4247"/>
    <cellStyle name="20% - Accent6 3 2 3 3" xfId="4248"/>
    <cellStyle name="20% - Accent6 3 2 3 4" xfId="4249"/>
    <cellStyle name="20% - Accent6 3 2 3 5" xfId="4250"/>
    <cellStyle name="20% - Accent6 3 2 4" xfId="4251"/>
    <cellStyle name="20% - Accent6 3 2 4 2" xfId="4252"/>
    <cellStyle name="20% - Accent6 3 2 4 2 2" xfId="4253"/>
    <cellStyle name="20% - Accent6 3 2 4 3" xfId="4254"/>
    <cellStyle name="20% - Accent6 3 2 5" xfId="4255"/>
    <cellStyle name="20% - Accent6 3 2 5 2" xfId="4256"/>
    <cellStyle name="20% - Accent6 3 2 6" xfId="4257"/>
    <cellStyle name="20% - Accent6 3 2 7" xfId="4258"/>
    <cellStyle name="20% - Accent6 3 2 8" xfId="4259"/>
    <cellStyle name="20% - Accent6 3 2 9" xfId="4260"/>
    <cellStyle name="20% - Accent6 3 3" xfId="4261"/>
    <cellStyle name="20% - Accent6 3 3 2" xfId="4262"/>
    <cellStyle name="20% - Accent6 3 3 2 2" xfId="4263"/>
    <cellStyle name="20% - Accent6 3 3 2 2 2" xfId="4264"/>
    <cellStyle name="20% - Accent6 3 3 2 2 2 2" xfId="4265"/>
    <cellStyle name="20% - Accent6 3 3 2 2 3" xfId="4266"/>
    <cellStyle name="20% - Accent6 3 3 2 2 4" xfId="4267"/>
    <cellStyle name="20% - Accent6 3 3 2 3" xfId="4268"/>
    <cellStyle name="20% - Accent6 3 3 2 3 2" xfId="4269"/>
    <cellStyle name="20% - Accent6 3 3 2 3 2 2" xfId="4270"/>
    <cellStyle name="20% - Accent6 3 3 2 3 3" xfId="4271"/>
    <cellStyle name="20% - Accent6 3 3 2 4" xfId="4272"/>
    <cellStyle name="20% - Accent6 3 3 2 4 2" xfId="4273"/>
    <cellStyle name="20% - Accent6 3 3 2 5" xfId="4274"/>
    <cellStyle name="20% - Accent6 3 3 2 6" xfId="4275"/>
    <cellStyle name="20% - Accent6 3 3 3" xfId="4276"/>
    <cellStyle name="20% - Accent6 3 3 3 2" xfId="4277"/>
    <cellStyle name="20% - Accent6 3 3 3 2 2" xfId="4278"/>
    <cellStyle name="20% - Accent6 3 3 3 3" xfId="4279"/>
    <cellStyle name="20% - Accent6 3 3 3 4" xfId="4280"/>
    <cellStyle name="20% - Accent6 3 3 4" xfId="4281"/>
    <cellStyle name="20% - Accent6 3 3 4 2" xfId="4282"/>
    <cellStyle name="20% - Accent6 3 3 4 2 2" xfId="4283"/>
    <cellStyle name="20% - Accent6 3 3 4 3" xfId="4284"/>
    <cellStyle name="20% - Accent6 3 3 5" xfId="4285"/>
    <cellStyle name="20% - Accent6 3 3 5 2" xfId="4286"/>
    <cellStyle name="20% - Accent6 3 3 6" xfId="4287"/>
    <cellStyle name="20% - Accent6 3 3 7" xfId="4288"/>
    <cellStyle name="20% - Accent6 3 3 8" xfId="4289"/>
    <cellStyle name="20% - Accent6 3 3 9" xfId="4290"/>
    <cellStyle name="20% - Accent6 3 4" xfId="4291"/>
    <cellStyle name="20% - Accent6 3 4 2" xfId="4292"/>
    <cellStyle name="20% - Accent6 3 4 2 2" xfId="4293"/>
    <cellStyle name="20% - Accent6 3 4 2 2 2" xfId="4294"/>
    <cellStyle name="20% - Accent6 3 4 2 2 2 2" xfId="4295"/>
    <cellStyle name="20% - Accent6 3 4 2 2 3" xfId="4296"/>
    <cellStyle name="20% - Accent6 3 4 2 2 4" xfId="4297"/>
    <cellStyle name="20% - Accent6 3 4 2 3" xfId="4298"/>
    <cellStyle name="20% - Accent6 3 4 2 3 2" xfId="4299"/>
    <cellStyle name="20% - Accent6 3 4 2 3 2 2" xfId="4300"/>
    <cellStyle name="20% - Accent6 3 4 2 3 3" xfId="4301"/>
    <cellStyle name="20% - Accent6 3 4 2 4" xfId="4302"/>
    <cellStyle name="20% - Accent6 3 4 2 4 2" xfId="4303"/>
    <cellStyle name="20% - Accent6 3 4 2 5" xfId="4304"/>
    <cellStyle name="20% - Accent6 3 4 2 6" xfId="4305"/>
    <cellStyle name="20% - Accent6 3 4 3" xfId="4306"/>
    <cellStyle name="20% - Accent6 3 4 3 2" xfId="4307"/>
    <cellStyle name="20% - Accent6 3 4 3 2 2" xfId="4308"/>
    <cellStyle name="20% - Accent6 3 4 3 3" xfId="4309"/>
    <cellStyle name="20% - Accent6 3 4 3 4" xfId="4310"/>
    <cellStyle name="20% - Accent6 3 4 4" xfId="4311"/>
    <cellStyle name="20% - Accent6 3 4 4 2" xfId="4312"/>
    <cellStyle name="20% - Accent6 3 4 4 2 2" xfId="4313"/>
    <cellStyle name="20% - Accent6 3 4 4 3" xfId="4314"/>
    <cellStyle name="20% - Accent6 3 4 5" xfId="4315"/>
    <cellStyle name="20% - Accent6 3 4 5 2" xfId="4316"/>
    <cellStyle name="20% - Accent6 3 4 6" xfId="4317"/>
    <cellStyle name="20% - Accent6 3 4 7" xfId="4318"/>
    <cellStyle name="20% - Accent6 3 4 8" xfId="4319"/>
    <cellStyle name="20% - Accent6 3 5" xfId="4320"/>
    <cellStyle name="20% - Accent6 3 5 2" xfId="4321"/>
    <cellStyle name="20% - Accent6 3 5 2 2" xfId="4322"/>
    <cellStyle name="20% - Accent6 3 5 2 2 2" xfId="4323"/>
    <cellStyle name="20% - Accent6 3 5 2 3" xfId="4324"/>
    <cellStyle name="20% - Accent6 3 5 2 4" xfId="4325"/>
    <cellStyle name="20% - Accent6 3 5 3" xfId="4326"/>
    <cellStyle name="20% - Accent6 3 5 3 2" xfId="4327"/>
    <cellStyle name="20% - Accent6 3 5 3 2 2" xfId="4328"/>
    <cellStyle name="20% - Accent6 3 5 3 3" xfId="4329"/>
    <cellStyle name="20% - Accent6 3 5 4" xfId="4330"/>
    <cellStyle name="20% - Accent6 3 5 4 2" xfId="4331"/>
    <cellStyle name="20% - Accent6 3 5 5" xfId="4332"/>
    <cellStyle name="20% - Accent6 3 5 6" xfId="4333"/>
    <cellStyle name="20% - Accent6 3 5 7" xfId="4334"/>
    <cellStyle name="20% - Accent6 3 6" xfId="4335"/>
    <cellStyle name="20% - Accent6 3 6 2" xfId="4336"/>
    <cellStyle name="20% - Accent6 3 6 2 2" xfId="4337"/>
    <cellStyle name="20% - Accent6 3 6 2 2 2" xfId="4338"/>
    <cellStyle name="20% - Accent6 3 6 2 3" xfId="4339"/>
    <cellStyle name="20% - Accent6 3 6 2 4" xfId="4340"/>
    <cellStyle name="20% - Accent6 3 6 3" xfId="4341"/>
    <cellStyle name="20% - Accent6 3 6 3 2" xfId="4342"/>
    <cellStyle name="20% - Accent6 3 6 3 2 2" xfId="4343"/>
    <cellStyle name="20% - Accent6 3 6 3 3" xfId="4344"/>
    <cellStyle name="20% - Accent6 3 6 4" xfId="4345"/>
    <cellStyle name="20% - Accent6 3 6 4 2" xfId="4346"/>
    <cellStyle name="20% - Accent6 3 6 5" xfId="4347"/>
    <cellStyle name="20% - Accent6 3 6 6" xfId="4348"/>
    <cellStyle name="20% - Accent6 3 6 7" xfId="4349"/>
    <cellStyle name="20% - Accent6 3 7" xfId="4350"/>
    <cellStyle name="20% - Accent6 3 7 2" xfId="4351"/>
    <cellStyle name="20% - Accent6 3 7 2 2" xfId="4352"/>
    <cellStyle name="20% - Accent6 3 7 2 2 2" xfId="4353"/>
    <cellStyle name="20% - Accent6 3 7 2 3" xfId="4354"/>
    <cellStyle name="20% - Accent6 3 7 2 4" xfId="4355"/>
    <cellStyle name="20% - Accent6 3 7 3" xfId="4356"/>
    <cellStyle name="20% - Accent6 3 7 3 2" xfId="4357"/>
    <cellStyle name="20% - Accent6 3 7 3 2 2" xfId="4358"/>
    <cellStyle name="20% - Accent6 3 7 3 3" xfId="4359"/>
    <cellStyle name="20% - Accent6 3 7 4" xfId="4360"/>
    <cellStyle name="20% - Accent6 3 7 4 2" xfId="4361"/>
    <cellStyle name="20% - Accent6 3 7 5" xfId="4362"/>
    <cellStyle name="20% - Accent6 3 7 6" xfId="4363"/>
    <cellStyle name="20% - Accent6 3 7 7" xfId="4364"/>
    <cellStyle name="20% - Accent6 3 8" xfId="4365"/>
    <cellStyle name="20% - Accent6 3 8 2" xfId="4366"/>
    <cellStyle name="20% - Accent6 3 8 2 2" xfId="4367"/>
    <cellStyle name="20% - Accent6 3 8 2 2 2" xfId="4368"/>
    <cellStyle name="20% - Accent6 3 8 2 3" xfId="4369"/>
    <cellStyle name="20% - Accent6 3 8 2 4" xfId="4370"/>
    <cellStyle name="20% - Accent6 3 8 3" xfId="4371"/>
    <cellStyle name="20% - Accent6 3 8 3 2" xfId="4372"/>
    <cellStyle name="20% - Accent6 3 8 3 2 2" xfId="4373"/>
    <cellStyle name="20% - Accent6 3 8 3 3" xfId="4374"/>
    <cellStyle name="20% - Accent6 3 8 4" xfId="4375"/>
    <cellStyle name="20% - Accent6 3 8 4 2" xfId="4376"/>
    <cellStyle name="20% - Accent6 3 8 5" xfId="4377"/>
    <cellStyle name="20% - Accent6 3 8 6" xfId="4378"/>
    <cellStyle name="20% - Accent6 3 9" xfId="4379"/>
    <cellStyle name="20% - Accent6 3 9 2" xfId="4380"/>
    <cellStyle name="20% - Accent6 3 9 2 2" xfId="4381"/>
    <cellStyle name="20% - Accent6 3 9 3" xfId="4382"/>
    <cellStyle name="20% - Accent6 3 9 4" xfId="4383"/>
    <cellStyle name="20% - Accent6 3_IBP - COPI Uplift at Investment Area Level 01Feb12" xfId="49228"/>
    <cellStyle name="20% - Accent6 4" xfId="4384"/>
    <cellStyle name="20% - Accent6 4 10" xfId="4385"/>
    <cellStyle name="20% - Accent6 4 2" xfId="4386"/>
    <cellStyle name="20% - Accent6 4 2 2" xfId="4387"/>
    <cellStyle name="20% - Accent6 4 2 2 2" xfId="4388"/>
    <cellStyle name="20% - Accent6 4 2 2 2 2" xfId="4389"/>
    <cellStyle name="20% - Accent6 4 2 2 3" xfId="4390"/>
    <cellStyle name="20% - Accent6 4 2 2 4" xfId="4391"/>
    <cellStyle name="20% - Accent6 4 2 3" xfId="4392"/>
    <cellStyle name="20% - Accent6 4 2 3 2" xfId="4393"/>
    <cellStyle name="20% - Accent6 4 2 3 2 2" xfId="4394"/>
    <cellStyle name="20% - Accent6 4 2 3 3" xfId="4395"/>
    <cellStyle name="20% - Accent6 4 2 4" xfId="4396"/>
    <cellStyle name="20% - Accent6 4 2 4 2" xfId="4397"/>
    <cellStyle name="20% - Accent6 4 2 5" xfId="4398"/>
    <cellStyle name="20% - Accent6 4 2 6" xfId="4399"/>
    <cellStyle name="20% - Accent6 4 2 7" xfId="4400"/>
    <cellStyle name="20% - Accent6 4 3" xfId="4401"/>
    <cellStyle name="20% - Accent6 4 3 2" xfId="4402"/>
    <cellStyle name="20% - Accent6 4 3 2 2" xfId="4403"/>
    <cellStyle name="20% - Accent6 4 3 3" xfId="4404"/>
    <cellStyle name="20% - Accent6 4 3 4" xfId="4405"/>
    <cellStyle name="20% - Accent6 4 3 5" xfId="4406"/>
    <cellStyle name="20% - Accent6 4 4" xfId="4407"/>
    <cellStyle name="20% - Accent6 4 4 2" xfId="4408"/>
    <cellStyle name="20% - Accent6 4 4 2 2" xfId="4409"/>
    <cellStyle name="20% - Accent6 4 4 3" xfId="4410"/>
    <cellStyle name="20% - Accent6 4 5" xfId="4411"/>
    <cellStyle name="20% - Accent6 4 5 2" xfId="4412"/>
    <cellStyle name="20% - Accent6 4 6" xfId="4413"/>
    <cellStyle name="20% - Accent6 4 7" xfId="4414"/>
    <cellStyle name="20% - Accent6 4 8" xfId="4415"/>
    <cellStyle name="20% - Accent6 4 9" xfId="4416"/>
    <cellStyle name="20% - Accent6 5" xfId="4417"/>
    <cellStyle name="20% - Accent6 5 2" xfId="4418"/>
    <cellStyle name="20% - Accent6 5 2 2" xfId="4419"/>
    <cellStyle name="20% - Accent6 5 2 2 2" xfId="4420"/>
    <cellStyle name="20% - Accent6 5 2 2 2 2" xfId="4421"/>
    <cellStyle name="20% - Accent6 5 2 2 3" xfId="4422"/>
    <cellStyle name="20% - Accent6 5 2 2 4" xfId="4423"/>
    <cellStyle name="20% - Accent6 5 2 3" xfId="4424"/>
    <cellStyle name="20% - Accent6 5 2 3 2" xfId="4425"/>
    <cellStyle name="20% - Accent6 5 2 3 2 2" xfId="4426"/>
    <cellStyle name="20% - Accent6 5 2 3 3" xfId="4427"/>
    <cellStyle name="20% - Accent6 5 2 4" xfId="4428"/>
    <cellStyle name="20% - Accent6 5 2 4 2" xfId="4429"/>
    <cellStyle name="20% - Accent6 5 2 5" xfId="4430"/>
    <cellStyle name="20% - Accent6 5 2 6" xfId="4431"/>
    <cellStyle name="20% - Accent6 5 3" xfId="4432"/>
    <cellStyle name="20% - Accent6 5 3 2" xfId="4433"/>
    <cellStyle name="20% - Accent6 5 3 2 2" xfId="4434"/>
    <cellStyle name="20% - Accent6 5 3 3" xfId="4435"/>
    <cellStyle name="20% - Accent6 5 3 4" xfId="4436"/>
    <cellStyle name="20% - Accent6 5 4" xfId="4437"/>
    <cellStyle name="20% - Accent6 5 4 2" xfId="4438"/>
    <cellStyle name="20% - Accent6 5 4 2 2" xfId="4439"/>
    <cellStyle name="20% - Accent6 5 4 3" xfId="4440"/>
    <cellStyle name="20% - Accent6 5 5" xfId="4441"/>
    <cellStyle name="20% - Accent6 5 5 2" xfId="4442"/>
    <cellStyle name="20% - Accent6 5 6" xfId="4443"/>
    <cellStyle name="20% - Accent6 5 7" xfId="4444"/>
    <cellStyle name="20% - Accent6 5 8" xfId="4445"/>
    <cellStyle name="20% - Accent6 5 9" xfId="4446"/>
    <cellStyle name="20% - Accent6 6" xfId="4447"/>
    <cellStyle name="20% - Accent6 6 2" xfId="4448"/>
    <cellStyle name="20% - Accent6 6 2 2" xfId="4449"/>
    <cellStyle name="20% - Accent6 6 2 2 2" xfId="4450"/>
    <cellStyle name="20% - Accent6 6 2 2 2 2" xfId="4451"/>
    <cellStyle name="20% - Accent6 6 2 2 3" xfId="4452"/>
    <cellStyle name="20% - Accent6 6 2 2 4" xfId="4453"/>
    <cellStyle name="20% - Accent6 6 2 3" xfId="4454"/>
    <cellStyle name="20% - Accent6 6 2 3 2" xfId="4455"/>
    <cellStyle name="20% - Accent6 6 2 3 2 2" xfId="4456"/>
    <cellStyle name="20% - Accent6 6 2 3 3" xfId="4457"/>
    <cellStyle name="20% - Accent6 6 2 4" xfId="4458"/>
    <cellStyle name="20% - Accent6 6 2 4 2" xfId="4459"/>
    <cellStyle name="20% - Accent6 6 2 5" xfId="4460"/>
    <cellStyle name="20% - Accent6 6 2 6" xfId="4461"/>
    <cellStyle name="20% - Accent6 6 3" xfId="4462"/>
    <cellStyle name="20% - Accent6 6 3 2" xfId="4463"/>
    <cellStyle name="20% - Accent6 6 3 2 2" xfId="4464"/>
    <cellStyle name="20% - Accent6 6 3 3" xfId="4465"/>
    <cellStyle name="20% - Accent6 6 3 4" xfId="4466"/>
    <cellStyle name="20% - Accent6 6 4" xfId="4467"/>
    <cellStyle name="20% - Accent6 6 4 2" xfId="4468"/>
    <cellStyle name="20% - Accent6 6 4 2 2" xfId="4469"/>
    <cellStyle name="20% - Accent6 6 4 3" xfId="4470"/>
    <cellStyle name="20% - Accent6 6 5" xfId="4471"/>
    <cellStyle name="20% - Accent6 6 5 2" xfId="4472"/>
    <cellStyle name="20% - Accent6 6 6" xfId="4473"/>
    <cellStyle name="20% - Accent6 6 7" xfId="4474"/>
    <cellStyle name="20% - Accent6 6 8" xfId="4475"/>
    <cellStyle name="20% - Accent6 7" xfId="4476"/>
    <cellStyle name="20% - Accent6 7 2" xfId="4477"/>
    <cellStyle name="20% - Accent6 7 2 2" xfId="4478"/>
    <cellStyle name="20% - Accent6 7 2 2 2" xfId="4479"/>
    <cellStyle name="20% - Accent6 7 2 2 2 2" xfId="4480"/>
    <cellStyle name="20% - Accent6 7 2 2 3" xfId="4481"/>
    <cellStyle name="20% - Accent6 7 2 2 4" xfId="4482"/>
    <cellStyle name="20% - Accent6 7 2 3" xfId="4483"/>
    <cellStyle name="20% - Accent6 7 2 3 2" xfId="4484"/>
    <cellStyle name="20% - Accent6 7 2 3 2 2" xfId="4485"/>
    <cellStyle name="20% - Accent6 7 2 3 3" xfId="4486"/>
    <cellStyle name="20% - Accent6 7 2 4" xfId="4487"/>
    <cellStyle name="20% - Accent6 7 2 4 2" xfId="4488"/>
    <cellStyle name="20% - Accent6 7 2 5" xfId="4489"/>
    <cellStyle name="20% - Accent6 7 2 6" xfId="4490"/>
    <cellStyle name="20% - Accent6 7 3" xfId="4491"/>
    <cellStyle name="20% - Accent6 7 3 2" xfId="4492"/>
    <cellStyle name="20% - Accent6 7 3 2 2" xfId="4493"/>
    <cellStyle name="20% - Accent6 7 3 3" xfId="4494"/>
    <cellStyle name="20% - Accent6 7 3 4" xfId="4495"/>
    <cellStyle name="20% - Accent6 7 4" xfId="4496"/>
    <cellStyle name="20% - Accent6 7 4 2" xfId="4497"/>
    <cellStyle name="20% - Accent6 7 4 2 2" xfId="4498"/>
    <cellStyle name="20% - Accent6 7 4 3" xfId="4499"/>
    <cellStyle name="20% - Accent6 7 5" xfId="4500"/>
    <cellStyle name="20% - Accent6 7 5 2" xfId="4501"/>
    <cellStyle name="20% - Accent6 7 6" xfId="4502"/>
    <cellStyle name="20% - Accent6 7 7" xfId="4503"/>
    <cellStyle name="20% - Accent6 7 8" xfId="4504"/>
    <cellStyle name="20% - Accent6 8" xfId="4505"/>
    <cellStyle name="20% - Accent6 8 2" xfId="4506"/>
    <cellStyle name="20% - Accent6 8 2 2" xfId="4507"/>
    <cellStyle name="20% - Accent6 8 2 2 2" xfId="4508"/>
    <cellStyle name="20% - Accent6 8 2 3" xfId="4509"/>
    <cellStyle name="20% - Accent6 8 2 4" xfId="4510"/>
    <cellStyle name="20% - Accent6 8 3" xfId="4511"/>
    <cellStyle name="20% - Accent6 8 3 2" xfId="4512"/>
    <cellStyle name="20% - Accent6 8 3 2 2" xfId="4513"/>
    <cellStyle name="20% - Accent6 8 3 3" xfId="4514"/>
    <cellStyle name="20% - Accent6 8 4" xfId="4515"/>
    <cellStyle name="20% - Accent6 8 4 2" xfId="4516"/>
    <cellStyle name="20% - Accent6 8 5" xfId="4517"/>
    <cellStyle name="20% - Accent6 8 6" xfId="4518"/>
    <cellStyle name="20% - Accent6 8 7" xfId="4519"/>
    <cellStyle name="20% - Accent6 9" xfId="4520"/>
    <cellStyle name="20% - Accent6 9 2" xfId="4521"/>
    <cellStyle name="20% - Accent6 9 2 2" xfId="4522"/>
    <cellStyle name="20% - Accent6 9 2 2 2" xfId="4523"/>
    <cellStyle name="20% - Accent6 9 2 3" xfId="4524"/>
    <cellStyle name="20% - Accent6 9 2 4" xfId="4525"/>
    <cellStyle name="20% - Accent6 9 3" xfId="4526"/>
    <cellStyle name="20% - Accent6 9 3 2" xfId="4527"/>
    <cellStyle name="20% - Accent6 9 3 2 2" xfId="4528"/>
    <cellStyle name="20% - Accent6 9 3 3" xfId="4529"/>
    <cellStyle name="20% - Accent6 9 4" xfId="4530"/>
    <cellStyle name="20% - Accent6 9 4 2" xfId="4531"/>
    <cellStyle name="20% - Accent6 9 5" xfId="4532"/>
    <cellStyle name="20% - Accent6 9 6" xfId="4533"/>
    <cellStyle name="20% - Accent6 9 7" xfId="4534"/>
    <cellStyle name="20% - uthevingsfarge 1" xfId="49229"/>
    <cellStyle name="20% - uthevingsfarge 1 2" xfId="49230"/>
    <cellStyle name="20% - uthevingsfarge 2" xfId="49231"/>
    <cellStyle name="20% - uthevingsfarge 2 2" xfId="49232"/>
    <cellStyle name="20% - uthevingsfarge 3" xfId="49233"/>
    <cellStyle name="20% - uthevingsfarge 3 2" xfId="49234"/>
    <cellStyle name="20% - uthevingsfarge 4" xfId="49235"/>
    <cellStyle name="20% - uthevingsfarge 4 2" xfId="49236"/>
    <cellStyle name="20% - uthevingsfarge 5" xfId="49237"/>
    <cellStyle name="20% - uthevingsfarge 5 2" xfId="49238"/>
    <cellStyle name="20% - uthevingsfarge 6" xfId="49239"/>
    <cellStyle name="20% - uthevingsfarge 6 2" xfId="49240"/>
    <cellStyle name="2decimal" xfId="49241"/>
    <cellStyle name="2decimal 2" xfId="49242"/>
    <cellStyle name="2line" xfId="49243"/>
    <cellStyle name="2line 2" xfId="49244"/>
    <cellStyle name="2line 3" xfId="49245"/>
    <cellStyle name="2line 4" xfId="49246"/>
    <cellStyle name="2line 5" xfId="49247"/>
    <cellStyle name="2line 6" xfId="49248"/>
    <cellStyle name="3_Multiple" xfId="49249"/>
    <cellStyle name="4_Input/Assum" xfId="49250"/>
    <cellStyle name="40 % - Accent1" xfId="49251"/>
    <cellStyle name="40 % - Accent1 2" xfId="49252"/>
    <cellStyle name="40 % - Accent2" xfId="49253"/>
    <cellStyle name="40 % - Accent2 2" xfId="49254"/>
    <cellStyle name="40 % - Accent3" xfId="49255"/>
    <cellStyle name="40 % - Accent3 2" xfId="49256"/>
    <cellStyle name="40 % - Accent4" xfId="49257"/>
    <cellStyle name="40 % - Accent4 2" xfId="49258"/>
    <cellStyle name="40 % - Accent5" xfId="49259"/>
    <cellStyle name="40 % - Accent5 2" xfId="49260"/>
    <cellStyle name="40 % - Accent6" xfId="49261"/>
    <cellStyle name="40 % - Accent6 2" xfId="49262"/>
    <cellStyle name="40% - Accent1" xfId="7" builtinId="31" customBuiltin="1"/>
    <cellStyle name="40% - Accent1 10" xfId="4535"/>
    <cellStyle name="40% - Accent1 10 2" xfId="4536"/>
    <cellStyle name="40% - Accent1 10 2 2" xfId="4537"/>
    <cellStyle name="40% - Accent1 10 2 2 2" xfId="4538"/>
    <cellStyle name="40% - Accent1 10 2 3" xfId="4539"/>
    <cellStyle name="40% - Accent1 10 2 4" xfId="4540"/>
    <cellStyle name="40% - Accent1 10 3" xfId="4541"/>
    <cellStyle name="40% - Accent1 10 3 2" xfId="4542"/>
    <cellStyle name="40% - Accent1 10 3 2 2" xfId="4543"/>
    <cellStyle name="40% - Accent1 10 3 3" xfId="4544"/>
    <cellStyle name="40% - Accent1 10 4" xfId="4545"/>
    <cellStyle name="40% - Accent1 10 4 2" xfId="4546"/>
    <cellStyle name="40% - Accent1 10 5" xfId="4547"/>
    <cellStyle name="40% - Accent1 10 6" xfId="4548"/>
    <cellStyle name="40% - Accent1 10 7" xfId="4549"/>
    <cellStyle name="40% - Accent1 11" xfId="4550"/>
    <cellStyle name="40% - Accent1 11 2" xfId="4551"/>
    <cellStyle name="40% - Accent1 11 2 2" xfId="4552"/>
    <cellStyle name="40% - Accent1 11 2 2 2" xfId="4553"/>
    <cellStyle name="40% - Accent1 11 2 3" xfId="4554"/>
    <cellStyle name="40% - Accent1 11 2 4" xfId="4555"/>
    <cellStyle name="40% - Accent1 11 3" xfId="4556"/>
    <cellStyle name="40% - Accent1 11 3 2" xfId="4557"/>
    <cellStyle name="40% - Accent1 11 3 2 2" xfId="4558"/>
    <cellStyle name="40% - Accent1 11 3 3" xfId="4559"/>
    <cellStyle name="40% - Accent1 11 4" xfId="4560"/>
    <cellStyle name="40% - Accent1 11 4 2" xfId="4561"/>
    <cellStyle name="40% - Accent1 11 5" xfId="4562"/>
    <cellStyle name="40% - Accent1 11 6" xfId="4563"/>
    <cellStyle name="40% - Accent1 11 7" xfId="4564"/>
    <cellStyle name="40% - Accent1 12" xfId="4565"/>
    <cellStyle name="40% - Accent1 12 2" xfId="4566"/>
    <cellStyle name="40% - Accent1 12 2 2" xfId="4567"/>
    <cellStyle name="40% - Accent1 12 3" xfId="4568"/>
    <cellStyle name="40% - Accent1 12 4" xfId="4569"/>
    <cellStyle name="40% - Accent1 13" xfId="4570"/>
    <cellStyle name="40% - Accent1 13 2" xfId="4571"/>
    <cellStyle name="40% - Accent1 13 2 2" xfId="4572"/>
    <cellStyle name="40% - Accent1 13 3" xfId="4573"/>
    <cellStyle name="40% - Accent1 14" xfId="4574"/>
    <cellStyle name="40% - Accent1 14 2" xfId="4575"/>
    <cellStyle name="40% - Accent1 15" xfId="4576"/>
    <cellStyle name="40% - Accent1 15 2" xfId="4577"/>
    <cellStyle name="40% - Accent1 16" xfId="4578"/>
    <cellStyle name="40% - Accent1 16 2" xfId="4579"/>
    <cellStyle name="40% - Accent1 17" xfId="4580"/>
    <cellStyle name="40% - Accent1 18" xfId="4581"/>
    <cellStyle name="40% - Accent1 19" xfId="4582"/>
    <cellStyle name="40% - Accent1 2" xfId="86"/>
    <cellStyle name="40% - Accent1 2 10" xfId="4583"/>
    <cellStyle name="40% - Accent1 2 10 2" xfId="4584"/>
    <cellStyle name="40% - Accent1 2 10 2 2" xfId="4585"/>
    <cellStyle name="40% - Accent1 2 10 3" xfId="4586"/>
    <cellStyle name="40% - Accent1 2 10 4" xfId="4587"/>
    <cellStyle name="40% - Accent1 2 11" xfId="4588"/>
    <cellStyle name="40% - Accent1 2 11 2" xfId="4589"/>
    <cellStyle name="40% - Accent1 2 11 2 2" xfId="4590"/>
    <cellStyle name="40% - Accent1 2 11 3" xfId="4591"/>
    <cellStyle name="40% - Accent1 2 12" xfId="4592"/>
    <cellStyle name="40% - Accent1 2 12 2" xfId="4593"/>
    <cellStyle name="40% - Accent1 2 13" xfId="4594"/>
    <cellStyle name="40% - Accent1 2 13 2" xfId="4595"/>
    <cellStyle name="40% - Accent1 2 14" xfId="4596"/>
    <cellStyle name="40% - Accent1 2 15" xfId="4597"/>
    <cellStyle name="40% - Accent1 2 16" xfId="4598"/>
    <cellStyle name="40% - Accent1 2 17" xfId="4599"/>
    <cellStyle name="40% - Accent1 2 18" xfId="4600"/>
    <cellStyle name="40% - Accent1 2 19" xfId="4601"/>
    <cellStyle name="40% - Accent1 2 2" xfId="87"/>
    <cellStyle name="40% - Accent1 2 2 2" xfId="4602"/>
    <cellStyle name="40% - Accent1 2 2 2 2" xfId="4603"/>
    <cellStyle name="40% - Accent1 2 2 2 2 2" xfId="4604"/>
    <cellStyle name="40% - Accent1 2 2 2 2 2 2" xfId="4605"/>
    <cellStyle name="40% - Accent1 2 2 2 2 3" xfId="4606"/>
    <cellStyle name="40% - Accent1 2 2 2 2 4" xfId="4607"/>
    <cellStyle name="40% - Accent1 2 2 2 2 5" xfId="4608"/>
    <cellStyle name="40% - Accent1 2 2 2 3" xfId="4609"/>
    <cellStyle name="40% - Accent1 2 2 2 3 2" xfId="4610"/>
    <cellStyle name="40% - Accent1 2 2 2 3 2 2" xfId="4611"/>
    <cellStyle name="40% - Accent1 2 2 2 3 3" xfId="4612"/>
    <cellStyle name="40% - Accent1 2 2 2 4" xfId="4613"/>
    <cellStyle name="40% - Accent1 2 2 2 4 2" xfId="4614"/>
    <cellStyle name="40% - Accent1 2 2 2 5" xfId="4615"/>
    <cellStyle name="40% - Accent1 2 2 2 6" xfId="4616"/>
    <cellStyle name="40% - Accent1 2 2 2 7" xfId="4617"/>
    <cellStyle name="40% - Accent1 2 2 2 8" xfId="4618"/>
    <cellStyle name="40% - Accent1 2 2 2 9" xfId="4619"/>
    <cellStyle name="40% - Accent1 2 2 3" xfId="4620"/>
    <cellStyle name="40% - Accent1 2 2 4" xfId="4621"/>
    <cellStyle name="40% - Accent1 2 2 4 2" xfId="4622"/>
    <cellStyle name="40% - Accent1 2 2 4 2 2" xfId="4623"/>
    <cellStyle name="40% - Accent1 2 2 4 3" xfId="4624"/>
    <cellStyle name="40% - Accent1 2 2 4 4" xfId="4625"/>
    <cellStyle name="40% - Accent1 2 2 5" xfId="4626"/>
    <cellStyle name="40% - Accent1 2 2 5 2" xfId="4627"/>
    <cellStyle name="40% - Accent1 2 2 5 2 2" xfId="4628"/>
    <cellStyle name="40% - Accent1 2 2 5 3" xfId="4629"/>
    <cellStyle name="40% - Accent1 2 2 6" xfId="4630"/>
    <cellStyle name="40% - Accent1 2 2 6 2" xfId="4631"/>
    <cellStyle name="40% - Accent1 2 2 7" xfId="4632"/>
    <cellStyle name="40% - Accent1 2 2 8" xfId="4633"/>
    <cellStyle name="40% - Accent1 2 3" xfId="4634"/>
    <cellStyle name="40% - Accent1 2 3 10" xfId="4635"/>
    <cellStyle name="40% - Accent1 2 3 2" xfId="4636"/>
    <cellStyle name="40% - Accent1 2 3 2 2" xfId="4637"/>
    <cellStyle name="40% - Accent1 2 3 2 2 2" xfId="4638"/>
    <cellStyle name="40% - Accent1 2 3 2 2 2 2" xfId="4639"/>
    <cellStyle name="40% - Accent1 2 3 2 2 3" xfId="4640"/>
    <cellStyle name="40% - Accent1 2 3 2 2 4" xfId="4641"/>
    <cellStyle name="40% - Accent1 2 3 2 3" xfId="4642"/>
    <cellStyle name="40% - Accent1 2 3 2 3 2" xfId="4643"/>
    <cellStyle name="40% - Accent1 2 3 2 3 2 2" xfId="4644"/>
    <cellStyle name="40% - Accent1 2 3 2 3 3" xfId="4645"/>
    <cellStyle name="40% - Accent1 2 3 2 4" xfId="4646"/>
    <cellStyle name="40% - Accent1 2 3 2 4 2" xfId="4647"/>
    <cellStyle name="40% - Accent1 2 3 2 5" xfId="4648"/>
    <cellStyle name="40% - Accent1 2 3 2 6" xfId="4649"/>
    <cellStyle name="40% - Accent1 2 3 2 7" xfId="4650"/>
    <cellStyle name="40% - Accent1 2 3 3" xfId="4651"/>
    <cellStyle name="40% - Accent1 2 3 3 2" xfId="4652"/>
    <cellStyle name="40% - Accent1 2 3 3 2 2" xfId="4653"/>
    <cellStyle name="40% - Accent1 2 3 3 3" xfId="4654"/>
    <cellStyle name="40% - Accent1 2 3 3 4" xfId="4655"/>
    <cellStyle name="40% - Accent1 2 3 3 5" xfId="4656"/>
    <cellStyle name="40% - Accent1 2 3 4" xfId="4657"/>
    <cellStyle name="40% - Accent1 2 3 4 2" xfId="4658"/>
    <cellStyle name="40% - Accent1 2 3 4 2 2" xfId="4659"/>
    <cellStyle name="40% - Accent1 2 3 4 3" xfId="4660"/>
    <cellStyle name="40% - Accent1 2 3 5" xfId="4661"/>
    <cellStyle name="40% - Accent1 2 3 5 2" xfId="4662"/>
    <cellStyle name="40% - Accent1 2 3 6" xfId="4663"/>
    <cellStyle name="40% - Accent1 2 3 7" xfId="4664"/>
    <cellStyle name="40% - Accent1 2 3 8" xfId="4665"/>
    <cellStyle name="40% - Accent1 2 3 9" xfId="4666"/>
    <cellStyle name="40% - Accent1 2 4" xfId="4667"/>
    <cellStyle name="40% - Accent1 2 4 10" xfId="4668"/>
    <cellStyle name="40% - Accent1 2 4 2" xfId="4669"/>
    <cellStyle name="40% - Accent1 2 4 2 2" xfId="4670"/>
    <cellStyle name="40% - Accent1 2 4 2 2 2" xfId="4671"/>
    <cellStyle name="40% - Accent1 2 4 2 2 2 2" xfId="4672"/>
    <cellStyle name="40% - Accent1 2 4 2 2 3" xfId="4673"/>
    <cellStyle name="40% - Accent1 2 4 2 2 4" xfId="4674"/>
    <cellStyle name="40% - Accent1 2 4 2 3" xfId="4675"/>
    <cellStyle name="40% - Accent1 2 4 2 3 2" xfId="4676"/>
    <cellStyle name="40% - Accent1 2 4 2 3 2 2" xfId="4677"/>
    <cellStyle name="40% - Accent1 2 4 2 3 3" xfId="4678"/>
    <cellStyle name="40% - Accent1 2 4 2 4" xfId="4679"/>
    <cellStyle name="40% - Accent1 2 4 2 4 2" xfId="4680"/>
    <cellStyle name="40% - Accent1 2 4 2 5" xfId="4681"/>
    <cellStyle name="40% - Accent1 2 4 2 6" xfId="4682"/>
    <cellStyle name="40% - Accent1 2 4 2 7" xfId="4683"/>
    <cellStyle name="40% - Accent1 2 4 3" xfId="4684"/>
    <cellStyle name="40% - Accent1 2 4 3 2" xfId="4685"/>
    <cellStyle name="40% - Accent1 2 4 3 2 2" xfId="4686"/>
    <cellStyle name="40% - Accent1 2 4 3 3" xfId="4687"/>
    <cellStyle name="40% - Accent1 2 4 3 4" xfId="4688"/>
    <cellStyle name="40% - Accent1 2 4 4" xfId="4689"/>
    <cellStyle name="40% - Accent1 2 4 4 2" xfId="4690"/>
    <cellStyle name="40% - Accent1 2 4 4 2 2" xfId="4691"/>
    <cellStyle name="40% - Accent1 2 4 4 3" xfId="4692"/>
    <cellStyle name="40% - Accent1 2 4 5" xfId="4693"/>
    <cellStyle name="40% - Accent1 2 4 5 2" xfId="4694"/>
    <cellStyle name="40% - Accent1 2 4 6" xfId="4695"/>
    <cellStyle name="40% - Accent1 2 4 7" xfId="4696"/>
    <cellStyle name="40% - Accent1 2 4 8" xfId="4697"/>
    <cellStyle name="40% - Accent1 2 4 9" xfId="4698"/>
    <cellStyle name="40% - Accent1 2 5" xfId="4699"/>
    <cellStyle name="40% - Accent1 2 5 10" xfId="4700"/>
    <cellStyle name="40% - Accent1 2 5 2" xfId="4701"/>
    <cellStyle name="40% - Accent1 2 5 2 2" xfId="4702"/>
    <cellStyle name="40% - Accent1 2 5 2 2 2" xfId="4703"/>
    <cellStyle name="40% - Accent1 2 5 2 2 2 2" xfId="4704"/>
    <cellStyle name="40% - Accent1 2 5 2 2 3" xfId="4705"/>
    <cellStyle name="40% - Accent1 2 5 2 2 4" xfId="4706"/>
    <cellStyle name="40% - Accent1 2 5 2 3" xfId="4707"/>
    <cellStyle name="40% - Accent1 2 5 2 3 2" xfId="4708"/>
    <cellStyle name="40% - Accent1 2 5 2 3 2 2" xfId="4709"/>
    <cellStyle name="40% - Accent1 2 5 2 3 3" xfId="4710"/>
    <cellStyle name="40% - Accent1 2 5 2 4" xfId="4711"/>
    <cellStyle name="40% - Accent1 2 5 2 4 2" xfId="4712"/>
    <cellStyle name="40% - Accent1 2 5 2 5" xfId="4713"/>
    <cellStyle name="40% - Accent1 2 5 2 6" xfId="4714"/>
    <cellStyle name="40% - Accent1 2 5 3" xfId="4715"/>
    <cellStyle name="40% - Accent1 2 5 3 2" xfId="4716"/>
    <cellStyle name="40% - Accent1 2 5 3 2 2" xfId="4717"/>
    <cellStyle name="40% - Accent1 2 5 3 3" xfId="4718"/>
    <cellStyle name="40% - Accent1 2 5 3 4" xfId="4719"/>
    <cellStyle name="40% - Accent1 2 5 4" xfId="4720"/>
    <cellStyle name="40% - Accent1 2 5 4 2" xfId="4721"/>
    <cellStyle name="40% - Accent1 2 5 4 2 2" xfId="4722"/>
    <cellStyle name="40% - Accent1 2 5 4 3" xfId="4723"/>
    <cellStyle name="40% - Accent1 2 5 5" xfId="4724"/>
    <cellStyle name="40% - Accent1 2 5 5 2" xfId="4725"/>
    <cellStyle name="40% - Accent1 2 5 6" xfId="4726"/>
    <cellStyle name="40% - Accent1 2 5 7" xfId="4727"/>
    <cellStyle name="40% - Accent1 2 5 8" xfId="4728"/>
    <cellStyle name="40% - Accent1 2 5 9" xfId="4729"/>
    <cellStyle name="40% - Accent1 2 6" xfId="4730"/>
    <cellStyle name="40% - Accent1 2 6 2" xfId="4731"/>
    <cellStyle name="40% - Accent1 2 6 2 2" xfId="4732"/>
    <cellStyle name="40% - Accent1 2 6 2 2 2" xfId="4733"/>
    <cellStyle name="40% - Accent1 2 6 2 3" xfId="4734"/>
    <cellStyle name="40% - Accent1 2 6 2 4" xfId="4735"/>
    <cellStyle name="40% - Accent1 2 6 3" xfId="4736"/>
    <cellStyle name="40% - Accent1 2 6 3 2" xfId="4737"/>
    <cellStyle name="40% - Accent1 2 6 3 2 2" xfId="4738"/>
    <cellStyle name="40% - Accent1 2 6 3 3" xfId="4739"/>
    <cellStyle name="40% - Accent1 2 6 4" xfId="4740"/>
    <cellStyle name="40% - Accent1 2 6 4 2" xfId="4741"/>
    <cellStyle name="40% - Accent1 2 6 5" xfId="4742"/>
    <cellStyle name="40% - Accent1 2 6 6" xfId="4743"/>
    <cellStyle name="40% - Accent1 2 6 7" xfId="4744"/>
    <cellStyle name="40% - Accent1 2 6 8" xfId="4745"/>
    <cellStyle name="40% - Accent1 2 7" xfId="4746"/>
    <cellStyle name="40% - Accent1 2 7 2" xfId="4747"/>
    <cellStyle name="40% - Accent1 2 7 2 2" xfId="4748"/>
    <cellStyle name="40% - Accent1 2 7 2 2 2" xfId="4749"/>
    <cellStyle name="40% - Accent1 2 7 2 3" xfId="4750"/>
    <cellStyle name="40% - Accent1 2 7 2 4" xfId="4751"/>
    <cellStyle name="40% - Accent1 2 7 3" xfId="4752"/>
    <cellStyle name="40% - Accent1 2 7 3 2" xfId="4753"/>
    <cellStyle name="40% - Accent1 2 7 3 2 2" xfId="4754"/>
    <cellStyle name="40% - Accent1 2 7 3 3" xfId="4755"/>
    <cellStyle name="40% - Accent1 2 7 4" xfId="4756"/>
    <cellStyle name="40% - Accent1 2 7 4 2" xfId="4757"/>
    <cellStyle name="40% - Accent1 2 7 5" xfId="4758"/>
    <cellStyle name="40% - Accent1 2 7 6" xfId="4759"/>
    <cellStyle name="40% - Accent1 2 7 7" xfId="4760"/>
    <cellStyle name="40% - Accent1 2 8" xfId="4761"/>
    <cellStyle name="40% - Accent1 2 8 2" xfId="4762"/>
    <cellStyle name="40% - Accent1 2 8 2 2" xfId="4763"/>
    <cellStyle name="40% - Accent1 2 8 2 2 2" xfId="4764"/>
    <cellStyle name="40% - Accent1 2 8 2 3" xfId="4765"/>
    <cellStyle name="40% - Accent1 2 8 2 4" xfId="4766"/>
    <cellStyle name="40% - Accent1 2 8 3" xfId="4767"/>
    <cellStyle name="40% - Accent1 2 8 3 2" xfId="4768"/>
    <cellStyle name="40% - Accent1 2 8 3 2 2" xfId="4769"/>
    <cellStyle name="40% - Accent1 2 8 3 3" xfId="4770"/>
    <cellStyle name="40% - Accent1 2 8 4" xfId="4771"/>
    <cellStyle name="40% - Accent1 2 8 4 2" xfId="4772"/>
    <cellStyle name="40% - Accent1 2 8 5" xfId="4773"/>
    <cellStyle name="40% - Accent1 2 8 6" xfId="4774"/>
    <cellStyle name="40% - Accent1 2 8 7" xfId="4775"/>
    <cellStyle name="40% - Accent1 2 9" xfId="4776"/>
    <cellStyle name="40% - Accent1 2 9 2" xfId="4777"/>
    <cellStyle name="40% - Accent1 2 9 2 2" xfId="4778"/>
    <cellStyle name="40% - Accent1 2 9 2 2 2" xfId="4779"/>
    <cellStyle name="40% - Accent1 2 9 2 3" xfId="4780"/>
    <cellStyle name="40% - Accent1 2 9 2 4" xfId="4781"/>
    <cellStyle name="40% - Accent1 2 9 3" xfId="4782"/>
    <cellStyle name="40% - Accent1 2 9 3 2" xfId="4783"/>
    <cellStyle name="40% - Accent1 2 9 3 2 2" xfId="4784"/>
    <cellStyle name="40% - Accent1 2 9 3 3" xfId="4785"/>
    <cellStyle name="40% - Accent1 2 9 4" xfId="4786"/>
    <cellStyle name="40% - Accent1 2 9 4 2" xfId="4787"/>
    <cellStyle name="40% - Accent1 2 9 5" xfId="4788"/>
    <cellStyle name="40% - Accent1 2 9 6" xfId="4789"/>
    <cellStyle name="40% - Accent1 2_IBP - COPI Uplift at Investment Area Level 01Feb12" xfId="49263"/>
    <cellStyle name="40% - Accent1 3" xfId="88"/>
    <cellStyle name="40% - Accent1 3 10" xfId="4790"/>
    <cellStyle name="40% - Accent1 3 10 2" xfId="4791"/>
    <cellStyle name="40% - Accent1 3 10 2 2" xfId="4792"/>
    <cellStyle name="40% - Accent1 3 10 3" xfId="4793"/>
    <cellStyle name="40% - Accent1 3 11" xfId="4794"/>
    <cellStyle name="40% - Accent1 3 11 2" xfId="4795"/>
    <cellStyle name="40% - Accent1 3 12" xfId="4796"/>
    <cellStyle name="40% - Accent1 3 12 2" xfId="4797"/>
    <cellStyle name="40% - Accent1 3 13" xfId="4798"/>
    <cellStyle name="40% - Accent1 3 14" xfId="4799"/>
    <cellStyle name="40% - Accent1 3 15" xfId="4800"/>
    <cellStyle name="40% - Accent1 3 16" xfId="4801"/>
    <cellStyle name="40% - Accent1 3 2" xfId="4802"/>
    <cellStyle name="40% - Accent1 3 2 10" xfId="4803"/>
    <cellStyle name="40% - Accent1 3 2 2" xfId="4804"/>
    <cellStyle name="40% - Accent1 3 2 2 2" xfId="4805"/>
    <cellStyle name="40% - Accent1 3 2 2 2 2" xfId="4806"/>
    <cellStyle name="40% - Accent1 3 2 2 2 2 2" xfId="4807"/>
    <cellStyle name="40% - Accent1 3 2 2 2 3" xfId="4808"/>
    <cellStyle name="40% - Accent1 3 2 2 2 4" xfId="4809"/>
    <cellStyle name="40% - Accent1 3 2 2 3" xfId="4810"/>
    <cellStyle name="40% - Accent1 3 2 2 3 2" xfId="4811"/>
    <cellStyle name="40% - Accent1 3 2 2 3 2 2" xfId="4812"/>
    <cellStyle name="40% - Accent1 3 2 2 3 3" xfId="4813"/>
    <cellStyle name="40% - Accent1 3 2 2 4" xfId="4814"/>
    <cellStyle name="40% - Accent1 3 2 2 4 2" xfId="4815"/>
    <cellStyle name="40% - Accent1 3 2 2 5" xfId="4816"/>
    <cellStyle name="40% - Accent1 3 2 2 6" xfId="4817"/>
    <cellStyle name="40% - Accent1 3 2 2 7" xfId="4818"/>
    <cellStyle name="40% - Accent1 3 2 3" xfId="4819"/>
    <cellStyle name="40% - Accent1 3 2 3 2" xfId="4820"/>
    <cellStyle name="40% - Accent1 3 2 3 2 2" xfId="4821"/>
    <cellStyle name="40% - Accent1 3 2 3 3" xfId="4822"/>
    <cellStyle name="40% - Accent1 3 2 3 4" xfId="4823"/>
    <cellStyle name="40% - Accent1 3 2 3 5" xfId="4824"/>
    <cellStyle name="40% - Accent1 3 2 4" xfId="4825"/>
    <cellStyle name="40% - Accent1 3 2 4 2" xfId="4826"/>
    <cellStyle name="40% - Accent1 3 2 4 2 2" xfId="4827"/>
    <cellStyle name="40% - Accent1 3 2 4 3" xfId="4828"/>
    <cellStyle name="40% - Accent1 3 2 5" xfId="4829"/>
    <cellStyle name="40% - Accent1 3 2 5 2" xfId="4830"/>
    <cellStyle name="40% - Accent1 3 2 6" xfId="4831"/>
    <cellStyle name="40% - Accent1 3 2 7" xfId="4832"/>
    <cellStyle name="40% - Accent1 3 2 8" xfId="4833"/>
    <cellStyle name="40% - Accent1 3 2 9" xfId="4834"/>
    <cellStyle name="40% - Accent1 3 3" xfId="4835"/>
    <cellStyle name="40% - Accent1 3 3 2" xfId="4836"/>
    <cellStyle name="40% - Accent1 3 3 2 2" xfId="4837"/>
    <cellStyle name="40% - Accent1 3 3 2 2 2" xfId="4838"/>
    <cellStyle name="40% - Accent1 3 3 2 2 2 2" xfId="4839"/>
    <cellStyle name="40% - Accent1 3 3 2 2 3" xfId="4840"/>
    <cellStyle name="40% - Accent1 3 3 2 2 4" xfId="4841"/>
    <cellStyle name="40% - Accent1 3 3 2 3" xfId="4842"/>
    <cellStyle name="40% - Accent1 3 3 2 3 2" xfId="4843"/>
    <cellStyle name="40% - Accent1 3 3 2 3 2 2" xfId="4844"/>
    <cellStyle name="40% - Accent1 3 3 2 3 3" xfId="4845"/>
    <cellStyle name="40% - Accent1 3 3 2 4" xfId="4846"/>
    <cellStyle name="40% - Accent1 3 3 2 4 2" xfId="4847"/>
    <cellStyle name="40% - Accent1 3 3 2 5" xfId="4848"/>
    <cellStyle name="40% - Accent1 3 3 2 6" xfId="4849"/>
    <cellStyle name="40% - Accent1 3 3 3" xfId="4850"/>
    <cellStyle name="40% - Accent1 3 3 3 2" xfId="4851"/>
    <cellStyle name="40% - Accent1 3 3 3 2 2" xfId="4852"/>
    <cellStyle name="40% - Accent1 3 3 3 3" xfId="4853"/>
    <cellStyle name="40% - Accent1 3 3 3 4" xfId="4854"/>
    <cellStyle name="40% - Accent1 3 3 4" xfId="4855"/>
    <cellStyle name="40% - Accent1 3 3 4 2" xfId="4856"/>
    <cellStyle name="40% - Accent1 3 3 4 2 2" xfId="4857"/>
    <cellStyle name="40% - Accent1 3 3 4 3" xfId="4858"/>
    <cellStyle name="40% - Accent1 3 3 5" xfId="4859"/>
    <cellStyle name="40% - Accent1 3 3 5 2" xfId="4860"/>
    <cellStyle name="40% - Accent1 3 3 6" xfId="4861"/>
    <cellStyle name="40% - Accent1 3 3 7" xfId="4862"/>
    <cellStyle name="40% - Accent1 3 3 8" xfId="4863"/>
    <cellStyle name="40% - Accent1 3 3 9" xfId="4864"/>
    <cellStyle name="40% - Accent1 3 4" xfId="4865"/>
    <cellStyle name="40% - Accent1 3 4 2" xfId="4866"/>
    <cellStyle name="40% - Accent1 3 4 2 2" xfId="4867"/>
    <cellStyle name="40% - Accent1 3 4 2 2 2" xfId="4868"/>
    <cellStyle name="40% - Accent1 3 4 2 2 2 2" xfId="4869"/>
    <cellStyle name="40% - Accent1 3 4 2 2 3" xfId="4870"/>
    <cellStyle name="40% - Accent1 3 4 2 2 4" xfId="4871"/>
    <cellStyle name="40% - Accent1 3 4 2 3" xfId="4872"/>
    <cellStyle name="40% - Accent1 3 4 2 3 2" xfId="4873"/>
    <cellStyle name="40% - Accent1 3 4 2 3 2 2" xfId="4874"/>
    <cellStyle name="40% - Accent1 3 4 2 3 3" xfId="4875"/>
    <cellStyle name="40% - Accent1 3 4 2 4" xfId="4876"/>
    <cellStyle name="40% - Accent1 3 4 2 4 2" xfId="4877"/>
    <cellStyle name="40% - Accent1 3 4 2 5" xfId="4878"/>
    <cellStyle name="40% - Accent1 3 4 2 6" xfId="4879"/>
    <cellStyle name="40% - Accent1 3 4 3" xfId="4880"/>
    <cellStyle name="40% - Accent1 3 4 3 2" xfId="4881"/>
    <cellStyle name="40% - Accent1 3 4 3 2 2" xfId="4882"/>
    <cellStyle name="40% - Accent1 3 4 3 3" xfId="4883"/>
    <cellStyle name="40% - Accent1 3 4 3 4" xfId="4884"/>
    <cellStyle name="40% - Accent1 3 4 4" xfId="4885"/>
    <cellStyle name="40% - Accent1 3 4 4 2" xfId="4886"/>
    <cellStyle name="40% - Accent1 3 4 4 2 2" xfId="4887"/>
    <cellStyle name="40% - Accent1 3 4 4 3" xfId="4888"/>
    <cellStyle name="40% - Accent1 3 4 5" xfId="4889"/>
    <cellStyle name="40% - Accent1 3 4 5 2" xfId="4890"/>
    <cellStyle name="40% - Accent1 3 4 6" xfId="4891"/>
    <cellStyle name="40% - Accent1 3 4 7" xfId="4892"/>
    <cellStyle name="40% - Accent1 3 4 8" xfId="4893"/>
    <cellStyle name="40% - Accent1 3 5" xfId="4894"/>
    <cellStyle name="40% - Accent1 3 5 2" xfId="4895"/>
    <cellStyle name="40% - Accent1 3 5 2 2" xfId="4896"/>
    <cellStyle name="40% - Accent1 3 5 2 2 2" xfId="4897"/>
    <cellStyle name="40% - Accent1 3 5 2 3" xfId="4898"/>
    <cellStyle name="40% - Accent1 3 5 2 4" xfId="4899"/>
    <cellStyle name="40% - Accent1 3 5 3" xfId="4900"/>
    <cellStyle name="40% - Accent1 3 5 3 2" xfId="4901"/>
    <cellStyle name="40% - Accent1 3 5 3 2 2" xfId="4902"/>
    <cellStyle name="40% - Accent1 3 5 3 3" xfId="4903"/>
    <cellStyle name="40% - Accent1 3 5 4" xfId="4904"/>
    <cellStyle name="40% - Accent1 3 5 4 2" xfId="4905"/>
    <cellStyle name="40% - Accent1 3 5 5" xfId="4906"/>
    <cellStyle name="40% - Accent1 3 5 6" xfId="4907"/>
    <cellStyle name="40% - Accent1 3 5 7" xfId="4908"/>
    <cellStyle name="40% - Accent1 3 6" xfId="4909"/>
    <cellStyle name="40% - Accent1 3 6 2" xfId="4910"/>
    <cellStyle name="40% - Accent1 3 6 2 2" xfId="4911"/>
    <cellStyle name="40% - Accent1 3 6 2 2 2" xfId="4912"/>
    <cellStyle name="40% - Accent1 3 6 2 3" xfId="4913"/>
    <cellStyle name="40% - Accent1 3 6 2 4" xfId="4914"/>
    <cellStyle name="40% - Accent1 3 6 3" xfId="4915"/>
    <cellStyle name="40% - Accent1 3 6 3 2" xfId="4916"/>
    <cellStyle name="40% - Accent1 3 6 3 2 2" xfId="4917"/>
    <cellStyle name="40% - Accent1 3 6 3 3" xfId="4918"/>
    <cellStyle name="40% - Accent1 3 6 4" xfId="4919"/>
    <cellStyle name="40% - Accent1 3 6 4 2" xfId="4920"/>
    <cellStyle name="40% - Accent1 3 6 5" xfId="4921"/>
    <cellStyle name="40% - Accent1 3 6 6" xfId="4922"/>
    <cellStyle name="40% - Accent1 3 6 7" xfId="4923"/>
    <cellStyle name="40% - Accent1 3 7" xfId="4924"/>
    <cellStyle name="40% - Accent1 3 7 2" xfId="4925"/>
    <cellStyle name="40% - Accent1 3 7 2 2" xfId="4926"/>
    <cellStyle name="40% - Accent1 3 7 2 2 2" xfId="4927"/>
    <cellStyle name="40% - Accent1 3 7 2 3" xfId="4928"/>
    <cellStyle name="40% - Accent1 3 7 2 4" xfId="4929"/>
    <cellStyle name="40% - Accent1 3 7 3" xfId="4930"/>
    <cellStyle name="40% - Accent1 3 7 3 2" xfId="4931"/>
    <cellStyle name="40% - Accent1 3 7 3 2 2" xfId="4932"/>
    <cellStyle name="40% - Accent1 3 7 3 3" xfId="4933"/>
    <cellStyle name="40% - Accent1 3 7 4" xfId="4934"/>
    <cellStyle name="40% - Accent1 3 7 4 2" xfId="4935"/>
    <cellStyle name="40% - Accent1 3 7 5" xfId="4936"/>
    <cellStyle name="40% - Accent1 3 7 6" xfId="4937"/>
    <cellStyle name="40% - Accent1 3 7 7" xfId="4938"/>
    <cellStyle name="40% - Accent1 3 8" xfId="4939"/>
    <cellStyle name="40% - Accent1 3 8 2" xfId="4940"/>
    <cellStyle name="40% - Accent1 3 8 2 2" xfId="4941"/>
    <cellStyle name="40% - Accent1 3 8 2 2 2" xfId="4942"/>
    <cellStyle name="40% - Accent1 3 8 2 3" xfId="4943"/>
    <cellStyle name="40% - Accent1 3 8 2 4" xfId="4944"/>
    <cellStyle name="40% - Accent1 3 8 3" xfId="4945"/>
    <cellStyle name="40% - Accent1 3 8 3 2" xfId="4946"/>
    <cellStyle name="40% - Accent1 3 8 3 2 2" xfId="4947"/>
    <cellStyle name="40% - Accent1 3 8 3 3" xfId="4948"/>
    <cellStyle name="40% - Accent1 3 8 4" xfId="4949"/>
    <cellStyle name="40% - Accent1 3 8 4 2" xfId="4950"/>
    <cellStyle name="40% - Accent1 3 8 5" xfId="4951"/>
    <cellStyle name="40% - Accent1 3 8 6" xfId="4952"/>
    <cellStyle name="40% - Accent1 3 9" xfId="4953"/>
    <cellStyle name="40% - Accent1 3 9 2" xfId="4954"/>
    <cellStyle name="40% - Accent1 3 9 2 2" xfId="4955"/>
    <cellStyle name="40% - Accent1 3 9 3" xfId="4956"/>
    <cellStyle name="40% - Accent1 3 9 4" xfId="4957"/>
    <cellStyle name="40% - Accent1 3_IBP - COPI Uplift at Investment Area Level 01Feb12" xfId="49264"/>
    <cellStyle name="40% - Accent1 4" xfId="4958"/>
    <cellStyle name="40% - Accent1 4 10" xfId="4959"/>
    <cellStyle name="40% - Accent1 4 2" xfId="4960"/>
    <cellStyle name="40% - Accent1 4 2 2" xfId="4961"/>
    <cellStyle name="40% - Accent1 4 2 2 2" xfId="4962"/>
    <cellStyle name="40% - Accent1 4 2 2 2 2" xfId="4963"/>
    <cellStyle name="40% - Accent1 4 2 2 3" xfId="4964"/>
    <cellStyle name="40% - Accent1 4 2 2 4" xfId="4965"/>
    <cellStyle name="40% - Accent1 4 2 3" xfId="4966"/>
    <cellStyle name="40% - Accent1 4 2 3 2" xfId="4967"/>
    <cellStyle name="40% - Accent1 4 2 3 2 2" xfId="4968"/>
    <cellStyle name="40% - Accent1 4 2 3 3" xfId="4969"/>
    <cellStyle name="40% - Accent1 4 2 4" xfId="4970"/>
    <cellStyle name="40% - Accent1 4 2 4 2" xfId="4971"/>
    <cellStyle name="40% - Accent1 4 2 5" xfId="4972"/>
    <cellStyle name="40% - Accent1 4 2 6" xfId="4973"/>
    <cellStyle name="40% - Accent1 4 2 7" xfId="4974"/>
    <cellStyle name="40% - Accent1 4 3" xfId="4975"/>
    <cellStyle name="40% - Accent1 4 3 2" xfId="4976"/>
    <cellStyle name="40% - Accent1 4 3 2 2" xfId="4977"/>
    <cellStyle name="40% - Accent1 4 3 3" xfId="4978"/>
    <cellStyle name="40% - Accent1 4 3 4" xfId="4979"/>
    <cellStyle name="40% - Accent1 4 3 5" xfId="4980"/>
    <cellStyle name="40% - Accent1 4 4" xfId="4981"/>
    <cellStyle name="40% - Accent1 4 4 2" xfId="4982"/>
    <cellStyle name="40% - Accent1 4 4 2 2" xfId="4983"/>
    <cellStyle name="40% - Accent1 4 4 3" xfId="4984"/>
    <cellStyle name="40% - Accent1 4 5" xfId="4985"/>
    <cellStyle name="40% - Accent1 4 5 2" xfId="4986"/>
    <cellStyle name="40% - Accent1 4 6" xfId="4987"/>
    <cellStyle name="40% - Accent1 4 7" xfId="4988"/>
    <cellStyle name="40% - Accent1 4 8" xfId="4989"/>
    <cellStyle name="40% - Accent1 4 9" xfId="4990"/>
    <cellStyle name="40% - Accent1 5" xfId="4991"/>
    <cellStyle name="40% - Accent1 5 2" xfId="4992"/>
    <cellStyle name="40% - Accent1 5 2 2" xfId="4993"/>
    <cellStyle name="40% - Accent1 5 2 2 2" xfId="4994"/>
    <cellStyle name="40% - Accent1 5 2 2 2 2" xfId="4995"/>
    <cellStyle name="40% - Accent1 5 2 2 3" xfId="4996"/>
    <cellStyle name="40% - Accent1 5 2 2 4" xfId="4997"/>
    <cellStyle name="40% - Accent1 5 2 3" xfId="4998"/>
    <cellStyle name="40% - Accent1 5 2 3 2" xfId="4999"/>
    <cellStyle name="40% - Accent1 5 2 3 2 2" xfId="5000"/>
    <cellStyle name="40% - Accent1 5 2 3 3" xfId="5001"/>
    <cellStyle name="40% - Accent1 5 2 4" xfId="5002"/>
    <cellStyle name="40% - Accent1 5 2 4 2" xfId="5003"/>
    <cellStyle name="40% - Accent1 5 2 5" xfId="5004"/>
    <cellStyle name="40% - Accent1 5 2 6" xfId="5005"/>
    <cellStyle name="40% - Accent1 5 3" xfId="5006"/>
    <cellStyle name="40% - Accent1 5 3 2" xfId="5007"/>
    <cellStyle name="40% - Accent1 5 3 2 2" xfId="5008"/>
    <cellStyle name="40% - Accent1 5 3 3" xfId="5009"/>
    <cellStyle name="40% - Accent1 5 3 4" xfId="5010"/>
    <cellStyle name="40% - Accent1 5 4" xfId="5011"/>
    <cellStyle name="40% - Accent1 5 4 2" xfId="5012"/>
    <cellStyle name="40% - Accent1 5 4 2 2" xfId="5013"/>
    <cellStyle name="40% - Accent1 5 4 3" xfId="5014"/>
    <cellStyle name="40% - Accent1 5 5" xfId="5015"/>
    <cellStyle name="40% - Accent1 5 5 2" xfId="5016"/>
    <cellStyle name="40% - Accent1 5 6" xfId="5017"/>
    <cellStyle name="40% - Accent1 5 7" xfId="5018"/>
    <cellStyle name="40% - Accent1 5 8" xfId="5019"/>
    <cellStyle name="40% - Accent1 5 9" xfId="5020"/>
    <cellStyle name="40% - Accent1 6" xfId="5021"/>
    <cellStyle name="40% - Accent1 6 2" xfId="5022"/>
    <cellStyle name="40% - Accent1 6 2 2" xfId="5023"/>
    <cellStyle name="40% - Accent1 6 2 2 2" xfId="5024"/>
    <cellStyle name="40% - Accent1 6 2 2 2 2" xfId="5025"/>
    <cellStyle name="40% - Accent1 6 2 2 3" xfId="5026"/>
    <cellStyle name="40% - Accent1 6 2 2 4" xfId="5027"/>
    <cellStyle name="40% - Accent1 6 2 3" xfId="5028"/>
    <cellStyle name="40% - Accent1 6 2 3 2" xfId="5029"/>
    <cellStyle name="40% - Accent1 6 2 3 2 2" xfId="5030"/>
    <cellStyle name="40% - Accent1 6 2 3 3" xfId="5031"/>
    <cellStyle name="40% - Accent1 6 2 4" xfId="5032"/>
    <cellStyle name="40% - Accent1 6 2 4 2" xfId="5033"/>
    <cellStyle name="40% - Accent1 6 2 5" xfId="5034"/>
    <cellStyle name="40% - Accent1 6 2 6" xfId="5035"/>
    <cellStyle name="40% - Accent1 6 3" xfId="5036"/>
    <cellStyle name="40% - Accent1 6 3 2" xfId="5037"/>
    <cellStyle name="40% - Accent1 6 3 2 2" xfId="5038"/>
    <cellStyle name="40% - Accent1 6 3 3" xfId="5039"/>
    <cellStyle name="40% - Accent1 6 3 4" xfId="5040"/>
    <cellStyle name="40% - Accent1 6 4" xfId="5041"/>
    <cellStyle name="40% - Accent1 6 4 2" xfId="5042"/>
    <cellStyle name="40% - Accent1 6 4 2 2" xfId="5043"/>
    <cellStyle name="40% - Accent1 6 4 3" xfId="5044"/>
    <cellStyle name="40% - Accent1 6 5" xfId="5045"/>
    <cellStyle name="40% - Accent1 6 5 2" xfId="5046"/>
    <cellStyle name="40% - Accent1 6 6" xfId="5047"/>
    <cellStyle name="40% - Accent1 6 7" xfId="5048"/>
    <cellStyle name="40% - Accent1 6 8" xfId="5049"/>
    <cellStyle name="40% - Accent1 7" xfId="5050"/>
    <cellStyle name="40% - Accent1 7 2" xfId="5051"/>
    <cellStyle name="40% - Accent1 7 2 2" xfId="5052"/>
    <cellStyle name="40% - Accent1 7 2 2 2" xfId="5053"/>
    <cellStyle name="40% - Accent1 7 2 2 2 2" xfId="5054"/>
    <cellStyle name="40% - Accent1 7 2 2 3" xfId="5055"/>
    <cellStyle name="40% - Accent1 7 2 2 4" xfId="5056"/>
    <cellStyle name="40% - Accent1 7 2 3" xfId="5057"/>
    <cellStyle name="40% - Accent1 7 2 3 2" xfId="5058"/>
    <cellStyle name="40% - Accent1 7 2 3 2 2" xfId="5059"/>
    <cellStyle name="40% - Accent1 7 2 3 3" xfId="5060"/>
    <cellStyle name="40% - Accent1 7 2 4" xfId="5061"/>
    <cellStyle name="40% - Accent1 7 2 4 2" xfId="5062"/>
    <cellStyle name="40% - Accent1 7 2 5" xfId="5063"/>
    <cellStyle name="40% - Accent1 7 2 6" xfId="5064"/>
    <cellStyle name="40% - Accent1 7 3" xfId="5065"/>
    <cellStyle name="40% - Accent1 7 3 2" xfId="5066"/>
    <cellStyle name="40% - Accent1 7 3 2 2" xfId="5067"/>
    <cellStyle name="40% - Accent1 7 3 3" xfId="5068"/>
    <cellStyle name="40% - Accent1 7 3 4" xfId="5069"/>
    <cellStyle name="40% - Accent1 7 4" xfId="5070"/>
    <cellStyle name="40% - Accent1 7 4 2" xfId="5071"/>
    <cellStyle name="40% - Accent1 7 4 2 2" xfId="5072"/>
    <cellStyle name="40% - Accent1 7 4 3" xfId="5073"/>
    <cellStyle name="40% - Accent1 7 5" xfId="5074"/>
    <cellStyle name="40% - Accent1 7 5 2" xfId="5075"/>
    <cellStyle name="40% - Accent1 7 6" xfId="5076"/>
    <cellStyle name="40% - Accent1 7 7" xfId="5077"/>
    <cellStyle name="40% - Accent1 7 8" xfId="5078"/>
    <cellStyle name="40% - Accent1 8" xfId="5079"/>
    <cellStyle name="40% - Accent1 8 2" xfId="5080"/>
    <cellStyle name="40% - Accent1 8 2 2" xfId="5081"/>
    <cellStyle name="40% - Accent1 8 2 2 2" xfId="5082"/>
    <cellStyle name="40% - Accent1 8 2 3" xfId="5083"/>
    <cellStyle name="40% - Accent1 8 2 4" xfId="5084"/>
    <cellStyle name="40% - Accent1 8 3" xfId="5085"/>
    <cellStyle name="40% - Accent1 8 3 2" xfId="5086"/>
    <cellStyle name="40% - Accent1 8 3 2 2" xfId="5087"/>
    <cellStyle name="40% - Accent1 8 3 3" xfId="5088"/>
    <cellStyle name="40% - Accent1 8 4" xfId="5089"/>
    <cellStyle name="40% - Accent1 8 4 2" xfId="5090"/>
    <cellStyle name="40% - Accent1 8 5" xfId="5091"/>
    <cellStyle name="40% - Accent1 8 6" xfId="5092"/>
    <cellStyle name="40% - Accent1 8 7" xfId="5093"/>
    <cellStyle name="40% - Accent1 9" xfId="5094"/>
    <cellStyle name="40% - Accent1 9 2" xfId="5095"/>
    <cellStyle name="40% - Accent1 9 2 2" xfId="5096"/>
    <cellStyle name="40% - Accent1 9 2 2 2" xfId="5097"/>
    <cellStyle name="40% - Accent1 9 2 3" xfId="5098"/>
    <cellStyle name="40% - Accent1 9 2 4" xfId="5099"/>
    <cellStyle name="40% - Accent1 9 3" xfId="5100"/>
    <cellStyle name="40% - Accent1 9 3 2" xfId="5101"/>
    <cellStyle name="40% - Accent1 9 3 2 2" xfId="5102"/>
    <cellStyle name="40% - Accent1 9 3 3" xfId="5103"/>
    <cellStyle name="40% - Accent1 9 4" xfId="5104"/>
    <cellStyle name="40% - Accent1 9 4 2" xfId="5105"/>
    <cellStyle name="40% - Accent1 9 5" xfId="5106"/>
    <cellStyle name="40% - Accent1 9 6" xfId="5107"/>
    <cellStyle name="40% - Accent1 9 7" xfId="5108"/>
    <cellStyle name="40% - Accent2" xfId="8" builtinId="35" customBuiltin="1"/>
    <cellStyle name="40% - Accent2 10" xfId="5109"/>
    <cellStyle name="40% - Accent2 10 2" xfId="5110"/>
    <cellStyle name="40% - Accent2 10 2 2" xfId="5111"/>
    <cellStyle name="40% - Accent2 10 2 2 2" xfId="5112"/>
    <cellStyle name="40% - Accent2 10 2 3" xfId="5113"/>
    <cellStyle name="40% - Accent2 10 2 4" xfId="5114"/>
    <cellStyle name="40% - Accent2 10 3" xfId="5115"/>
    <cellStyle name="40% - Accent2 10 3 2" xfId="5116"/>
    <cellStyle name="40% - Accent2 10 3 2 2" xfId="5117"/>
    <cellStyle name="40% - Accent2 10 3 3" xfId="5118"/>
    <cellStyle name="40% - Accent2 10 4" xfId="5119"/>
    <cellStyle name="40% - Accent2 10 4 2" xfId="5120"/>
    <cellStyle name="40% - Accent2 10 5" xfId="5121"/>
    <cellStyle name="40% - Accent2 10 6" xfId="5122"/>
    <cellStyle name="40% - Accent2 10 7" xfId="5123"/>
    <cellStyle name="40% - Accent2 11" xfId="5124"/>
    <cellStyle name="40% - Accent2 11 2" xfId="5125"/>
    <cellStyle name="40% - Accent2 11 2 2" xfId="5126"/>
    <cellStyle name="40% - Accent2 11 2 2 2" xfId="5127"/>
    <cellStyle name="40% - Accent2 11 2 3" xfId="5128"/>
    <cellStyle name="40% - Accent2 11 2 4" xfId="5129"/>
    <cellStyle name="40% - Accent2 11 3" xfId="5130"/>
    <cellStyle name="40% - Accent2 11 3 2" xfId="5131"/>
    <cellStyle name="40% - Accent2 11 3 2 2" xfId="5132"/>
    <cellStyle name="40% - Accent2 11 3 3" xfId="5133"/>
    <cellStyle name="40% - Accent2 11 4" xfId="5134"/>
    <cellStyle name="40% - Accent2 11 4 2" xfId="5135"/>
    <cellStyle name="40% - Accent2 11 5" xfId="5136"/>
    <cellStyle name="40% - Accent2 11 6" xfId="5137"/>
    <cellStyle name="40% - Accent2 11 7" xfId="5138"/>
    <cellStyle name="40% - Accent2 12" xfId="5139"/>
    <cellStyle name="40% - Accent2 12 2" xfId="5140"/>
    <cellStyle name="40% - Accent2 12 2 2" xfId="5141"/>
    <cellStyle name="40% - Accent2 12 3" xfId="5142"/>
    <cellStyle name="40% - Accent2 12 4" xfId="5143"/>
    <cellStyle name="40% - Accent2 13" xfId="5144"/>
    <cellStyle name="40% - Accent2 13 2" xfId="5145"/>
    <cellStyle name="40% - Accent2 13 2 2" xfId="5146"/>
    <cellStyle name="40% - Accent2 13 3" xfId="5147"/>
    <cellStyle name="40% - Accent2 14" xfId="5148"/>
    <cellStyle name="40% - Accent2 14 2" xfId="5149"/>
    <cellStyle name="40% - Accent2 15" xfId="5150"/>
    <cellStyle name="40% - Accent2 15 2" xfId="5151"/>
    <cellStyle name="40% - Accent2 16" xfId="5152"/>
    <cellStyle name="40% - Accent2 16 2" xfId="5153"/>
    <cellStyle name="40% - Accent2 17" xfId="5154"/>
    <cellStyle name="40% - Accent2 18" xfId="5155"/>
    <cellStyle name="40% - Accent2 19" xfId="5156"/>
    <cellStyle name="40% - Accent2 2" xfId="89"/>
    <cellStyle name="40% - Accent2 2 10" xfId="5157"/>
    <cellStyle name="40% - Accent2 2 10 2" xfId="5158"/>
    <cellStyle name="40% - Accent2 2 10 2 2" xfId="5159"/>
    <cellStyle name="40% - Accent2 2 10 3" xfId="5160"/>
    <cellStyle name="40% - Accent2 2 10 4" xfId="5161"/>
    <cellStyle name="40% - Accent2 2 11" xfId="5162"/>
    <cellStyle name="40% - Accent2 2 11 2" xfId="5163"/>
    <cellStyle name="40% - Accent2 2 11 2 2" xfId="5164"/>
    <cellStyle name="40% - Accent2 2 11 3" xfId="5165"/>
    <cellStyle name="40% - Accent2 2 12" xfId="5166"/>
    <cellStyle name="40% - Accent2 2 12 2" xfId="5167"/>
    <cellStyle name="40% - Accent2 2 13" xfId="5168"/>
    <cellStyle name="40% - Accent2 2 13 2" xfId="5169"/>
    <cellStyle name="40% - Accent2 2 14" xfId="5170"/>
    <cellStyle name="40% - Accent2 2 15" xfId="5171"/>
    <cellStyle name="40% - Accent2 2 16" xfId="5172"/>
    <cellStyle name="40% - Accent2 2 17" xfId="5173"/>
    <cellStyle name="40% - Accent2 2 18" xfId="5174"/>
    <cellStyle name="40% - Accent2 2 19" xfId="5175"/>
    <cellStyle name="40% - Accent2 2 2" xfId="90"/>
    <cellStyle name="40% - Accent2 2 2 2" xfId="5176"/>
    <cellStyle name="40% - Accent2 2 2 2 2" xfId="5177"/>
    <cellStyle name="40% - Accent2 2 2 2 2 2" xfId="5178"/>
    <cellStyle name="40% - Accent2 2 2 2 2 2 2" xfId="5179"/>
    <cellStyle name="40% - Accent2 2 2 2 2 3" xfId="5180"/>
    <cellStyle name="40% - Accent2 2 2 2 2 4" xfId="5181"/>
    <cellStyle name="40% - Accent2 2 2 2 2 5" xfId="5182"/>
    <cellStyle name="40% - Accent2 2 2 2 3" xfId="5183"/>
    <cellStyle name="40% - Accent2 2 2 2 3 2" xfId="5184"/>
    <cellStyle name="40% - Accent2 2 2 2 3 2 2" xfId="5185"/>
    <cellStyle name="40% - Accent2 2 2 2 3 3" xfId="5186"/>
    <cellStyle name="40% - Accent2 2 2 2 4" xfId="5187"/>
    <cellStyle name="40% - Accent2 2 2 2 4 2" xfId="5188"/>
    <cellStyle name="40% - Accent2 2 2 2 5" xfId="5189"/>
    <cellStyle name="40% - Accent2 2 2 2 6" xfId="5190"/>
    <cellStyle name="40% - Accent2 2 2 2 7" xfId="5191"/>
    <cellStyle name="40% - Accent2 2 2 2 8" xfId="5192"/>
    <cellStyle name="40% - Accent2 2 2 2 9" xfId="5193"/>
    <cellStyle name="40% - Accent2 2 2 3" xfId="5194"/>
    <cellStyle name="40% - Accent2 2 2 4" xfId="5195"/>
    <cellStyle name="40% - Accent2 2 2 4 2" xfId="5196"/>
    <cellStyle name="40% - Accent2 2 2 4 2 2" xfId="5197"/>
    <cellStyle name="40% - Accent2 2 2 4 3" xfId="5198"/>
    <cellStyle name="40% - Accent2 2 2 4 4" xfId="5199"/>
    <cellStyle name="40% - Accent2 2 2 5" xfId="5200"/>
    <cellStyle name="40% - Accent2 2 2 5 2" xfId="5201"/>
    <cellStyle name="40% - Accent2 2 2 5 2 2" xfId="5202"/>
    <cellStyle name="40% - Accent2 2 2 5 3" xfId="5203"/>
    <cellStyle name="40% - Accent2 2 2 6" xfId="5204"/>
    <cellStyle name="40% - Accent2 2 2 6 2" xfId="5205"/>
    <cellStyle name="40% - Accent2 2 2 7" xfId="5206"/>
    <cellStyle name="40% - Accent2 2 2 8" xfId="5207"/>
    <cellStyle name="40% - Accent2 2 3" xfId="5208"/>
    <cellStyle name="40% - Accent2 2 3 10" xfId="5209"/>
    <cellStyle name="40% - Accent2 2 3 2" xfId="5210"/>
    <cellStyle name="40% - Accent2 2 3 2 2" xfId="5211"/>
    <cellStyle name="40% - Accent2 2 3 2 2 2" xfId="5212"/>
    <cellStyle name="40% - Accent2 2 3 2 2 2 2" xfId="5213"/>
    <cellStyle name="40% - Accent2 2 3 2 2 3" xfId="5214"/>
    <cellStyle name="40% - Accent2 2 3 2 2 4" xfId="5215"/>
    <cellStyle name="40% - Accent2 2 3 2 3" xfId="5216"/>
    <cellStyle name="40% - Accent2 2 3 2 3 2" xfId="5217"/>
    <cellStyle name="40% - Accent2 2 3 2 3 2 2" xfId="5218"/>
    <cellStyle name="40% - Accent2 2 3 2 3 3" xfId="5219"/>
    <cellStyle name="40% - Accent2 2 3 2 4" xfId="5220"/>
    <cellStyle name="40% - Accent2 2 3 2 4 2" xfId="5221"/>
    <cellStyle name="40% - Accent2 2 3 2 5" xfId="5222"/>
    <cellStyle name="40% - Accent2 2 3 2 6" xfId="5223"/>
    <cellStyle name="40% - Accent2 2 3 2 7" xfId="5224"/>
    <cellStyle name="40% - Accent2 2 3 3" xfId="5225"/>
    <cellStyle name="40% - Accent2 2 3 3 2" xfId="5226"/>
    <cellStyle name="40% - Accent2 2 3 3 2 2" xfId="5227"/>
    <cellStyle name="40% - Accent2 2 3 3 3" xfId="5228"/>
    <cellStyle name="40% - Accent2 2 3 3 4" xfId="5229"/>
    <cellStyle name="40% - Accent2 2 3 3 5" xfId="5230"/>
    <cellStyle name="40% - Accent2 2 3 4" xfId="5231"/>
    <cellStyle name="40% - Accent2 2 3 4 2" xfId="5232"/>
    <cellStyle name="40% - Accent2 2 3 4 2 2" xfId="5233"/>
    <cellStyle name="40% - Accent2 2 3 4 3" xfId="5234"/>
    <cellStyle name="40% - Accent2 2 3 5" xfId="5235"/>
    <cellStyle name="40% - Accent2 2 3 5 2" xfId="5236"/>
    <cellStyle name="40% - Accent2 2 3 6" xfId="5237"/>
    <cellStyle name="40% - Accent2 2 3 7" xfId="5238"/>
    <cellStyle name="40% - Accent2 2 3 8" xfId="5239"/>
    <cellStyle name="40% - Accent2 2 3 9" xfId="5240"/>
    <cellStyle name="40% - Accent2 2 4" xfId="5241"/>
    <cellStyle name="40% - Accent2 2 4 10" xfId="5242"/>
    <cellStyle name="40% - Accent2 2 4 2" xfId="5243"/>
    <cellStyle name="40% - Accent2 2 4 2 2" xfId="5244"/>
    <cellStyle name="40% - Accent2 2 4 2 2 2" xfId="5245"/>
    <cellStyle name="40% - Accent2 2 4 2 2 2 2" xfId="5246"/>
    <cellStyle name="40% - Accent2 2 4 2 2 3" xfId="5247"/>
    <cellStyle name="40% - Accent2 2 4 2 2 4" xfId="5248"/>
    <cellStyle name="40% - Accent2 2 4 2 3" xfId="5249"/>
    <cellStyle name="40% - Accent2 2 4 2 3 2" xfId="5250"/>
    <cellStyle name="40% - Accent2 2 4 2 3 2 2" xfId="5251"/>
    <cellStyle name="40% - Accent2 2 4 2 3 3" xfId="5252"/>
    <cellStyle name="40% - Accent2 2 4 2 4" xfId="5253"/>
    <cellStyle name="40% - Accent2 2 4 2 4 2" xfId="5254"/>
    <cellStyle name="40% - Accent2 2 4 2 5" xfId="5255"/>
    <cellStyle name="40% - Accent2 2 4 2 6" xfId="5256"/>
    <cellStyle name="40% - Accent2 2 4 2 7" xfId="5257"/>
    <cellStyle name="40% - Accent2 2 4 3" xfId="5258"/>
    <cellStyle name="40% - Accent2 2 4 3 2" xfId="5259"/>
    <cellStyle name="40% - Accent2 2 4 3 2 2" xfId="5260"/>
    <cellStyle name="40% - Accent2 2 4 3 3" xfId="5261"/>
    <cellStyle name="40% - Accent2 2 4 3 4" xfId="5262"/>
    <cellStyle name="40% - Accent2 2 4 4" xfId="5263"/>
    <cellStyle name="40% - Accent2 2 4 4 2" xfId="5264"/>
    <cellStyle name="40% - Accent2 2 4 4 2 2" xfId="5265"/>
    <cellStyle name="40% - Accent2 2 4 4 3" xfId="5266"/>
    <cellStyle name="40% - Accent2 2 4 5" xfId="5267"/>
    <cellStyle name="40% - Accent2 2 4 5 2" xfId="5268"/>
    <cellStyle name="40% - Accent2 2 4 6" xfId="5269"/>
    <cellStyle name="40% - Accent2 2 4 7" xfId="5270"/>
    <cellStyle name="40% - Accent2 2 4 8" xfId="5271"/>
    <cellStyle name="40% - Accent2 2 4 9" xfId="5272"/>
    <cellStyle name="40% - Accent2 2 5" xfId="5273"/>
    <cellStyle name="40% - Accent2 2 5 10" xfId="5274"/>
    <cellStyle name="40% - Accent2 2 5 2" xfId="5275"/>
    <cellStyle name="40% - Accent2 2 5 2 2" xfId="5276"/>
    <cellStyle name="40% - Accent2 2 5 2 2 2" xfId="5277"/>
    <cellStyle name="40% - Accent2 2 5 2 2 2 2" xfId="5278"/>
    <cellStyle name="40% - Accent2 2 5 2 2 3" xfId="5279"/>
    <cellStyle name="40% - Accent2 2 5 2 2 4" xfId="5280"/>
    <cellStyle name="40% - Accent2 2 5 2 3" xfId="5281"/>
    <cellStyle name="40% - Accent2 2 5 2 3 2" xfId="5282"/>
    <cellStyle name="40% - Accent2 2 5 2 3 2 2" xfId="5283"/>
    <cellStyle name="40% - Accent2 2 5 2 3 3" xfId="5284"/>
    <cellStyle name="40% - Accent2 2 5 2 4" xfId="5285"/>
    <cellStyle name="40% - Accent2 2 5 2 4 2" xfId="5286"/>
    <cellStyle name="40% - Accent2 2 5 2 5" xfId="5287"/>
    <cellStyle name="40% - Accent2 2 5 2 6" xfId="5288"/>
    <cellStyle name="40% - Accent2 2 5 3" xfId="5289"/>
    <cellStyle name="40% - Accent2 2 5 3 2" xfId="5290"/>
    <cellStyle name="40% - Accent2 2 5 3 2 2" xfId="5291"/>
    <cellStyle name="40% - Accent2 2 5 3 3" xfId="5292"/>
    <cellStyle name="40% - Accent2 2 5 3 4" xfId="5293"/>
    <cellStyle name="40% - Accent2 2 5 4" xfId="5294"/>
    <cellStyle name="40% - Accent2 2 5 4 2" xfId="5295"/>
    <cellStyle name="40% - Accent2 2 5 4 2 2" xfId="5296"/>
    <cellStyle name="40% - Accent2 2 5 4 3" xfId="5297"/>
    <cellStyle name="40% - Accent2 2 5 5" xfId="5298"/>
    <cellStyle name="40% - Accent2 2 5 5 2" xfId="5299"/>
    <cellStyle name="40% - Accent2 2 5 6" xfId="5300"/>
    <cellStyle name="40% - Accent2 2 5 7" xfId="5301"/>
    <cellStyle name="40% - Accent2 2 5 8" xfId="5302"/>
    <cellStyle name="40% - Accent2 2 5 9" xfId="5303"/>
    <cellStyle name="40% - Accent2 2 6" xfId="5304"/>
    <cellStyle name="40% - Accent2 2 6 2" xfId="5305"/>
    <cellStyle name="40% - Accent2 2 6 2 2" xfId="5306"/>
    <cellStyle name="40% - Accent2 2 6 2 2 2" xfId="5307"/>
    <cellStyle name="40% - Accent2 2 6 2 3" xfId="5308"/>
    <cellStyle name="40% - Accent2 2 6 2 4" xfId="5309"/>
    <cellStyle name="40% - Accent2 2 6 3" xfId="5310"/>
    <cellStyle name="40% - Accent2 2 6 3 2" xfId="5311"/>
    <cellStyle name="40% - Accent2 2 6 3 2 2" xfId="5312"/>
    <cellStyle name="40% - Accent2 2 6 3 3" xfId="5313"/>
    <cellStyle name="40% - Accent2 2 6 4" xfId="5314"/>
    <cellStyle name="40% - Accent2 2 6 4 2" xfId="5315"/>
    <cellStyle name="40% - Accent2 2 6 5" xfId="5316"/>
    <cellStyle name="40% - Accent2 2 6 6" xfId="5317"/>
    <cellStyle name="40% - Accent2 2 6 7" xfId="5318"/>
    <cellStyle name="40% - Accent2 2 6 8" xfId="5319"/>
    <cellStyle name="40% - Accent2 2 7" xfId="5320"/>
    <cellStyle name="40% - Accent2 2 7 2" xfId="5321"/>
    <cellStyle name="40% - Accent2 2 7 2 2" xfId="5322"/>
    <cellStyle name="40% - Accent2 2 7 2 2 2" xfId="5323"/>
    <cellStyle name="40% - Accent2 2 7 2 3" xfId="5324"/>
    <cellStyle name="40% - Accent2 2 7 2 4" xfId="5325"/>
    <cellStyle name="40% - Accent2 2 7 3" xfId="5326"/>
    <cellStyle name="40% - Accent2 2 7 3 2" xfId="5327"/>
    <cellStyle name="40% - Accent2 2 7 3 2 2" xfId="5328"/>
    <cellStyle name="40% - Accent2 2 7 3 3" xfId="5329"/>
    <cellStyle name="40% - Accent2 2 7 4" xfId="5330"/>
    <cellStyle name="40% - Accent2 2 7 4 2" xfId="5331"/>
    <cellStyle name="40% - Accent2 2 7 5" xfId="5332"/>
    <cellStyle name="40% - Accent2 2 7 6" xfId="5333"/>
    <cellStyle name="40% - Accent2 2 7 7" xfId="5334"/>
    <cellStyle name="40% - Accent2 2 8" xfId="5335"/>
    <cellStyle name="40% - Accent2 2 8 2" xfId="5336"/>
    <cellStyle name="40% - Accent2 2 8 2 2" xfId="5337"/>
    <cellStyle name="40% - Accent2 2 8 2 2 2" xfId="5338"/>
    <cellStyle name="40% - Accent2 2 8 2 3" xfId="5339"/>
    <cellStyle name="40% - Accent2 2 8 2 4" xfId="5340"/>
    <cellStyle name="40% - Accent2 2 8 3" xfId="5341"/>
    <cellStyle name="40% - Accent2 2 8 3 2" xfId="5342"/>
    <cellStyle name="40% - Accent2 2 8 3 2 2" xfId="5343"/>
    <cellStyle name="40% - Accent2 2 8 3 3" xfId="5344"/>
    <cellStyle name="40% - Accent2 2 8 4" xfId="5345"/>
    <cellStyle name="40% - Accent2 2 8 4 2" xfId="5346"/>
    <cellStyle name="40% - Accent2 2 8 5" xfId="5347"/>
    <cellStyle name="40% - Accent2 2 8 6" xfId="5348"/>
    <cellStyle name="40% - Accent2 2 8 7" xfId="5349"/>
    <cellStyle name="40% - Accent2 2 9" xfId="5350"/>
    <cellStyle name="40% - Accent2 2 9 2" xfId="5351"/>
    <cellStyle name="40% - Accent2 2 9 2 2" xfId="5352"/>
    <cellStyle name="40% - Accent2 2 9 2 2 2" xfId="5353"/>
    <cellStyle name="40% - Accent2 2 9 2 3" xfId="5354"/>
    <cellStyle name="40% - Accent2 2 9 2 4" xfId="5355"/>
    <cellStyle name="40% - Accent2 2 9 3" xfId="5356"/>
    <cellStyle name="40% - Accent2 2 9 3 2" xfId="5357"/>
    <cellStyle name="40% - Accent2 2 9 3 2 2" xfId="5358"/>
    <cellStyle name="40% - Accent2 2 9 3 3" xfId="5359"/>
    <cellStyle name="40% - Accent2 2 9 4" xfId="5360"/>
    <cellStyle name="40% - Accent2 2 9 4 2" xfId="5361"/>
    <cellStyle name="40% - Accent2 2 9 5" xfId="5362"/>
    <cellStyle name="40% - Accent2 2 9 6" xfId="5363"/>
    <cellStyle name="40% - Accent2 2_IBP - COPI Uplift at Investment Area Level 01Feb12" xfId="49265"/>
    <cellStyle name="40% - Accent2 3" xfId="91"/>
    <cellStyle name="40% - Accent2 3 10" xfId="5364"/>
    <cellStyle name="40% - Accent2 3 10 2" xfId="5365"/>
    <cellStyle name="40% - Accent2 3 10 2 2" xfId="5366"/>
    <cellStyle name="40% - Accent2 3 10 3" xfId="5367"/>
    <cellStyle name="40% - Accent2 3 11" xfId="5368"/>
    <cellStyle name="40% - Accent2 3 11 2" xfId="5369"/>
    <cellStyle name="40% - Accent2 3 12" xfId="5370"/>
    <cellStyle name="40% - Accent2 3 12 2" xfId="5371"/>
    <cellStyle name="40% - Accent2 3 13" xfId="5372"/>
    <cellStyle name="40% - Accent2 3 14" xfId="5373"/>
    <cellStyle name="40% - Accent2 3 15" xfId="5374"/>
    <cellStyle name="40% - Accent2 3 16" xfId="5375"/>
    <cellStyle name="40% - Accent2 3 2" xfId="5376"/>
    <cellStyle name="40% - Accent2 3 2 10" xfId="5377"/>
    <cellStyle name="40% - Accent2 3 2 2" xfId="5378"/>
    <cellStyle name="40% - Accent2 3 2 2 2" xfId="5379"/>
    <cellStyle name="40% - Accent2 3 2 2 2 2" xfId="5380"/>
    <cellStyle name="40% - Accent2 3 2 2 2 2 2" xfId="5381"/>
    <cellStyle name="40% - Accent2 3 2 2 2 3" xfId="5382"/>
    <cellStyle name="40% - Accent2 3 2 2 2 4" xfId="5383"/>
    <cellStyle name="40% - Accent2 3 2 2 3" xfId="5384"/>
    <cellStyle name="40% - Accent2 3 2 2 3 2" xfId="5385"/>
    <cellStyle name="40% - Accent2 3 2 2 3 2 2" xfId="5386"/>
    <cellStyle name="40% - Accent2 3 2 2 3 3" xfId="5387"/>
    <cellStyle name="40% - Accent2 3 2 2 4" xfId="5388"/>
    <cellStyle name="40% - Accent2 3 2 2 4 2" xfId="5389"/>
    <cellStyle name="40% - Accent2 3 2 2 5" xfId="5390"/>
    <cellStyle name="40% - Accent2 3 2 2 6" xfId="5391"/>
    <cellStyle name="40% - Accent2 3 2 2 7" xfId="5392"/>
    <cellStyle name="40% - Accent2 3 2 3" xfId="5393"/>
    <cellStyle name="40% - Accent2 3 2 3 2" xfId="5394"/>
    <cellStyle name="40% - Accent2 3 2 3 2 2" xfId="5395"/>
    <cellStyle name="40% - Accent2 3 2 3 3" xfId="5396"/>
    <cellStyle name="40% - Accent2 3 2 3 4" xfId="5397"/>
    <cellStyle name="40% - Accent2 3 2 3 5" xfId="5398"/>
    <cellStyle name="40% - Accent2 3 2 4" xfId="5399"/>
    <cellStyle name="40% - Accent2 3 2 4 2" xfId="5400"/>
    <cellStyle name="40% - Accent2 3 2 4 2 2" xfId="5401"/>
    <cellStyle name="40% - Accent2 3 2 4 3" xfId="5402"/>
    <cellStyle name="40% - Accent2 3 2 5" xfId="5403"/>
    <cellStyle name="40% - Accent2 3 2 5 2" xfId="5404"/>
    <cellStyle name="40% - Accent2 3 2 6" xfId="5405"/>
    <cellStyle name="40% - Accent2 3 2 7" xfId="5406"/>
    <cellStyle name="40% - Accent2 3 2 8" xfId="5407"/>
    <cellStyle name="40% - Accent2 3 2 9" xfId="5408"/>
    <cellStyle name="40% - Accent2 3 3" xfId="5409"/>
    <cellStyle name="40% - Accent2 3 3 2" xfId="5410"/>
    <cellStyle name="40% - Accent2 3 3 2 2" xfId="5411"/>
    <cellStyle name="40% - Accent2 3 3 2 2 2" xfId="5412"/>
    <cellStyle name="40% - Accent2 3 3 2 2 2 2" xfId="5413"/>
    <cellStyle name="40% - Accent2 3 3 2 2 3" xfId="5414"/>
    <cellStyle name="40% - Accent2 3 3 2 2 4" xfId="5415"/>
    <cellStyle name="40% - Accent2 3 3 2 3" xfId="5416"/>
    <cellStyle name="40% - Accent2 3 3 2 3 2" xfId="5417"/>
    <cellStyle name="40% - Accent2 3 3 2 3 2 2" xfId="5418"/>
    <cellStyle name="40% - Accent2 3 3 2 3 3" xfId="5419"/>
    <cellStyle name="40% - Accent2 3 3 2 4" xfId="5420"/>
    <cellStyle name="40% - Accent2 3 3 2 4 2" xfId="5421"/>
    <cellStyle name="40% - Accent2 3 3 2 5" xfId="5422"/>
    <cellStyle name="40% - Accent2 3 3 2 6" xfId="5423"/>
    <cellStyle name="40% - Accent2 3 3 3" xfId="5424"/>
    <cellStyle name="40% - Accent2 3 3 3 2" xfId="5425"/>
    <cellStyle name="40% - Accent2 3 3 3 2 2" xfId="5426"/>
    <cellStyle name="40% - Accent2 3 3 3 3" xfId="5427"/>
    <cellStyle name="40% - Accent2 3 3 3 4" xfId="5428"/>
    <cellStyle name="40% - Accent2 3 3 4" xfId="5429"/>
    <cellStyle name="40% - Accent2 3 3 4 2" xfId="5430"/>
    <cellStyle name="40% - Accent2 3 3 4 2 2" xfId="5431"/>
    <cellStyle name="40% - Accent2 3 3 4 3" xfId="5432"/>
    <cellStyle name="40% - Accent2 3 3 5" xfId="5433"/>
    <cellStyle name="40% - Accent2 3 3 5 2" xfId="5434"/>
    <cellStyle name="40% - Accent2 3 3 6" xfId="5435"/>
    <cellStyle name="40% - Accent2 3 3 7" xfId="5436"/>
    <cellStyle name="40% - Accent2 3 3 8" xfId="5437"/>
    <cellStyle name="40% - Accent2 3 3 9" xfId="5438"/>
    <cellStyle name="40% - Accent2 3 4" xfId="5439"/>
    <cellStyle name="40% - Accent2 3 4 2" xfId="5440"/>
    <cellStyle name="40% - Accent2 3 4 2 2" xfId="5441"/>
    <cellStyle name="40% - Accent2 3 4 2 2 2" xfId="5442"/>
    <cellStyle name="40% - Accent2 3 4 2 2 2 2" xfId="5443"/>
    <cellStyle name="40% - Accent2 3 4 2 2 3" xfId="5444"/>
    <cellStyle name="40% - Accent2 3 4 2 2 4" xfId="5445"/>
    <cellStyle name="40% - Accent2 3 4 2 3" xfId="5446"/>
    <cellStyle name="40% - Accent2 3 4 2 3 2" xfId="5447"/>
    <cellStyle name="40% - Accent2 3 4 2 3 2 2" xfId="5448"/>
    <cellStyle name="40% - Accent2 3 4 2 3 3" xfId="5449"/>
    <cellStyle name="40% - Accent2 3 4 2 4" xfId="5450"/>
    <cellStyle name="40% - Accent2 3 4 2 4 2" xfId="5451"/>
    <cellStyle name="40% - Accent2 3 4 2 5" xfId="5452"/>
    <cellStyle name="40% - Accent2 3 4 2 6" xfId="5453"/>
    <cellStyle name="40% - Accent2 3 4 3" xfId="5454"/>
    <cellStyle name="40% - Accent2 3 4 3 2" xfId="5455"/>
    <cellStyle name="40% - Accent2 3 4 3 2 2" xfId="5456"/>
    <cellStyle name="40% - Accent2 3 4 3 3" xfId="5457"/>
    <cellStyle name="40% - Accent2 3 4 3 4" xfId="5458"/>
    <cellStyle name="40% - Accent2 3 4 4" xfId="5459"/>
    <cellStyle name="40% - Accent2 3 4 4 2" xfId="5460"/>
    <cellStyle name="40% - Accent2 3 4 4 2 2" xfId="5461"/>
    <cellStyle name="40% - Accent2 3 4 4 3" xfId="5462"/>
    <cellStyle name="40% - Accent2 3 4 5" xfId="5463"/>
    <cellStyle name="40% - Accent2 3 4 5 2" xfId="5464"/>
    <cellStyle name="40% - Accent2 3 4 6" xfId="5465"/>
    <cellStyle name="40% - Accent2 3 4 7" xfId="5466"/>
    <cellStyle name="40% - Accent2 3 4 8" xfId="5467"/>
    <cellStyle name="40% - Accent2 3 5" xfId="5468"/>
    <cellStyle name="40% - Accent2 3 5 2" xfId="5469"/>
    <cellStyle name="40% - Accent2 3 5 2 2" xfId="5470"/>
    <cellStyle name="40% - Accent2 3 5 2 2 2" xfId="5471"/>
    <cellStyle name="40% - Accent2 3 5 2 3" xfId="5472"/>
    <cellStyle name="40% - Accent2 3 5 2 4" xfId="5473"/>
    <cellStyle name="40% - Accent2 3 5 3" xfId="5474"/>
    <cellStyle name="40% - Accent2 3 5 3 2" xfId="5475"/>
    <cellStyle name="40% - Accent2 3 5 3 2 2" xfId="5476"/>
    <cellStyle name="40% - Accent2 3 5 3 3" xfId="5477"/>
    <cellStyle name="40% - Accent2 3 5 4" xfId="5478"/>
    <cellStyle name="40% - Accent2 3 5 4 2" xfId="5479"/>
    <cellStyle name="40% - Accent2 3 5 5" xfId="5480"/>
    <cellStyle name="40% - Accent2 3 5 6" xfId="5481"/>
    <cellStyle name="40% - Accent2 3 5 7" xfId="5482"/>
    <cellStyle name="40% - Accent2 3 6" xfId="5483"/>
    <cellStyle name="40% - Accent2 3 6 2" xfId="5484"/>
    <cellStyle name="40% - Accent2 3 6 2 2" xfId="5485"/>
    <cellStyle name="40% - Accent2 3 6 2 2 2" xfId="5486"/>
    <cellStyle name="40% - Accent2 3 6 2 3" xfId="5487"/>
    <cellStyle name="40% - Accent2 3 6 2 4" xfId="5488"/>
    <cellStyle name="40% - Accent2 3 6 3" xfId="5489"/>
    <cellStyle name="40% - Accent2 3 6 3 2" xfId="5490"/>
    <cellStyle name="40% - Accent2 3 6 3 2 2" xfId="5491"/>
    <cellStyle name="40% - Accent2 3 6 3 3" xfId="5492"/>
    <cellStyle name="40% - Accent2 3 6 4" xfId="5493"/>
    <cellStyle name="40% - Accent2 3 6 4 2" xfId="5494"/>
    <cellStyle name="40% - Accent2 3 6 5" xfId="5495"/>
    <cellStyle name="40% - Accent2 3 6 6" xfId="5496"/>
    <cellStyle name="40% - Accent2 3 6 7" xfId="5497"/>
    <cellStyle name="40% - Accent2 3 7" xfId="5498"/>
    <cellStyle name="40% - Accent2 3 7 2" xfId="5499"/>
    <cellStyle name="40% - Accent2 3 7 2 2" xfId="5500"/>
    <cellStyle name="40% - Accent2 3 7 2 2 2" xfId="5501"/>
    <cellStyle name="40% - Accent2 3 7 2 3" xfId="5502"/>
    <cellStyle name="40% - Accent2 3 7 2 4" xfId="5503"/>
    <cellStyle name="40% - Accent2 3 7 3" xfId="5504"/>
    <cellStyle name="40% - Accent2 3 7 3 2" xfId="5505"/>
    <cellStyle name="40% - Accent2 3 7 3 2 2" xfId="5506"/>
    <cellStyle name="40% - Accent2 3 7 3 3" xfId="5507"/>
    <cellStyle name="40% - Accent2 3 7 4" xfId="5508"/>
    <cellStyle name="40% - Accent2 3 7 4 2" xfId="5509"/>
    <cellStyle name="40% - Accent2 3 7 5" xfId="5510"/>
    <cellStyle name="40% - Accent2 3 7 6" xfId="5511"/>
    <cellStyle name="40% - Accent2 3 7 7" xfId="5512"/>
    <cellStyle name="40% - Accent2 3 8" xfId="5513"/>
    <cellStyle name="40% - Accent2 3 8 2" xfId="5514"/>
    <cellStyle name="40% - Accent2 3 8 2 2" xfId="5515"/>
    <cellStyle name="40% - Accent2 3 8 2 2 2" xfId="5516"/>
    <cellStyle name="40% - Accent2 3 8 2 3" xfId="5517"/>
    <cellStyle name="40% - Accent2 3 8 2 4" xfId="5518"/>
    <cellStyle name="40% - Accent2 3 8 3" xfId="5519"/>
    <cellStyle name="40% - Accent2 3 8 3 2" xfId="5520"/>
    <cellStyle name="40% - Accent2 3 8 3 2 2" xfId="5521"/>
    <cellStyle name="40% - Accent2 3 8 3 3" xfId="5522"/>
    <cellStyle name="40% - Accent2 3 8 4" xfId="5523"/>
    <cellStyle name="40% - Accent2 3 8 4 2" xfId="5524"/>
    <cellStyle name="40% - Accent2 3 8 5" xfId="5525"/>
    <cellStyle name="40% - Accent2 3 8 6" xfId="5526"/>
    <cellStyle name="40% - Accent2 3 9" xfId="5527"/>
    <cellStyle name="40% - Accent2 3 9 2" xfId="5528"/>
    <cellStyle name="40% - Accent2 3 9 2 2" xfId="5529"/>
    <cellStyle name="40% - Accent2 3 9 3" xfId="5530"/>
    <cellStyle name="40% - Accent2 3 9 4" xfId="5531"/>
    <cellStyle name="40% - Accent2 3_IBP - COPI Uplift at Investment Area Level 01Feb12" xfId="49266"/>
    <cellStyle name="40% - Accent2 4" xfId="5532"/>
    <cellStyle name="40% - Accent2 4 10" xfId="5533"/>
    <cellStyle name="40% - Accent2 4 2" xfId="5534"/>
    <cellStyle name="40% - Accent2 4 2 2" xfId="5535"/>
    <cellStyle name="40% - Accent2 4 2 2 2" xfId="5536"/>
    <cellStyle name="40% - Accent2 4 2 2 2 2" xfId="5537"/>
    <cellStyle name="40% - Accent2 4 2 2 3" xfId="5538"/>
    <cellStyle name="40% - Accent2 4 2 2 4" xfId="5539"/>
    <cellStyle name="40% - Accent2 4 2 3" xfId="5540"/>
    <cellStyle name="40% - Accent2 4 2 3 2" xfId="5541"/>
    <cellStyle name="40% - Accent2 4 2 3 2 2" xfId="5542"/>
    <cellStyle name="40% - Accent2 4 2 3 3" xfId="5543"/>
    <cellStyle name="40% - Accent2 4 2 4" xfId="5544"/>
    <cellStyle name="40% - Accent2 4 2 4 2" xfId="5545"/>
    <cellStyle name="40% - Accent2 4 2 5" xfId="5546"/>
    <cellStyle name="40% - Accent2 4 2 6" xfId="5547"/>
    <cellStyle name="40% - Accent2 4 2 7" xfId="5548"/>
    <cellStyle name="40% - Accent2 4 3" xfId="5549"/>
    <cellStyle name="40% - Accent2 4 3 2" xfId="5550"/>
    <cellStyle name="40% - Accent2 4 3 2 2" xfId="5551"/>
    <cellStyle name="40% - Accent2 4 3 3" xfId="5552"/>
    <cellStyle name="40% - Accent2 4 3 4" xfId="5553"/>
    <cellStyle name="40% - Accent2 4 3 5" xfId="5554"/>
    <cellStyle name="40% - Accent2 4 4" xfId="5555"/>
    <cellStyle name="40% - Accent2 4 4 2" xfId="5556"/>
    <cellStyle name="40% - Accent2 4 4 2 2" xfId="5557"/>
    <cellStyle name="40% - Accent2 4 4 3" xfId="5558"/>
    <cellStyle name="40% - Accent2 4 5" xfId="5559"/>
    <cellStyle name="40% - Accent2 4 5 2" xfId="5560"/>
    <cellStyle name="40% - Accent2 4 6" xfId="5561"/>
    <cellStyle name="40% - Accent2 4 7" xfId="5562"/>
    <cellStyle name="40% - Accent2 4 8" xfId="5563"/>
    <cellStyle name="40% - Accent2 4 9" xfId="5564"/>
    <cellStyle name="40% - Accent2 5" xfId="5565"/>
    <cellStyle name="40% - Accent2 5 2" xfId="5566"/>
    <cellStyle name="40% - Accent2 5 2 2" xfId="5567"/>
    <cellStyle name="40% - Accent2 5 2 2 2" xfId="5568"/>
    <cellStyle name="40% - Accent2 5 2 2 2 2" xfId="5569"/>
    <cellStyle name="40% - Accent2 5 2 2 3" xfId="5570"/>
    <cellStyle name="40% - Accent2 5 2 2 4" xfId="5571"/>
    <cellStyle name="40% - Accent2 5 2 3" xfId="5572"/>
    <cellStyle name="40% - Accent2 5 2 3 2" xfId="5573"/>
    <cellStyle name="40% - Accent2 5 2 3 2 2" xfId="5574"/>
    <cellStyle name="40% - Accent2 5 2 3 3" xfId="5575"/>
    <cellStyle name="40% - Accent2 5 2 4" xfId="5576"/>
    <cellStyle name="40% - Accent2 5 2 4 2" xfId="5577"/>
    <cellStyle name="40% - Accent2 5 2 5" xfId="5578"/>
    <cellStyle name="40% - Accent2 5 2 6" xfId="5579"/>
    <cellStyle name="40% - Accent2 5 3" xfId="5580"/>
    <cellStyle name="40% - Accent2 5 3 2" xfId="5581"/>
    <cellStyle name="40% - Accent2 5 3 2 2" xfId="5582"/>
    <cellStyle name="40% - Accent2 5 3 3" xfId="5583"/>
    <cellStyle name="40% - Accent2 5 3 4" xfId="5584"/>
    <cellStyle name="40% - Accent2 5 4" xfId="5585"/>
    <cellStyle name="40% - Accent2 5 4 2" xfId="5586"/>
    <cellStyle name="40% - Accent2 5 4 2 2" xfId="5587"/>
    <cellStyle name="40% - Accent2 5 4 3" xfId="5588"/>
    <cellStyle name="40% - Accent2 5 5" xfId="5589"/>
    <cellStyle name="40% - Accent2 5 5 2" xfId="5590"/>
    <cellStyle name="40% - Accent2 5 6" xfId="5591"/>
    <cellStyle name="40% - Accent2 5 7" xfId="5592"/>
    <cellStyle name="40% - Accent2 5 8" xfId="5593"/>
    <cellStyle name="40% - Accent2 5 9" xfId="5594"/>
    <cellStyle name="40% - Accent2 6" xfId="5595"/>
    <cellStyle name="40% - Accent2 6 2" xfId="5596"/>
    <cellStyle name="40% - Accent2 6 2 2" xfId="5597"/>
    <cellStyle name="40% - Accent2 6 2 2 2" xfId="5598"/>
    <cellStyle name="40% - Accent2 6 2 2 2 2" xfId="5599"/>
    <cellStyle name="40% - Accent2 6 2 2 3" xfId="5600"/>
    <cellStyle name="40% - Accent2 6 2 2 4" xfId="5601"/>
    <cellStyle name="40% - Accent2 6 2 3" xfId="5602"/>
    <cellStyle name="40% - Accent2 6 2 3 2" xfId="5603"/>
    <cellStyle name="40% - Accent2 6 2 3 2 2" xfId="5604"/>
    <cellStyle name="40% - Accent2 6 2 3 3" xfId="5605"/>
    <cellStyle name="40% - Accent2 6 2 4" xfId="5606"/>
    <cellStyle name="40% - Accent2 6 2 4 2" xfId="5607"/>
    <cellStyle name="40% - Accent2 6 2 5" xfId="5608"/>
    <cellStyle name="40% - Accent2 6 2 6" xfId="5609"/>
    <cellStyle name="40% - Accent2 6 3" xfId="5610"/>
    <cellStyle name="40% - Accent2 6 3 2" xfId="5611"/>
    <cellStyle name="40% - Accent2 6 3 2 2" xfId="5612"/>
    <cellStyle name="40% - Accent2 6 3 3" xfId="5613"/>
    <cellStyle name="40% - Accent2 6 3 4" xfId="5614"/>
    <cellStyle name="40% - Accent2 6 4" xfId="5615"/>
    <cellStyle name="40% - Accent2 6 4 2" xfId="5616"/>
    <cellStyle name="40% - Accent2 6 4 2 2" xfId="5617"/>
    <cellStyle name="40% - Accent2 6 4 3" xfId="5618"/>
    <cellStyle name="40% - Accent2 6 5" xfId="5619"/>
    <cellStyle name="40% - Accent2 6 5 2" xfId="5620"/>
    <cellStyle name="40% - Accent2 6 6" xfId="5621"/>
    <cellStyle name="40% - Accent2 6 7" xfId="5622"/>
    <cellStyle name="40% - Accent2 6 8" xfId="5623"/>
    <cellStyle name="40% - Accent2 7" xfId="5624"/>
    <cellStyle name="40% - Accent2 7 2" xfId="5625"/>
    <cellStyle name="40% - Accent2 7 2 2" xfId="5626"/>
    <cellStyle name="40% - Accent2 7 2 2 2" xfId="5627"/>
    <cellStyle name="40% - Accent2 7 2 2 2 2" xfId="5628"/>
    <cellStyle name="40% - Accent2 7 2 2 3" xfId="5629"/>
    <cellStyle name="40% - Accent2 7 2 2 4" xfId="5630"/>
    <cellStyle name="40% - Accent2 7 2 3" xfId="5631"/>
    <cellStyle name="40% - Accent2 7 2 3 2" xfId="5632"/>
    <cellStyle name="40% - Accent2 7 2 3 2 2" xfId="5633"/>
    <cellStyle name="40% - Accent2 7 2 3 3" xfId="5634"/>
    <cellStyle name="40% - Accent2 7 2 4" xfId="5635"/>
    <cellStyle name="40% - Accent2 7 2 4 2" xfId="5636"/>
    <cellStyle name="40% - Accent2 7 2 5" xfId="5637"/>
    <cellStyle name="40% - Accent2 7 2 6" xfId="5638"/>
    <cellStyle name="40% - Accent2 7 3" xfId="5639"/>
    <cellStyle name="40% - Accent2 7 3 2" xfId="5640"/>
    <cellStyle name="40% - Accent2 7 3 2 2" xfId="5641"/>
    <cellStyle name="40% - Accent2 7 3 3" xfId="5642"/>
    <cellStyle name="40% - Accent2 7 3 4" xfId="5643"/>
    <cellStyle name="40% - Accent2 7 4" xfId="5644"/>
    <cellStyle name="40% - Accent2 7 4 2" xfId="5645"/>
    <cellStyle name="40% - Accent2 7 4 2 2" xfId="5646"/>
    <cellStyle name="40% - Accent2 7 4 3" xfId="5647"/>
    <cellStyle name="40% - Accent2 7 5" xfId="5648"/>
    <cellStyle name="40% - Accent2 7 5 2" xfId="5649"/>
    <cellStyle name="40% - Accent2 7 6" xfId="5650"/>
    <cellStyle name="40% - Accent2 7 7" xfId="5651"/>
    <cellStyle name="40% - Accent2 7 8" xfId="5652"/>
    <cellStyle name="40% - Accent2 8" xfId="5653"/>
    <cellStyle name="40% - Accent2 8 2" xfId="5654"/>
    <cellStyle name="40% - Accent2 8 2 2" xfId="5655"/>
    <cellStyle name="40% - Accent2 8 2 2 2" xfId="5656"/>
    <cellStyle name="40% - Accent2 8 2 3" xfId="5657"/>
    <cellStyle name="40% - Accent2 8 2 4" xfId="5658"/>
    <cellStyle name="40% - Accent2 8 3" xfId="5659"/>
    <cellStyle name="40% - Accent2 8 3 2" xfId="5660"/>
    <cellStyle name="40% - Accent2 8 3 2 2" xfId="5661"/>
    <cellStyle name="40% - Accent2 8 3 3" xfId="5662"/>
    <cellStyle name="40% - Accent2 8 4" xfId="5663"/>
    <cellStyle name="40% - Accent2 8 4 2" xfId="5664"/>
    <cellStyle name="40% - Accent2 8 5" xfId="5665"/>
    <cellStyle name="40% - Accent2 8 6" xfId="5666"/>
    <cellStyle name="40% - Accent2 8 7" xfId="5667"/>
    <cellStyle name="40% - Accent2 9" xfId="5668"/>
    <cellStyle name="40% - Accent2 9 2" xfId="5669"/>
    <cellStyle name="40% - Accent2 9 2 2" xfId="5670"/>
    <cellStyle name="40% - Accent2 9 2 2 2" xfId="5671"/>
    <cellStyle name="40% - Accent2 9 2 3" xfId="5672"/>
    <cellStyle name="40% - Accent2 9 2 4" xfId="5673"/>
    <cellStyle name="40% - Accent2 9 3" xfId="5674"/>
    <cellStyle name="40% - Accent2 9 3 2" xfId="5675"/>
    <cellStyle name="40% - Accent2 9 3 2 2" xfId="5676"/>
    <cellStyle name="40% - Accent2 9 3 3" xfId="5677"/>
    <cellStyle name="40% - Accent2 9 4" xfId="5678"/>
    <cellStyle name="40% - Accent2 9 4 2" xfId="5679"/>
    <cellStyle name="40% - Accent2 9 5" xfId="5680"/>
    <cellStyle name="40% - Accent2 9 6" xfId="5681"/>
    <cellStyle name="40% - Accent2 9 7" xfId="5682"/>
    <cellStyle name="40% - Accent3" xfId="9" builtinId="39" customBuiltin="1"/>
    <cellStyle name="40% - Accent3 10" xfId="5683"/>
    <cellStyle name="40% - Accent3 10 2" xfId="5684"/>
    <cellStyle name="40% - Accent3 10 2 2" xfId="5685"/>
    <cellStyle name="40% - Accent3 10 2 2 2" xfId="5686"/>
    <cellStyle name="40% - Accent3 10 2 3" xfId="5687"/>
    <cellStyle name="40% - Accent3 10 2 4" xfId="5688"/>
    <cellStyle name="40% - Accent3 10 3" xfId="5689"/>
    <cellStyle name="40% - Accent3 10 3 2" xfId="5690"/>
    <cellStyle name="40% - Accent3 10 3 2 2" xfId="5691"/>
    <cellStyle name="40% - Accent3 10 3 3" xfId="5692"/>
    <cellStyle name="40% - Accent3 10 4" xfId="5693"/>
    <cellStyle name="40% - Accent3 10 4 2" xfId="5694"/>
    <cellStyle name="40% - Accent3 10 5" xfId="5695"/>
    <cellStyle name="40% - Accent3 10 6" xfId="5696"/>
    <cellStyle name="40% - Accent3 10 7" xfId="5697"/>
    <cellStyle name="40% - Accent3 11" xfId="5698"/>
    <cellStyle name="40% - Accent3 11 2" xfId="5699"/>
    <cellStyle name="40% - Accent3 11 2 2" xfId="5700"/>
    <cellStyle name="40% - Accent3 11 2 2 2" xfId="5701"/>
    <cellStyle name="40% - Accent3 11 2 3" xfId="5702"/>
    <cellStyle name="40% - Accent3 11 2 4" xfId="5703"/>
    <cellStyle name="40% - Accent3 11 3" xfId="5704"/>
    <cellStyle name="40% - Accent3 11 3 2" xfId="5705"/>
    <cellStyle name="40% - Accent3 11 3 2 2" xfId="5706"/>
    <cellStyle name="40% - Accent3 11 3 3" xfId="5707"/>
    <cellStyle name="40% - Accent3 11 4" xfId="5708"/>
    <cellStyle name="40% - Accent3 11 4 2" xfId="5709"/>
    <cellStyle name="40% - Accent3 11 5" xfId="5710"/>
    <cellStyle name="40% - Accent3 11 6" xfId="5711"/>
    <cellStyle name="40% - Accent3 11 7" xfId="5712"/>
    <cellStyle name="40% - Accent3 12" xfId="5713"/>
    <cellStyle name="40% - Accent3 12 2" xfId="5714"/>
    <cellStyle name="40% - Accent3 12 2 2" xfId="5715"/>
    <cellStyle name="40% - Accent3 12 3" xfId="5716"/>
    <cellStyle name="40% - Accent3 12 4" xfId="5717"/>
    <cellStyle name="40% - Accent3 13" xfId="5718"/>
    <cellStyle name="40% - Accent3 13 2" xfId="5719"/>
    <cellStyle name="40% - Accent3 13 2 2" xfId="5720"/>
    <cellStyle name="40% - Accent3 13 3" xfId="5721"/>
    <cellStyle name="40% - Accent3 14" xfId="5722"/>
    <cellStyle name="40% - Accent3 14 2" xfId="5723"/>
    <cellStyle name="40% - Accent3 15" xfId="5724"/>
    <cellStyle name="40% - Accent3 15 2" xfId="5725"/>
    <cellStyle name="40% - Accent3 16" xfId="5726"/>
    <cellStyle name="40% - Accent3 16 2" xfId="5727"/>
    <cellStyle name="40% - Accent3 17" xfId="5728"/>
    <cellStyle name="40% - Accent3 18" xfId="5729"/>
    <cellStyle name="40% - Accent3 19" xfId="5730"/>
    <cellStyle name="40% - Accent3 2" xfId="92"/>
    <cellStyle name="40% - Accent3 2 10" xfId="5731"/>
    <cellStyle name="40% - Accent3 2 10 2" xfId="5732"/>
    <cellStyle name="40% - Accent3 2 10 2 2" xfId="5733"/>
    <cellStyle name="40% - Accent3 2 10 3" xfId="5734"/>
    <cellStyle name="40% - Accent3 2 10 4" xfId="5735"/>
    <cellStyle name="40% - Accent3 2 11" xfId="5736"/>
    <cellStyle name="40% - Accent3 2 11 2" xfId="5737"/>
    <cellStyle name="40% - Accent3 2 11 2 2" xfId="5738"/>
    <cellStyle name="40% - Accent3 2 11 3" xfId="5739"/>
    <cellStyle name="40% - Accent3 2 12" xfId="5740"/>
    <cellStyle name="40% - Accent3 2 12 2" xfId="5741"/>
    <cellStyle name="40% - Accent3 2 13" xfId="5742"/>
    <cellStyle name="40% - Accent3 2 13 2" xfId="5743"/>
    <cellStyle name="40% - Accent3 2 14" xfId="5744"/>
    <cellStyle name="40% - Accent3 2 15" xfId="5745"/>
    <cellStyle name="40% - Accent3 2 16" xfId="5746"/>
    <cellStyle name="40% - Accent3 2 17" xfId="5747"/>
    <cellStyle name="40% - Accent3 2 18" xfId="5748"/>
    <cellStyle name="40% - Accent3 2 19" xfId="5749"/>
    <cellStyle name="40% - Accent3 2 2" xfId="93"/>
    <cellStyle name="40% - Accent3 2 2 2" xfId="5750"/>
    <cellStyle name="40% - Accent3 2 2 2 2" xfId="5751"/>
    <cellStyle name="40% - Accent3 2 2 2 2 2" xfId="5752"/>
    <cellStyle name="40% - Accent3 2 2 2 2 2 2" xfId="5753"/>
    <cellStyle name="40% - Accent3 2 2 2 2 3" xfId="5754"/>
    <cellStyle name="40% - Accent3 2 2 2 2 4" xfId="5755"/>
    <cellStyle name="40% - Accent3 2 2 2 2 5" xfId="5756"/>
    <cellStyle name="40% - Accent3 2 2 2 3" xfId="5757"/>
    <cellStyle name="40% - Accent3 2 2 2 3 2" xfId="5758"/>
    <cellStyle name="40% - Accent3 2 2 2 3 2 2" xfId="5759"/>
    <cellStyle name="40% - Accent3 2 2 2 3 3" xfId="5760"/>
    <cellStyle name="40% - Accent3 2 2 2 4" xfId="5761"/>
    <cellStyle name="40% - Accent3 2 2 2 4 2" xfId="5762"/>
    <cellStyle name="40% - Accent3 2 2 2 5" xfId="5763"/>
    <cellStyle name="40% - Accent3 2 2 2 6" xfId="5764"/>
    <cellStyle name="40% - Accent3 2 2 2 7" xfId="5765"/>
    <cellStyle name="40% - Accent3 2 2 2 8" xfId="5766"/>
    <cellStyle name="40% - Accent3 2 2 2 9" xfId="5767"/>
    <cellStyle name="40% - Accent3 2 2 3" xfId="5768"/>
    <cellStyle name="40% - Accent3 2 2 4" xfId="5769"/>
    <cellStyle name="40% - Accent3 2 2 4 2" xfId="5770"/>
    <cellStyle name="40% - Accent3 2 2 4 2 2" xfId="5771"/>
    <cellStyle name="40% - Accent3 2 2 4 3" xfId="5772"/>
    <cellStyle name="40% - Accent3 2 2 4 4" xfId="5773"/>
    <cellStyle name="40% - Accent3 2 2 5" xfId="5774"/>
    <cellStyle name="40% - Accent3 2 2 5 2" xfId="5775"/>
    <cellStyle name="40% - Accent3 2 2 5 2 2" xfId="5776"/>
    <cellStyle name="40% - Accent3 2 2 5 3" xfId="5777"/>
    <cellStyle name="40% - Accent3 2 2 6" xfId="5778"/>
    <cellStyle name="40% - Accent3 2 2 6 2" xfId="5779"/>
    <cellStyle name="40% - Accent3 2 2 7" xfId="5780"/>
    <cellStyle name="40% - Accent3 2 2 8" xfId="5781"/>
    <cellStyle name="40% - Accent3 2 3" xfId="5782"/>
    <cellStyle name="40% - Accent3 2 3 10" xfId="5783"/>
    <cellStyle name="40% - Accent3 2 3 2" xfId="5784"/>
    <cellStyle name="40% - Accent3 2 3 2 2" xfId="5785"/>
    <cellStyle name="40% - Accent3 2 3 2 2 2" xfId="5786"/>
    <cellStyle name="40% - Accent3 2 3 2 2 2 2" xfId="5787"/>
    <cellStyle name="40% - Accent3 2 3 2 2 3" xfId="5788"/>
    <cellStyle name="40% - Accent3 2 3 2 2 4" xfId="5789"/>
    <cellStyle name="40% - Accent3 2 3 2 3" xfId="5790"/>
    <cellStyle name="40% - Accent3 2 3 2 3 2" xfId="5791"/>
    <cellStyle name="40% - Accent3 2 3 2 3 2 2" xfId="5792"/>
    <cellStyle name="40% - Accent3 2 3 2 3 3" xfId="5793"/>
    <cellStyle name="40% - Accent3 2 3 2 4" xfId="5794"/>
    <cellStyle name="40% - Accent3 2 3 2 4 2" xfId="5795"/>
    <cellStyle name="40% - Accent3 2 3 2 5" xfId="5796"/>
    <cellStyle name="40% - Accent3 2 3 2 6" xfId="5797"/>
    <cellStyle name="40% - Accent3 2 3 2 7" xfId="5798"/>
    <cellStyle name="40% - Accent3 2 3 3" xfId="5799"/>
    <cellStyle name="40% - Accent3 2 3 3 2" xfId="5800"/>
    <cellStyle name="40% - Accent3 2 3 3 2 2" xfId="5801"/>
    <cellStyle name="40% - Accent3 2 3 3 3" xfId="5802"/>
    <cellStyle name="40% - Accent3 2 3 3 4" xfId="5803"/>
    <cellStyle name="40% - Accent3 2 3 3 5" xfId="5804"/>
    <cellStyle name="40% - Accent3 2 3 4" xfId="5805"/>
    <cellStyle name="40% - Accent3 2 3 4 2" xfId="5806"/>
    <cellStyle name="40% - Accent3 2 3 4 2 2" xfId="5807"/>
    <cellStyle name="40% - Accent3 2 3 4 3" xfId="5808"/>
    <cellStyle name="40% - Accent3 2 3 5" xfId="5809"/>
    <cellStyle name="40% - Accent3 2 3 5 2" xfId="5810"/>
    <cellStyle name="40% - Accent3 2 3 6" xfId="5811"/>
    <cellStyle name="40% - Accent3 2 3 7" xfId="5812"/>
    <cellStyle name="40% - Accent3 2 3 8" xfId="5813"/>
    <cellStyle name="40% - Accent3 2 3 9" xfId="5814"/>
    <cellStyle name="40% - Accent3 2 4" xfId="5815"/>
    <cellStyle name="40% - Accent3 2 4 10" xfId="5816"/>
    <cellStyle name="40% - Accent3 2 4 2" xfId="5817"/>
    <cellStyle name="40% - Accent3 2 4 2 2" xfId="5818"/>
    <cellStyle name="40% - Accent3 2 4 2 2 2" xfId="5819"/>
    <cellStyle name="40% - Accent3 2 4 2 2 2 2" xfId="5820"/>
    <cellStyle name="40% - Accent3 2 4 2 2 3" xfId="5821"/>
    <cellStyle name="40% - Accent3 2 4 2 2 4" xfId="5822"/>
    <cellStyle name="40% - Accent3 2 4 2 3" xfId="5823"/>
    <cellStyle name="40% - Accent3 2 4 2 3 2" xfId="5824"/>
    <cellStyle name="40% - Accent3 2 4 2 3 2 2" xfId="5825"/>
    <cellStyle name="40% - Accent3 2 4 2 3 3" xfId="5826"/>
    <cellStyle name="40% - Accent3 2 4 2 4" xfId="5827"/>
    <cellStyle name="40% - Accent3 2 4 2 4 2" xfId="5828"/>
    <cellStyle name="40% - Accent3 2 4 2 5" xfId="5829"/>
    <cellStyle name="40% - Accent3 2 4 2 6" xfId="5830"/>
    <cellStyle name="40% - Accent3 2 4 2 7" xfId="5831"/>
    <cellStyle name="40% - Accent3 2 4 3" xfId="5832"/>
    <cellStyle name="40% - Accent3 2 4 3 2" xfId="5833"/>
    <cellStyle name="40% - Accent3 2 4 3 2 2" xfId="5834"/>
    <cellStyle name="40% - Accent3 2 4 3 3" xfId="5835"/>
    <cellStyle name="40% - Accent3 2 4 3 4" xfId="5836"/>
    <cellStyle name="40% - Accent3 2 4 4" xfId="5837"/>
    <cellStyle name="40% - Accent3 2 4 4 2" xfId="5838"/>
    <cellStyle name="40% - Accent3 2 4 4 2 2" xfId="5839"/>
    <cellStyle name="40% - Accent3 2 4 4 3" xfId="5840"/>
    <cellStyle name="40% - Accent3 2 4 5" xfId="5841"/>
    <cellStyle name="40% - Accent3 2 4 5 2" xfId="5842"/>
    <cellStyle name="40% - Accent3 2 4 6" xfId="5843"/>
    <cellStyle name="40% - Accent3 2 4 7" xfId="5844"/>
    <cellStyle name="40% - Accent3 2 4 8" xfId="5845"/>
    <cellStyle name="40% - Accent3 2 4 9" xfId="5846"/>
    <cellStyle name="40% - Accent3 2 5" xfId="5847"/>
    <cellStyle name="40% - Accent3 2 5 10" xfId="5848"/>
    <cellStyle name="40% - Accent3 2 5 2" xfId="5849"/>
    <cellStyle name="40% - Accent3 2 5 2 2" xfId="5850"/>
    <cellStyle name="40% - Accent3 2 5 2 2 2" xfId="5851"/>
    <cellStyle name="40% - Accent3 2 5 2 2 2 2" xfId="5852"/>
    <cellStyle name="40% - Accent3 2 5 2 2 3" xfId="5853"/>
    <cellStyle name="40% - Accent3 2 5 2 2 4" xfId="5854"/>
    <cellStyle name="40% - Accent3 2 5 2 3" xfId="5855"/>
    <cellStyle name="40% - Accent3 2 5 2 3 2" xfId="5856"/>
    <cellStyle name="40% - Accent3 2 5 2 3 2 2" xfId="5857"/>
    <cellStyle name="40% - Accent3 2 5 2 3 3" xfId="5858"/>
    <cellStyle name="40% - Accent3 2 5 2 4" xfId="5859"/>
    <cellStyle name="40% - Accent3 2 5 2 4 2" xfId="5860"/>
    <cellStyle name="40% - Accent3 2 5 2 5" xfId="5861"/>
    <cellStyle name="40% - Accent3 2 5 2 6" xfId="5862"/>
    <cellStyle name="40% - Accent3 2 5 3" xfId="5863"/>
    <cellStyle name="40% - Accent3 2 5 3 2" xfId="5864"/>
    <cellStyle name="40% - Accent3 2 5 3 2 2" xfId="5865"/>
    <cellStyle name="40% - Accent3 2 5 3 3" xfId="5866"/>
    <cellStyle name="40% - Accent3 2 5 3 4" xfId="5867"/>
    <cellStyle name="40% - Accent3 2 5 4" xfId="5868"/>
    <cellStyle name="40% - Accent3 2 5 4 2" xfId="5869"/>
    <cellStyle name="40% - Accent3 2 5 4 2 2" xfId="5870"/>
    <cellStyle name="40% - Accent3 2 5 4 3" xfId="5871"/>
    <cellStyle name="40% - Accent3 2 5 5" xfId="5872"/>
    <cellStyle name="40% - Accent3 2 5 5 2" xfId="5873"/>
    <cellStyle name="40% - Accent3 2 5 6" xfId="5874"/>
    <cellStyle name="40% - Accent3 2 5 7" xfId="5875"/>
    <cellStyle name="40% - Accent3 2 5 8" xfId="5876"/>
    <cellStyle name="40% - Accent3 2 5 9" xfId="5877"/>
    <cellStyle name="40% - Accent3 2 6" xfId="5878"/>
    <cellStyle name="40% - Accent3 2 6 2" xfId="5879"/>
    <cellStyle name="40% - Accent3 2 6 2 2" xfId="5880"/>
    <cellStyle name="40% - Accent3 2 6 2 2 2" xfId="5881"/>
    <cellStyle name="40% - Accent3 2 6 2 3" xfId="5882"/>
    <cellStyle name="40% - Accent3 2 6 2 4" xfId="5883"/>
    <cellStyle name="40% - Accent3 2 6 3" xfId="5884"/>
    <cellStyle name="40% - Accent3 2 6 3 2" xfId="5885"/>
    <cellStyle name="40% - Accent3 2 6 3 2 2" xfId="5886"/>
    <cellStyle name="40% - Accent3 2 6 3 3" xfId="5887"/>
    <cellStyle name="40% - Accent3 2 6 4" xfId="5888"/>
    <cellStyle name="40% - Accent3 2 6 4 2" xfId="5889"/>
    <cellStyle name="40% - Accent3 2 6 5" xfId="5890"/>
    <cellStyle name="40% - Accent3 2 6 6" xfId="5891"/>
    <cellStyle name="40% - Accent3 2 6 7" xfId="5892"/>
    <cellStyle name="40% - Accent3 2 6 8" xfId="5893"/>
    <cellStyle name="40% - Accent3 2 7" xfId="5894"/>
    <cellStyle name="40% - Accent3 2 7 2" xfId="5895"/>
    <cellStyle name="40% - Accent3 2 7 2 2" xfId="5896"/>
    <cellStyle name="40% - Accent3 2 7 2 2 2" xfId="5897"/>
    <cellStyle name="40% - Accent3 2 7 2 3" xfId="5898"/>
    <cellStyle name="40% - Accent3 2 7 2 4" xfId="5899"/>
    <cellStyle name="40% - Accent3 2 7 3" xfId="5900"/>
    <cellStyle name="40% - Accent3 2 7 3 2" xfId="5901"/>
    <cellStyle name="40% - Accent3 2 7 3 2 2" xfId="5902"/>
    <cellStyle name="40% - Accent3 2 7 3 3" xfId="5903"/>
    <cellStyle name="40% - Accent3 2 7 4" xfId="5904"/>
    <cellStyle name="40% - Accent3 2 7 4 2" xfId="5905"/>
    <cellStyle name="40% - Accent3 2 7 5" xfId="5906"/>
    <cellStyle name="40% - Accent3 2 7 6" xfId="5907"/>
    <cellStyle name="40% - Accent3 2 7 7" xfId="5908"/>
    <cellStyle name="40% - Accent3 2 8" xfId="5909"/>
    <cellStyle name="40% - Accent3 2 8 2" xfId="5910"/>
    <cellStyle name="40% - Accent3 2 8 2 2" xfId="5911"/>
    <cellStyle name="40% - Accent3 2 8 2 2 2" xfId="5912"/>
    <cellStyle name="40% - Accent3 2 8 2 3" xfId="5913"/>
    <cellStyle name="40% - Accent3 2 8 2 4" xfId="5914"/>
    <cellStyle name="40% - Accent3 2 8 3" xfId="5915"/>
    <cellStyle name="40% - Accent3 2 8 3 2" xfId="5916"/>
    <cellStyle name="40% - Accent3 2 8 3 2 2" xfId="5917"/>
    <cellStyle name="40% - Accent3 2 8 3 3" xfId="5918"/>
    <cellStyle name="40% - Accent3 2 8 4" xfId="5919"/>
    <cellStyle name="40% - Accent3 2 8 4 2" xfId="5920"/>
    <cellStyle name="40% - Accent3 2 8 5" xfId="5921"/>
    <cellStyle name="40% - Accent3 2 8 6" xfId="5922"/>
    <cellStyle name="40% - Accent3 2 8 7" xfId="5923"/>
    <cellStyle name="40% - Accent3 2 9" xfId="5924"/>
    <cellStyle name="40% - Accent3 2 9 2" xfId="5925"/>
    <cellStyle name="40% - Accent3 2 9 2 2" xfId="5926"/>
    <cellStyle name="40% - Accent3 2 9 2 2 2" xfId="5927"/>
    <cellStyle name="40% - Accent3 2 9 2 3" xfId="5928"/>
    <cellStyle name="40% - Accent3 2 9 2 4" xfId="5929"/>
    <cellStyle name="40% - Accent3 2 9 3" xfId="5930"/>
    <cellStyle name="40% - Accent3 2 9 3 2" xfId="5931"/>
    <cellStyle name="40% - Accent3 2 9 3 2 2" xfId="5932"/>
    <cellStyle name="40% - Accent3 2 9 3 3" xfId="5933"/>
    <cellStyle name="40% - Accent3 2 9 4" xfId="5934"/>
    <cellStyle name="40% - Accent3 2 9 4 2" xfId="5935"/>
    <cellStyle name="40% - Accent3 2 9 5" xfId="5936"/>
    <cellStyle name="40% - Accent3 2 9 6" xfId="5937"/>
    <cellStyle name="40% - Accent3 2_IBP - COPI Uplift at Investment Area Level 01Feb12" xfId="49267"/>
    <cellStyle name="40% - Accent3 3" xfId="94"/>
    <cellStyle name="40% - Accent3 3 10" xfId="5938"/>
    <cellStyle name="40% - Accent3 3 10 2" xfId="5939"/>
    <cellStyle name="40% - Accent3 3 10 2 2" xfId="5940"/>
    <cellStyle name="40% - Accent3 3 10 3" xfId="5941"/>
    <cellStyle name="40% - Accent3 3 11" xfId="5942"/>
    <cellStyle name="40% - Accent3 3 11 2" xfId="5943"/>
    <cellStyle name="40% - Accent3 3 12" xfId="5944"/>
    <cellStyle name="40% - Accent3 3 12 2" xfId="5945"/>
    <cellStyle name="40% - Accent3 3 13" xfId="5946"/>
    <cellStyle name="40% - Accent3 3 14" xfId="5947"/>
    <cellStyle name="40% - Accent3 3 15" xfId="5948"/>
    <cellStyle name="40% - Accent3 3 16" xfId="5949"/>
    <cellStyle name="40% - Accent3 3 2" xfId="5950"/>
    <cellStyle name="40% - Accent3 3 2 10" xfId="5951"/>
    <cellStyle name="40% - Accent3 3 2 2" xfId="5952"/>
    <cellStyle name="40% - Accent3 3 2 2 2" xfId="5953"/>
    <cellStyle name="40% - Accent3 3 2 2 2 2" xfId="5954"/>
    <cellStyle name="40% - Accent3 3 2 2 2 2 2" xfId="5955"/>
    <cellStyle name="40% - Accent3 3 2 2 2 3" xfId="5956"/>
    <cellStyle name="40% - Accent3 3 2 2 2 4" xfId="5957"/>
    <cellStyle name="40% - Accent3 3 2 2 3" xfId="5958"/>
    <cellStyle name="40% - Accent3 3 2 2 3 2" xfId="5959"/>
    <cellStyle name="40% - Accent3 3 2 2 3 2 2" xfId="5960"/>
    <cellStyle name="40% - Accent3 3 2 2 3 3" xfId="5961"/>
    <cellStyle name="40% - Accent3 3 2 2 4" xfId="5962"/>
    <cellStyle name="40% - Accent3 3 2 2 4 2" xfId="5963"/>
    <cellStyle name="40% - Accent3 3 2 2 5" xfId="5964"/>
    <cellStyle name="40% - Accent3 3 2 2 6" xfId="5965"/>
    <cellStyle name="40% - Accent3 3 2 2 7" xfId="5966"/>
    <cellStyle name="40% - Accent3 3 2 3" xfId="5967"/>
    <cellStyle name="40% - Accent3 3 2 3 2" xfId="5968"/>
    <cellStyle name="40% - Accent3 3 2 3 2 2" xfId="5969"/>
    <cellStyle name="40% - Accent3 3 2 3 3" xfId="5970"/>
    <cellStyle name="40% - Accent3 3 2 3 4" xfId="5971"/>
    <cellStyle name="40% - Accent3 3 2 3 5" xfId="5972"/>
    <cellStyle name="40% - Accent3 3 2 4" xfId="5973"/>
    <cellStyle name="40% - Accent3 3 2 4 2" xfId="5974"/>
    <cellStyle name="40% - Accent3 3 2 4 2 2" xfId="5975"/>
    <cellStyle name="40% - Accent3 3 2 4 3" xfId="5976"/>
    <cellStyle name="40% - Accent3 3 2 5" xfId="5977"/>
    <cellStyle name="40% - Accent3 3 2 5 2" xfId="5978"/>
    <cellStyle name="40% - Accent3 3 2 6" xfId="5979"/>
    <cellStyle name="40% - Accent3 3 2 7" xfId="5980"/>
    <cellStyle name="40% - Accent3 3 2 8" xfId="5981"/>
    <cellStyle name="40% - Accent3 3 2 9" xfId="5982"/>
    <cellStyle name="40% - Accent3 3 3" xfId="5983"/>
    <cellStyle name="40% - Accent3 3 3 2" xfId="5984"/>
    <cellStyle name="40% - Accent3 3 3 2 2" xfId="5985"/>
    <cellStyle name="40% - Accent3 3 3 2 2 2" xfId="5986"/>
    <cellStyle name="40% - Accent3 3 3 2 2 2 2" xfId="5987"/>
    <cellStyle name="40% - Accent3 3 3 2 2 3" xfId="5988"/>
    <cellStyle name="40% - Accent3 3 3 2 2 4" xfId="5989"/>
    <cellStyle name="40% - Accent3 3 3 2 3" xfId="5990"/>
    <cellStyle name="40% - Accent3 3 3 2 3 2" xfId="5991"/>
    <cellStyle name="40% - Accent3 3 3 2 3 2 2" xfId="5992"/>
    <cellStyle name="40% - Accent3 3 3 2 3 3" xfId="5993"/>
    <cellStyle name="40% - Accent3 3 3 2 4" xfId="5994"/>
    <cellStyle name="40% - Accent3 3 3 2 4 2" xfId="5995"/>
    <cellStyle name="40% - Accent3 3 3 2 5" xfId="5996"/>
    <cellStyle name="40% - Accent3 3 3 2 6" xfId="5997"/>
    <cellStyle name="40% - Accent3 3 3 3" xfId="5998"/>
    <cellStyle name="40% - Accent3 3 3 3 2" xfId="5999"/>
    <cellStyle name="40% - Accent3 3 3 3 2 2" xfId="6000"/>
    <cellStyle name="40% - Accent3 3 3 3 3" xfId="6001"/>
    <cellStyle name="40% - Accent3 3 3 3 4" xfId="6002"/>
    <cellStyle name="40% - Accent3 3 3 4" xfId="6003"/>
    <cellStyle name="40% - Accent3 3 3 4 2" xfId="6004"/>
    <cellStyle name="40% - Accent3 3 3 4 2 2" xfId="6005"/>
    <cellStyle name="40% - Accent3 3 3 4 3" xfId="6006"/>
    <cellStyle name="40% - Accent3 3 3 5" xfId="6007"/>
    <cellStyle name="40% - Accent3 3 3 5 2" xfId="6008"/>
    <cellStyle name="40% - Accent3 3 3 6" xfId="6009"/>
    <cellStyle name="40% - Accent3 3 3 7" xfId="6010"/>
    <cellStyle name="40% - Accent3 3 3 8" xfId="6011"/>
    <cellStyle name="40% - Accent3 3 3 9" xfId="6012"/>
    <cellStyle name="40% - Accent3 3 4" xfId="6013"/>
    <cellStyle name="40% - Accent3 3 4 2" xfId="6014"/>
    <cellStyle name="40% - Accent3 3 4 2 2" xfId="6015"/>
    <cellStyle name="40% - Accent3 3 4 2 2 2" xfId="6016"/>
    <cellStyle name="40% - Accent3 3 4 2 2 2 2" xfId="6017"/>
    <cellStyle name="40% - Accent3 3 4 2 2 3" xfId="6018"/>
    <cellStyle name="40% - Accent3 3 4 2 2 4" xfId="6019"/>
    <cellStyle name="40% - Accent3 3 4 2 3" xfId="6020"/>
    <cellStyle name="40% - Accent3 3 4 2 3 2" xfId="6021"/>
    <cellStyle name="40% - Accent3 3 4 2 3 2 2" xfId="6022"/>
    <cellStyle name="40% - Accent3 3 4 2 3 3" xfId="6023"/>
    <cellStyle name="40% - Accent3 3 4 2 4" xfId="6024"/>
    <cellStyle name="40% - Accent3 3 4 2 4 2" xfId="6025"/>
    <cellStyle name="40% - Accent3 3 4 2 5" xfId="6026"/>
    <cellStyle name="40% - Accent3 3 4 2 6" xfId="6027"/>
    <cellStyle name="40% - Accent3 3 4 3" xfId="6028"/>
    <cellStyle name="40% - Accent3 3 4 3 2" xfId="6029"/>
    <cellStyle name="40% - Accent3 3 4 3 2 2" xfId="6030"/>
    <cellStyle name="40% - Accent3 3 4 3 3" xfId="6031"/>
    <cellStyle name="40% - Accent3 3 4 3 4" xfId="6032"/>
    <cellStyle name="40% - Accent3 3 4 4" xfId="6033"/>
    <cellStyle name="40% - Accent3 3 4 4 2" xfId="6034"/>
    <cellStyle name="40% - Accent3 3 4 4 2 2" xfId="6035"/>
    <cellStyle name="40% - Accent3 3 4 4 3" xfId="6036"/>
    <cellStyle name="40% - Accent3 3 4 5" xfId="6037"/>
    <cellStyle name="40% - Accent3 3 4 5 2" xfId="6038"/>
    <cellStyle name="40% - Accent3 3 4 6" xfId="6039"/>
    <cellStyle name="40% - Accent3 3 4 7" xfId="6040"/>
    <cellStyle name="40% - Accent3 3 4 8" xfId="6041"/>
    <cellStyle name="40% - Accent3 3 5" xfId="6042"/>
    <cellStyle name="40% - Accent3 3 5 2" xfId="6043"/>
    <cellStyle name="40% - Accent3 3 5 2 2" xfId="6044"/>
    <cellStyle name="40% - Accent3 3 5 2 2 2" xfId="6045"/>
    <cellStyle name="40% - Accent3 3 5 2 3" xfId="6046"/>
    <cellStyle name="40% - Accent3 3 5 2 4" xfId="6047"/>
    <cellStyle name="40% - Accent3 3 5 3" xfId="6048"/>
    <cellStyle name="40% - Accent3 3 5 3 2" xfId="6049"/>
    <cellStyle name="40% - Accent3 3 5 3 2 2" xfId="6050"/>
    <cellStyle name="40% - Accent3 3 5 3 3" xfId="6051"/>
    <cellStyle name="40% - Accent3 3 5 4" xfId="6052"/>
    <cellStyle name="40% - Accent3 3 5 4 2" xfId="6053"/>
    <cellStyle name="40% - Accent3 3 5 5" xfId="6054"/>
    <cellStyle name="40% - Accent3 3 5 6" xfId="6055"/>
    <cellStyle name="40% - Accent3 3 5 7" xfId="6056"/>
    <cellStyle name="40% - Accent3 3 6" xfId="6057"/>
    <cellStyle name="40% - Accent3 3 6 2" xfId="6058"/>
    <cellStyle name="40% - Accent3 3 6 2 2" xfId="6059"/>
    <cellStyle name="40% - Accent3 3 6 2 2 2" xfId="6060"/>
    <cellStyle name="40% - Accent3 3 6 2 3" xfId="6061"/>
    <cellStyle name="40% - Accent3 3 6 2 4" xfId="6062"/>
    <cellStyle name="40% - Accent3 3 6 3" xfId="6063"/>
    <cellStyle name="40% - Accent3 3 6 3 2" xfId="6064"/>
    <cellStyle name="40% - Accent3 3 6 3 2 2" xfId="6065"/>
    <cellStyle name="40% - Accent3 3 6 3 3" xfId="6066"/>
    <cellStyle name="40% - Accent3 3 6 4" xfId="6067"/>
    <cellStyle name="40% - Accent3 3 6 4 2" xfId="6068"/>
    <cellStyle name="40% - Accent3 3 6 5" xfId="6069"/>
    <cellStyle name="40% - Accent3 3 6 6" xfId="6070"/>
    <cellStyle name="40% - Accent3 3 6 7" xfId="6071"/>
    <cellStyle name="40% - Accent3 3 7" xfId="6072"/>
    <cellStyle name="40% - Accent3 3 7 2" xfId="6073"/>
    <cellStyle name="40% - Accent3 3 7 2 2" xfId="6074"/>
    <cellStyle name="40% - Accent3 3 7 2 2 2" xfId="6075"/>
    <cellStyle name="40% - Accent3 3 7 2 3" xfId="6076"/>
    <cellStyle name="40% - Accent3 3 7 2 4" xfId="6077"/>
    <cellStyle name="40% - Accent3 3 7 3" xfId="6078"/>
    <cellStyle name="40% - Accent3 3 7 3 2" xfId="6079"/>
    <cellStyle name="40% - Accent3 3 7 3 2 2" xfId="6080"/>
    <cellStyle name="40% - Accent3 3 7 3 3" xfId="6081"/>
    <cellStyle name="40% - Accent3 3 7 4" xfId="6082"/>
    <cellStyle name="40% - Accent3 3 7 4 2" xfId="6083"/>
    <cellStyle name="40% - Accent3 3 7 5" xfId="6084"/>
    <cellStyle name="40% - Accent3 3 7 6" xfId="6085"/>
    <cellStyle name="40% - Accent3 3 7 7" xfId="6086"/>
    <cellStyle name="40% - Accent3 3 8" xfId="6087"/>
    <cellStyle name="40% - Accent3 3 8 2" xfId="6088"/>
    <cellStyle name="40% - Accent3 3 8 2 2" xfId="6089"/>
    <cellStyle name="40% - Accent3 3 8 2 2 2" xfId="6090"/>
    <cellStyle name="40% - Accent3 3 8 2 3" xfId="6091"/>
    <cellStyle name="40% - Accent3 3 8 2 4" xfId="6092"/>
    <cellStyle name="40% - Accent3 3 8 3" xfId="6093"/>
    <cellStyle name="40% - Accent3 3 8 3 2" xfId="6094"/>
    <cellStyle name="40% - Accent3 3 8 3 2 2" xfId="6095"/>
    <cellStyle name="40% - Accent3 3 8 3 3" xfId="6096"/>
    <cellStyle name="40% - Accent3 3 8 4" xfId="6097"/>
    <cellStyle name="40% - Accent3 3 8 4 2" xfId="6098"/>
    <cellStyle name="40% - Accent3 3 8 5" xfId="6099"/>
    <cellStyle name="40% - Accent3 3 8 6" xfId="6100"/>
    <cellStyle name="40% - Accent3 3 9" xfId="6101"/>
    <cellStyle name="40% - Accent3 3 9 2" xfId="6102"/>
    <cellStyle name="40% - Accent3 3 9 2 2" xfId="6103"/>
    <cellStyle name="40% - Accent3 3 9 3" xfId="6104"/>
    <cellStyle name="40% - Accent3 3 9 4" xfId="6105"/>
    <cellStyle name="40% - Accent3 3_IBP - COPI Uplift at Investment Area Level 01Feb12" xfId="49268"/>
    <cellStyle name="40% - Accent3 4" xfId="6106"/>
    <cellStyle name="40% - Accent3 4 10" xfId="6107"/>
    <cellStyle name="40% - Accent3 4 2" xfId="6108"/>
    <cellStyle name="40% - Accent3 4 2 2" xfId="6109"/>
    <cellStyle name="40% - Accent3 4 2 2 2" xfId="6110"/>
    <cellStyle name="40% - Accent3 4 2 2 2 2" xfId="6111"/>
    <cellStyle name="40% - Accent3 4 2 2 3" xfId="6112"/>
    <cellStyle name="40% - Accent3 4 2 2 4" xfId="6113"/>
    <cellStyle name="40% - Accent3 4 2 3" xfId="6114"/>
    <cellStyle name="40% - Accent3 4 2 3 2" xfId="6115"/>
    <cellStyle name="40% - Accent3 4 2 3 2 2" xfId="6116"/>
    <cellStyle name="40% - Accent3 4 2 3 3" xfId="6117"/>
    <cellStyle name="40% - Accent3 4 2 4" xfId="6118"/>
    <cellStyle name="40% - Accent3 4 2 4 2" xfId="6119"/>
    <cellStyle name="40% - Accent3 4 2 5" xfId="6120"/>
    <cellStyle name="40% - Accent3 4 2 6" xfId="6121"/>
    <cellStyle name="40% - Accent3 4 2 7" xfId="6122"/>
    <cellStyle name="40% - Accent3 4 3" xfId="6123"/>
    <cellStyle name="40% - Accent3 4 3 2" xfId="6124"/>
    <cellStyle name="40% - Accent3 4 3 2 2" xfId="6125"/>
    <cellStyle name="40% - Accent3 4 3 3" xfId="6126"/>
    <cellStyle name="40% - Accent3 4 3 4" xfId="6127"/>
    <cellStyle name="40% - Accent3 4 3 5" xfId="6128"/>
    <cellStyle name="40% - Accent3 4 4" xfId="6129"/>
    <cellStyle name="40% - Accent3 4 4 2" xfId="6130"/>
    <cellStyle name="40% - Accent3 4 4 2 2" xfId="6131"/>
    <cellStyle name="40% - Accent3 4 4 3" xfId="6132"/>
    <cellStyle name="40% - Accent3 4 5" xfId="6133"/>
    <cellStyle name="40% - Accent3 4 5 2" xfId="6134"/>
    <cellStyle name="40% - Accent3 4 6" xfId="6135"/>
    <cellStyle name="40% - Accent3 4 7" xfId="6136"/>
    <cellStyle name="40% - Accent3 4 8" xfId="6137"/>
    <cellStyle name="40% - Accent3 4 9" xfId="6138"/>
    <cellStyle name="40% - Accent3 5" xfId="6139"/>
    <cellStyle name="40% - Accent3 5 2" xfId="6140"/>
    <cellStyle name="40% - Accent3 5 2 2" xfId="6141"/>
    <cellStyle name="40% - Accent3 5 2 2 2" xfId="6142"/>
    <cellStyle name="40% - Accent3 5 2 2 2 2" xfId="6143"/>
    <cellStyle name="40% - Accent3 5 2 2 3" xfId="6144"/>
    <cellStyle name="40% - Accent3 5 2 2 4" xfId="6145"/>
    <cellStyle name="40% - Accent3 5 2 3" xfId="6146"/>
    <cellStyle name="40% - Accent3 5 2 3 2" xfId="6147"/>
    <cellStyle name="40% - Accent3 5 2 3 2 2" xfId="6148"/>
    <cellStyle name="40% - Accent3 5 2 3 3" xfId="6149"/>
    <cellStyle name="40% - Accent3 5 2 4" xfId="6150"/>
    <cellStyle name="40% - Accent3 5 2 4 2" xfId="6151"/>
    <cellStyle name="40% - Accent3 5 2 5" xfId="6152"/>
    <cellStyle name="40% - Accent3 5 2 6" xfId="6153"/>
    <cellStyle name="40% - Accent3 5 3" xfId="6154"/>
    <cellStyle name="40% - Accent3 5 3 2" xfId="6155"/>
    <cellStyle name="40% - Accent3 5 3 2 2" xfId="6156"/>
    <cellStyle name="40% - Accent3 5 3 3" xfId="6157"/>
    <cellStyle name="40% - Accent3 5 3 4" xfId="6158"/>
    <cellStyle name="40% - Accent3 5 4" xfId="6159"/>
    <cellStyle name="40% - Accent3 5 4 2" xfId="6160"/>
    <cellStyle name="40% - Accent3 5 4 2 2" xfId="6161"/>
    <cellStyle name="40% - Accent3 5 4 3" xfId="6162"/>
    <cellStyle name="40% - Accent3 5 5" xfId="6163"/>
    <cellStyle name="40% - Accent3 5 5 2" xfId="6164"/>
    <cellStyle name="40% - Accent3 5 6" xfId="6165"/>
    <cellStyle name="40% - Accent3 5 7" xfId="6166"/>
    <cellStyle name="40% - Accent3 5 8" xfId="6167"/>
    <cellStyle name="40% - Accent3 5 9" xfId="6168"/>
    <cellStyle name="40% - Accent3 6" xfId="6169"/>
    <cellStyle name="40% - Accent3 6 2" xfId="6170"/>
    <cellStyle name="40% - Accent3 6 2 2" xfId="6171"/>
    <cellStyle name="40% - Accent3 6 2 2 2" xfId="6172"/>
    <cellStyle name="40% - Accent3 6 2 2 2 2" xfId="6173"/>
    <cellStyle name="40% - Accent3 6 2 2 3" xfId="6174"/>
    <cellStyle name="40% - Accent3 6 2 2 4" xfId="6175"/>
    <cellStyle name="40% - Accent3 6 2 3" xfId="6176"/>
    <cellStyle name="40% - Accent3 6 2 3 2" xfId="6177"/>
    <cellStyle name="40% - Accent3 6 2 3 2 2" xfId="6178"/>
    <cellStyle name="40% - Accent3 6 2 3 3" xfId="6179"/>
    <cellStyle name="40% - Accent3 6 2 4" xfId="6180"/>
    <cellStyle name="40% - Accent3 6 2 4 2" xfId="6181"/>
    <cellStyle name="40% - Accent3 6 2 5" xfId="6182"/>
    <cellStyle name="40% - Accent3 6 2 6" xfId="6183"/>
    <cellStyle name="40% - Accent3 6 3" xfId="6184"/>
    <cellStyle name="40% - Accent3 6 3 2" xfId="6185"/>
    <cellStyle name="40% - Accent3 6 3 2 2" xfId="6186"/>
    <cellStyle name="40% - Accent3 6 3 3" xfId="6187"/>
    <cellStyle name="40% - Accent3 6 3 4" xfId="6188"/>
    <cellStyle name="40% - Accent3 6 4" xfId="6189"/>
    <cellStyle name="40% - Accent3 6 4 2" xfId="6190"/>
    <cellStyle name="40% - Accent3 6 4 2 2" xfId="6191"/>
    <cellStyle name="40% - Accent3 6 4 3" xfId="6192"/>
    <cellStyle name="40% - Accent3 6 5" xfId="6193"/>
    <cellStyle name="40% - Accent3 6 5 2" xfId="6194"/>
    <cellStyle name="40% - Accent3 6 6" xfId="6195"/>
    <cellStyle name="40% - Accent3 6 7" xfId="6196"/>
    <cellStyle name="40% - Accent3 6 8" xfId="6197"/>
    <cellStyle name="40% - Accent3 7" xfId="6198"/>
    <cellStyle name="40% - Accent3 7 2" xfId="6199"/>
    <cellStyle name="40% - Accent3 7 2 2" xfId="6200"/>
    <cellStyle name="40% - Accent3 7 2 2 2" xfId="6201"/>
    <cellStyle name="40% - Accent3 7 2 2 2 2" xfId="6202"/>
    <cellStyle name="40% - Accent3 7 2 2 3" xfId="6203"/>
    <cellStyle name="40% - Accent3 7 2 2 4" xfId="6204"/>
    <cellStyle name="40% - Accent3 7 2 3" xfId="6205"/>
    <cellStyle name="40% - Accent3 7 2 3 2" xfId="6206"/>
    <cellStyle name="40% - Accent3 7 2 3 2 2" xfId="6207"/>
    <cellStyle name="40% - Accent3 7 2 3 3" xfId="6208"/>
    <cellStyle name="40% - Accent3 7 2 4" xfId="6209"/>
    <cellStyle name="40% - Accent3 7 2 4 2" xfId="6210"/>
    <cellStyle name="40% - Accent3 7 2 5" xfId="6211"/>
    <cellStyle name="40% - Accent3 7 2 6" xfId="6212"/>
    <cellStyle name="40% - Accent3 7 3" xfId="6213"/>
    <cellStyle name="40% - Accent3 7 3 2" xfId="6214"/>
    <cellStyle name="40% - Accent3 7 3 2 2" xfId="6215"/>
    <cellStyle name="40% - Accent3 7 3 3" xfId="6216"/>
    <cellStyle name="40% - Accent3 7 3 4" xfId="6217"/>
    <cellStyle name="40% - Accent3 7 4" xfId="6218"/>
    <cellStyle name="40% - Accent3 7 4 2" xfId="6219"/>
    <cellStyle name="40% - Accent3 7 4 2 2" xfId="6220"/>
    <cellStyle name="40% - Accent3 7 4 3" xfId="6221"/>
    <cellStyle name="40% - Accent3 7 5" xfId="6222"/>
    <cellStyle name="40% - Accent3 7 5 2" xfId="6223"/>
    <cellStyle name="40% - Accent3 7 6" xfId="6224"/>
    <cellStyle name="40% - Accent3 7 7" xfId="6225"/>
    <cellStyle name="40% - Accent3 7 8" xfId="6226"/>
    <cellStyle name="40% - Accent3 8" xfId="6227"/>
    <cellStyle name="40% - Accent3 8 2" xfId="6228"/>
    <cellStyle name="40% - Accent3 8 2 2" xfId="6229"/>
    <cellStyle name="40% - Accent3 8 2 2 2" xfId="6230"/>
    <cellStyle name="40% - Accent3 8 2 3" xfId="6231"/>
    <cellStyle name="40% - Accent3 8 2 4" xfId="6232"/>
    <cellStyle name="40% - Accent3 8 3" xfId="6233"/>
    <cellStyle name="40% - Accent3 8 3 2" xfId="6234"/>
    <cellStyle name="40% - Accent3 8 3 2 2" xfId="6235"/>
    <cellStyle name="40% - Accent3 8 3 3" xfId="6236"/>
    <cellStyle name="40% - Accent3 8 4" xfId="6237"/>
    <cellStyle name="40% - Accent3 8 4 2" xfId="6238"/>
    <cellStyle name="40% - Accent3 8 5" xfId="6239"/>
    <cellStyle name="40% - Accent3 8 6" xfId="6240"/>
    <cellStyle name="40% - Accent3 8 7" xfId="6241"/>
    <cellStyle name="40% - Accent3 9" xfId="6242"/>
    <cellStyle name="40% - Accent3 9 2" xfId="6243"/>
    <cellStyle name="40% - Accent3 9 2 2" xfId="6244"/>
    <cellStyle name="40% - Accent3 9 2 2 2" xfId="6245"/>
    <cellStyle name="40% - Accent3 9 2 3" xfId="6246"/>
    <cellStyle name="40% - Accent3 9 2 4" xfId="6247"/>
    <cellStyle name="40% - Accent3 9 3" xfId="6248"/>
    <cellStyle name="40% - Accent3 9 3 2" xfId="6249"/>
    <cellStyle name="40% - Accent3 9 3 2 2" xfId="6250"/>
    <cellStyle name="40% - Accent3 9 3 3" xfId="6251"/>
    <cellStyle name="40% - Accent3 9 4" xfId="6252"/>
    <cellStyle name="40% - Accent3 9 4 2" xfId="6253"/>
    <cellStyle name="40% - Accent3 9 5" xfId="6254"/>
    <cellStyle name="40% - Accent3 9 6" xfId="6255"/>
    <cellStyle name="40% - Accent3 9 7" xfId="6256"/>
    <cellStyle name="40% - Accent4" xfId="10" builtinId="43" customBuiltin="1"/>
    <cellStyle name="40% - Accent4 10" xfId="6257"/>
    <cellStyle name="40% - Accent4 10 2" xfId="6258"/>
    <cellStyle name="40% - Accent4 10 2 2" xfId="6259"/>
    <cellStyle name="40% - Accent4 10 2 2 2" xfId="6260"/>
    <cellStyle name="40% - Accent4 10 2 3" xfId="6261"/>
    <cellStyle name="40% - Accent4 10 2 4" xfId="6262"/>
    <cellStyle name="40% - Accent4 10 3" xfId="6263"/>
    <cellStyle name="40% - Accent4 10 3 2" xfId="6264"/>
    <cellStyle name="40% - Accent4 10 3 2 2" xfId="6265"/>
    <cellStyle name="40% - Accent4 10 3 3" xfId="6266"/>
    <cellStyle name="40% - Accent4 10 4" xfId="6267"/>
    <cellStyle name="40% - Accent4 10 4 2" xfId="6268"/>
    <cellStyle name="40% - Accent4 10 5" xfId="6269"/>
    <cellStyle name="40% - Accent4 10 6" xfId="6270"/>
    <cellStyle name="40% - Accent4 10 7" xfId="6271"/>
    <cellStyle name="40% - Accent4 11" xfId="6272"/>
    <cellStyle name="40% - Accent4 11 2" xfId="6273"/>
    <cellStyle name="40% - Accent4 11 2 2" xfId="6274"/>
    <cellStyle name="40% - Accent4 11 2 2 2" xfId="6275"/>
    <cellStyle name="40% - Accent4 11 2 3" xfId="6276"/>
    <cellStyle name="40% - Accent4 11 2 4" xfId="6277"/>
    <cellStyle name="40% - Accent4 11 3" xfId="6278"/>
    <cellStyle name="40% - Accent4 11 3 2" xfId="6279"/>
    <cellStyle name="40% - Accent4 11 3 2 2" xfId="6280"/>
    <cellStyle name="40% - Accent4 11 3 3" xfId="6281"/>
    <cellStyle name="40% - Accent4 11 4" xfId="6282"/>
    <cellStyle name="40% - Accent4 11 4 2" xfId="6283"/>
    <cellStyle name="40% - Accent4 11 5" xfId="6284"/>
    <cellStyle name="40% - Accent4 11 6" xfId="6285"/>
    <cellStyle name="40% - Accent4 11 7" xfId="6286"/>
    <cellStyle name="40% - Accent4 12" xfId="6287"/>
    <cellStyle name="40% - Accent4 12 2" xfId="6288"/>
    <cellStyle name="40% - Accent4 12 2 2" xfId="6289"/>
    <cellStyle name="40% - Accent4 12 3" xfId="6290"/>
    <cellStyle name="40% - Accent4 12 4" xfId="6291"/>
    <cellStyle name="40% - Accent4 13" xfId="6292"/>
    <cellStyle name="40% - Accent4 13 2" xfId="6293"/>
    <cellStyle name="40% - Accent4 13 2 2" xfId="6294"/>
    <cellStyle name="40% - Accent4 13 3" xfId="6295"/>
    <cellStyle name="40% - Accent4 14" xfId="6296"/>
    <cellStyle name="40% - Accent4 14 2" xfId="6297"/>
    <cellStyle name="40% - Accent4 15" xfId="6298"/>
    <cellStyle name="40% - Accent4 15 2" xfId="6299"/>
    <cellStyle name="40% - Accent4 16" xfId="6300"/>
    <cellStyle name="40% - Accent4 16 2" xfId="6301"/>
    <cellStyle name="40% - Accent4 17" xfId="6302"/>
    <cellStyle name="40% - Accent4 18" xfId="6303"/>
    <cellStyle name="40% - Accent4 19" xfId="6304"/>
    <cellStyle name="40% - Accent4 2" xfId="95"/>
    <cellStyle name="40% - Accent4 2 10" xfId="6305"/>
    <cellStyle name="40% - Accent4 2 10 2" xfId="6306"/>
    <cellStyle name="40% - Accent4 2 10 2 2" xfId="6307"/>
    <cellStyle name="40% - Accent4 2 10 3" xfId="6308"/>
    <cellStyle name="40% - Accent4 2 10 4" xfId="6309"/>
    <cellStyle name="40% - Accent4 2 11" xfId="6310"/>
    <cellStyle name="40% - Accent4 2 11 2" xfId="6311"/>
    <cellStyle name="40% - Accent4 2 11 2 2" xfId="6312"/>
    <cellStyle name="40% - Accent4 2 11 3" xfId="6313"/>
    <cellStyle name="40% - Accent4 2 12" xfId="6314"/>
    <cellStyle name="40% - Accent4 2 12 2" xfId="6315"/>
    <cellStyle name="40% - Accent4 2 13" xfId="6316"/>
    <cellStyle name="40% - Accent4 2 13 2" xfId="6317"/>
    <cellStyle name="40% - Accent4 2 14" xfId="6318"/>
    <cellStyle name="40% - Accent4 2 15" xfId="6319"/>
    <cellStyle name="40% - Accent4 2 16" xfId="6320"/>
    <cellStyle name="40% - Accent4 2 17" xfId="6321"/>
    <cellStyle name="40% - Accent4 2 18" xfId="6322"/>
    <cellStyle name="40% - Accent4 2 2" xfId="96"/>
    <cellStyle name="40% - Accent4 2 2 2" xfId="6323"/>
    <cellStyle name="40% - Accent4 2 2 2 2" xfId="6324"/>
    <cellStyle name="40% - Accent4 2 2 2 2 2" xfId="6325"/>
    <cellStyle name="40% - Accent4 2 2 2 2 2 2" xfId="6326"/>
    <cellStyle name="40% - Accent4 2 2 2 2 3" xfId="6327"/>
    <cellStyle name="40% - Accent4 2 2 2 2 4" xfId="6328"/>
    <cellStyle name="40% - Accent4 2 2 2 2 5" xfId="6329"/>
    <cellStyle name="40% - Accent4 2 2 2 3" xfId="6330"/>
    <cellStyle name="40% - Accent4 2 2 2 3 2" xfId="6331"/>
    <cellStyle name="40% - Accent4 2 2 2 3 2 2" xfId="6332"/>
    <cellStyle name="40% - Accent4 2 2 2 3 3" xfId="6333"/>
    <cellStyle name="40% - Accent4 2 2 2 4" xfId="6334"/>
    <cellStyle name="40% - Accent4 2 2 2 4 2" xfId="6335"/>
    <cellStyle name="40% - Accent4 2 2 2 5" xfId="6336"/>
    <cellStyle name="40% - Accent4 2 2 2 6" xfId="6337"/>
    <cellStyle name="40% - Accent4 2 2 2 7" xfId="6338"/>
    <cellStyle name="40% - Accent4 2 2 2 8" xfId="6339"/>
    <cellStyle name="40% - Accent4 2 2 2 9" xfId="6340"/>
    <cellStyle name="40% - Accent4 2 2 3" xfId="6341"/>
    <cellStyle name="40% - Accent4 2 2 4" xfId="6342"/>
    <cellStyle name="40% - Accent4 2 2 4 2" xfId="6343"/>
    <cellStyle name="40% - Accent4 2 2 4 2 2" xfId="6344"/>
    <cellStyle name="40% - Accent4 2 2 4 3" xfId="6345"/>
    <cellStyle name="40% - Accent4 2 2 4 4" xfId="6346"/>
    <cellStyle name="40% - Accent4 2 2 5" xfId="6347"/>
    <cellStyle name="40% - Accent4 2 2 5 2" xfId="6348"/>
    <cellStyle name="40% - Accent4 2 2 5 2 2" xfId="6349"/>
    <cellStyle name="40% - Accent4 2 2 5 3" xfId="6350"/>
    <cellStyle name="40% - Accent4 2 2 6" xfId="6351"/>
    <cellStyle name="40% - Accent4 2 2 6 2" xfId="6352"/>
    <cellStyle name="40% - Accent4 2 2 7" xfId="6353"/>
    <cellStyle name="40% - Accent4 2 2 8" xfId="6354"/>
    <cellStyle name="40% - Accent4 2 3" xfId="6355"/>
    <cellStyle name="40% - Accent4 2 3 10" xfId="6356"/>
    <cellStyle name="40% - Accent4 2 3 2" xfId="6357"/>
    <cellStyle name="40% - Accent4 2 3 2 2" xfId="6358"/>
    <cellStyle name="40% - Accent4 2 3 2 2 2" xfId="6359"/>
    <cellStyle name="40% - Accent4 2 3 2 2 2 2" xfId="6360"/>
    <cellStyle name="40% - Accent4 2 3 2 2 3" xfId="6361"/>
    <cellStyle name="40% - Accent4 2 3 2 2 4" xfId="6362"/>
    <cellStyle name="40% - Accent4 2 3 2 3" xfId="6363"/>
    <cellStyle name="40% - Accent4 2 3 2 3 2" xfId="6364"/>
    <cellStyle name="40% - Accent4 2 3 2 3 2 2" xfId="6365"/>
    <cellStyle name="40% - Accent4 2 3 2 3 3" xfId="6366"/>
    <cellStyle name="40% - Accent4 2 3 2 4" xfId="6367"/>
    <cellStyle name="40% - Accent4 2 3 2 4 2" xfId="6368"/>
    <cellStyle name="40% - Accent4 2 3 2 5" xfId="6369"/>
    <cellStyle name="40% - Accent4 2 3 2 6" xfId="6370"/>
    <cellStyle name="40% - Accent4 2 3 2 7" xfId="6371"/>
    <cellStyle name="40% - Accent4 2 3 3" xfId="6372"/>
    <cellStyle name="40% - Accent4 2 3 3 2" xfId="6373"/>
    <cellStyle name="40% - Accent4 2 3 3 2 2" xfId="6374"/>
    <cellStyle name="40% - Accent4 2 3 3 3" xfId="6375"/>
    <cellStyle name="40% - Accent4 2 3 3 4" xfId="6376"/>
    <cellStyle name="40% - Accent4 2 3 3 5" xfId="6377"/>
    <cellStyle name="40% - Accent4 2 3 4" xfId="6378"/>
    <cellStyle name="40% - Accent4 2 3 4 2" xfId="6379"/>
    <cellStyle name="40% - Accent4 2 3 4 2 2" xfId="6380"/>
    <cellStyle name="40% - Accent4 2 3 4 3" xfId="6381"/>
    <cellStyle name="40% - Accent4 2 3 5" xfId="6382"/>
    <cellStyle name="40% - Accent4 2 3 5 2" xfId="6383"/>
    <cellStyle name="40% - Accent4 2 3 6" xfId="6384"/>
    <cellStyle name="40% - Accent4 2 3 7" xfId="6385"/>
    <cellStyle name="40% - Accent4 2 3 8" xfId="6386"/>
    <cellStyle name="40% - Accent4 2 3 9" xfId="6387"/>
    <cellStyle name="40% - Accent4 2 4" xfId="6388"/>
    <cellStyle name="40% - Accent4 2 4 10" xfId="6389"/>
    <cellStyle name="40% - Accent4 2 4 2" xfId="6390"/>
    <cellStyle name="40% - Accent4 2 4 2 2" xfId="6391"/>
    <cellStyle name="40% - Accent4 2 4 2 2 2" xfId="6392"/>
    <cellStyle name="40% - Accent4 2 4 2 2 2 2" xfId="6393"/>
    <cellStyle name="40% - Accent4 2 4 2 2 3" xfId="6394"/>
    <cellStyle name="40% - Accent4 2 4 2 2 4" xfId="6395"/>
    <cellStyle name="40% - Accent4 2 4 2 3" xfId="6396"/>
    <cellStyle name="40% - Accent4 2 4 2 3 2" xfId="6397"/>
    <cellStyle name="40% - Accent4 2 4 2 3 2 2" xfId="6398"/>
    <cellStyle name="40% - Accent4 2 4 2 3 3" xfId="6399"/>
    <cellStyle name="40% - Accent4 2 4 2 4" xfId="6400"/>
    <cellStyle name="40% - Accent4 2 4 2 4 2" xfId="6401"/>
    <cellStyle name="40% - Accent4 2 4 2 5" xfId="6402"/>
    <cellStyle name="40% - Accent4 2 4 2 6" xfId="6403"/>
    <cellStyle name="40% - Accent4 2 4 2 7" xfId="6404"/>
    <cellStyle name="40% - Accent4 2 4 3" xfId="6405"/>
    <cellStyle name="40% - Accent4 2 4 3 2" xfId="6406"/>
    <cellStyle name="40% - Accent4 2 4 3 2 2" xfId="6407"/>
    <cellStyle name="40% - Accent4 2 4 3 3" xfId="6408"/>
    <cellStyle name="40% - Accent4 2 4 3 4" xfId="6409"/>
    <cellStyle name="40% - Accent4 2 4 4" xfId="6410"/>
    <cellStyle name="40% - Accent4 2 4 4 2" xfId="6411"/>
    <cellStyle name="40% - Accent4 2 4 4 2 2" xfId="6412"/>
    <cellStyle name="40% - Accent4 2 4 4 3" xfId="6413"/>
    <cellStyle name="40% - Accent4 2 4 5" xfId="6414"/>
    <cellStyle name="40% - Accent4 2 4 5 2" xfId="6415"/>
    <cellStyle name="40% - Accent4 2 4 6" xfId="6416"/>
    <cellStyle name="40% - Accent4 2 4 7" xfId="6417"/>
    <cellStyle name="40% - Accent4 2 4 8" xfId="6418"/>
    <cellStyle name="40% - Accent4 2 4 9" xfId="6419"/>
    <cellStyle name="40% - Accent4 2 5" xfId="6420"/>
    <cellStyle name="40% - Accent4 2 5 10" xfId="6421"/>
    <cellStyle name="40% - Accent4 2 5 2" xfId="6422"/>
    <cellStyle name="40% - Accent4 2 5 2 2" xfId="6423"/>
    <cellStyle name="40% - Accent4 2 5 2 2 2" xfId="6424"/>
    <cellStyle name="40% - Accent4 2 5 2 2 2 2" xfId="6425"/>
    <cellStyle name="40% - Accent4 2 5 2 2 3" xfId="6426"/>
    <cellStyle name="40% - Accent4 2 5 2 2 4" xfId="6427"/>
    <cellStyle name="40% - Accent4 2 5 2 3" xfId="6428"/>
    <cellStyle name="40% - Accent4 2 5 2 3 2" xfId="6429"/>
    <cellStyle name="40% - Accent4 2 5 2 3 2 2" xfId="6430"/>
    <cellStyle name="40% - Accent4 2 5 2 3 3" xfId="6431"/>
    <cellStyle name="40% - Accent4 2 5 2 4" xfId="6432"/>
    <cellStyle name="40% - Accent4 2 5 2 4 2" xfId="6433"/>
    <cellStyle name="40% - Accent4 2 5 2 5" xfId="6434"/>
    <cellStyle name="40% - Accent4 2 5 2 6" xfId="6435"/>
    <cellStyle name="40% - Accent4 2 5 3" xfId="6436"/>
    <cellStyle name="40% - Accent4 2 5 3 2" xfId="6437"/>
    <cellStyle name="40% - Accent4 2 5 3 2 2" xfId="6438"/>
    <cellStyle name="40% - Accent4 2 5 3 3" xfId="6439"/>
    <cellStyle name="40% - Accent4 2 5 3 4" xfId="6440"/>
    <cellStyle name="40% - Accent4 2 5 4" xfId="6441"/>
    <cellStyle name="40% - Accent4 2 5 4 2" xfId="6442"/>
    <cellStyle name="40% - Accent4 2 5 4 2 2" xfId="6443"/>
    <cellStyle name="40% - Accent4 2 5 4 3" xfId="6444"/>
    <cellStyle name="40% - Accent4 2 5 5" xfId="6445"/>
    <cellStyle name="40% - Accent4 2 5 5 2" xfId="6446"/>
    <cellStyle name="40% - Accent4 2 5 6" xfId="6447"/>
    <cellStyle name="40% - Accent4 2 5 7" xfId="6448"/>
    <cellStyle name="40% - Accent4 2 5 8" xfId="6449"/>
    <cellStyle name="40% - Accent4 2 5 9" xfId="6450"/>
    <cellStyle name="40% - Accent4 2 6" xfId="6451"/>
    <cellStyle name="40% - Accent4 2 6 2" xfId="6452"/>
    <cellStyle name="40% - Accent4 2 6 2 2" xfId="6453"/>
    <cellStyle name="40% - Accent4 2 6 2 2 2" xfId="6454"/>
    <cellStyle name="40% - Accent4 2 6 2 3" xfId="6455"/>
    <cellStyle name="40% - Accent4 2 6 2 4" xfId="6456"/>
    <cellStyle name="40% - Accent4 2 6 3" xfId="6457"/>
    <cellStyle name="40% - Accent4 2 6 3 2" xfId="6458"/>
    <cellStyle name="40% - Accent4 2 6 3 2 2" xfId="6459"/>
    <cellStyle name="40% - Accent4 2 6 3 3" xfId="6460"/>
    <cellStyle name="40% - Accent4 2 6 4" xfId="6461"/>
    <cellStyle name="40% - Accent4 2 6 4 2" xfId="6462"/>
    <cellStyle name="40% - Accent4 2 6 5" xfId="6463"/>
    <cellStyle name="40% - Accent4 2 6 6" xfId="6464"/>
    <cellStyle name="40% - Accent4 2 6 7" xfId="6465"/>
    <cellStyle name="40% - Accent4 2 6 8" xfId="6466"/>
    <cellStyle name="40% - Accent4 2 7" xfId="6467"/>
    <cellStyle name="40% - Accent4 2 7 2" xfId="6468"/>
    <cellStyle name="40% - Accent4 2 7 2 2" xfId="6469"/>
    <cellStyle name="40% - Accent4 2 7 2 2 2" xfId="6470"/>
    <cellStyle name="40% - Accent4 2 7 2 3" xfId="6471"/>
    <cellStyle name="40% - Accent4 2 7 2 4" xfId="6472"/>
    <cellStyle name="40% - Accent4 2 7 3" xfId="6473"/>
    <cellStyle name="40% - Accent4 2 7 3 2" xfId="6474"/>
    <cellStyle name="40% - Accent4 2 7 3 2 2" xfId="6475"/>
    <cellStyle name="40% - Accent4 2 7 3 3" xfId="6476"/>
    <cellStyle name="40% - Accent4 2 7 4" xfId="6477"/>
    <cellStyle name="40% - Accent4 2 7 4 2" xfId="6478"/>
    <cellStyle name="40% - Accent4 2 7 5" xfId="6479"/>
    <cellStyle name="40% - Accent4 2 7 6" xfId="6480"/>
    <cellStyle name="40% - Accent4 2 7 7" xfId="6481"/>
    <cellStyle name="40% - Accent4 2 8" xfId="6482"/>
    <cellStyle name="40% - Accent4 2 8 2" xfId="6483"/>
    <cellStyle name="40% - Accent4 2 8 2 2" xfId="6484"/>
    <cellStyle name="40% - Accent4 2 8 2 2 2" xfId="6485"/>
    <cellStyle name="40% - Accent4 2 8 2 3" xfId="6486"/>
    <cellStyle name="40% - Accent4 2 8 2 4" xfId="6487"/>
    <cellStyle name="40% - Accent4 2 8 3" xfId="6488"/>
    <cellStyle name="40% - Accent4 2 8 3 2" xfId="6489"/>
    <cellStyle name="40% - Accent4 2 8 3 2 2" xfId="6490"/>
    <cellStyle name="40% - Accent4 2 8 3 3" xfId="6491"/>
    <cellStyle name="40% - Accent4 2 8 4" xfId="6492"/>
    <cellStyle name="40% - Accent4 2 8 4 2" xfId="6493"/>
    <cellStyle name="40% - Accent4 2 8 5" xfId="6494"/>
    <cellStyle name="40% - Accent4 2 8 6" xfId="6495"/>
    <cellStyle name="40% - Accent4 2 8 7" xfId="6496"/>
    <cellStyle name="40% - Accent4 2 9" xfId="6497"/>
    <cellStyle name="40% - Accent4 2 9 2" xfId="6498"/>
    <cellStyle name="40% - Accent4 2 9 2 2" xfId="6499"/>
    <cellStyle name="40% - Accent4 2 9 2 2 2" xfId="6500"/>
    <cellStyle name="40% - Accent4 2 9 2 3" xfId="6501"/>
    <cellStyle name="40% - Accent4 2 9 2 4" xfId="6502"/>
    <cellStyle name="40% - Accent4 2 9 3" xfId="6503"/>
    <cellStyle name="40% - Accent4 2 9 3 2" xfId="6504"/>
    <cellStyle name="40% - Accent4 2 9 3 2 2" xfId="6505"/>
    <cellStyle name="40% - Accent4 2 9 3 3" xfId="6506"/>
    <cellStyle name="40% - Accent4 2 9 4" xfId="6507"/>
    <cellStyle name="40% - Accent4 2 9 4 2" xfId="6508"/>
    <cellStyle name="40% - Accent4 2 9 5" xfId="6509"/>
    <cellStyle name="40% - Accent4 2 9 6" xfId="6510"/>
    <cellStyle name="40% - Accent4 2_IBP - COPI Uplift at Investment Area Level 01Feb12" xfId="49269"/>
    <cellStyle name="40% - Accent4 3" xfId="97"/>
    <cellStyle name="40% - Accent4 3 10" xfId="6511"/>
    <cellStyle name="40% - Accent4 3 10 2" xfId="6512"/>
    <cellStyle name="40% - Accent4 3 10 2 2" xfId="6513"/>
    <cellStyle name="40% - Accent4 3 10 3" xfId="6514"/>
    <cellStyle name="40% - Accent4 3 11" xfId="6515"/>
    <cellStyle name="40% - Accent4 3 11 2" xfId="6516"/>
    <cellStyle name="40% - Accent4 3 12" xfId="6517"/>
    <cellStyle name="40% - Accent4 3 12 2" xfId="6518"/>
    <cellStyle name="40% - Accent4 3 13" xfId="6519"/>
    <cellStyle name="40% - Accent4 3 14" xfId="6520"/>
    <cellStyle name="40% - Accent4 3 15" xfId="6521"/>
    <cellStyle name="40% - Accent4 3 16" xfId="6522"/>
    <cellStyle name="40% - Accent4 3 2" xfId="6523"/>
    <cellStyle name="40% - Accent4 3 2 10" xfId="6524"/>
    <cellStyle name="40% - Accent4 3 2 2" xfId="6525"/>
    <cellStyle name="40% - Accent4 3 2 2 2" xfId="6526"/>
    <cellStyle name="40% - Accent4 3 2 2 2 2" xfId="6527"/>
    <cellStyle name="40% - Accent4 3 2 2 2 2 2" xfId="6528"/>
    <cellStyle name="40% - Accent4 3 2 2 2 3" xfId="6529"/>
    <cellStyle name="40% - Accent4 3 2 2 2 4" xfId="6530"/>
    <cellStyle name="40% - Accent4 3 2 2 3" xfId="6531"/>
    <cellStyle name="40% - Accent4 3 2 2 3 2" xfId="6532"/>
    <cellStyle name="40% - Accent4 3 2 2 3 2 2" xfId="6533"/>
    <cellStyle name="40% - Accent4 3 2 2 3 3" xfId="6534"/>
    <cellStyle name="40% - Accent4 3 2 2 4" xfId="6535"/>
    <cellStyle name="40% - Accent4 3 2 2 4 2" xfId="6536"/>
    <cellStyle name="40% - Accent4 3 2 2 5" xfId="6537"/>
    <cellStyle name="40% - Accent4 3 2 2 6" xfId="6538"/>
    <cellStyle name="40% - Accent4 3 2 2 7" xfId="6539"/>
    <cellStyle name="40% - Accent4 3 2 3" xfId="6540"/>
    <cellStyle name="40% - Accent4 3 2 3 2" xfId="6541"/>
    <cellStyle name="40% - Accent4 3 2 3 2 2" xfId="6542"/>
    <cellStyle name="40% - Accent4 3 2 3 3" xfId="6543"/>
    <cellStyle name="40% - Accent4 3 2 3 4" xfId="6544"/>
    <cellStyle name="40% - Accent4 3 2 3 5" xfId="6545"/>
    <cellStyle name="40% - Accent4 3 2 4" xfId="6546"/>
    <cellStyle name="40% - Accent4 3 2 4 2" xfId="6547"/>
    <cellStyle name="40% - Accent4 3 2 4 2 2" xfId="6548"/>
    <cellStyle name="40% - Accent4 3 2 4 3" xfId="6549"/>
    <cellStyle name="40% - Accent4 3 2 5" xfId="6550"/>
    <cellStyle name="40% - Accent4 3 2 5 2" xfId="6551"/>
    <cellStyle name="40% - Accent4 3 2 6" xfId="6552"/>
    <cellStyle name="40% - Accent4 3 2 7" xfId="6553"/>
    <cellStyle name="40% - Accent4 3 2 8" xfId="6554"/>
    <cellStyle name="40% - Accent4 3 2 9" xfId="6555"/>
    <cellStyle name="40% - Accent4 3 3" xfId="6556"/>
    <cellStyle name="40% - Accent4 3 3 2" xfId="6557"/>
    <cellStyle name="40% - Accent4 3 3 2 2" xfId="6558"/>
    <cellStyle name="40% - Accent4 3 3 2 2 2" xfId="6559"/>
    <cellStyle name="40% - Accent4 3 3 2 2 2 2" xfId="6560"/>
    <cellStyle name="40% - Accent4 3 3 2 2 3" xfId="6561"/>
    <cellStyle name="40% - Accent4 3 3 2 2 4" xfId="6562"/>
    <cellStyle name="40% - Accent4 3 3 2 3" xfId="6563"/>
    <cellStyle name="40% - Accent4 3 3 2 3 2" xfId="6564"/>
    <cellStyle name="40% - Accent4 3 3 2 3 2 2" xfId="6565"/>
    <cellStyle name="40% - Accent4 3 3 2 3 3" xfId="6566"/>
    <cellStyle name="40% - Accent4 3 3 2 4" xfId="6567"/>
    <cellStyle name="40% - Accent4 3 3 2 4 2" xfId="6568"/>
    <cellStyle name="40% - Accent4 3 3 2 5" xfId="6569"/>
    <cellStyle name="40% - Accent4 3 3 2 6" xfId="6570"/>
    <cellStyle name="40% - Accent4 3 3 3" xfId="6571"/>
    <cellStyle name="40% - Accent4 3 3 3 2" xfId="6572"/>
    <cellStyle name="40% - Accent4 3 3 3 2 2" xfId="6573"/>
    <cellStyle name="40% - Accent4 3 3 3 3" xfId="6574"/>
    <cellStyle name="40% - Accent4 3 3 3 4" xfId="6575"/>
    <cellStyle name="40% - Accent4 3 3 4" xfId="6576"/>
    <cellStyle name="40% - Accent4 3 3 4 2" xfId="6577"/>
    <cellStyle name="40% - Accent4 3 3 4 2 2" xfId="6578"/>
    <cellStyle name="40% - Accent4 3 3 4 3" xfId="6579"/>
    <cellStyle name="40% - Accent4 3 3 5" xfId="6580"/>
    <cellStyle name="40% - Accent4 3 3 5 2" xfId="6581"/>
    <cellStyle name="40% - Accent4 3 3 6" xfId="6582"/>
    <cellStyle name="40% - Accent4 3 3 7" xfId="6583"/>
    <cellStyle name="40% - Accent4 3 3 8" xfId="6584"/>
    <cellStyle name="40% - Accent4 3 3 9" xfId="6585"/>
    <cellStyle name="40% - Accent4 3 4" xfId="6586"/>
    <cellStyle name="40% - Accent4 3 4 2" xfId="6587"/>
    <cellStyle name="40% - Accent4 3 4 2 2" xfId="6588"/>
    <cellStyle name="40% - Accent4 3 4 2 2 2" xfId="6589"/>
    <cellStyle name="40% - Accent4 3 4 2 2 2 2" xfId="6590"/>
    <cellStyle name="40% - Accent4 3 4 2 2 3" xfId="6591"/>
    <cellStyle name="40% - Accent4 3 4 2 2 4" xfId="6592"/>
    <cellStyle name="40% - Accent4 3 4 2 3" xfId="6593"/>
    <cellStyle name="40% - Accent4 3 4 2 3 2" xfId="6594"/>
    <cellStyle name="40% - Accent4 3 4 2 3 2 2" xfId="6595"/>
    <cellStyle name="40% - Accent4 3 4 2 3 3" xfId="6596"/>
    <cellStyle name="40% - Accent4 3 4 2 4" xfId="6597"/>
    <cellStyle name="40% - Accent4 3 4 2 4 2" xfId="6598"/>
    <cellStyle name="40% - Accent4 3 4 2 5" xfId="6599"/>
    <cellStyle name="40% - Accent4 3 4 2 6" xfId="6600"/>
    <cellStyle name="40% - Accent4 3 4 3" xfId="6601"/>
    <cellStyle name="40% - Accent4 3 4 3 2" xfId="6602"/>
    <cellStyle name="40% - Accent4 3 4 3 2 2" xfId="6603"/>
    <cellStyle name="40% - Accent4 3 4 3 3" xfId="6604"/>
    <cellStyle name="40% - Accent4 3 4 3 4" xfId="6605"/>
    <cellStyle name="40% - Accent4 3 4 4" xfId="6606"/>
    <cellStyle name="40% - Accent4 3 4 4 2" xfId="6607"/>
    <cellStyle name="40% - Accent4 3 4 4 2 2" xfId="6608"/>
    <cellStyle name="40% - Accent4 3 4 4 3" xfId="6609"/>
    <cellStyle name="40% - Accent4 3 4 5" xfId="6610"/>
    <cellStyle name="40% - Accent4 3 4 5 2" xfId="6611"/>
    <cellStyle name="40% - Accent4 3 4 6" xfId="6612"/>
    <cellStyle name="40% - Accent4 3 4 7" xfId="6613"/>
    <cellStyle name="40% - Accent4 3 4 8" xfId="6614"/>
    <cellStyle name="40% - Accent4 3 5" xfId="6615"/>
    <cellStyle name="40% - Accent4 3 5 2" xfId="6616"/>
    <cellStyle name="40% - Accent4 3 5 2 2" xfId="6617"/>
    <cellStyle name="40% - Accent4 3 5 2 2 2" xfId="6618"/>
    <cellStyle name="40% - Accent4 3 5 2 3" xfId="6619"/>
    <cellStyle name="40% - Accent4 3 5 2 4" xfId="6620"/>
    <cellStyle name="40% - Accent4 3 5 3" xfId="6621"/>
    <cellStyle name="40% - Accent4 3 5 3 2" xfId="6622"/>
    <cellStyle name="40% - Accent4 3 5 3 2 2" xfId="6623"/>
    <cellStyle name="40% - Accent4 3 5 3 3" xfId="6624"/>
    <cellStyle name="40% - Accent4 3 5 4" xfId="6625"/>
    <cellStyle name="40% - Accent4 3 5 4 2" xfId="6626"/>
    <cellStyle name="40% - Accent4 3 5 5" xfId="6627"/>
    <cellStyle name="40% - Accent4 3 5 6" xfId="6628"/>
    <cellStyle name="40% - Accent4 3 5 7" xfId="6629"/>
    <cellStyle name="40% - Accent4 3 6" xfId="6630"/>
    <cellStyle name="40% - Accent4 3 6 2" xfId="6631"/>
    <cellStyle name="40% - Accent4 3 6 2 2" xfId="6632"/>
    <cellStyle name="40% - Accent4 3 6 2 2 2" xfId="6633"/>
    <cellStyle name="40% - Accent4 3 6 2 3" xfId="6634"/>
    <cellStyle name="40% - Accent4 3 6 2 4" xfId="6635"/>
    <cellStyle name="40% - Accent4 3 6 3" xfId="6636"/>
    <cellStyle name="40% - Accent4 3 6 3 2" xfId="6637"/>
    <cellStyle name="40% - Accent4 3 6 3 2 2" xfId="6638"/>
    <cellStyle name="40% - Accent4 3 6 3 3" xfId="6639"/>
    <cellStyle name="40% - Accent4 3 6 4" xfId="6640"/>
    <cellStyle name="40% - Accent4 3 6 4 2" xfId="6641"/>
    <cellStyle name="40% - Accent4 3 6 5" xfId="6642"/>
    <cellStyle name="40% - Accent4 3 6 6" xfId="6643"/>
    <cellStyle name="40% - Accent4 3 6 7" xfId="6644"/>
    <cellStyle name="40% - Accent4 3 7" xfId="6645"/>
    <cellStyle name="40% - Accent4 3 7 2" xfId="6646"/>
    <cellStyle name="40% - Accent4 3 7 2 2" xfId="6647"/>
    <cellStyle name="40% - Accent4 3 7 2 2 2" xfId="6648"/>
    <cellStyle name="40% - Accent4 3 7 2 3" xfId="6649"/>
    <cellStyle name="40% - Accent4 3 7 2 4" xfId="6650"/>
    <cellStyle name="40% - Accent4 3 7 3" xfId="6651"/>
    <cellStyle name="40% - Accent4 3 7 3 2" xfId="6652"/>
    <cellStyle name="40% - Accent4 3 7 3 2 2" xfId="6653"/>
    <cellStyle name="40% - Accent4 3 7 3 3" xfId="6654"/>
    <cellStyle name="40% - Accent4 3 7 4" xfId="6655"/>
    <cellStyle name="40% - Accent4 3 7 4 2" xfId="6656"/>
    <cellStyle name="40% - Accent4 3 7 5" xfId="6657"/>
    <cellStyle name="40% - Accent4 3 7 6" xfId="6658"/>
    <cellStyle name="40% - Accent4 3 7 7" xfId="6659"/>
    <cellStyle name="40% - Accent4 3 8" xfId="6660"/>
    <cellStyle name="40% - Accent4 3 8 2" xfId="6661"/>
    <cellStyle name="40% - Accent4 3 8 2 2" xfId="6662"/>
    <cellStyle name="40% - Accent4 3 8 2 2 2" xfId="6663"/>
    <cellStyle name="40% - Accent4 3 8 2 3" xfId="6664"/>
    <cellStyle name="40% - Accent4 3 8 2 4" xfId="6665"/>
    <cellStyle name="40% - Accent4 3 8 3" xfId="6666"/>
    <cellStyle name="40% - Accent4 3 8 3 2" xfId="6667"/>
    <cellStyle name="40% - Accent4 3 8 3 2 2" xfId="6668"/>
    <cellStyle name="40% - Accent4 3 8 3 3" xfId="6669"/>
    <cellStyle name="40% - Accent4 3 8 4" xfId="6670"/>
    <cellStyle name="40% - Accent4 3 8 4 2" xfId="6671"/>
    <cellStyle name="40% - Accent4 3 8 5" xfId="6672"/>
    <cellStyle name="40% - Accent4 3 8 6" xfId="6673"/>
    <cellStyle name="40% - Accent4 3 9" xfId="6674"/>
    <cellStyle name="40% - Accent4 3 9 2" xfId="6675"/>
    <cellStyle name="40% - Accent4 3 9 2 2" xfId="6676"/>
    <cellStyle name="40% - Accent4 3 9 3" xfId="6677"/>
    <cellStyle name="40% - Accent4 3 9 4" xfId="6678"/>
    <cellStyle name="40% - Accent4 3_IBP - COPI Uplift at Investment Area Level 01Feb12" xfId="49270"/>
    <cellStyle name="40% - Accent4 4" xfId="6679"/>
    <cellStyle name="40% - Accent4 4 10" xfId="6680"/>
    <cellStyle name="40% - Accent4 4 2" xfId="6681"/>
    <cellStyle name="40% - Accent4 4 2 2" xfId="6682"/>
    <cellStyle name="40% - Accent4 4 2 2 2" xfId="6683"/>
    <cellStyle name="40% - Accent4 4 2 2 2 2" xfId="6684"/>
    <cellStyle name="40% - Accent4 4 2 2 3" xfId="6685"/>
    <cellStyle name="40% - Accent4 4 2 2 4" xfId="6686"/>
    <cellStyle name="40% - Accent4 4 2 3" xfId="6687"/>
    <cellStyle name="40% - Accent4 4 2 3 2" xfId="6688"/>
    <cellStyle name="40% - Accent4 4 2 3 2 2" xfId="6689"/>
    <cellStyle name="40% - Accent4 4 2 3 3" xfId="6690"/>
    <cellStyle name="40% - Accent4 4 2 4" xfId="6691"/>
    <cellStyle name="40% - Accent4 4 2 4 2" xfId="6692"/>
    <cellStyle name="40% - Accent4 4 2 5" xfId="6693"/>
    <cellStyle name="40% - Accent4 4 2 6" xfId="6694"/>
    <cellStyle name="40% - Accent4 4 2 7" xfId="6695"/>
    <cellStyle name="40% - Accent4 4 3" xfId="6696"/>
    <cellStyle name="40% - Accent4 4 3 2" xfId="6697"/>
    <cellStyle name="40% - Accent4 4 3 2 2" xfId="6698"/>
    <cellStyle name="40% - Accent4 4 3 3" xfId="6699"/>
    <cellStyle name="40% - Accent4 4 3 4" xfId="6700"/>
    <cellStyle name="40% - Accent4 4 3 5" xfId="6701"/>
    <cellStyle name="40% - Accent4 4 4" xfId="6702"/>
    <cellStyle name="40% - Accent4 4 4 2" xfId="6703"/>
    <cellStyle name="40% - Accent4 4 4 2 2" xfId="6704"/>
    <cellStyle name="40% - Accent4 4 4 3" xfId="6705"/>
    <cellStyle name="40% - Accent4 4 5" xfId="6706"/>
    <cellStyle name="40% - Accent4 4 5 2" xfId="6707"/>
    <cellStyle name="40% - Accent4 4 6" xfId="6708"/>
    <cellStyle name="40% - Accent4 4 7" xfId="6709"/>
    <cellStyle name="40% - Accent4 4 8" xfId="6710"/>
    <cellStyle name="40% - Accent4 4 9" xfId="6711"/>
    <cellStyle name="40% - Accent4 5" xfId="6712"/>
    <cellStyle name="40% - Accent4 5 2" xfId="6713"/>
    <cellStyle name="40% - Accent4 5 2 2" xfId="6714"/>
    <cellStyle name="40% - Accent4 5 2 2 2" xfId="6715"/>
    <cellStyle name="40% - Accent4 5 2 2 2 2" xfId="6716"/>
    <cellStyle name="40% - Accent4 5 2 2 3" xfId="6717"/>
    <cellStyle name="40% - Accent4 5 2 2 4" xfId="6718"/>
    <cellStyle name="40% - Accent4 5 2 3" xfId="6719"/>
    <cellStyle name="40% - Accent4 5 2 3 2" xfId="6720"/>
    <cellStyle name="40% - Accent4 5 2 3 2 2" xfId="6721"/>
    <cellStyle name="40% - Accent4 5 2 3 3" xfId="6722"/>
    <cellStyle name="40% - Accent4 5 2 4" xfId="6723"/>
    <cellStyle name="40% - Accent4 5 2 4 2" xfId="6724"/>
    <cellStyle name="40% - Accent4 5 2 5" xfId="6725"/>
    <cellStyle name="40% - Accent4 5 2 6" xfId="6726"/>
    <cellStyle name="40% - Accent4 5 3" xfId="6727"/>
    <cellStyle name="40% - Accent4 5 3 2" xfId="6728"/>
    <cellStyle name="40% - Accent4 5 3 2 2" xfId="6729"/>
    <cellStyle name="40% - Accent4 5 3 3" xfId="6730"/>
    <cellStyle name="40% - Accent4 5 3 4" xfId="6731"/>
    <cellStyle name="40% - Accent4 5 4" xfId="6732"/>
    <cellStyle name="40% - Accent4 5 4 2" xfId="6733"/>
    <cellStyle name="40% - Accent4 5 4 2 2" xfId="6734"/>
    <cellStyle name="40% - Accent4 5 4 3" xfId="6735"/>
    <cellStyle name="40% - Accent4 5 5" xfId="6736"/>
    <cellStyle name="40% - Accent4 5 5 2" xfId="6737"/>
    <cellStyle name="40% - Accent4 5 6" xfId="6738"/>
    <cellStyle name="40% - Accent4 5 7" xfId="6739"/>
    <cellStyle name="40% - Accent4 5 8" xfId="6740"/>
    <cellStyle name="40% - Accent4 5 9" xfId="6741"/>
    <cellStyle name="40% - Accent4 6" xfId="6742"/>
    <cellStyle name="40% - Accent4 6 2" xfId="6743"/>
    <cellStyle name="40% - Accent4 6 2 2" xfId="6744"/>
    <cellStyle name="40% - Accent4 6 2 2 2" xfId="6745"/>
    <cellStyle name="40% - Accent4 6 2 2 2 2" xfId="6746"/>
    <cellStyle name="40% - Accent4 6 2 2 3" xfId="6747"/>
    <cellStyle name="40% - Accent4 6 2 2 4" xfId="6748"/>
    <cellStyle name="40% - Accent4 6 2 3" xfId="6749"/>
    <cellStyle name="40% - Accent4 6 2 3 2" xfId="6750"/>
    <cellStyle name="40% - Accent4 6 2 3 2 2" xfId="6751"/>
    <cellStyle name="40% - Accent4 6 2 3 3" xfId="6752"/>
    <cellStyle name="40% - Accent4 6 2 4" xfId="6753"/>
    <cellStyle name="40% - Accent4 6 2 4 2" xfId="6754"/>
    <cellStyle name="40% - Accent4 6 2 5" xfId="6755"/>
    <cellStyle name="40% - Accent4 6 2 6" xfId="6756"/>
    <cellStyle name="40% - Accent4 6 3" xfId="6757"/>
    <cellStyle name="40% - Accent4 6 3 2" xfId="6758"/>
    <cellStyle name="40% - Accent4 6 3 2 2" xfId="6759"/>
    <cellStyle name="40% - Accent4 6 3 3" xfId="6760"/>
    <cellStyle name="40% - Accent4 6 3 4" xfId="6761"/>
    <cellStyle name="40% - Accent4 6 4" xfId="6762"/>
    <cellStyle name="40% - Accent4 6 4 2" xfId="6763"/>
    <cellStyle name="40% - Accent4 6 4 2 2" xfId="6764"/>
    <cellStyle name="40% - Accent4 6 4 3" xfId="6765"/>
    <cellStyle name="40% - Accent4 6 5" xfId="6766"/>
    <cellStyle name="40% - Accent4 6 5 2" xfId="6767"/>
    <cellStyle name="40% - Accent4 6 6" xfId="6768"/>
    <cellStyle name="40% - Accent4 6 7" xfId="6769"/>
    <cellStyle name="40% - Accent4 6 8" xfId="6770"/>
    <cellStyle name="40% - Accent4 7" xfId="6771"/>
    <cellStyle name="40% - Accent4 7 2" xfId="6772"/>
    <cellStyle name="40% - Accent4 7 2 2" xfId="6773"/>
    <cellStyle name="40% - Accent4 7 2 2 2" xfId="6774"/>
    <cellStyle name="40% - Accent4 7 2 2 2 2" xfId="6775"/>
    <cellStyle name="40% - Accent4 7 2 2 3" xfId="6776"/>
    <cellStyle name="40% - Accent4 7 2 2 4" xfId="6777"/>
    <cellStyle name="40% - Accent4 7 2 3" xfId="6778"/>
    <cellStyle name="40% - Accent4 7 2 3 2" xfId="6779"/>
    <cellStyle name="40% - Accent4 7 2 3 2 2" xfId="6780"/>
    <cellStyle name="40% - Accent4 7 2 3 3" xfId="6781"/>
    <cellStyle name="40% - Accent4 7 2 4" xfId="6782"/>
    <cellStyle name="40% - Accent4 7 2 4 2" xfId="6783"/>
    <cellStyle name="40% - Accent4 7 2 5" xfId="6784"/>
    <cellStyle name="40% - Accent4 7 2 6" xfId="6785"/>
    <cellStyle name="40% - Accent4 7 3" xfId="6786"/>
    <cellStyle name="40% - Accent4 7 3 2" xfId="6787"/>
    <cellStyle name="40% - Accent4 7 3 2 2" xfId="6788"/>
    <cellStyle name="40% - Accent4 7 3 3" xfId="6789"/>
    <cellStyle name="40% - Accent4 7 3 4" xfId="6790"/>
    <cellStyle name="40% - Accent4 7 4" xfId="6791"/>
    <cellStyle name="40% - Accent4 7 4 2" xfId="6792"/>
    <cellStyle name="40% - Accent4 7 4 2 2" xfId="6793"/>
    <cellStyle name="40% - Accent4 7 4 3" xfId="6794"/>
    <cellStyle name="40% - Accent4 7 5" xfId="6795"/>
    <cellStyle name="40% - Accent4 7 5 2" xfId="6796"/>
    <cellStyle name="40% - Accent4 7 6" xfId="6797"/>
    <cellStyle name="40% - Accent4 7 7" xfId="6798"/>
    <cellStyle name="40% - Accent4 7 8" xfId="6799"/>
    <cellStyle name="40% - Accent4 8" xfId="6800"/>
    <cellStyle name="40% - Accent4 8 2" xfId="6801"/>
    <cellStyle name="40% - Accent4 8 2 2" xfId="6802"/>
    <cellStyle name="40% - Accent4 8 2 2 2" xfId="6803"/>
    <cellStyle name="40% - Accent4 8 2 3" xfId="6804"/>
    <cellStyle name="40% - Accent4 8 2 4" xfId="6805"/>
    <cellStyle name="40% - Accent4 8 3" xfId="6806"/>
    <cellStyle name="40% - Accent4 8 3 2" xfId="6807"/>
    <cellStyle name="40% - Accent4 8 3 2 2" xfId="6808"/>
    <cellStyle name="40% - Accent4 8 3 3" xfId="6809"/>
    <cellStyle name="40% - Accent4 8 4" xfId="6810"/>
    <cellStyle name="40% - Accent4 8 4 2" xfId="6811"/>
    <cellStyle name="40% - Accent4 8 5" xfId="6812"/>
    <cellStyle name="40% - Accent4 8 6" xfId="6813"/>
    <cellStyle name="40% - Accent4 8 7" xfId="6814"/>
    <cellStyle name="40% - Accent4 9" xfId="6815"/>
    <cellStyle name="40% - Accent4 9 2" xfId="6816"/>
    <cellStyle name="40% - Accent4 9 2 2" xfId="6817"/>
    <cellStyle name="40% - Accent4 9 2 2 2" xfId="6818"/>
    <cellStyle name="40% - Accent4 9 2 3" xfId="6819"/>
    <cellStyle name="40% - Accent4 9 2 4" xfId="6820"/>
    <cellStyle name="40% - Accent4 9 3" xfId="6821"/>
    <cellStyle name="40% - Accent4 9 3 2" xfId="6822"/>
    <cellStyle name="40% - Accent4 9 3 2 2" xfId="6823"/>
    <cellStyle name="40% - Accent4 9 3 3" xfId="6824"/>
    <cellStyle name="40% - Accent4 9 4" xfId="6825"/>
    <cellStyle name="40% - Accent4 9 4 2" xfId="6826"/>
    <cellStyle name="40% - Accent4 9 5" xfId="6827"/>
    <cellStyle name="40% - Accent4 9 6" xfId="6828"/>
    <cellStyle name="40% - Accent4 9 7" xfId="6829"/>
    <cellStyle name="40% - Accent5" xfId="11" builtinId="47" customBuiltin="1"/>
    <cellStyle name="40% - Accent5 10" xfId="6830"/>
    <cellStyle name="40% - Accent5 10 2" xfId="6831"/>
    <cellStyle name="40% - Accent5 10 2 2" xfId="6832"/>
    <cellStyle name="40% - Accent5 10 2 2 2" xfId="6833"/>
    <cellStyle name="40% - Accent5 10 2 3" xfId="6834"/>
    <cellStyle name="40% - Accent5 10 2 4" xfId="6835"/>
    <cellStyle name="40% - Accent5 10 3" xfId="6836"/>
    <cellStyle name="40% - Accent5 10 3 2" xfId="6837"/>
    <cellStyle name="40% - Accent5 10 3 2 2" xfId="6838"/>
    <cellStyle name="40% - Accent5 10 3 3" xfId="6839"/>
    <cellStyle name="40% - Accent5 10 4" xfId="6840"/>
    <cellStyle name="40% - Accent5 10 4 2" xfId="6841"/>
    <cellStyle name="40% - Accent5 10 5" xfId="6842"/>
    <cellStyle name="40% - Accent5 10 6" xfId="6843"/>
    <cellStyle name="40% - Accent5 10 7" xfId="6844"/>
    <cellStyle name="40% - Accent5 11" xfId="6845"/>
    <cellStyle name="40% - Accent5 11 2" xfId="6846"/>
    <cellStyle name="40% - Accent5 11 2 2" xfId="6847"/>
    <cellStyle name="40% - Accent5 11 2 2 2" xfId="6848"/>
    <cellStyle name="40% - Accent5 11 2 3" xfId="6849"/>
    <cellStyle name="40% - Accent5 11 2 4" xfId="6850"/>
    <cellStyle name="40% - Accent5 11 3" xfId="6851"/>
    <cellStyle name="40% - Accent5 11 3 2" xfId="6852"/>
    <cellStyle name="40% - Accent5 11 3 2 2" xfId="6853"/>
    <cellStyle name="40% - Accent5 11 3 3" xfId="6854"/>
    <cellStyle name="40% - Accent5 11 4" xfId="6855"/>
    <cellStyle name="40% - Accent5 11 4 2" xfId="6856"/>
    <cellStyle name="40% - Accent5 11 5" xfId="6857"/>
    <cellStyle name="40% - Accent5 11 6" xfId="6858"/>
    <cellStyle name="40% - Accent5 11 7" xfId="6859"/>
    <cellStyle name="40% - Accent5 12" xfId="6860"/>
    <cellStyle name="40% - Accent5 12 2" xfId="6861"/>
    <cellStyle name="40% - Accent5 12 2 2" xfId="6862"/>
    <cellStyle name="40% - Accent5 12 3" xfId="6863"/>
    <cellStyle name="40% - Accent5 12 4" xfId="6864"/>
    <cellStyle name="40% - Accent5 13" xfId="6865"/>
    <cellStyle name="40% - Accent5 13 2" xfId="6866"/>
    <cellStyle name="40% - Accent5 13 2 2" xfId="6867"/>
    <cellStyle name="40% - Accent5 13 3" xfId="6868"/>
    <cellStyle name="40% - Accent5 14" xfId="6869"/>
    <cellStyle name="40% - Accent5 14 2" xfId="6870"/>
    <cellStyle name="40% - Accent5 15" xfId="6871"/>
    <cellStyle name="40% - Accent5 15 2" xfId="6872"/>
    <cellStyle name="40% - Accent5 16" xfId="6873"/>
    <cellStyle name="40% - Accent5 16 2" xfId="6874"/>
    <cellStyle name="40% - Accent5 17" xfId="6875"/>
    <cellStyle name="40% - Accent5 18" xfId="6876"/>
    <cellStyle name="40% - Accent5 19" xfId="6877"/>
    <cellStyle name="40% - Accent5 2" xfId="98"/>
    <cellStyle name="40% - Accent5 2 10" xfId="6878"/>
    <cellStyle name="40% - Accent5 2 10 2" xfId="6879"/>
    <cellStyle name="40% - Accent5 2 10 2 2" xfId="6880"/>
    <cellStyle name="40% - Accent5 2 10 3" xfId="6881"/>
    <cellStyle name="40% - Accent5 2 10 4" xfId="6882"/>
    <cellStyle name="40% - Accent5 2 11" xfId="6883"/>
    <cellStyle name="40% - Accent5 2 11 2" xfId="6884"/>
    <cellStyle name="40% - Accent5 2 11 2 2" xfId="6885"/>
    <cellStyle name="40% - Accent5 2 11 3" xfId="6886"/>
    <cellStyle name="40% - Accent5 2 12" xfId="6887"/>
    <cellStyle name="40% - Accent5 2 12 2" xfId="6888"/>
    <cellStyle name="40% - Accent5 2 13" xfId="6889"/>
    <cellStyle name="40% - Accent5 2 13 2" xfId="6890"/>
    <cellStyle name="40% - Accent5 2 14" xfId="6891"/>
    <cellStyle name="40% - Accent5 2 15" xfId="6892"/>
    <cellStyle name="40% - Accent5 2 16" xfId="6893"/>
    <cellStyle name="40% - Accent5 2 17" xfId="6894"/>
    <cellStyle name="40% - Accent5 2 18" xfId="6895"/>
    <cellStyle name="40% - Accent5 2 19" xfId="6896"/>
    <cellStyle name="40% - Accent5 2 2" xfId="99"/>
    <cellStyle name="40% - Accent5 2 2 2" xfId="6897"/>
    <cellStyle name="40% - Accent5 2 2 2 2" xfId="6898"/>
    <cellStyle name="40% - Accent5 2 2 2 2 2" xfId="6899"/>
    <cellStyle name="40% - Accent5 2 2 2 2 2 2" xfId="6900"/>
    <cellStyle name="40% - Accent5 2 2 2 2 3" xfId="6901"/>
    <cellStyle name="40% - Accent5 2 2 2 2 4" xfId="6902"/>
    <cellStyle name="40% - Accent5 2 2 2 2 5" xfId="6903"/>
    <cellStyle name="40% - Accent5 2 2 2 3" xfId="6904"/>
    <cellStyle name="40% - Accent5 2 2 2 3 2" xfId="6905"/>
    <cellStyle name="40% - Accent5 2 2 2 3 2 2" xfId="6906"/>
    <cellStyle name="40% - Accent5 2 2 2 3 3" xfId="6907"/>
    <cellStyle name="40% - Accent5 2 2 2 4" xfId="6908"/>
    <cellStyle name="40% - Accent5 2 2 2 4 2" xfId="6909"/>
    <cellStyle name="40% - Accent5 2 2 2 5" xfId="6910"/>
    <cellStyle name="40% - Accent5 2 2 2 6" xfId="6911"/>
    <cellStyle name="40% - Accent5 2 2 2 7" xfId="6912"/>
    <cellStyle name="40% - Accent5 2 2 2 8" xfId="6913"/>
    <cellStyle name="40% - Accent5 2 2 2 9" xfId="6914"/>
    <cellStyle name="40% - Accent5 2 2 3" xfId="6915"/>
    <cellStyle name="40% - Accent5 2 2 4" xfId="6916"/>
    <cellStyle name="40% - Accent5 2 2 4 2" xfId="6917"/>
    <cellStyle name="40% - Accent5 2 2 4 2 2" xfId="6918"/>
    <cellStyle name="40% - Accent5 2 2 4 3" xfId="6919"/>
    <cellStyle name="40% - Accent5 2 2 4 4" xfId="6920"/>
    <cellStyle name="40% - Accent5 2 2 5" xfId="6921"/>
    <cellStyle name="40% - Accent5 2 2 5 2" xfId="6922"/>
    <cellStyle name="40% - Accent5 2 2 5 2 2" xfId="6923"/>
    <cellStyle name="40% - Accent5 2 2 5 3" xfId="6924"/>
    <cellStyle name="40% - Accent5 2 2 6" xfId="6925"/>
    <cellStyle name="40% - Accent5 2 2 6 2" xfId="6926"/>
    <cellStyle name="40% - Accent5 2 2 7" xfId="6927"/>
    <cellStyle name="40% - Accent5 2 2 8" xfId="6928"/>
    <cellStyle name="40% - Accent5 2 3" xfId="6929"/>
    <cellStyle name="40% - Accent5 2 3 10" xfId="6930"/>
    <cellStyle name="40% - Accent5 2 3 2" xfId="6931"/>
    <cellStyle name="40% - Accent5 2 3 2 2" xfId="6932"/>
    <cellStyle name="40% - Accent5 2 3 2 2 2" xfId="6933"/>
    <cellStyle name="40% - Accent5 2 3 2 2 2 2" xfId="6934"/>
    <cellStyle name="40% - Accent5 2 3 2 2 3" xfId="6935"/>
    <cellStyle name="40% - Accent5 2 3 2 2 4" xfId="6936"/>
    <cellStyle name="40% - Accent5 2 3 2 3" xfId="6937"/>
    <cellStyle name="40% - Accent5 2 3 2 3 2" xfId="6938"/>
    <cellStyle name="40% - Accent5 2 3 2 3 2 2" xfId="6939"/>
    <cellStyle name="40% - Accent5 2 3 2 3 3" xfId="6940"/>
    <cellStyle name="40% - Accent5 2 3 2 4" xfId="6941"/>
    <cellStyle name="40% - Accent5 2 3 2 4 2" xfId="6942"/>
    <cellStyle name="40% - Accent5 2 3 2 5" xfId="6943"/>
    <cellStyle name="40% - Accent5 2 3 2 6" xfId="6944"/>
    <cellStyle name="40% - Accent5 2 3 2 7" xfId="6945"/>
    <cellStyle name="40% - Accent5 2 3 3" xfId="6946"/>
    <cellStyle name="40% - Accent5 2 3 3 2" xfId="6947"/>
    <cellStyle name="40% - Accent5 2 3 3 2 2" xfId="6948"/>
    <cellStyle name="40% - Accent5 2 3 3 3" xfId="6949"/>
    <cellStyle name="40% - Accent5 2 3 3 4" xfId="6950"/>
    <cellStyle name="40% - Accent5 2 3 3 5" xfId="6951"/>
    <cellStyle name="40% - Accent5 2 3 4" xfId="6952"/>
    <cellStyle name="40% - Accent5 2 3 4 2" xfId="6953"/>
    <cellStyle name="40% - Accent5 2 3 4 2 2" xfId="6954"/>
    <cellStyle name="40% - Accent5 2 3 4 3" xfId="6955"/>
    <cellStyle name="40% - Accent5 2 3 5" xfId="6956"/>
    <cellStyle name="40% - Accent5 2 3 5 2" xfId="6957"/>
    <cellStyle name="40% - Accent5 2 3 6" xfId="6958"/>
    <cellStyle name="40% - Accent5 2 3 7" xfId="6959"/>
    <cellStyle name="40% - Accent5 2 3 8" xfId="6960"/>
    <cellStyle name="40% - Accent5 2 3 9" xfId="6961"/>
    <cellStyle name="40% - Accent5 2 4" xfId="6962"/>
    <cellStyle name="40% - Accent5 2 4 10" xfId="6963"/>
    <cellStyle name="40% - Accent5 2 4 2" xfId="6964"/>
    <cellStyle name="40% - Accent5 2 4 2 2" xfId="6965"/>
    <cellStyle name="40% - Accent5 2 4 2 2 2" xfId="6966"/>
    <cellStyle name="40% - Accent5 2 4 2 2 2 2" xfId="6967"/>
    <cellStyle name="40% - Accent5 2 4 2 2 3" xfId="6968"/>
    <cellStyle name="40% - Accent5 2 4 2 2 4" xfId="6969"/>
    <cellStyle name="40% - Accent5 2 4 2 3" xfId="6970"/>
    <cellStyle name="40% - Accent5 2 4 2 3 2" xfId="6971"/>
    <cellStyle name="40% - Accent5 2 4 2 3 2 2" xfId="6972"/>
    <cellStyle name="40% - Accent5 2 4 2 3 3" xfId="6973"/>
    <cellStyle name="40% - Accent5 2 4 2 4" xfId="6974"/>
    <cellStyle name="40% - Accent5 2 4 2 4 2" xfId="6975"/>
    <cellStyle name="40% - Accent5 2 4 2 5" xfId="6976"/>
    <cellStyle name="40% - Accent5 2 4 2 6" xfId="6977"/>
    <cellStyle name="40% - Accent5 2 4 2 7" xfId="6978"/>
    <cellStyle name="40% - Accent5 2 4 3" xfId="6979"/>
    <cellStyle name="40% - Accent5 2 4 3 2" xfId="6980"/>
    <cellStyle name="40% - Accent5 2 4 3 2 2" xfId="6981"/>
    <cellStyle name="40% - Accent5 2 4 3 3" xfId="6982"/>
    <cellStyle name="40% - Accent5 2 4 3 4" xfId="6983"/>
    <cellStyle name="40% - Accent5 2 4 4" xfId="6984"/>
    <cellStyle name="40% - Accent5 2 4 4 2" xfId="6985"/>
    <cellStyle name="40% - Accent5 2 4 4 2 2" xfId="6986"/>
    <cellStyle name="40% - Accent5 2 4 4 3" xfId="6987"/>
    <cellStyle name="40% - Accent5 2 4 5" xfId="6988"/>
    <cellStyle name="40% - Accent5 2 4 5 2" xfId="6989"/>
    <cellStyle name="40% - Accent5 2 4 6" xfId="6990"/>
    <cellStyle name="40% - Accent5 2 4 7" xfId="6991"/>
    <cellStyle name="40% - Accent5 2 4 8" xfId="6992"/>
    <cellStyle name="40% - Accent5 2 4 9" xfId="6993"/>
    <cellStyle name="40% - Accent5 2 5" xfId="6994"/>
    <cellStyle name="40% - Accent5 2 5 10" xfId="6995"/>
    <cellStyle name="40% - Accent5 2 5 2" xfId="6996"/>
    <cellStyle name="40% - Accent5 2 5 2 2" xfId="6997"/>
    <cellStyle name="40% - Accent5 2 5 2 2 2" xfId="6998"/>
    <cellStyle name="40% - Accent5 2 5 2 2 2 2" xfId="6999"/>
    <cellStyle name="40% - Accent5 2 5 2 2 3" xfId="7000"/>
    <cellStyle name="40% - Accent5 2 5 2 2 4" xfId="7001"/>
    <cellStyle name="40% - Accent5 2 5 2 3" xfId="7002"/>
    <cellStyle name="40% - Accent5 2 5 2 3 2" xfId="7003"/>
    <cellStyle name="40% - Accent5 2 5 2 3 2 2" xfId="7004"/>
    <cellStyle name="40% - Accent5 2 5 2 3 3" xfId="7005"/>
    <cellStyle name="40% - Accent5 2 5 2 4" xfId="7006"/>
    <cellStyle name="40% - Accent5 2 5 2 4 2" xfId="7007"/>
    <cellStyle name="40% - Accent5 2 5 2 5" xfId="7008"/>
    <cellStyle name="40% - Accent5 2 5 2 6" xfId="7009"/>
    <cellStyle name="40% - Accent5 2 5 3" xfId="7010"/>
    <cellStyle name="40% - Accent5 2 5 3 2" xfId="7011"/>
    <cellStyle name="40% - Accent5 2 5 3 2 2" xfId="7012"/>
    <cellStyle name="40% - Accent5 2 5 3 3" xfId="7013"/>
    <cellStyle name="40% - Accent5 2 5 3 4" xfId="7014"/>
    <cellStyle name="40% - Accent5 2 5 4" xfId="7015"/>
    <cellStyle name="40% - Accent5 2 5 4 2" xfId="7016"/>
    <cellStyle name="40% - Accent5 2 5 4 2 2" xfId="7017"/>
    <cellStyle name="40% - Accent5 2 5 4 3" xfId="7018"/>
    <cellStyle name="40% - Accent5 2 5 5" xfId="7019"/>
    <cellStyle name="40% - Accent5 2 5 5 2" xfId="7020"/>
    <cellStyle name="40% - Accent5 2 5 6" xfId="7021"/>
    <cellStyle name="40% - Accent5 2 5 7" xfId="7022"/>
    <cellStyle name="40% - Accent5 2 5 8" xfId="7023"/>
    <cellStyle name="40% - Accent5 2 5 9" xfId="7024"/>
    <cellStyle name="40% - Accent5 2 6" xfId="7025"/>
    <cellStyle name="40% - Accent5 2 6 2" xfId="7026"/>
    <cellStyle name="40% - Accent5 2 6 2 2" xfId="7027"/>
    <cellStyle name="40% - Accent5 2 6 2 2 2" xfId="7028"/>
    <cellStyle name="40% - Accent5 2 6 2 3" xfId="7029"/>
    <cellStyle name="40% - Accent5 2 6 2 4" xfId="7030"/>
    <cellStyle name="40% - Accent5 2 6 3" xfId="7031"/>
    <cellStyle name="40% - Accent5 2 6 3 2" xfId="7032"/>
    <cellStyle name="40% - Accent5 2 6 3 2 2" xfId="7033"/>
    <cellStyle name="40% - Accent5 2 6 3 3" xfId="7034"/>
    <cellStyle name="40% - Accent5 2 6 4" xfId="7035"/>
    <cellStyle name="40% - Accent5 2 6 4 2" xfId="7036"/>
    <cellStyle name="40% - Accent5 2 6 5" xfId="7037"/>
    <cellStyle name="40% - Accent5 2 6 6" xfId="7038"/>
    <cellStyle name="40% - Accent5 2 6 7" xfId="7039"/>
    <cellStyle name="40% - Accent5 2 6 8" xfId="7040"/>
    <cellStyle name="40% - Accent5 2 7" xfId="7041"/>
    <cellStyle name="40% - Accent5 2 7 2" xfId="7042"/>
    <cellStyle name="40% - Accent5 2 7 2 2" xfId="7043"/>
    <cellStyle name="40% - Accent5 2 7 2 2 2" xfId="7044"/>
    <cellStyle name="40% - Accent5 2 7 2 3" xfId="7045"/>
    <cellStyle name="40% - Accent5 2 7 2 4" xfId="7046"/>
    <cellStyle name="40% - Accent5 2 7 3" xfId="7047"/>
    <cellStyle name="40% - Accent5 2 7 3 2" xfId="7048"/>
    <cellStyle name="40% - Accent5 2 7 3 2 2" xfId="7049"/>
    <cellStyle name="40% - Accent5 2 7 3 3" xfId="7050"/>
    <cellStyle name="40% - Accent5 2 7 4" xfId="7051"/>
    <cellStyle name="40% - Accent5 2 7 4 2" xfId="7052"/>
    <cellStyle name="40% - Accent5 2 7 5" xfId="7053"/>
    <cellStyle name="40% - Accent5 2 7 6" xfId="7054"/>
    <cellStyle name="40% - Accent5 2 7 7" xfId="7055"/>
    <cellStyle name="40% - Accent5 2 8" xfId="7056"/>
    <cellStyle name="40% - Accent5 2 8 2" xfId="7057"/>
    <cellStyle name="40% - Accent5 2 8 2 2" xfId="7058"/>
    <cellStyle name="40% - Accent5 2 8 2 2 2" xfId="7059"/>
    <cellStyle name="40% - Accent5 2 8 2 3" xfId="7060"/>
    <cellStyle name="40% - Accent5 2 8 2 4" xfId="7061"/>
    <cellStyle name="40% - Accent5 2 8 3" xfId="7062"/>
    <cellStyle name="40% - Accent5 2 8 3 2" xfId="7063"/>
    <cellStyle name="40% - Accent5 2 8 3 2 2" xfId="7064"/>
    <cellStyle name="40% - Accent5 2 8 3 3" xfId="7065"/>
    <cellStyle name="40% - Accent5 2 8 4" xfId="7066"/>
    <cellStyle name="40% - Accent5 2 8 4 2" xfId="7067"/>
    <cellStyle name="40% - Accent5 2 8 5" xfId="7068"/>
    <cellStyle name="40% - Accent5 2 8 6" xfId="7069"/>
    <cellStyle name="40% - Accent5 2 8 7" xfId="7070"/>
    <cellStyle name="40% - Accent5 2 9" xfId="7071"/>
    <cellStyle name="40% - Accent5 2 9 2" xfId="7072"/>
    <cellStyle name="40% - Accent5 2 9 2 2" xfId="7073"/>
    <cellStyle name="40% - Accent5 2 9 2 2 2" xfId="7074"/>
    <cellStyle name="40% - Accent5 2 9 2 3" xfId="7075"/>
    <cellStyle name="40% - Accent5 2 9 2 4" xfId="7076"/>
    <cellStyle name="40% - Accent5 2 9 3" xfId="7077"/>
    <cellStyle name="40% - Accent5 2 9 3 2" xfId="7078"/>
    <cellStyle name="40% - Accent5 2 9 3 2 2" xfId="7079"/>
    <cellStyle name="40% - Accent5 2 9 3 3" xfId="7080"/>
    <cellStyle name="40% - Accent5 2 9 4" xfId="7081"/>
    <cellStyle name="40% - Accent5 2 9 4 2" xfId="7082"/>
    <cellStyle name="40% - Accent5 2 9 5" xfId="7083"/>
    <cellStyle name="40% - Accent5 2 9 6" xfId="7084"/>
    <cellStyle name="40% - Accent5 2_IBP - COPI Uplift at Investment Area Level 01Feb12" xfId="49271"/>
    <cellStyle name="40% - Accent5 3" xfId="100"/>
    <cellStyle name="40% - Accent5 3 10" xfId="7085"/>
    <cellStyle name="40% - Accent5 3 10 2" xfId="7086"/>
    <cellStyle name="40% - Accent5 3 10 2 2" xfId="7087"/>
    <cellStyle name="40% - Accent5 3 10 3" xfId="7088"/>
    <cellStyle name="40% - Accent5 3 11" xfId="7089"/>
    <cellStyle name="40% - Accent5 3 11 2" xfId="7090"/>
    <cellStyle name="40% - Accent5 3 12" xfId="7091"/>
    <cellStyle name="40% - Accent5 3 12 2" xfId="7092"/>
    <cellStyle name="40% - Accent5 3 13" xfId="7093"/>
    <cellStyle name="40% - Accent5 3 14" xfId="7094"/>
    <cellStyle name="40% - Accent5 3 15" xfId="7095"/>
    <cellStyle name="40% - Accent5 3 16" xfId="7096"/>
    <cellStyle name="40% - Accent5 3 2" xfId="7097"/>
    <cellStyle name="40% - Accent5 3 2 10" xfId="7098"/>
    <cellStyle name="40% - Accent5 3 2 2" xfId="7099"/>
    <cellStyle name="40% - Accent5 3 2 2 2" xfId="7100"/>
    <cellStyle name="40% - Accent5 3 2 2 2 2" xfId="7101"/>
    <cellStyle name="40% - Accent5 3 2 2 2 2 2" xfId="7102"/>
    <cellStyle name="40% - Accent5 3 2 2 2 3" xfId="7103"/>
    <cellStyle name="40% - Accent5 3 2 2 2 4" xfId="7104"/>
    <cellStyle name="40% - Accent5 3 2 2 3" xfId="7105"/>
    <cellStyle name="40% - Accent5 3 2 2 3 2" xfId="7106"/>
    <cellStyle name="40% - Accent5 3 2 2 3 2 2" xfId="7107"/>
    <cellStyle name="40% - Accent5 3 2 2 3 3" xfId="7108"/>
    <cellStyle name="40% - Accent5 3 2 2 4" xfId="7109"/>
    <cellStyle name="40% - Accent5 3 2 2 4 2" xfId="7110"/>
    <cellStyle name="40% - Accent5 3 2 2 5" xfId="7111"/>
    <cellStyle name="40% - Accent5 3 2 2 6" xfId="7112"/>
    <cellStyle name="40% - Accent5 3 2 2 7" xfId="7113"/>
    <cellStyle name="40% - Accent5 3 2 3" xfId="7114"/>
    <cellStyle name="40% - Accent5 3 2 3 2" xfId="7115"/>
    <cellStyle name="40% - Accent5 3 2 3 2 2" xfId="7116"/>
    <cellStyle name="40% - Accent5 3 2 3 3" xfId="7117"/>
    <cellStyle name="40% - Accent5 3 2 3 4" xfId="7118"/>
    <cellStyle name="40% - Accent5 3 2 3 5" xfId="7119"/>
    <cellStyle name="40% - Accent5 3 2 4" xfId="7120"/>
    <cellStyle name="40% - Accent5 3 2 4 2" xfId="7121"/>
    <cellStyle name="40% - Accent5 3 2 4 2 2" xfId="7122"/>
    <cellStyle name="40% - Accent5 3 2 4 3" xfId="7123"/>
    <cellStyle name="40% - Accent5 3 2 5" xfId="7124"/>
    <cellStyle name="40% - Accent5 3 2 5 2" xfId="7125"/>
    <cellStyle name="40% - Accent5 3 2 6" xfId="7126"/>
    <cellStyle name="40% - Accent5 3 2 7" xfId="7127"/>
    <cellStyle name="40% - Accent5 3 2 8" xfId="7128"/>
    <cellStyle name="40% - Accent5 3 2 9" xfId="7129"/>
    <cellStyle name="40% - Accent5 3 3" xfId="7130"/>
    <cellStyle name="40% - Accent5 3 3 2" xfId="7131"/>
    <cellStyle name="40% - Accent5 3 3 2 2" xfId="7132"/>
    <cellStyle name="40% - Accent5 3 3 2 2 2" xfId="7133"/>
    <cellStyle name="40% - Accent5 3 3 2 2 2 2" xfId="7134"/>
    <cellStyle name="40% - Accent5 3 3 2 2 3" xfId="7135"/>
    <cellStyle name="40% - Accent5 3 3 2 2 4" xfId="7136"/>
    <cellStyle name="40% - Accent5 3 3 2 3" xfId="7137"/>
    <cellStyle name="40% - Accent5 3 3 2 3 2" xfId="7138"/>
    <cellStyle name="40% - Accent5 3 3 2 3 2 2" xfId="7139"/>
    <cellStyle name="40% - Accent5 3 3 2 3 3" xfId="7140"/>
    <cellStyle name="40% - Accent5 3 3 2 4" xfId="7141"/>
    <cellStyle name="40% - Accent5 3 3 2 4 2" xfId="7142"/>
    <cellStyle name="40% - Accent5 3 3 2 5" xfId="7143"/>
    <cellStyle name="40% - Accent5 3 3 2 6" xfId="7144"/>
    <cellStyle name="40% - Accent5 3 3 3" xfId="7145"/>
    <cellStyle name="40% - Accent5 3 3 3 2" xfId="7146"/>
    <cellStyle name="40% - Accent5 3 3 3 2 2" xfId="7147"/>
    <cellStyle name="40% - Accent5 3 3 3 3" xfId="7148"/>
    <cellStyle name="40% - Accent5 3 3 3 4" xfId="7149"/>
    <cellStyle name="40% - Accent5 3 3 4" xfId="7150"/>
    <cellStyle name="40% - Accent5 3 3 4 2" xfId="7151"/>
    <cellStyle name="40% - Accent5 3 3 4 2 2" xfId="7152"/>
    <cellStyle name="40% - Accent5 3 3 4 3" xfId="7153"/>
    <cellStyle name="40% - Accent5 3 3 5" xfId="7154"/>
    <cellStyle name="40% - Accent5 3 3 5 2" xfId="7155"/>
    <cellStyle name="40% - Accent5 3 3 6" xfId="7156"/>
    <cellStyle name="40% - Accent5 3 3 7" xfId="7157"/>
    <cellStyle name="40% - Accent5 3 3 8" xfId="7158"/>
    <cellStyle name="40% - Accent5 3 3 9" xfId="7159"/>
    <cellStyle name="40% - Accent5 3 4" xfId="7160"/>
    <cellStyle name="40% - Accent5 3 4 2" xfId="7161"/>
    <cellStyle name="40% - Accent5 3 4 2 2" xfId="7162"/>
    <cellStyle name="40% - Accent5 3 4 2 2 2" xfId="7163"/>
    <cellStyle name="40% - Accent5 3 4 2 2 2 2" xfId="7164"/>
    <cellStyle name="40% - Accent5 3 4 2 2 3" xfId="7165"/>
    <cellStyle name="40% - Accent5 3 4 2 2 4" xfId="7166"/>
    <cellStyle name="40% - Accent5 3 4 2 3" xfId="7167"/>
    <cellStyle name="40% - Accent5 3 4 2 3 2" xfId="7168"/>
    <cellStyle name="40% - Accent5 3 4 2 3 2 2" xfId="7169"/>
    <cellStyle name="40% - Accent5 3 4 2 3 3" xfId="7170"/>
    <cellStyle name="40% - Accent5 3 4 2 4" xfId="7171"/>
    <cellStyle name="40% - Accent5 3 4 2 4 2" xfId="7172"/>
    <cellStyle name="40% - Accent5 3 4 2 5" xfId="7173"/>
    <cellStyle name="40% - Accent5 3 4 2 6" xfId="7174"/>
    <cellStyle name="40% - Accent5 3 4 3" xfId="7175"/>
    <cellStyle name="40% - Accent5 3 4 3 2" xfId="7176"/>
    <cellStyle name="40% - Accent5 3 4 3 2 2" xfId="7177"/>
    <cellStyle name="40% - Accent5 3 4 3 3" xfId="7178"/>
    <cellStyle name="40% - Accent5 3 4 3 4" xfId="7179"/>
    <cellStyle name="40% - Accent5 3 4 4" xfId="7180"/>
    <cellStyle name="40% - Accent5 3 4 4 2" xfId="7181"/>
    <cellStyle name="40% - Accent5 3 4 4 2 2" xfId="7182"/>
    <cellStyle name="40% - Accent5 3 4 4 3" xfId="7183"/>
    <cellStyle name="40% - Accent5 3 4 5" xfId="7184"/>
    <cellStyle name="40% - Accent5 3 4 5 2" xfId="7185"/>
    <cellStyle name="40% - Accent5 3 4 6" xfId="7186"/>
    <cellStyle name="40% - Accent5 3 4 7" xfId="7187"/>
    <cellStyle name="40% - Accent5 3 4 8" xfId="7188"/>
    <cellStyle name="40% - Accent5 3 5" xfId="7189"/>
    <cellStyle name="40% - Accent5 3 5 2" xfId="7190"/>
    <cellStyle name="40% - Accent5 3 5 2 2" xfId="7191"/>
    <cellStyle name="40% - Accent5 3 5 2 2 2" xfId="7192"/>
    <cellStyle name="40% - Accent5 3 5 2 3" xfId="7193"/>
    <cellStyle name="40% - Accent5 3 5 2 4" xfId="7194"/>
    <cellStyle name="40% - Accent5 3 5 3" xfId="7195"/>
    <cellStyle name="40% - Accent5 3 5 3 2" xfId="7196"/>
    <cellStyle name="40% - Accent5 3 5 3 2 2" xfId="7197"/>
    <cellStyle name="40% - Accent5 3 5 3 3" xfId="7198"/>
    <cellStyle name="40% - Accent5 3 5 4" xfId="7199"/>
    <cellStyle name="40% - Accent5 3 5 4 2" xfId="7200"/>
    <cellStyle name="40% - Accent5 3 5 5" xfId="7201"/>
    <cellStyle name="40% - Accent5 3 5 6" xfId="7202"/>
    <cellStyle name="40% - Accent5 3 5 7" xfId="7203"/>
    <cellStyle name="40% - Accent5 3 6" xfId="7204"/>
    <cellStyle name="40% - Accent5 3 6 2" xfId="7205"/>
    <cellStyle name="40% - Accent5 3 6 2 2" xfId="7206"/>
    <cellStyle name="40% - Accent5 3 6 2 2 2" xfId="7207"/>
    <cellStyle name="40% - Accent5 3 6 2 3" xfId="7208"/>
    <cellStyle name="40% - Accent5 3 6 2 4" xfId="7209"/>
    <cellStyle name="40% - Accent5 3 6 3" xfId="7210"/>
    <cellStyle name="40% - Accent5 3 6 3 2" xfId="7211"/>
    <cellStyle name="40% - Accent5 3 6 3 2 2" xfId="7212"/>
    <cellStyle name="40% - Accent5 3 6 3 3" xfId="7213"/>
    <cellStyle name="40% - Accent5 3 6 4" xfId="7214"/>
    <cellStyle name="40% - Accent5 3 6 4 2" xfId="7215"/>
    <cellStyle name="40% - Accent5 3 6 5" xfId="7216"/>
    <cellStyle name="40% - Accent5 3 6 6" xfId="7217"/>
    <cellStyle name="40% - Accent5 3 6 7" xfId="7218"/>
    <cellStyle name="40% - Accent5 3 7" xfId="7219"/>
    <cellStyle name="40% - Accent5 3 7 2" xfId="7220"/>
    <cellStyle name="40% - Accent5 3 7 2 2" xfId="7221"/>
    <cellStyle name="40% - Accent5 3 7 2 2 2" xfId="7222"/>
    <cellStyle name="40% - Accent5 3 7 2 3" xfId="7223"/>
    <cellStyle name="40% - Accent5 3 7 2 4" xfId="7224"/>
    <cellStyle name="40% - Accent5 3 7 3" xfId="7225"/>
    <cellStyle name="40% - Accent5 3 7 3 2" xfId="7226"/>
    <cellStyle name="40% - Accent5 3 7 3 2 2" xfId="7227"/>
    <cellStyle name="40% - Accent5 3 7 3 3" xfId="7228"/>
    <cellStyle name="40% - Accent5 3 7 4" xfId="7229"/>
    <cellStyle name="40% - Accent5 3 7 4 2" xfId="7230"/>
    <cellStyle name="40% - Accent5 3 7 5" xfId="7231"/>
    <cellStyle name="40% - Accent5 3 7 6" xfId="7232"/>
    <cellStyle name="40% - Accent5 3 7 7" xfId="7233"/>
    <cellStyle name="40% - Accent5 3 8" xfId="7234"/>
    <cellStyle name="40% - Accent5 3 8 2" xfId="7235"/>
    <cellStyle name="40% - Accent5 3 8 2 2" xfId="7236"/>
    <cellStyle name="40% - Accent5 3 8 2 2 2" xfId="7237"/>
    <cellStyle name="40% - Accent5 3 8 2 3" xfId="7238"/>
    <cellStyle name="40% - Accent5 3 8 2 4" xfId="7239"/>
    <cellStyle name="40% - Accent5 3 8 3" xfId="7240"/>
    <cellStyle name="40% - Accent5 3 8 3 2" xfId="7241"/>
    <cellStyle name="40% - Accent5 3 8 3 2 2" xfId="7242"/>
    <cellStyle name="40% - Accent5 3 8 3 3" xfId="7243"/>
    <cellStyle name="40% - Accent5 3 8 4" xfId="7244"/>
    <cellStyle name="40% - Accent5 3 8 4 2" xfId="7245"/>
    <cellStyle name="40% - Accent5 3 8 5" xfId="7246"/>
    <cellStyle name="40% - Accent5 3 8 6" xfId="7247"/>
    <cellStyle name="40% - Accent5 3 9" xfId="7248"/>
    <cellStyle name="40% - Accent5 3 9 2" xfId="7249"/>
    <cellStyle name="40% - Accent5 3 9 2 2" xfId="7250"/>
    <cellStyle name="40% - Accent5 3 9 3" xfId="7251"/>
    <cellStyle name="40% - Accent5 3 9 4" xfId="7252"/>
    <cellStyle name="40% - Accent5 3_IBP - COPI Uplift at Investment Area Level 01Feb12" xfId="49272"/>
    <cellStyle name="40% - Accent5 4" xfId="7253"/>
    <cellStyle name="40% - Accent5 4 10" xfId="7254"/>
    <cellStyle name="40% - Accent5 4 2" xfId="7255"/>
    <cellStyle name="40% - Accent5 4 2 2" xfId="7256"/>
    <cellStyle name="40% - Accent5 4 2 2 2" xfId="7257"/>
    <cellStyle name="40% - Accent5 4 2 2 2 2" xfId="7258"/>
    <cellStyle name="40% - Accent5 4 2 2 3" xfId="7259"/>
    <cellStyle name="40% - Accent5 4 2 2 4" xfId="7260"/>
    <cellStyle name="40% - Accent5 4 2 3" xfId="7261"/>
    <cellStyle name="40% - Accent5 4 2 3 2" xfId="7262"/>
    <cellStyle name="40% - Accent5 4 2 3 2 2" xfId="7263"/>
    <cellStyle name="40% - Accent5 4 2 3 3" xfId="7264"/>
    <cellStyle name="40% - Accent5 4 2 4" xfId="7265"/>
    <cellStyle name="40% - Accent5 4 2 4 2" xfId="7266"/>
    <cellStyle name="40% - Accent5 4 2 5" xfId="7267"/>
    <cellStyle name="40% - Accent5 4 2 6" xfId="7268"/>
    <cellStyle name="40% - Accent5 4 2 7" xfId="7269"/>
    <cellStyle name="40% - Accent5 4 3" xfId="7270"/>
    <cellStyle name="40% - Accent5 4 3 2" xfId="7271"/>
    <cellStyle name="40% - Accent5 4 3 2 2" xfId="7272"/>
    <cellStyle name="40% - Accent5 4 3 3" xfId="7273"/>
    <cellStyle name="40% - Accent5 4 3 4" xfId="7274"/>
    <cellStyle name="40% - Accent5 4 3 5" xfId="7275"/>
    <cellStyle name="40% - Accent5 4 4" xfId="7276"/>
    <cellStyle name="40% - Accent5 4 4 2" xfId="7277"/>
    <cellStyle name="40% - Accent5 4 4 2 2" xfId="7278"/>
    <cellStyle name="40% - Accent5 4 4 3" xfId="7279"/>
    <cellStyle name="40% - Accent5 4 5" xfId="7280"/>
    <cellStyle name="40% - Accent5 4 5 2" xfId="7281"/>
    <cellStyle name="40% - Accent5 4 6" xfId="7282"/>
    <cellStyle name="40% - Accent5 4 7" xfId="7283"/>
    <cellStyle name="40% - Accent5 4 8" xfId="7284"/>
    <cellStyle name="40% - Accent5 4 9" xfId="7285"/>
    <cellStyle name="40% - Accent5 5" xfId="7286"/>
    <cellStyle name="40% - Accent5 5 2" xfId="7287"/>
    <cellStyle name="40% - Accent5 5 2 2" xfId="7288"/>
    <cellStyle name="40% - Accent5 5 2 2 2" xfId="7289"/>
    <cellStyle name="40% - Accent5 5 2 2 2 2" xfId="7290"/>
    <cellStyle name="40% - Accent5 5 2 2 3" xfId="7291"/>
    <cellStyle name="40% - Accent5 5 2 2 4" xfId="7292"/>
    <cellStyle name="40% - Accent5 5 2 3" xfId="7293"/>
    <cellStyle name="40% - Accent5 5 2 3 2" xfId="7294"/>
    <cellStyle name="40% - Accent5 5 2 3 2 2" xfId="7295"/>
    <cellStyle name="40% - Accent5 5 2 3 3" xfId="7296"/>
    <cellStyle name="40% - Accent5 5 2 4" xfId="7297"/>
    <cellStyle name="40% - Accent5 5 2 4 2" xfId="7298"/>
    <cellStyle name="40% - Accent5 5 2 5" xfId="7299"/>
    <cellStyle name="40% - Accent5 5 2 6" xfId="7300"/>
    <cellStyle name="40% - Accent5 5 3" xfId="7301"/>
    <cellStyle name="40% - Accent5 5 3 2" xfId="7302"/>
    <cellStyle name="40% - Accent5 5 3 2 2" xfId="7303"/>
    <cellStyle name="40% - Accent5 5 3 3" xfId="7304"/>
    <cellStyle name="40% - Accent5 5 3 4" xfId="7305"/>
    <cellStyle name="40% - Accent5 5 4" xfId="7306"/>
    <cellStyle name="40% - Accent5 5 4 2" xfId="7307"/>
    <cellStyle name="40% - Accent5 5 4 2 2" xfId="7308"/>
    <cellStyle name="40% - Accent5 5 4 3" xfId="7309"/>
    <cellStyle name="40% - Accent5 5 5" xfId="7310"/>
    <cellStyle name="40% - Accent5 5 5 2" xfId="7311"/>
    <cellStyle name="40% - Accent5 5 6" xfId="7312"/>
    <cellStyle name="40% - Accent5 5 7" xfId="7313"/>
    <cellStyle name="40% - Accent5 5 8" xfId="7314"/>
    <cellStyle name="40% - Accent5 5 9" xfId="7315"/>
    <cellStyle name="40% - Accent5 6" xfId="7316"/>
    <cellStyle name="40% - Accent5 6 2" xfId="7317"/>
    <cellStyle name="40% - Accent5 6 2 2" xfId="7318"/>
    <cellStyle name="40% - Accent5 6 2 2 2" xfId="7319"/>
    <cellStyle name="40% - Accent5 6 2 2 2 2" xfId="7320"/>
    <cellStyle name="40% - Accent5 6 2 2 3" xfId="7321"/>
    <cellStyle name="40% - Accent5 6 2 2 4" xfId="7322"/>
    <cellStyle name="40% - Accent5 6 2 3" xfId="7323"/>
    <cellStyle name="40% - Accent5 6 2 3 2" xfId="7324"/>
    <cellStyle name="40% - Accent5 6 2 3 2 2" xfId="7325"/>
    <cellStyle name="40% - Accent5 6 2 3 3" xfId="7326"/>
    <cellStyle name="40% - Accent5 6 2 4" xfId="7327"/>
    <cellStyle name="40% - Accent5 6 2 4 2" xfId="7328"/>
    <cellStyle name="40% - Accent5 6 2 5" xfId="7329"/>
    <cellStyle name="40% - Accent5 6 2 6" xfId="7330"/>
    <cellStyle name="40% - Accent5 6 3" xfId="7331"/>
    <cellStyle name="40% - Accent5 6 3 2" xfId="7332"/>
    <cellStyle name="40% - Accent5 6 3 2 2" xfId="7333"/>
    <cellStyle name="40% - Accent5 6 3 3" xfId="7334"/>
    <cellStyle name="40% - Accent5 6 3 4" xfId="7335"/>
    <cellStyle name="40% - Accent5 6 4" xfId="7336"/>
    <cellStyle name="40% - Accent5 6 4 2" xfId="7337"/>
    <cellStyle name="40% - Accent5 6 4 2 2" xfId="7338"/>
    <cellStyle name="40% - Accent5 6 4 3" xfId="7339"/>
    <cellStyle name="40% - Accent5 6 5" xfId="7340"/>
    <cellStyle name="40% - Accent5 6 5 2" xfId="7341"/>
    <cellStyle name="40% - Accent5 6 6" xfId="7342"/>
    <cellStyle name="40% - Accent5 6 7" xfId="7343"/>
    <cellStyle name="40% - Accent5 6 8" xfId="7344"/>
    <cellStyle name="40% - Accent5 7" xfId="7345"/>
    <cellStyle name="40% - Accent5 7 2" xfId="7346"/>
    <cellStyle name="40% - Accent5 7 2 2" xfId="7347"/>
    <cellStyle name="40% - Accent5 7 2 2 2" xfId="7348"/>
    <cellStyle name="40% - Accent5 7 2 2 2 2" xfId="7349"/>
    <cellStyle name="40% - Accent5 7 2 2 3" xfId="7350"/>
    <cellStyle name="40% - Accent5 7 2 2 4" xfId="7351"/>
    <cellStyle name="40% - Accent5 7 2 3" xfId="7352"/>
    <cellStyle name="40% - Accent5 7 2 3 2" xfId="7353"/>
    <cellStyle name="40% - Accent5 7 2 3 2 2" xfId="7354"/>
    <cellStyle name="40% - Accent5 7 2 3 3" xfId="7355"/>
    <cellStyle name="40% - Accent5 7 2 4" xfId="7356"/>
    <cellStyle name="40% - Accent5 7 2 4 2" xfId="7357"/>
    <cellStyle name="40% - Accent5 7 2 5" xfId="7358"/>
    <cellStyle name="40% - Accent5 7 2 6" xfId="7359"/>
    <cellStyle name="40% - Accent5 7 3" xfId="7360"/>
    <cellStyle name="40% - Accent5 7 3 2" xfId="7361"/>
    <cellStyle name="40% - Accent5 7 3 2 2" xfId="7362"/>
    <cellStyle name="40% - Accent5 7 3 3" xfId="7363"/>
    <cellStyle name="40% - Accent5 7 3 4" xfId="7364"/>
    <cellStyle name="40% - Accent5 7 4" xfId="7365"/>
    <cellStyle name="40% - Accent5 7 4 2" xfId="7366"/>
    <cellStyle name="40% - Accent5 7 4 2 2" xfId="7367"/>
    <cellStyle name="40% - Accent5 7 4 3" xfId="7368"/>
    <cellStyle name="40% - Accent5 7 5" xfId="7369"/>
    <cellStyle name="40% - Accent5 7 5 2" xfId="7370"/>
    <cellStyle name="40% - Accent5 7 6" xfId="7371"/>
    <cellStyle name="40% - Accent5 7 7" xfId="7372"/>
    <cellStyle name="40% - Accent5 7 8" xfId="7373"/>
    <cellStyle name="40% - Accent5 8" xfId="7374"/>
    <cellStyle name="40% - Accent5 8 2" xfId="7375"/>
    <cellStyle name="40% - Accent5 8 2 2" xfId="7376"/>
    <cellStyle name="40% - Accent5 8 2 2 2" xfId="7377"/>
    <cellStyle name="40% - Accent5 8 2 3" xfId="7378"/>
    <cellStyle name="40% - Accent5 8 2 4" xfId="7379"/>
    <cellStyle name="40% - Accent5 8 3" xfId="7380"/>
    <cellStyle name="40% - Accent5 8 3 2" xfId="7381"/>
    <cellStyle name="40% - Accent5 8 3 2 2" xfId="7382"/>
    <cellStyle name="40% - Accent5 8 3 3" xfId="7383"/>
    <cellStyle name="40% - Accent5 8 4" xfId="7384"/>
    <cellStyle name="40% - Accent5 8 4 2" xfId="7385"/>
    <cellStyle name="40% - Accent5 8 5" xfId="7386"/>
    <cellStyle name="40% - Accent5 8 6" xfId="7387"/>
    <cellStyle name="40% - Accent5 8 7" xfId="7388"/>
    <cellStyle name="40% - Accent5 9" xfId="7389"/>
    <cellStyle name="40% - Accent5 9 2" xfId="7390"/>
    <cellStyle name="40% - Accent5 9 2 2" xfId="7391"/>
    <cellStyle name="40% - Accent5 9 2 2 2" xfId="7392"/>
    <cellStyle name="40% - Accent5 9 2 3" xfId="7393"/>
    <cellStyle name="40% - Accent5 9 2 4" xfId="7394"/>
    <cellStyle name="40% - Accent5 9 3" xfId="7395"/>
    <cellStyle name="40% - Accent5 9 3 2" xfId="7396"/>
    <cellStyle name="40% - Accent5 9 3 2 2" xfId="7397"/>
    <cellStyle name="40% - Accent5 9 3 3" xfId="7398"/>
    <cellStyle name="40% - Accent5 9 4" xfId="7399"/>
    <cellStyle name="40% - Accent5 9 4 2" xfId="7400"/>
    <cellStyle name="40% - Accent5 9 5" xfId="7401"/>
    <cellStyle name="40% - Accent5 9 6" xfId="7402"/>
    <cellStyle name="40% - Accent5 9 7" xfId="7403"/>
    <cellStyle name="40% - Accent6" xfId="12" builtinId="51" customBuiltin="1"/>
    <cellStyle name="40% - Accent6 10" xfId="7404"/>
    <cellStyle name="40% - Accent6 10 2" xfId="7405"/>
    <cellStyle name="40% - Accent6 10 2 2" xfId="7406"/>
    <cellStyle name="40% - Accent6 10 2 2 2" xfId="7407"/>
    <cellStyle name="40% - Accent6 10 2 3" xfId="7408"/>
    <cellStyle name="40% - Accent6 10 2 4" xfId="7409"/>
    <cellStyle name="40% - Accent6 10 3" xfId="7410"/>
    <cellStyle name="40% - Accent6 10 3 2" xfId="7411"/>
    <cellStyle name="40% - Accent6 10 3 2 2" xfId="7412"/>
    <cellStyle name="40% - Accent6 10 3 3" xfId="7413"/>
    <cellStyle name="40% - Accent6 10 4" xfId="7414"/>
    <cellStyle name="40% - Accent6 10 4 2" xfId="7415"/>
    <cellStyle name="40% - Accent6 10 5" xfId="7416"/>
    <cellStyle name="40% - Accent6 10 6" xfId="7417"/>
    <cellStyle name="40% - Accent6 10 7" xfId="7418"/>
    <cellStyle name="40% - Accent6 11" xfId="7419"/>
    <cellStyle name="40% - Accent6 11 2" xfId="7420"/>
    <cellStyle name="40% - Accent6 11 2 2" xfId="7421"/>
    <cellStyle name="40% - Accent6 11 2 2 2" xfId="7422"/>
    <cellStyle name="40% - Accent6 11 2 3" xfId="7423"/>
    <cellStyle name="40% - Accent6 11 2 4" xfId="7424"/>
    <cellStyle name="40% - Accent6 11 3" xfId="7425"/>
    <cellStyle name="40% - Accent6 11 3 2" xfId="7426"/>
    <cellStyle name="40% - Accent6 11 3 2 2" xfId="7427"/>
    <cellStyle name="40% - Accent6 11 3 3" xfId="7428"/>
    <cellStyle name="40% - Accent6 11 4" xfId="7429"/>
    <cellStyle name="40% - Accent6 11 4 2" xfId="7430"/>
    <cellStyle name="40% - Accent6 11 5" xfId="7431"/>
    <cellStyle name="40% - Accent6 11 6" xfId="7432"/>
    <cellStyle name="40% - Accent6 11 7" xfId="7433"/>
    <cellStyle name="40% - Accent6 12" xfId="7434"/>
    <cellStyle name="40% - Accent6 12 2" xfId="7435"/>
    <cellStyle name="40% - Accent6 12 2 2" xfId="7436"/>
    <cellStyle name="40% - Accent6 12 3" xfId="7437"/>
    <cellStyle name="40% - Accent6 12 4" xfId="7438"/>
    <cellStyle name="40% - Accent6 13" xfId="7439"/>
    <cellStyle name="40% - Accent6 13 2" xfId="7440"/>
    <cellStyle name="40% - Accent6 13 2 2" xfId="7441"/>
    <cellStyle name="40% - Accent6 13 3" xfId="7442"/>
    <cellStyle name="40% - Accent6 14" xfId="7443"/>
    <cellStyle name="40% - Accent6 14 2" xfId="7444"/>
    <cellStyle name="40% - Accent6 15" xfId="7445"/>
    <cellStyle name="40% - Accent6 15 2" xfId="7446"/>
    <cellStyle name="40% - Accent6 16" xfId="7447"/>
    <cellStyle name="40% - Accent6 16 2" xfId="7448"/>
    <cellStyle name="40% - Accent6 17" xfId="7449"/>
    <cellStyle name="40% - Accent6 18" xfId="7450"/>
    <cellStyle name="40% - Accent6 19" xfId="7451"/>
    <cellStyle name="40% - Accent6 2" xfId="101"/>
    <cellStyle name="40% - Accent6 2 10" xfId="7452"/>
    <cellStyle name="40% - Accent6 2 10 2" xfId="7453"/>
    <cellStyle name="40% - Accent6 2 10 2 2" xfId="7454"/>
    <cellStyle name="40% - Accent6 2 10 3" xfId="7455"/>
    <cellStyle name="40% - Accent6 2 10 4" xfId="7456"/>
    <cellStyle name="40% - Accent6 2 11" xfId="7457"/>
    <cellStyle name="40% - Accent6 2 11 2" xfId="7458"/>
    <cellStyle name="40% - Accent6 2 11 2 2" xfId="7459"/>
    <cellStyle name="40% - Accent6 2 11 3" xfId="7460"/>
    <cellStyle name="40% - Accent6 2 12" xfId="7461"/>
    <cellStyle name="40% - Accent6 2 12 2" xfId="7462"/>
    <cellStyle name="40% - Accent6 2 13" xfId="7463"/>
    <cellStyle name="40% - Accent6 2 13 2" xfId="7464"/>
    <cellStyle name="40% - Accent6 2 14" xfId="7465"/>
    <cellStyle name="40% - Accent6 2 15" xfId="7466"/>
    <cellStyle name="40% - Accent6 2 16" xfId="7467"/>
    <cellStyle name="40% - Accent6 2 17" xfId="7468"/>
    <cellStyle name="40% - Accent6 2 18" xfId="7469"/>
    <cellStyle name="40% - Accent6 2 2" xfId="102"/>
    <cellStyle name="40% - Accent6 2 2 2" xfId="7470"/>
    <cellStyle name="40% - Accent6 2 2 2 2" xfId="7471"/>
    <cellStyle name="40% - Accent6 2 2 2 2 2" xfId="7472"/>
    <cellStyle name="40% - Accent6 2 2 2 2 2 2" xfId="7473"/>
    <cellStyle name="40% - Accent6 2 2 2 2 3" xfId="7474"/>
    <cellStyle name="40% - Accent6 2 2 2 2 4" xfId="7475"/>
    <cellStyle name="40% - Accent6 2 2 2 2 5" xfId="7476"/>
    <cellStyle name="40% - Accent6 2 2 2 3" xfId="7477"/>
    <cellStyle name="40% - Accent6 2 2 2 3 2" xfId="7478"/>
    <cellStyle name="40% - Accent6 2 2 2 3 2 2" xfId="7479"/>
    <cellStyle name="40% - Accent6 2 2 2 3 3" xfId="7480"/>
    <cellStyle name="40% - Accent6 2 2 2 4" xfId="7481"/>
    <cellStyle name="40% - Accent6 2 2 2 4 2" xfId="7482"/>
    <cellStyle name="40% - Accent6 2 2 2 5" xfId="7483"/>
    <cellStyle name="40% - Accent6 2 2 2 6" xfId="7484"/>
    <cellStyle name="40% - Accent6 2 2 2 7" xfId="7485"/>
    <cellStyle name="40% - Accent6 2 2 2 8" xfId="7486"/>
    <cellStyle name="40% - Accent6 2 2 2 9" xfId="7487"/>
    <cellStyle name="40% - Accent6 2 2 3" xfId="7488"/>
    <cellStyle name="40% - Accent6 2 2 4" xfId="7489"/>
    <cellStyle name="40% - Accent6 2 2 4 2" xfId="7490"/>
    <cellStyle name="40% - Accent6 2 2 4 2 2" xfId="7491"/>
    <cellStyle name="40% - Accent6 2 2 4 3" xfId="7492"/>
    <cellStyle name="40% - Accent6 2 2 4 4" xfId="7493"/>
    <cellStyle name="40% - Accent6 2 2 5" xfId="7494"/>
    <cellStyle name="40% - Accent6 2 2 5 2" xfId="7495"/>
    <cellStyle name="40% - Accent6 2 2 5 2 2" xfId="7496"/>
    <cellStyle name="40% - Accent6 2 2 5 3" xfId="7497"/>
    <cellStyle name="40% - Accent6 2 2 6" xfId="7498"/>
    <cellStyle name="40% - Accent6 2 2 6 2" xfId="7499"/>
    <cellStyle name="40% - Accent6 2 2 7" xfId="7500"/>
    <cellStyle name="40% - Accent6 2 2 8" xfId="7501"/>
    <cellStyle name="40% - Accent6 2 3" xfId="7502"/>
    <cellStyle name="40% - Accent6 2 3 10" xfId="7503"/>
    <cellStyle name="40% - Accent6 2 3 2" xfId="7504"/>
    <cellStyle name="40% - Accent6 2 3 2 2" xfId="7505"/>
    <cellStyle name="40% - Accent6 2 3 2 2 2" xfId="7506"/>
    <cellStyle name="40% - Accent6 2 3 2 2 2 2" xfId="7507"/>
    <cellStyle name="40% - Accent6 2 3 2 2 3" xfId="7508"/>
    <cellStyle name="40% - Accent6 2 3 2 2 4" xfId="7509"/>
    <cellStyle name="40% - Accent6 2 3 2 3" xfId="7510"/>
    <cellStyle name="40% - Accent6 2 3 2 3 2" xfId="7511"/>
    <cellStyle name="40% - Accent6 2 3 2 3 2 2" xfId="7512"/>
    <cellStyle name="40% - Accent6 2 3 2 3 3" xfId="7513"/>
    <cellStyle name="40% - Accent6 2 3 2 4" xfId="7514"/>
    <cellStyle name="40% - Accent6 2 3 2 4 2" xfId="7515"/>
    <cellStyle name="40% - Accent6 2 3 2 5" xfId="7516"/>
    <cellStyle name="40% - Accent6 2 3 2 6" xfId="7517"/>
    <cellStyle name="40% - Accent6 2 3 2 7" xfId="7518"/>
    <cellStyle name="40% - Accent6 2 3 3" xfId="7519"/>
    <cellStyle name="40% - Accent6 2 3 3 2" xfId="7520"/>
    <cellStyle name="40% - Accent6 2 3 3 2 2" xfId="7521"/>
    <cellStyle name="40% - Accent6 2 3 3 3" xfId="7522"/>
    <cellStyle name="40% - Accent6 2 3 3 4" xfId="7523"/>
    <cellStyle name="40% - Accent6 2 3 3 5" xfId="7524"/>
    <cellStyle name="40% - Accent6 2 3 4" xfId="7525"/>
    <cellStyle name="40% - Accent6 2 3 4 2" xfId="7526"/>
    <cellStyle name="40% - Accent6 2 3 4 2 2" xfId="7527"/>
    <cellStyle name="40% - Accent6 2 3 4 3" xfId="7528"/>
    <cellStyle name="40% - Accent6 2 3 5" xfId="7529"/>
    <cellStyle name="40% - Accent6 2 3 5 2" xfId="7530"/>
    <cellStyle name="40% - Accent6 2 3 6" xfId="7531"/>
    <cellStyle name="40% - Accent6 2 3 7" xfId="7532"/>
    <cellStyle name="40% - Accent6 2 3 8" xfId="7533"/>
    <cellStyle name="40% - Accent6 2 3 9" xfId="7534"/>
    <cellStyle name="40% - Accent6 2 4" xfId="7535"/>
    <cellStyle name="40% - Accent6 2 4 10" xfId="7536"/>
    <cellStyle name="40% - Accent6 2 4 2" xfId="7537"/>
    <cellStyle name="40% - Accent6 2 4 2 2" xfId="7538"/>
    <cellStyle name="40% - Accent6 2 4 2 2 2" xfId="7539"/>
    <cellStyle name="40% - Accent6 2 4 2 2 2 2" xfId="7540"/>
    <cellStyle name="40% - Accent6 2 4 2 2 3" xfId="7541"/>
    <cellStyle name="40% - Accent6 2 4 2 2 4" xfId="7542"/>
    <cellStyle name="40% - Accent6 2 4 2 3" xfId="7543"/>
    <cellStyle name="40% - Accent6 2 4 2 3 2" xfId="7544"/>
    <cellStyle name="40% - Accent6 2 4 2 3 2 2" xfId="7545"/>
    <cellStyle name="40% - Accent6 2 4 2 3 3" xfId="7546"/>
    <cellStyle name="40% - Accent6 2 4 2 4" xfId="7547"/>
    <cellStyle name="40% - Accent6 2 4 2 4 2" xfId="7548"/>
    <cellStyle name="40% - Accent6 2 4 2 5" xfId="7549"/>
    <cellStyle name="40% - Accent6 2 4 2 6" xfId="7550"/>
    <cellStyle name="40% - Accent6 2 4 2 7" xfId="7551"/>
    <cellStyle name="40% - Accent6 2 4 3" xfId="7552"/>
    <cellStyle name="40% - Accent6 2 4 3 2" xfId="7553"/>
    <cellStyle name="40% - Accent6 2 4 3 2 2" xfId="7554"/>
    <cellStyle name="40% - Accent6 2 4 3 3" xfId="7555"/>
    <cellStyle name="40% - Accent6 2 4 3 4" xfId="7556"/>
    <cellStyle name="40% - Accent6 2 4 4" xfId="7557"/>
    <cellStyle name="40% - Accent6 2 4 4 2" xfId="7558"/>
    <cellStyle name="40% - Accent6 2 4 4 2 2" xfId="7559"/>
    <cellStyle name="40% - Accent6 2 4 4 3" xfId="7560"/>
    <cellStyle name="40% - Accent6 2 4 5" xfId="7561"/>
    <cellStyle name="40% - Accent6 2 4 5 2" xfId="7562"/>
    <cellStyle name="40% - Accent6 2 4 6" xfId="7563"/>
    <cellStyle name="40% - Accent6 2 4 7" xfId="7564"/>
    <cellStyle name="40% - Accent6 2 4 8" xfId="7565"/>
    <cellStyle name="40% - Accent6 2 4 9" xfId="7566"/>
    <cellStyle name="40% - Accent6 2 5" xfId="7567"/>
    <cellStyle name="40% - Accent6 2 5 10" xfId="7568"/>
    <cellStyle name="40% - Accent6 2 5 2" xfId="7569"/>
    <cellStyle name="40% - Accent6 2 5 2 2" xfId="7570"/>
    <cellStyle name="40% - Accent6 2 5 2 2 2" xfId="7571"/>
    <cellStyle name="40% - Accent6 2 5 2 2 2 2" xfId="7572"/>
    <cellStyle name="40% - Accent6 2 5 2 2 3" xfId="7573"/>
    <cellStyle name="40% - Accent6 2 5 2 2 4" xfId="7574"/>
    <cellStyle name="40% - Accent6 2 5 2 3" xfId="7575"/>
    <cellStyle name="40% - Accent6 2 5 2 3 2" xfId="7576"/>
    <cellStyle name="40% - Accent6 2 5 2 3 2 2" xfId="7577"/>
    <cellStyle name="40% - Accent6 2 5 2 3 3" xfId="7578"/>
    <cellStyle name="40% - Accent6 2 5 2 4" xfId="7579"/>
    <cellStyle name="40% - Accent6 2 5 2 4 2" xfId="7580"/>
    <cellStyle name="40% - Accent6 2 5 2 5" xfId="7581"/>
    <cellStyle name="40% - Accent6 2 5 2 6" xfId="7582"/>
    <cellStyle name="40% - Accent6 2 5 3" xfId="7583"/>
    <cellStyle name="40% - Accent6 2 5 3 2" xfId="7584"/>
    <cellStyle name="40% - Accent6 2 5 3 2 2" xfId="7585"/>
    <cellStyle name="40% - Accent6 2 5 3 3" xfId="7586"/>
    <cellStyle name="40% - Accent6 2 5 3 4" xfId="7587"/>
    <cellStyle name="40% - Accent6 2 5 4" xfId="7588"/>
    <cellStyle name="40% - Accent6 2 5 4 2" xfId="7589"/>
    <cellStyle name="40% - Accent6 2 5 4 2 2" xfId="7590"/>
    <cellStyle name="40% - Accent6 2 5 4 3" xfId="7591"/>
    <cellStyle name="40% - Accent6 2 5 5" xfId="7592"/>
    <cellStyle name="40% - Accent6 2 5 5 2" xfId="7593"/>
    <cellStyle name="40% - Accent6 2 5 6" xfId="7594"/>
    <cellStyle name="40% - Accent6 2 5 7" xfId="7595"/>
    <cellStyle name="40% - Accent6 2 5 8" xfId="7596"/>
    <cellStyle name="40% - Accent6 2 5 9" xfId="7597"/>
    <cellStyle name="40% - Accent6 2 6" xfId="7598"/>
    <cellStyle name="40% - Accent6 2 6 2" xfId="7599"/>
    <cellStyle name="40% - Accent6 2 6 2 2" xfId="7600"/>
    <cellStyle name="40% - Accent6 2 6 2 2 2" xfId="7601"/>
    <cellStyle name="40% - Accent6 2 6 2 3" xfId="7602"/>
    <cellStyle name="40% - Accent6 2 6 2 4" xfId="7603"/>
    <cellStyle name="40% - Accent6 2 6 3" xfId="7604"/>
    <cellStyle name="40% - Accent6 2 6 3 2" xfId="7605"/>
    <cellStyle name="40% - Accent6 2 6 3 2 2" xfId="7606"/>
    <cellStyle name="40% - Accent6 2 6 3 3" xfId="7607"/>
    <cellStyle name="40% - Accent6 2 6 4" xfId="7608"/>
    <cellStyle name="40% - Accent6 2 6 4 2" xfId="7609"/>
    <cellStyle name="40% - Accent6 2 6 5" xfId="7610"/>
    <cellStyle name="40% - Accent6 2 6 6" xfId="7611"/>
    <cellStyle name="40% - Accent6 2 6 7" xfId="7612"/>
    <cellStyle name="40% - Accent6 2 6 8" xfId="7613"/>
    <cellStyle name="40% - Accent6 2 7" xfId="7614"/>
    <cellStyle name="40% - Accent6 2 7 2" xfId="7615"/>
    <cellStyle name="40% - Accent6 2 7 2 2" xfId="7616"/>
    <cellStyle name="40% - Accent6 2 7 2 2 2" xfId="7617"/>
    <cellStyle name="40% - Accent6 2 7 2 3" xfId="7618"/>
    <cellStyle name="40% - Accent6 2 7 2 4" xfId="7619"/>
    <cellStyle name="40% - Accent6 2 7 3" xfId="7620"/>
    <cellStyle name="40% - Accent6 2 7 3 2" xfId="7621"/>
    <cellStyle name="40% - Accent6 2 7 3 2 2" xfId="7622"/>
    <cellStyle name="40% - Accent6 2 7 3 3" xfId="7623"/>
    <cellStyle name="40% - Accent6 2 7 4" xfId="7624"/>
    <cellStyle name="40% - Accent6 2 7 4 2" xfId="7625"/>
    <cellStyle name="40% - Accent6 2 7 5" xfId="7626"/>
    <cellStyle name="40% - Accent6 2 7 6" xfId="7627"/>
    <cellStyle name="40% - Accent6 2 7 7" xfId="7628"/>
    <cellStyle name="40% - Accent6 2 8" xfId="7629"/>
    <cellStyle name="40% - Accent6 2 8 2" xfId="7630"/>
    <cellStyle name="40% - Accent6 2 8 2 2" xfId="7631"/>
    <cellStyle name="40% - Accent6 2 8 2 2 2" xfId="7632"/>
    <cellStyle name="40% - Accent6 2 8 2 3" xfId="7633"/>
    <cellStyle name="40% - Accent6 2 8 2 4" xfId="7634"/>
    <cellStyle name="40% - Accent6 2 8 3" xfId="7635"/>
    <cellStyle name="40% - Accent6 2 8 3 2" xfId="7636"/>
    <cellStyle name="40% - Accent6 2 8 3 2 2" xfId="7637"/>
    <cellStyle name="40% - Accent6 2 8 3 3" xfId="7638"/>
    <cellStyle name="40% - Accent6 2 8 4" xfId="7639"/>
    <cellStyle name="40% - Accent6 2 8 4 2" xfId="7640"/>
    <cellStyle name="40% - Accent6 2 8 5" xfId="7641"/>
    <cellStyle name="40% - Accent6 2 8 6" xfId="7642"/>
    <cellStyle name="40% - Accent6 2 8 7" xfId="7643"/>
    <cellStyle name="40% - Accent6 2 9" xfId="7644"/>
    <cellStyle name="40% - Accent6 2 9 2" xfId="7645"/>
    <cellStyle name="40% - Accent6 2 9 2 2" xfId="7646"/>
    <cellStyle name="40% - Accent6 2 9 2 2 2" xfId="7647"/>
    <cellStyle name="40% - Accent6 2 9 2 3" xfId="7648"/>
    <cellStyle name="40% - Accent6 2 9 2 4" xfId="7649"/>
    <cellStyle name="40% - Accent6 2 9 3" xfId="7650"/>
    <cellStyle name="40% - Accent6 2 9 3 2" xfId="7651"/>
    <cellStyle name="40% - Accent6 2 9 3 2 2" xfId="7652"/>
    <cellStyle name="40% - Accent6 2 9 3 3" xfId="7653"/>
    <cellStyle name="40% - Accent6 2 9 4" xfId="7654"/>
    <cellStyle name="40% - Accent6 2 9 4 2" xfId="7655"/>
    <cellStyle name="40% - Accent6 2 9 5" xfId="7656"/>
    <cellStyle name="40% - Accent6 2 9 6" xfId="7657"/>
    <cellStyle name="40% - Accent6 2_IBP - COPI Uplift at Investment Area Level 01Feb12" xfId="49273"/>
    <cellStyle name="40% - Accent6 3" xfId="103"/>
    <cellStyle name="40% - Accent6 3 10" xfId="7658"/>
    <cellStyle name="40% - Accent6 3 10 2" xfId="7659"/>
    <cellStyle name="40% - Accent6 3 10 2 2" xfId="7660"/>
    <cellStyle name="40% - Accent6 3 10 3" xfId="7661"/>
    <cellStyle name="40% - Accent6 3 11" xfId="7662"/>
    <cellStyle name="40% - Accent6 3 11 2" xfId="7663"/>
    <cellStyle name="40% - Accent6 3 12" xfId="7664"/>
    <cellStyle name="40% - Accent6 3 12 2" xfId="7665"/>
    <cellStyle name="40% - Accent6 3 13" xfId="7666"/>
    <cellStyle name="40% - Accent6 3 14" xfId="7667"/>
    <cellStyle name="40% - Accent6 3 15" xfId="7668"/>
    <cellStyle name="40% - Accent6 3 16" xfId="7669"/>
    <cellStyle name="40% - Accent6 3 2" xfId="7670"/>
    <cellStyle name="40% - Accent6 3 2 10" xfId="7671"/>
    <cellStyle name="40% - Accent6 3 2 2" xfId="7672"/>
    <cellStyle name="40% - Accent6 3 2 2 2" xfId="7673"/>
    <cellStyle name="40% - Accent6 3 2 2 2 2" xfId="7674"/>
    <cellStyle name="40% - Accent6 3 2 2 2 2 2" xfId="7675"/>
    <cellStyle name="40% - Accent6 3 2 2 2 3" xfId="7676"/>
    <cellStyle name="40% - Accent6 3 2 2 2 4" xfId="7677"/>
    <cellStyle name="40% - Accent6 3 2 2 3" xfId="7678"/>
    <cellStyle name="40% - Accent6 3 2 2 3 2" xfId="7679"/>
    <cellStyle name="40% - Accent6 3 2 2 3 2 2" xfId="7680"/>
    <cellStyle name="40% - Accent6 3 2 2 3 3" xfId="7681"/>
    <cellStyle name="40% - Accent6 3 2 2 4" xfId="7682"/>
    <cellStyle name="40% - Accent6 3 2 2 4 2" xfId="7683"/>
    <cellStyle name="40% - Accent6 3 2 2 5" xfId="7684"/>
    <cellStyle name="40% - Accent6 3 2 2 6" xfId="7685"/>
    <cellStyle name="40% - Accent6 3 2 2 7" xfId="7686"/>
    <cellStyle name="40% - Accent6 3 2 3" xfId="7687"/>
    <cellStyle name="40% - Accent6 3 2 3 2" xfId="7688"/>
    <cellStyle name="40% - Accent6 3 2 3 2 2" xfId="7689"/>
    <cellStyle name="40% - Accent6 3 2 3 3" xfId="7690"/>
    <cellStyle name="40% - Accent6 3 2 3 4" xfId="7691"/>
    <cellStyle name="40% - Accent6 3 2 3 5" xfId="7692"/>
    <cellStyle name="40% - Accent6 3 2 4" xfId="7693"/>
    <cellStyle name="40% - Accent6 3 2 4 2" xfId="7694"/>
    <cellStyle name="40% - Accent6 3 2 4 2 2" xfId="7695"/>
    <cellStyle name="40% - Accent6 3 2 4 3" xfId="7696"/>
    <cellStyle name="40% - Accent6 3 2 5" xfId="7697"/>
    <cellStyle name="40% - Accent6 3 2 5 2" xfId="7698"/>
    <cellStyle name="40% - Accent6 3 2 6" xfId="7699"/>
    <cellStyle name="40% - Accent6 3 2 7" xfId="7700"/>
    <cellStyle name="40% - Accent6 3 2 8" xfId="7701"/>
    <cellStyle name="40% - Accent6 3 2 9" xfId="7702"/>
    <cellStyle name="40% - Accent6 3 3" xfId="7703"/>
    <cellStyle name="40% - Accent6 3 3 2" xfId="7704"/>
    <cellStyle name="40% - Accent6 3 3 2 2" xfId="7705"/>
    <cellStyle name="40% - Accent6 3 3 2 2 2" xfId="7706"/>
    <cellStyle name="40% - Accent6 3 3 2 2 2 2" xfId="7707"/>
    <cellStyle name="40% - Accent6 3 3 2 2 3" xfId="7708"/>
    <cellStyle name="40% - Accent6 3 3 2 2 4" xfId="7709"/>
    <cellStyle name="40% - Accent6 3 3 2 3" xfId="7710"/>
    <cellStyle name="40% - Accent6 3 3 2 3 2" xfId="7711"/>
    <cellStyle name="40% - Accent6 3 3 2 3 2 2" xfId="7712"/>
    <cellStyle name="40% - Accent6 3 3 2 3 3" xfId="7713"/>
    <cellStyle name="40% - Accent6 3 3 2 4" xfId="7714"/>
    <cellStyle name="40% - Accent6 3 3 2 4 2" xfId="7715"/>
    <cellStyle name="40% - Accent6 3 3 2 5" xfId="7716"/>
    <cellStyle name="40% - Accent6 3 3 2 6" xfId="7717"/>
    <cellStyle name="40% - Accent6 3 3 3" xfId="7718"/>
    <cellStyle name="40% - Accent6 3 3 3 2" xfId="7719"/>
    <cellStyle name="40% - Accent6 3 3 3 2 2" xfId="7720"/>
    <cellStyle name="40% - Accent6 3 3 3 3" xfId="7721"/>
    <cellStyle name="40% - Accent6 3 3 3 4" xfId="7722"/>
    <cellStyle name="40% - Accent6 3 3 4" xfId="7723"/>
    <cellStyle name="40% - Accent6 3 3 4 2" xfId="7724"/>
    <cellStyle name="40% - Accent6 3 3 4 2 2" xfId="7725"/>
    <cellStyle name="40% - Accent6 3 3 4 3" xfId="7726"/>
    <cellStyle name="40% - Accent6 3 3 5" xfId="7727"/>
    <cellStyle name="40% - Accent6 3 3 5 2" xfId="7728"/>
    <cellStyle name="40% - Accent6 3 3 6" xfId="7729"/>
    <cellStyle name="40% - Accent6 3 3 7" xfId="7730"/>
    <cellStyle name="40% - Accent6 3 3 8" xfId="7731"/>
    <cellStyle name="40% - Accent6 3 3 9" xfId="7732"/>
    <cellStyle name="40% - Accent6 3 4" xfId="7733"/>
    <cellStyle name="40% - Accent6 3 4 2" xfId="7734"/>
    <cellStyle name="40% - Accent6 3 4 2 2" xfId="7735"/>
    <cellStyle name="40% - Accent6 3 4 2 2 2" xfId="7736"/>
    <cellStyle name="40% - Accent6 3 4 2 2 2 2" xfId="7737"/>
    <cellStyle name="40% - Accent6 3 4 2 2 3" xfId="7738"/>
    <cellStyle name="40% - Accent6 3 4 2 2 4" xfId="7739"/>
    <cellStyle name="40% - Accent6 3 4 2 3" xfId="7740"/>
    <cellStyle name="40% - Accent6 3 4 2 3 2" xfId="7741"/>
    <cellStyle name="40% - Accent6 3 4 2 3 2 2" xfId="7742"/>
    <cellStyle name="40% - Accent6 3 4 2 3 3" xfId="7743"/>
    <cellStyle name="40% - Accent6 3 4 2 4" xfId="7744"/>
    <cellStyle name="40% - Accent6 3 4 2 4 2" xfId="7745"/>
    <cellStyle name="40% - Accent6 3 4 2 5" xfId="7746"/>
    <cellStyle name="40% - Accent6 3 4 2 6" xfId="7747"/>
    <cellStyle name="40% - Accent6 3 4 3" xfId="7748"/>
    <cellStyle name="40% - Accent6 3 4 3 2" xfId="7749"/>
    <cellStyle name="40% - Accent6 3 4 3 2 2" xfId="7750"/>
    <cellStyle name="40% - Accent6 3 4 3 3" xfId="7751"/>
    <cellStyle name="40% - Accent6 3 4 3 4" xfId="7752"/>
    <cellStyle name="40% - Accent6 3 4 4" xfId="7753"/>
    <cellStyle name="40% - Accent6 3 4 4 2" xfId="7754"/>
    <cellStyle name="40% - Accent6 3 4 4 2 2" xfId="7755"/>
    <cellStyle name="40% - Accent6 3 4 4 3" xfId="7756"/>
    <cellStyle name="40% - Accent6 3 4 5" xfId="7757"/>
    <cellStyle name="40% - Accent6 3 4 5 2" xfId="7758"/>
    <cellStyle name="40% - Accent6 3 4 6" xfId="7759"/>
    <cellStyle name="40% - Accent6 3 4 7" xfId="7760"/>
    <cellStyle name="40% - Accent6 3 4 8" xfId="7761"/>
    <cellStyle name="40% - Accent6 3 5" xfId="7762"/>
    <cellStyle name="40% - Accent6 3 5 2" xfId="7763"/>
    <cellStyle name="40% - Accent6 3 5 2 2" xfId="7764"/>
    <cellStyle name="40% - Accent6 3 5 2 2 2" xfId="7765"/>
    <cellStyle name="40% - Accent6 3 5 2 3" xfId="7766"/>
    <cellStyle name="40% - Accent6 3 5 2 4" xfId="7767"/>
    <cellStyle name="40% - Accent6 3 5 3" xfId="7768"/>
    <cellStyle name="40% - Accent6 3 5 3 2" xfId="7769"/>
    <cellStyle name="40% - Accent6 3 5 3 2 2" xfId="7770"/>
    <cellStyle name="40% - Accent6 3 5 3 3" xfId="7771"/>
    <cellStyle name="40% - Accent6 3 5 4" xfId="7772"/>
    <cellStyle name="40% - Accent6 3 5 4 2" xfId="7773"/>
    <cellStyle name="40% - Accent6 3 5 5" xfId="7774"/>
    <cellStyle name="40% - Accent6 3 5 6" xfId="7775"/>
    <cellStyle name="40% - Accent6 3 5 7" xfId="7776"/>
    <cellStyle name="40% - Accent6 3 6" xfId="7777"/>
    <cellStyle name="40% - Accent6 3 6 2" xfId="7778"/>
    <cellStyle name="40% - Accent6 3 6 2 2" xfId="7779"/>
    <cellStyle name="40% - Accent6 3 6 2 2 2" xfId="7780"/>
    <cellStyle name="40% - Accent6 3 6 2 3" xfId="7781"/>
    <cellStyle name="40% - Accent6 3 6 2 4" xfId="7782"/>
    <cellStyle name="40% - Accent6 3 6 3" xfId="7783"/>
    <cellStyle name="40% - Accent6 3 6 3 2" xfId="7784"/>
    <cellStyle name="40% - Accent6 3 6 3 2 2" xfId="7785"/>
    <cellStyle name="40% - Accent6 3 6 3 3" xfId="7786"/>
    <cellStyle name="40% - Accent6 3 6 4" xfId="7787"/>
    <cellStyle name="40% - Accent6 3 6 4 2" xfId="7788"/>
    <cellStyle name="40% - Accent6 3 6 5" xfId="7789"/>
    <cellStyle name="40% - Accent6 3 6 6" xfId="7790"/>
    <cellStyle name="40% - Accent6 3 6 7" xfId="7791"/>
    <cellStyle name="40% - Accent6 3 7" xfId="7792"/>
    <cellStyle name="40% - Accent6 3 7 2" xfId="7793"/>
    <cellStyle name="40% - Accent6 3 7 2 2" xfId="7794"/>
    <cellStyle name="40% - Accent6 3 7 2 2 2" xfId="7795"/>
    <cellStyle name="40% - Accent6 3 7 2 3" xfId="7796"/>
    <cellStyle name="40% - Accent6 3 7 2 4" xfId="7797"/>
    <cellStyle name="40% - Accent6 3 7 3" xfId="7798"/>
    <cellStyle name="40% - Accent6 3 7 3 2" xfId="7799"/>
    <cellStyle name="40% - Accent6 3 7 3 2 2" xfId="7800"/>
    <cellStyle name="40% - Accent6 3 7 3 3" xfId="7801"/>
    <cellStyle name="40% - Accent6 3 7 4" xfId="7802"/>
    <cellStyle name="40% - Accent6 3 7 4 2" xfId="7803"/>
    <cellStyle name="40% - Accent6 3 7 5" xfId="7804"/>
    <cellStyle name="40% - Accent6 3 7 6" xfId="7805"/>
    <cellStyle name="40% - Accent6 3 7 7" xfId="7806"/>
    <cellStyle name="40% - Accent6 3 8" xfId="7807"/>
    <cellStyle name="40% - Accent6 3 8 2" xfId="7808"/>
    <cellStyle name="40% - Accent6 3 8 2 2" xfId="7809"/>
    <cellStyle name="40% - Accent6 3 8 2 2 2" xfId="7810"/>
    <cellStyle name="40% - Accent6 3 8 2 3" xfId="7811"/>
    <cellStyle name="40% - Accent6 3 8 2 4" xfId="7812"/>
    <cellStyle name="40% - Accent6 3 8 3" xfId="7813"/>
    <cellStyle name="40% - Accent6 3 8 3 2" xfId="7814"/>
    <cellStyle name="40% - Accent6 3 8 3 2 2" xfId="7815"/>
    <cellStyle name="40% - Accent6 3 8 3 3" xfId="7816"/>
    <cellStyle name="40% - Accent6 3 8 4" xfId="7817"/>
    <cellStyle name="40% - Accent6 3 8 4 2" xfId="7818"/>
    <cellStyle name="40% - Accent6 3 8 5" xfId="7819"/>
    <cellStyle name="40% - Accent6 3 8 6" xfId="7820"/>
    <cellStyle name="40% - Accent6 3 9" xfId="7821"/>
    <cellStyle name="40% - Accent6 3 9 2" xfId="7822"/>
    <cellStyle name="40% - Accent6 3 9 2 2" xfId="7823"/>
    <cellStyle name="40% - Accent6 3 9 3" xfId="7824"/>
    <cellStyle name="40% - Accent6 3 9 4" xfId="7825"/>
    <cellStyle name="40% - Accent6 3_IBP - COPI Uplift at Investment Area Level 01Feb12" xfId="49274"/>
    <cellStyle name="40% - Accent6 4" xfId="7826"/>
    <cellStyle name="40% - Accent6 4 10" xfId="7827"/>
    <cellStyle name="40% - Accent6 4 2" xfId="7828"/>
    <cellStyle name="40% - Accent6 4 2 2" xfId="7829"/>
    <cellStyle name="40% - Accent6 4 2 2 2" xfId="7830"/>
    <cellStyle name="40% - Accent6 4 2 2 2 2" xfId="7831"/>
    <cellStyle name="40% - Accent6 4 2 2 3" xfId="7832"/>
    <cellStyle name="40% - Accent6 4 2 2 4" xfId="7833"/>
    <cellStyle name="40% - Accent6 4 2 3" xfId="7834"/>
    <cellStyle name="40% - Accent6 4 2 3 2" xfId="7835"/>
    <cellStyle name="40% - Accent6 4 2 3 2 2" xfId="7836"/>
    <cellStyle name="40% - Accent6 4 2 3 3" xfId="7837"/>
    <cellStyle name="40% - Accent6 4 2 4" xfId="7838"/>
    <cellStyle name="40% - Accent6 4 2 4 2" xfId="7839"/>
    <cellStyle name="40% - Accent6 4 2 5" xfId="7840"/>
    <cellStyle name="40% - Accent6 4 2 6" xfId="7841"/>
    <cellStyle name="40% - Accent6 4 2 7" xfId="7842"/>
    <cellStyle name="40% - Accent6 4 3" xfId="7843"/>
    <cellStyle name="40% - Accent6 4 3 2" xfId="7844"/>
    <cellStyle name="40% - Accent6 4 3 2 2" xfId="7845"/>
    <cellStyle name="40% - Accent6 4 3 3" xfId="7846"/>
    <cellStyle name="40% - Accent6 4 3 4" xfId="7847"/>
    <cellStyle name="40% - Accent6 4 3 5" xfId="7848"/>
    <cellStyle name="40% - Accent6 4 4" xfId="7849"/>
    <cellStyle name="40% - Accent6 4 4 2" xfId="7850"/>
    <cellStyle name="40% - Accent6 4 4 2 2" xfId="7851"/>
    <cellStyle name="40% - Accent6 4 4 3" xfId="7852"/>
    <cellStyle name="40% - Accent6 4 5" xfId="7853"/>
    <cellStyle name="40% - Accent6 4 5 2" xfId="7854"/>
    <cellStyle name="40% - Accent6 4 6" xfId="7855"/>
    <cellStyle name="40% - Accent6 4 7" xfId="7856"/>
    <cellStyle name="40% - Accent6 4 8" xfId="7857"/>
    <cellStyle name="40% - Accent6 4 9" xfId="7858"/>
    <cellStyle name="40% - Accent6 5" xfId="7859"/>
    <cellStyle name="40% - Accent6 5 2" xfId="7860"/>
    <cellStyle name="40% - Accent6 5 2 2" xfId="7861"/>
    <cellStyle name="40% - Accent6 5 2 2 2" xfId="7862"/>
    <cellStyle name="40% - Accent6 5 2 2 2 2" xfId="7863"/>
    <cellStyle name="40% - Accent6 5 2 2 3" xfId="7864"/>
    <cellStyle name="40% - Accent6 5 2 2 4" xfId="7865"/>
    <cellStyle name="40% - Accent6 5 2 3" xfId="7866"/>
    <cellStyle name="40% - Accent6 5 2 3 2" xfId="7867"/>
    <cellStyle name="40% - Accent6 5 2 3 2 2" xfId="7868"/>
    <cellStyle name="40% - Accent6 5 2 3 3" xfId="7869"/>
    <cellStyle name="40% - Accent6 5 2 4" xfId="7870"/>
    <cellStyle name="40% - Accent6 5 2 4 2" xfId="7871"/>
    <cellStyle name="40% - Accent6 5 2 5" xfId="7872"/>
    <cellStyle name="40% - Accent6 5 2 6" xfId="7873"/>
    <cellStyle name="40% - Accent6 5 3" xfId="7874"/>
    <cellStyle name="40% - Accent6 5 3 2" xfId="7875"/>
    <cellStyle name="40% - Accent6 5 3 2 2" xfId="7876"/>
    <cellStyle name="40% - Accent6 5 3 3" xfId="7877"/>
    <cellStyle name="40% - Accent6 5 3 4" xfId="7878"/>
    <cellStyle name="40% - Accent6 5 4" xfId="7879"/>
    <cellStyle name="40% - Accent6 5 4 2" xfId="7880"/>
    <cellStyle name="40% - Accent6 5 4 2 2" xfId="7881"/>
    <cellStyle name="40% - Accent6 5 4 3" xfId="7882"/>
    <cellStyle name="40% - Accent6 5 5" xfId="7883"/>
    <cellStyle name="40% - Accent6 5 5 2" xfId="7884"/>
    <cellStyle name="40% - Accent6 5 6" xfId="7885"/>
    <cellStyle name="40% - Accent6 5 7" xfId="7886"/>
    <cellStyle name="40% - Accent6 5 8" xfId="7887"/>
    <cellStyle name="40% - Accent6 5 9" xfId="7888"/>
    <cellStyle name="40% - Accent6 6" xfId="7889"/>
    <cellStyle name="40% - Accent6 6 2" xfId="7890"/>
    <cellStyle name="40% - Accent6 6 2 2" xfId="7891"/>
    <cellStyle name="40% - Accent6 6 2 2 2" xfId="7892"/>
    <cellStyle name="40% - Accent6 6 2 2 2 2" xfId="7893"/>
    <cellStyle name="40% - Accent6 6 2 2 3" xfId="7894"/>
    <cellStyle name="40% - Accent6 6 2 2 4" xfId="7895"/>
    <cellStyle name="40% - Accent6 6 2 3" xfId="7896"/>
    <cellStyle name="40% - Accent6 6 2 3 2" xfId="7897"/>
    <cellStyle name="40% - Accent6 6 2 3 2 2" xfId="7898"/>
    <cellStyle name="40% - Accent6 6 2 3 3" xfId="7899"/>
    <cellStyle name="40% - Accent6 6 2 4" xfId="7900"/>
    <cellStyle name="40% - Accent6 6 2 4 2" xfId="7901"/>
    <cellStyle name="40% - Accent6 6 2 5" xfId="7902"/>
    <cellStyle name="40% - Accent6 6 2 6" xfId="7903"/>
    <cellStyle name="40% - Accent6 6 3" xfId="7904"/>
    <cellStyle name="40% - Accent6 6 3 2" xfId="7905"/>
    <cellStyle name="40% - Accent6 6 3 2 2" xfId="7906"/>
    <cellStyle name="40% - Accent6 6 3 3" xfId="7907"/>
    <cellStyle name="40% - Accent6 6 3 4" xfId="7908"/>
    <cellStyle name="40% - Accent6 6 4" xfId="7909"/>
    <cellStyle name="40% - Accent6 6 4 2" xfId="7910"/>
    <cellStyle name="40% - Accent6 6 4 2 2" xfId="7911"/>
    <cellStyle name="40% - Accent6 6 4 3" xfId="7912"/>
    <cellStyle name="40% - Accent6 6 5" xfId="7913"/>
    <cellStyle name="40% - Accent6 6 5 2" xfId="7914"/>
    <cellStyle name="40% - Accent6 6 6" xfId="7915"/>
    <cellStyle name="40% - Accent6 6 7" xfId="7916"/>
    <cellStyle name="40% - Accent6 6 8" xfId="7917"/>
    <cellStyle name="40% - Accent6 7" xfId="7918"/>
    <cellStyle name="40% - Accent6 7 2" xfId="7919"/>
    <cellStyle name="40% - Accent6 7 2 2" xfId="7920"/>
    <cellStyle name="40% - Accent6 7 2 2 2" xfId="7921"/>
    <cellStyle name="40% - Accent6 7 2 2 2 2" xfId="7922"/>
    <cellStyle name="40% - Accent6 7 2 2 3" xfId="7923"/>
    <cellStyle name="40% - Accent6 7 2 2 4" xfId="7924"/>
    <cellStyle name="40% - Accent6 7 2 3" xfId="7925"/>
    <cellStyle name="40% - Accent6 7 2 3 2" xfId="7926"/>
    <cellStyle name="40% - Accent6 7 2 3 2 2" xfId="7927"/>
    <cellStyle name="40% - Accent6 7 2 3 3" xfId="7928"/>
    <cellStyle name="40% - Accent6 7 2 4" xfId="7929"/>
    <cellStyle name="40% - Accent6 7 2 4 2" xfId="7930"/>
    <cellStyle name="40% - Accent6 7 2 5" xfId="7931"/>
    <cellStyle name="40% - Accent6 7 2 6" xfId="7932"/>
    <cellStyle name="40% - Accent6 7 3" xfId="7933"/>
    <cellStyle name="40% - Accent6 7 3 2" xfId="7934"/>
    <cellStyle name="40% - Accent6 7 3 2 2" xfId="7935"/>
    <cellStyle name="40% - Accent6 7 3 3" xfId="7936"/>
    <cellStyle name="40% - Accent6 7 3 4" xfId="7937"/>
    <cellStyle name="40% - Accent6 7 4" xfId="7938"/>
    <cellStyle name="40% - Accent6 7 4 2" xfId="7939"/>
    <cellStyle name="40% - Accent6 7 4 2 2" xfId="7940"/>
    <cellStyle name="40% - Accent6 7 4 3" xfId="7941"/>
    <cellStyle name="40% - Accent6 7 5" xfId="7942"/>
    <cellStyle name="40% - Accent6 7 5 2" xfId="7943"/>
    <cellStyle name="40% - Accent6 7 6" xfId="7944"/>
    <cellStyle name="40% - Accent6 7 7" xfId="7945"/>
    <cellStyle name="40% - Accent6 7 8" xfId="7946"/>
    <cellStyle name="40% - Accent6 8" xfId="7947"/>
    <cellStyle name="40% - Accent6 8 2" xfId="7948"/>
    <cellStyle name="40% - Accent6 8 2 2" xfId="7949"/>
    <cellStyle name="40% - Accent6 8 2 2 2" xfId="7950"/>
    <cellStyle name="40% - Accent6 8 2 3" xfId="7951"/>
    <cellStyle name="40% - Accent6 8 2 4" xfId="7952"/>
    <cellStyle name="40% - Accent6 8 3" xfId="7953"/>
    <cellStyle name="40% - Accent6 8 3 2" xfId="7954"/>
    <cellStyle name="40% - Accent6 8 3 2 2" xfId="7955"/>
    <cellStyle name="40% - Accent6 8 3 3" xfId="7956"/>
    <cellStyle name="40% - Accent6 8 4" xfId="7957"/>
    <cellStyle name="40% - Accent6 8 4 2" xfId="7958"/>
    <cellStyle name="40% - Accent6 8 5" xfId="7959"/>
    <cellStyle name="40% - Accent6 8 6" xfId="7960"/>
    <cellStyle name="40% - Accent6 8 7" xfId="7961"/>
    <cellStyle name="40% - Accent6 9" xfId="7962"/>
    <cellStyle name="40% - Accent6 9 2" xfId="7963"/>
    <cellStyle name="40% - Accent6 9 2 2" xfId="7964"/>
    <cellStyle name="40% - Accent6 9 2 2 2" xfId="7965"/>
    <cellStyle name="40% - Accent6 9 2 3" xfId="7966"/>
    <cellStyle name="40% - Accent6 9 2 4" xfId="7967"/>
    <cellStyle name="40% - Accent6 9 3" xfId="7968"/>
    <cellStyle name="40% - Accent6 9 3 2" xfId="7969"/>
    <cellStyle name="40% - Accent6 9 3 2 2" xfId="7970"/>
    <cellStyle name="40% - Accent6 9 3 3" xfId="7971"/>
    <cellStyle name="40% - Accent6 9 4" xfId="7972"/>
    <cellStyle name="40% - Accent6 9 4 2" xfId="7973"/>
    <cellStyle name="40% - Accent6 9 5" xfId="7974"/>
    <cellStyle name="40% - Accent6 9 6" xfId="7975"/>
    <cellStyle name="40% - Accent6 9 7" xfId="7976"/>
    <cellStyle name="40% - uthevingsfarge 1" xfId="49275"/>
    <cellStyle name="40% - uthevingsfarge 1 2" xfId="49276"/>
    <cellStyle name="40% - uthevingsfarge 2" xfId="49277"/>
    <cellStyle name="40% - uthevingsfarge 2 2" xfId="49278"/>
    <cellStyle name="40% - uthevingsfarge 3" xfId="49279"/>
    <cellStyle name="40% - uthevingsfarge 3 2" xfId="49280"/>
    <cellStyle name="40% - uthevingsfarge 4" xfId="49281"/>
    <cellStyle name="40% - uthevingsfarge 4 2" xfId="49282"/>
    <cellStyle name="40% - uthevingsfarge 5" xfId="49283"/>
    <cellStyle name="40% - uthevingsfarge 5 2" xfId="49284"/>
    <cellStyle name="40% - uthevingsfarge 6" xfId="49285"/>
    <cellStyle name="40% - uthevingsfarge 6 2" xfId="49286"/>
    <cellStyle name="5x indented GHG Textfiels" xfId="49287"/>
    <cellStyle name="60 % - Accent1" xfId="49288"/>
    <cellStyle name="60 % - Accent2" xfId="49289"/>
    <cellStyle name="60 % - Accent3" xfId="49290"/>
    <cellStyle name="60 % - Accent4" xfId="49291"/>
    <cellStyle name="60 % - Accent5" xfId="49292"/>
    <cellStyle name="60 % - Accent6" xfId="49293"/>
    <cellStyle name="60% - Accent1" xfId="13" builtinId="32" customBuiltin="1"/>
    <cellStyle name="60% - Accent1 10" xfId="49294"/>
    <cellStyle name="60% - Accent1 10 2" xfId="49295"/>
    <cellStyle name="60% - Accent1 2" xfId="104"/>
    <cellStyle name="60% - Accent1 2 2" xfId="7977"/>
    <cellStyle name="60% - Accent1 2 3" xfId="7978"/>
    <cellStyle name="60% - Accent1 2 4" xfId="7979"/>
    <cellStyle name="60% - Accent1 2 5" xfId="49296"/>
    <cellStyle name="60% - Accent1 3" xfId="105"/>
    <cellStyle name="60% - Accent1 3 2" xfId="7980"/>
    <cellStyle name="60% - Accent1 3 3" xfId="49297"/>
    <cellStyle name="60% - Accent1 3 4" xfId="49298"/>
    <cellStyle name="60% - Accent1 4" xfId="7981"/>
    <cellStyle name="60% - Accent1 5" xfId="7982"/>
    <cellStyle name="60% - Accent1 5 2" xfId="49299"/>
    <cellStyle name="60% - Accent1 6" xfId="49300"/>
    <cellStyle name="60% - Accent1 6 2" xfId="49301"/>
    <cellStyle name="60% - Accent1 7" xfId="49302"/>
    <cellStyle name="60% - Accent1 7 2" xfId="49303"/>
    <cellStyle name="60% - Accent1 8" xfId="49304"/>
    <cellStyle name="60% - Accent1 8 2" xfId="49305"/>
    <cellStyle name="60% - Accent1 9" xfId="49306"/>
    <cellStyle name="60% - Accent1 9 2" xfId="49307"/>
    <cellStyle name="60% - Accent2" xfId="14" builtinId="36" customBuiltin="1"/>
    <cellStyle name="60% - Accent2 10" xfId="49308"/>
    <cellStyle name="60% - Accent2 10 2" xfId="49309"/>
    <cellStyle name="60% - Accent2 2" xfId="106"/>
    <cellStyle name="60% - Accent2 2 2" xfId="7983"/>
    <cellStyle name="60% - Accent2 2 3" xfId="7984"/>
    <cellStyle name="60% - Accent2 2 4" xfId="49310"/>
    <cellStyle name="60% - Accent2 3" xfId="107"/>
    <cellStyle name="60% - Accent2 3 2" xfId="49311"/>
    <cellStyle name="60% - Accent2 3 3" xfId="49312"/>
    <cellStyle name="60% - Accent2 3 4" xfId="49313"/>
    <cellStyle name="60% - Accent2 4" xfId="7985"/>
    <cellStyle name="60% - Accent2 5" xfId="7986"/>
    <cellStyle name="60% - Accent2 5 2" xfId="49314"/>
    <cellStyle name="60% - Accent2 6" xfId="49315"/>
    <cellStyle name="60% - Accent2 6 2" xfId="49316"/>
    <cellStyle name="60% - Accent2 7" xfId="49317"/>
    <cellStyle name="60% - Accent2 7 2" xfId="49318"/>
    <cellStyle name="60% - Accent2 8" xfId="49319"/>
    <cellStyle name="60% - Accent2 8 2" xfId="49320"/>
    <cellStyle name="60% - Accent2 9" xfId="49321"/>
    <cellStyle name="60% - Accent2 9 2" xfId="49322"/>
    <cellStyle name="60% - Accent3" xfId="15" builtinId="40" customBuiltin="1"/>
    <cellStyle name="60% - Accent3 10" xfId="49323"/>
    <cellStyle name="60% - Accent3 10 2" xfId="49324"/>
    <cellStyle name="60% - Accent3 2" xfId="108"/>
    <cellStyle name="60% - Accent3 2 2" xfId="7987"/>
    <cellStyle name="60% - Accent3 2 3" xfId="7988"/>
    <cellStyle name="60% - Accent3 2 4" xfId="49325"/>
    <cellStyle name="60% - Accent3 2 5" xfId="49326"/>
    <cellStyle name="60% - Accent3 3" xfId="109"/>
    <cellStyle name="60% - Accent3 3 2" xfId="49327"/>
    <cellStyle name="60% - Accent3 3 3" xfId="49328"/>
    <cellStyle name="60% - Accent3 3 4" xfId="49329"/>
    <cellStyle name="60% - Accent3 4" xfId="7989"/>
    <cellStyle name="60% - Accent3 5" xfId="7990"/>
    <cellStyle name="60% - Accent3 5 2" xfId="49330"/>
    <cellStyle name="60% - Accent3 6" xfId="49331"/>
    <cellStyle name="60% - Accent3 6 2" xfId="49332"/>
    <cellStyle name="60% - Accent3 7" xfId="49333"/>
    <cellStyle name="60% - Accent3 7 2" xfId="49334"/>
    <cellStyle name="60% - Accent3 8" xfId="49335"/>
    <cellStyle name="60% - Accent3 8 2" xfId="49336"/>
    <cellStyle name="60% - Accent3 9" xfId="49337"/>
    <cellStyle name="60% - Accent3 9 2" xfId="49338"/>
    <cellStyle name="60% - Accent4" xfId="16" builtinId="44" customBuiltin="1"/>
    <cellStyle name="60% - Accent4 10" xfId="49339"/>
    <cellStyle name="60% - Accent4 10 2" xfId="49340"/>
    <cellStyle name="60% - Accent4 2" xfId="110"/>
    <cellStyle name="60% - Accent4 2 2" xfId="49341"/>
    <cellStyle name="60% - Accent4 2 3" xfId="49342"/>
    <cellStyle name="60% - Accent4 2 4" xfId="49343"/>
    <cellStyle name="60% - Accent4 2 5" xfId="49344"/>
    <cellStyle name="60% - Accent4 3" xfId="111"/>
    <cellStyle name="60% - Accent4 3 2" xfId="49345"/>
    <cellStyle name="60% - Accent4 3 3" xfId="49346"/>
    <cellStyle name="60% - Accent4 3 4" xfId="49347"/>
    <cellStyle name="60% - Accent4 4" xfId="7991"/>
    <cellStyle name="60% - Accent4 5" xfId="7992"/>
    <cellStyle name="60% - Accent4 5 2" xfId="49348"/>
    <cellStyle name="60% - Accent4 6" xfId="49349"/>
    <cellStyle name="60% - Accent4 6 2" xfId="49350"/>
    <cellStyle name="60% - Accent4 7" xfId="49351"/>
    <cellStyle name="60% - Accent4 7 2" xfId="49352"/>
    <cellStyle name="60% - Accent4 8" xfId="49353"/>
    <cellStyle name="60% - Accent4 8 2" xfId="49354"/>
    <cellStyle name="60% - Accent4 9" xfId="49355"/>
    <cellStyle name="60% - Accent4 9 2" xfId="49356"/>
    <cellStyle name="60% - Accent5" xfId="17" builtinId="48" customBuiltin="1"/>
    <cellStyle name="60% - Accent5 10" xfId="49357"/>
    <cellStyle name="60% - Accent5 10 2" xfId="49358"/>
    <cellStyle name="60% - Accent5 2" xfId="112"/>
    <cellStyle name="60% - Accent5 2 2" xfId="7993"/>
    <cellStyle name="60% - Accent5 2 3" xfId="7994"/>
    <cellStyle name="60% - Accent5 2 4" xfId="7995"/>
    <cellStyle name="60% - Accent5 3" xfId="113"/>
    <cellStyle name="60% - Accent5 3 2" xfId="7996"/>
    <cellStyle name="60% - Accent5 3 3" xfId="49359"/>
    <cellStyle name="60% - Accent5 3 4" xfId="49360"/>
    <cellStyle name="60% - Accent5 4" xfId="7997"/>
    <cellStyle name="60% - Accent5 5" xfId="7998"/>
    <cellStyle name="60% - Accent5 5 2" xfId="49361"/>
    <cellStyle name="60% - Accent5 6" xfId="49362"/>
    <cellStyle name="60% - Accent5 6 2" xfId="49363"/>
    <cellStyle name="60% - Accent5 7" xfId="49364"/>
    <cellStyle name="60% - Accent5 7 2" xfId="49365"/>
    <cellStyle name="60% - Accent5 8" xfId="49366"/>
    <cellStyle name="60% - Accent5 8 2" xfId="49367"/>
    <cellStyle name="60% - Accent5 9" xfId="49368"/>
    <cellStyle name="60% - Accent5 9 2" xfId="49369"/>
    <cellStyle name="60% - Accent6" xfId="18" builtinId="52" customBuiltin="1"/>
    <cellStyle name="60% - Accent6 10" xfId="49370"/>
    <cellStyle name="60% - Accent6 10 2" xfId="49371"/>
    <cellStyle name="60% - Accent6 2" xfId="114"/>
    <cellStyle name="60% - Accent6 2 2" xfId="49372"/>
    <cellStyle name="60% - Accent6 2 3" xfId="49373"/>
    <cellStyle name="60% - Accent6 2 4" xfId="49374"/>
    <cellStyle name="60% - Accent6 2 5" xfId="49375"/>
    <cellStyle name="60% - Accent6 3" xfId="115"/>
    <cellStyle name="60% - Accent6 3 2" xfId="49376"/>
    <cellStyle name="60% - Accent6 3 3" xfId="49377"/>
    <cellStyle name="60% - Accent6 3 4" xfId="49378"/>
    <cellStyle name="60% - Accent6 4" xfId="7999"/>
    <cellStyle name="60% - Accent6 5" xfId="8000"/>
    <cellStyle name="60% - Accent6 5 2" xfId="49379"/>
    <cellStyle name="60% - Accent6 6" xfId="49380"/>
    <cellStyle name="60% - Accent6 6 2" xfId="49381"/>
    <cellStyle name="60% - Accent6 7" xfId="49382"/>
    <cellStyle name="60% - Accent6 7 2" xfId="49383"/>
    <cellStyle name="60% - Accent6 8" xfId="49384"/>
    <cellStyle name="60% - Accent6 8 2" xfId="49385"/>
    <cellStyle name="60% - Accent6 9" xfId="49386"/>
    <cellStyle name="60% - Accent6 9 2" xfId="49387"/>
    <cellStyle name="60% - uthevingsfarge 1" xfId="49388"/>
    <cellStyle name="60% - uthevingsfarge 1 2" xfId="49389"/>
    <cellStyle name="60% - uthevingsfarge 2" xfId="49390"/>
    <cellStyle name="60% - uthevingsfarge 2 2" xfId="49391"/>
    <cellStyle name="60% - uthevingsfarge 3" xfId="49392"/>
    <cellStyle name="60% - uthevingsfarge 3 2" xfId="49393"/>
    <cellStyle name="60% - uthevingsfarge 4" xfId="49394"/>
    <cellStyle name="60% - uthevingsfarge 4 2" xfId="49395"/>
    <cellStyle name="60% - uthevingsfarge 5" xfId="49396"/>
    <cellStyle name="60% - uthevingsfarge 5 2" xfId="49397"/>
    <cellStyle name="60% - uthevingsfarge 6" xfId="49398"/>
    <cellStyle name="60% - uthevingsfarge 6 2" xfId="49399"/>
    <cellStyle name="9" xfId="49400"/>
    <cellStyle name="9 2" xfId="49401"/>
    <cellStyle name="Accent1" xfId="19" builtinId="29" customBuiltin="1"/>
    <cellStyle name="Accent1 - 20%" xfId="49402"/>
    <cellStyle name="Accent1 - 20% 2" xfId="49403"/>
    <cellStyle name="Accent1 - 20% 3" xfId="49404"/>
    <cellStyle name="Accent1 - 40%" xfId="49405"/>
    <cellStyle name="Accent1 - 40% 2" xfId="49406"/>
    <cellStyle name="Accent1 - 40% 3" xfId="49407"/>
    <cellStyle name="Accent1 - 60%" xfId="49408"/>
    <cellStyle name="Accent1 - 60% 2" xfId="49409"/>
    <cellStyle name="Accent1 10" xfId="49410"/>
    <cellStyle name="Accent1 10 2" xfId="49411"/>
    <cellStyle name="Accent1 11" xfId="49412"/>
    <cellStyle name="Accent1 12" xfId="49413"/>
    <cellStyle name="Accent1 13" xfId="49414"/>
    <cellStyle name="Accent1 14" xfId="49415"/>
    <cellStyle name="Accent1 15" xfId="49416"/>
    <cellStyle name="Accent1 16" xfId="49417"/>
    <cellStyle name="Accent1 17" xfId="49418"/>
    <cellStyle name="Accent1 18" xfId="49419"/>
    <cellStyle name="Accent1 19" xfId="49420"/>
    <cellStyle name="Accent1 2" xfId="116"/>
    <cellStyle name="Accent1 2 2" xfId="8001"/>
    <cellStyle name="Accent1 2 3" xfId="8002"/>
    <cellStyle name="Accent1 2 4" xfId="49421"/>
    <cellStyle name="Accent1 2 5" xfId="49422"/>
    <cellStyle name="Accent1 20" xfId="49423"/>
    <cellStyle name="Accent1 21" xfId="49424"/>
    <cellStyle name="Accent1 22" xfId="49425"/>
    <cellStyle name="Accent1 23" xfId="49426"/>
    <cellStyle name="Accent1 24" xfId="49427"/>
    <cellStyle name="Accent1 25" xfId="49428"/>
    <cellStyle name="Accent1 26" xfId="49429"/>
    <cellStyle name="Accent1 27" xfId="49430"/>
    <cellStyle name="Accent1 28" xfId="49431"/>
    <cellStyle name="Accent1 29" xfId="49432"/>
    <cellStyle name="Accent1 3" xfId="117"/>
    <cellStyle name="Accent1 3 2" xfId="8003"/>
    <cellStyle name="Accent1 3 3" xfId="49433"/>
    <cellStyle name="Accent1 3 4" xfId="49434"/>
    <cellStyle name="Accent1 30" xfId="49435"/>
    <cellStyle name="Accent1 31" xfId="49436"/>
    <cellStyle name="Accent1 32" xfId="49437"/>
    <cellStyle name="Accent1 33" xfId="49438"/>
    <cellStyle name="Accent1 34" xfId="49439"/>
    <cellStyle name="Accent1 35" xfId="49440"/>
    <cellStyle name="Accent1 36" xfId="49441"/>
    <cellStyle name="Accent1 37" xfId="49442"/>
    <cellStyle name="Accent1 38" xfId="49443"/>
    <cellStyle name="Accent1 39" xfId="49444"/>
    <cellStyle name="Accent1 4" xfId="8004"/>
    <cellStyle name="Accent1 4 2" xfId="49445"/>
    <cellStyle name="Accent1 40" xfId="49446"/>
    <cellStyle name="Accent1 41" xfId="49447"/>
    <cellStyle name="Accent1 42" xfId="49448"/>
    <cellStyle name="Accent1 43" xfId="49449"/>
    <cellStyle name="Accent1 44" xfId="49450"/>
    <cellStyle name="Accent1 45" xfId="49451"/>
    <cellStyle name="Accent1 46" xfId="49452"/>
    <cellStyle name="Accent1 47" xfId="49453"/>
    <cellStyle name="Accent1 48" xfId="49454"/>
    <cellStyle name="Accent1 49" xfId="49455"/>
    <cellStyle name="Accent1 5" xfId="8005"/>
    <cellStyle name="Accent1 5 2" xfId="49456"/>
    <cellStyle name="Accent1 50" xfId="49457"/>
    <cellStyle name="Accent1 6" xfId="49458"/>
    <cellStyle name="Accent1 6 2" xfId="49459"/>
    <cellStyle name="Accent1 7" xfId="49460"/>
    <cellStyle name="Accent1 7 2" xfId="49461"/>
    <cellStyle name="Accent1 8" xfId="49462"/>
    <cellStyle name="Accent1 8 2" xfId="49463"/>
    <cellStyle name="Accent1 9" xfId="49464"/>
    <cellStyle name="Accent2" xfId="20" builtinId="33" customBuiltin="1"/>
    <cellStyle name="Accent2 - 20%" xfId="49465"/>
    <cellStyle name="Accent2 - 20% 2" xfId="49466"/>
    <cellStyle name="Accent2 - 20% 3" xfId="49467"/>
    <cellStyle name="Accent2 - 40%" xfId="49468"/>
    <cellStyle name="Accent2 - 40% 2" xfId="49469"/>
    <cellStyle name="Accent2 - 40% 3" xfId="49470"/>
    <cellStyle name="Accent2 - 60%" xfId="49471"/>
    <cellStyle name="Accent2 - 60% 2" xfId="49472"/>
    <cellStyle name="Accent2 10" xfId="49473"/>
    <cellStyle name="Accent2 10 2" xfId="49474"/>
    <cellStyle name="Accent2 11" xfId="49475"/>
    <cellStyle name="Accent2 12" xfId="49476"/>
    <cellStyle name="Accent2 13" xfId="49477"/>
    <cellStyle name="Accent2 14" xfId="49478"/>
    <cellStyle name="Accent2 15" xfId="49479"/>
    <cellStyle name="Accent2 16" xfId="49480"/>
    <cellStyle name="Accent2 17" xfId="49481"/>
    <cellStyle name="Accent2 18" xfId="49482"/>
    <cellStyle name="Accent2 19" xfId="49483"/>
    <cellStyle name="Accent2 2" xfId="118"/>
    <cellStyle name="Accent2 2 2" xfId="8006"/>
    <cellStyle name="Accent2 2 3" xfId="8007"/>
    <cellStyle name="Accent2 2 4" xfId="49484"/>
    <cellStyle name="Accent2 20" xfId="49485"/>
    <cellStyle name="Accent2 21" xfId="49486"/>
    <cellStyle name="Accent2 22" xfId="49487"/>
    <cellStyle name="Accent2 23" xfId="49488"/>
    <cellStyle name="Accent2 24" xfId="49489"/>
    <cellStyle name="Accent2 25" xfId="49490"/>
    <cellStyle name="Accent2 26" xfId="49491"/>
    <cellStyle name="Accent2 27" xfId="49492"/>
    <cellStyle name="Accent2 28" xfId="49493"/>
    <cellStyle name="Accent2 29" xfId="49494"/>
    <cellStyle name="Accent2 3" xfId="119"/>
    <cellStyle name="Accent2 3 2" xfId="49495"/>
    <cellStyle name="Accent2 3 3" xfId="49496"/>
    <cellStyle name="Accent2 3 4" xfId="49497"/>
    <cellStyle name="Accent2 30" xfId="49498"/>
    <cellStyle name="Accent2 31" xfId="49499"/>
    <cellStyle name="Accent2 32" xfId="49500"/>
    <cellStyle name="Accent2 33" xfId="49501"/>
    <cellStyle name="Accent2 34" xfId="49502"/>
    <cellStyle name="Accent2 35" xfId="49503"/>
    <cellStyle name="Accent2 36" xfId="49504"/>
    <cellStyle name="Accent2 37" xfId="49505"/>
    <cellStyle name="Accent2 38" xfId="49506"/>
    <cellStyle name="Accent2 39" xfId="49507"/>
    <cellStyle name="Accent2 4" xfId="8008"/>
    <cellStyle name="Accent2 4 2" xfId="49508"/>
    <cellStyle name="Accent2 40" xfId="49509"/>
    <cellStyle name="Accent2 41" xfId="49510"/>
    <cellStyle name="Accent2 42" xfId="49511"/>
    <cellStyle name="Accent2 43" xfId="49512"/>
    <cellStyle name="Accent2 44" xfId="49513"/>
    <cellStyle name="Accent2 45" xfId="49514"/>
    <cellStyle name="Accent2 46" xfId="49515"/>
    <cellStyle name="Accent2 47" xfId="49516"/>
    <cellStyle name="Accent2 48" xfId="49517"/>
    <cellStyle name="Accent2 49" xfId="49518"/>
    <cellStyle name="Accent2 5" xfId="8009"/>
    <cellStyle name="Accent2 5 2" xfId="49519"/>
    <cellStyle name="Accent2 50" xfId="49520"/>
    <cellStyle name="Accent2 6" xfId="49521"/>
    <cellStyle name="Accent2 6 2" xfId="49522"/>
    <cellStyle name="Accent2 7" xfId="49523"/>
    <cellStyle name="Accent2 7 2" xfId="49524"/>
    <cellStyle name="Accent2 8" xfId="49525"/>
    <cellStyle name="Accent2 8 2" xfId="49526"/>
    <cellStyle name="Accent2 9" xfId="49527"/>
    <cellStyle name="Accent3" xfId="21" builtinId="37" customBuiltin="1"/>
    <cellStyle name="Accent3 - 20%" xfId="49528"/>
    <cellStyle name="Accent3 - 20% 2" xfId="49529"/>
    <cellStyle name="Accent3 - 20% 3" xfId="49530"/>
    <cellStyle name="Accent3 - 40%" xfId="49531"/>
    <cellStyle name="Accent3 - 40% 2" xfId="49532"/>
    <cellStyle name="Accent3 - 40% 3" xfId="49533"/>
    <cellStyle name="Accent3 - 60%" xfId="49534"/>
    <cellStyle name="Accent3 - 60% 2" xfId="49535"/>
    <cellStyle name="Accent3 10" xfId="49536"/>
    <cellStyle name="Accent3 10 2" xfId="49537"/>
    <cellStyle name="Accent3 11" xfId="49538"/>
    <cellStyle name="Accent3 12" xfId="49539"/>
    <cellStyle name="Accent3 13" xfId="49540"/>
    <cellStyle name="Accent3 14" xfId="49541"/>
    <cellStyle name="Accent3 15" xfId="49542"/>
    <cellStyle name="Accent3 16" xfId="49543"/>
    <cellStyle name="Accent3 17" xfId="49544"/>
    <cellStyle name="Accent3 18" xfId="49545"/>
    <cellStyle name="Accent3 19" xfId="49546"/>
    <cellStyle name="Accent3 2" xfId="120"/>
    <cellStyle name="Accent3 2 2" xfId="8010"/>
    <cellStyle name="Accent3 2 3" xfId="8011"/>
    <cellStyle name="Accent3 2 4" xfId="49547"/>
    <cellStyle name="Accent3 20" xfId="49548"/>
    <cellStyle name="Accent3 21" xfId="49549"/>
    <cellStyle name="Accent3 22" xfId="49550"/>
    <cellStyle name="Accent3 23" xfId="49551"/>
    <cellStyle name="Accent3 24" xfId="49552"/>
    <cellStyle name="Accent3 25" xfId="49553"/>
    <cellStyle name="Accent3 26" xfId="49554"/>
    <cellStyle name="Accent3 27" xfId="49555"/>
    <cellStyle name="Accent3 28" xfId="49556"/>
    <cellStyle name="Accent3 29" xfId="49557"/>
    <cellStyle name="Accent3 3" xfId="121"/>
    <cellStyle name="Accent3 3 2" xfId="49558"/>
    <cellStyle name="Accent3 3 3" xfId="49559"/>
    <cellStyle name="Accent3 3 4" xfId="49560"/>
    <cellStyle name="Accent3 30" xfId="49561"/>
    <cellStyle name="Accent3 31" xfId="49562"/>
    <cellStyle name="Accent3 32" xfId="49563"/>
    <cellStyle name="Accent3 33" xfId="49564"/>
    <cellStyle name="Accent3 34" xfId="49565"/>
    <cellStyle name="Accent3 35" xfId="49566"/>
    <cellStyle name="Accent3 36" xfId="49567"/>
    <cellStyle name="Accent3 37" xfId="49568"/>
    <cellStyle name="Accent3 38" xfId="49569"/>
    <cellStyle name="Accent3 39" xfId="49570"/>
    <cellStyle name="Accent3 4" xfId="8012"/>
    <cellStyle name="Accent3 4 2" xfId="49571"/>
    <cellStyle name="Accent3 40" xfId="49572"/>
    <cellStyle name="Accent3 41" xfId="49573"/>
    <cellStyle name="Accent3 42" xfId="49574"/>
    <cellStyle name="Accent3 43" xfId="49575"/>
    <cellStyle name="Accent3 44" xfId="49576"/>
    <cellStyle name="Accent3 45" xfId="49577"/>
    <cellStyle name="Accent3 46" xfId="49578"/>
    <cellStyle name="Accent3 47" xfId="49579"/>
    <cellStyle name="Accent3 48" xfId="49580"/>
    <cellStyle name="Accent3 49" xfId="49581"/>
    <cellStyle name="Accent3 5" xfId="8013"/>
    <cellStyle name="Accent3 5 2" xfId="49582"/>
    <cellStyle name="Accent3 50" xfId="49583"/>
    <cellStyle name="Accent3 6" xfId="49584"/>
    <cellStyle name="Accent3 6 2" xfId="49585"/>
    <cellStyle name="Accent3 7" xfId="49586"/>
    <cellStyle name="Accent3 7 2" xfId="49587"/>
    <cellStyle name="Accent3 8" xfId="49588"/>
    <cellStyle name="Accent3 8 2" xfId="49589"/>
    <cellStyle name="Accent3 9" xfId="49590"/>
    <cellStyle name="Accent4" xfId="22" builtinId="41" customBuiltin="1"/>
    <cellStyle name="Accent4 - 20%" xfId="49591"/>
    <cellStyle name="Accent4 - 20% 2" xfId="49592"/>
    <cellStyle name="Accent4 - 20% 3" xfId="49593"/>
    <cellStyle name="Accent4 - 40%" xfId="49594"/>
    <cellStyle name="Accent4 - 40% 2" xfId="49595"/>
    <cellStyle name="Accent4 - 40% 3" xfId="49596"/>
    <cellStyle name="Accent4 - 60%" xfId="49597"/>
    <cellStyle name="Accent4 - 60% 2" xfId="49598"/>
    <cellStyle name="Accent4 10" xfId="49599"/>
    <cellStyle name="Accent4 10 2" xfId="49600"/>
    <cellStyle name="Accent4 11" xfId="49601"/>
    <cellStyle name="Accent4 12" xfId="49602"/>
    <cellStyle name="Accent4 13" xfId="49603"/>
    <cellStyle name="Accent4 14" xfId="49604"/>
    <cellStyle name="Accent4 15" xfId="49605"/>
    <cellStyle name="Accent4 16" xfId="49606"/>
    <cellStyle name="Accent4 17" xfId="49607"/>
    <cellStyle name="Accent4 18" xfId="49608"/>
    <cellStyle name="Accent4 19" xfId="49609"/>
    <cellStyle name="Accent4 2" xfId="122"/>
    <cellStyle name="Accent4 2 2" xfId="49610"/>
    <cellStyle name="Accent4 2 3" xfId="49611"/>
    <cellStyle name="Accent4 2 4" xfId="49612"/>
    <cellStyle name="Accent4 2 5" xfId="49613"/>
    <cellStyle name="Accent4 20" xfId="49614"/>
    <cellStyle name="Accent4 21" xfId="49615"/>
    <cellStyle name="Accent4 22" xfId="49616"/>
    <cellStyle name="Accent4 23" xfId="49617"/>
    <cellStyle name="Accent4 24" xfId="49618"/>
    <cellStyle name="Accent4 25" xfId="49619"/>
    <cellStyle name="Accent4 26" xfId="49620"/>
    <cellStyle name="Accent4 27" xfId="49621"/>
    <cellStyle name="Accent4 28" xfId="49622"/>
    <cellStyle name="Accent4 29" xfId="49623"/>
    <cellStyle name="Accent4 3" xfId="123"/>
    <cellStyle name="Accent4 3 2" xfId="49624"/>
    <cellStyle name="Accent4 3 3" xfId="49625"/>
    <cellStyle name="Accent4 3 4" xfId="49626"/>
    <cellStyle name="Accent4 30" xfId="49627"/>
    <cellStyle name="Accent4 31" xfId="49628"/>
    <cellStyle name="Accent4 32" xfId="49629"/>
    <cellStyle name="Accent4 33" xfId="49630"/>
    <cellStyle name="Accent4 34" xfId="49631"/>
    <cellStyle name="Accent4 35" xfId="49632"/>
    <cellStyle name="Accent4 36" xfId="49633"/>
    <cellStyle name="Accent4 37" xfId="49634"/>
    <cellStyle name="Accent4 38" xfId="49635"/>
    <cellStyle name="Accent4 39" xfId="49636"/>
    <cellStyle name="Accent4 4" xfId="8014"/>
    <cellStyle name="Accent4 4 2" xfId="49637"/>
    <cellStyle name="Accent4 40" xfId="49638"/>
    <cellStyle name="Accent4 41" xfId="49639"/>
    <cellStyle name="Accent4 42" xfId="49640"/>
    <cellStyle name="Accent4 43" xfId="49641"/>
    <cellStyle name="Accent4 44" xfId="49642"/>
    <cellStyle name="Accent4 45" xfId="49643"/>
    <cellStyle name="Accent4 46" xfId="49644"/>
    <cellStyle name="Accent4 47" xfId="49645"/>
    <cellStyle name="Accent4 48" xfId="49646"/>
    <cellStyle name="Accent4 49" xfId="49647"/>
    <cellStyle name="Accent4 5" xfId="8015"/>
    <cellStyle name="Accent4 5 2" xfId="49648"/>
    <cellStyle name="Accent4 50" xfId="49649"/>
    <cellStyle name="Accent4 6" xfId="49650"/>
    <cellStyle name="Accent4 6 2" xfId="49651"/>
    <cellStyle name="Accent4 7" xfId="49652"/>
    <cellStyle name="Accent4 7 2" xfId="49653"/>
    <cellStyle name="Accent4 8" xfId="49654"/>
    <cellStyle name="Accent4 8 2" xfId="49655"/>
    <cellStyle name="Accent4 9" xfId="49656"/>
    <cellStyle name="Accent5" xfId="23" builtinId="45" customBuiltin="1"/>
    <cellStyle name="Accent5 - 20%" xfId="49657"/>
    <cellStyle name="Accent5 - 20% 2" xfId="49658"/>
    <cellStyle name="Accent5 - 20% 3" xfId="49659"/>
    <cellStyle name="Accent5 - 40%" xfId="49660"/>
    <cellStyle name="Accent5 - 40% 2" xfId="49661"/>
    <cellStyle name="Accent5 - 40% 3" xfId="49662"/>
    <cellStyle name="Accent5 - 60%" xfId="49663"/>
    <cellStyle name="Accent5 - 60% 2" xfId="49664"/>
    <cellStyle name="Accent5 10" xfId="49665"/>
    <cellStyle name="Accent5 10 2" xfId="49666"/>
    <cellStyle name="Accent5 11" xfId="49667"/>
    <cellStyle name="Accent5 12" xfId="49668"/>
    <cellStyle name="Accent5 13" xfId="49669"/>
    <cellStyle name="Accent5 14" xfId="49670"/>
    <cellStyle name="Accent5 15" xfId="49671"/>
    <cellStyle name="Accent5 16" xfId="49672"/>
    <cellStyle name="Accent5 17" xfId="49673"/>
    <cellStyle name="Accent5 18" xfId="49674"/>
    <cellStyle name="Accent5 19" xfId="49675"/>
    <cellStyle name="Accent5 2" xfId="124"/>
    <cellStyle name="Accent5 2 2" xfId="49676"/>
    <cellStyle name="Accent5 2 3" xfId="49677"/>
    <cellStyle name="Accent5 2 4" xfId="49678"/>
    <cellStyle name="Accent5 20" xfId="49679"/>
    <cellStyle name="Accent5 21" xfId="49680"/>
    <cellStyle name="Accent5 22" xfId="49681"/>
    <cellStyle name="Accent5 23" xfId="49682"/>
    <cellStyle name="Accent5 24" xfId="49683"/>
    <cellStyle name="Accent5 25" xfId="49684"/>
    <cellStyle name="Accent5 26" xfId="49685"/>
    <cellStyle name="Accent5 27" xfId="49686"/>
    <cellStyle name="Accent5 28" xfId="49687"/>
    <cellStyle name="Accent5 29" xfId="49688"/>
    <cellStyle name="Accent5 3" xfId="125"/>
    <cellStyle name="Accent5 3 2" xfId="49689"/>
    <cellStyle name="Accent5 3 3" xfId="49690"/>
    <cellStyle name="Accent5 3 4" xfId="49691"/>
    <cellStyle name="Accent5 30" xfId="49692"/>
    <cellStyle name="Accent5 31" xfId="49693"/>
    <cellStyle name="Accent5 32" xfId="49694"/>
    <cellStyle name="Accent5 33" xfId="49695"/>
    <cellStyle name="Accent5 34" xfId="49696"/>
    <cellStyle name="Accent5 35" xfId="49697"/>
    <cellStyle name="Accent5 36" xfId="49698"/>
    <cellStyle name="Accent5 37" xfId="49699"/>
    <cellStyle name="Accent5 38" xfId="49700"/>
    <cellStyle name="Accent5 39" xfId="49701"/>
    <cellStyle name="Accent5 4" xfId="8016"/>
    <cellStyle name="Accent5 4 2" xfId="49702"/>
    <cellStyle name="Accent5 40" xfId="49703"/>
    <cellStyle name="Accent5 41" xfId="49704"/>
    <cellStyle name="Accent5 42" xfId="49705"/>
    <cellStyle name="Accent5 43" xfId="49706"/>
    <cellStyle name="Accent5 44" xfId="49707"/>
    <cellStyle name="Accent5 45" xfId="49708"/>
    <cellStyle name="Accent5 46" xfId="49709"/>
    <cellStyle name="Accent5 47" xfId="49710"/>
    <cellStyle name="Accent5 48" xfId="49711"/>
    <cellStyle name="Accent5 49" xfId="49712"/>
    <cellStyle name="Accent5 5" xfId="8017"/>
    <cellStyle name="Accent5 5 2" xfId="49713"/>
    <cellStyle name="Accent5 50" xfId="49714"/>
    <cellStyle name="Accent5 6" xfId="49715"/>
    <cellStyle name="Accent5 6 2" xfId="49716"/>
    <cellStyle name="Accent5 7" xfId="49717"/>
    <cellStyle name="Accent5 7 2" xfId="49718"/>
    <cellStyle name="Accent5 8" xfId="49719"/>
    <cellStyle name="Accent5 8 2" xfId="49720"/>
    <cellStyle name="Accent5 9" xfId="49721"/>
    <cellStyle name="Accent6" xfId="24" builtinId="49" customBuiltin="1"/>
    <cellStyle name="Accent6 - 20%" xfId="49722"/>
    <cellStyle name="Accent6 - 20% 2" xfId="49723"/>
    <cellStyle name="Accent6 - 20% 3" xfId="49724"/>
    <cellStyle name="Accent6 - 40%" xfId="49725"/>
    <cellStyle name="Accent6 - 40% 2" xfId="49726"/>
    <cellStyle name="Accent6 - 40% 3" xfId="49727"/>
    <cellStyle name="Accent6 - 60%" xfId="49728"/>
    <cellStyle name="Accent6 - 60% 2" xfId="49729"/>
    <cellStyle name="Accent6 10" xfId="49730"/>
    <cellStyle name="Accent6 10 2" xfId="49731"/>
    <cellStyle name="Accent6 11" xfId="49732"/>
    <cellStyle name="Accent6 12" xfId="49733"/>
    <cellStyle name="Accent6 13" xfId="49734"/>
    <cellStyle name="Accent6 14" xfId="49735"/>
    <cellStyle name="Accent6 15" xfId="49736"/>
    <cellStyle name="Accent6 16" xfId="49737"/>
    <cellStyle name="Accent6 17" xfId="49738"/>
    <cellStyle name="Accent6 18" xfId="49739"/>
    <cellStyle name="Accent6 19" xfId="49740"/>
    <cellStyle name="Accent6 2" xfId="126"/>
    <cellStyle name="Accent6 2 2" xfId="49741"/>
    <cellStyle name="Accent6 2 3" xfId="49742"/>
    <cellStyle name="Accent6 2 4" xfId="49743"/>
    <cellStyle name="Accent6 20" xfId="49744"/>
    <cellStyle name="Accent6 21" xfId="49745"/>
    <cellStyle name="Accent6 22" xfId="49746"/>
    <cellStyle name="Accent6 23" xfId="49747"/>
    <cellStyle name="Accent6 24" xfId="49748"/>
    <cellStyle name="Accent6 25" xfId="49749"/>
    <cellStyle name="Accent6 26" xfId="49750"/>
    <cellStyle name="Accent6 27" xfId="49751"/>
    <cellStyle name="Accent6 28" xfId="49752"/>
    <cellStyle name="Accent6 29" xfId="49753"/>
    <cellStyle name="Accent6 3" xfId="127"/>
    <cellStyle name="Accent6 3 2" xfId="49754"/>
    <cellStyle name="Accent6 3 3" xfId="49755"/>
    <cellStyle name="Accent6 3 4" xfId="49756"/>
    <cellStyle name="Accent6 30" xfId="49757"/>
    <cellStyle name="Accent6 31" xfId="49758"/>
    <cellStyle name="Accent6 32" xfId="49759"/>
    <cellStyle name="Accent6 33" xfId="49760"/>
    <cellStyle name="Accent6 34" xfId="49761"/>
    <cellStyle name="Accent6 35" xfId="49762"/>
    <cellStyle name="Accent6 36" xfId="49763"/>
    <cellStyle name="Accent6 37" xfId="49764"/>
    <cellStyle name="Accent6 38" xfId="49765"/>
    <cellStyle name="Accent6 39" xfId="49766"/>
    <cellStyle name="Accent6 4" xfId="8018"/>
    <cellStyle name="Accent6 4 2" xfId="49767"/>
    <cellStyle name="Accent6 40" xfId="49768"/>
    <cellStyle name="Accent6 41" xfId="49769"/>
    <cellStyle name="Accent6 42" xfId="49770"/>
    <cellStyle name="Accent6 43" xfId="49771"/>
    <cellStyle name="Accent6 44" xfId="49772"/>
    <cellStyle name="Accent6 45" xfId="49773"/>
    <cellStyle name="Accent6 46" xfId="49774"/>
    <cellStyle name="Accent6 47" xfId="49775"/>
    <cellStyle name="Accent6 48" xfId="49776"/>
    <cellStyle name="Accent6 49" xfId="49777"/>
    <cellStyle name="Accent6 5" xfId="8019"/>
    <cellStyle name="Accent6 5 2" xfId="49778"/>
    <cellStyle name="Accent6 50" xfId="49779"/>
    <cellStyle name="Accent6 6" xfId="49780"/>
    <cellStyle name="Accent6 6 2" xfId="49781"/>
    <cellStyle name="Accent6 7" xfId="49782"/>
    <cellStyle name="Accent6 7 2" xfId="49783"/>
    <cellStyle name="Accent6 8" xfId="49784"/>
    <cellStyle name="Accent6 8 2" xfId="49785"/>
    <cellStyle name="Accent6 9" xfId="49786"/>
    <cellStyle name="Account 0 dec" xfId="49787"/>
    <cellStyle name="Account 0 dec 2" xfId="49788"/>
    <cellStyle name="Act_%1" xfId="49789"/>
    <cellStyle name="Actual Date" xfId="49790"/>
    <cellStyle name="AFE" xfId="49791"/>
    <cellStyle name="Affinity Money" xfId="49792"/>
    <cellStyle name="Affinity Money 2" xfId="49793"/>
    <cellStyle name="ag" xfId="49794"/>
    <cellStyle name="AggblueCels_1x" xfId="49795"/>
    <cellStyle name="AIR calc" xfId="49796"/>
    <cellStyle name="AIR calc 2" xfId="49797"/>
    <cellStyle name="AIR calc 2 2" xfId="49798"/>
    <cellStyle name="AIR calc 2 3" xfId="49799"/>
    <cellStyle name="AIR calc 2 4" xfId="49800"/>
    <cellStyle name="AIR calc 3" xfId="49801"/>
    <cellStyle name="AIR calc 3 2" xfId="49802"/>
    <cellStyle name="AIR calc 3 3" xfId="49803"/>
    <cellStyle name="AIR calc 3 4" xfId="49804"/>
    <cellStyle name="AIR calc 4" xfId="49805"/>
    <cellStyle name="AIR calc 5" xfId="49806"/>
    <cellStyle name="AIR calc 6" xfId="49807"/>
    <cellStyle name="AIR calc 7" xfId="49808"/>
    <cellStyle name="AIR copied" xfId="49809"/>
    <cellStyle name="AIR copied 2" xfId="49810"/>
    <cellStyle name="AIR copied 2 2" xfId="49811"/>
    <cellStyle name="AIR copied 2 3" xfId="49812"/>
    <cellStyle name="AIR copied 2 4" xfId="49813"/>
    <cellStyle name="AIR copied 3" xfId="49814"/>
    <cellStyle name="AIR copied 3 2" xfId="49815"/>
    <cellStyle name="AIR copied 3 3" xfId="49816"/>
    <cellStyle name="AIR copied 3 4" xfId="49817"/>
    <cellStyle name="AIR copied 4" xfId="49818"/>
    <cellStyle name="AIR copied 5" xfId="49819"/>
    <cellStyle name="AIR copied 6" xfId="49820"/>
    <cellStyle name="AIR copied 7" xfId="49821"/>
    <cellStyle name="Andrea" xfId="49822"/>
    <cellStyle name="ARC-RRC" xfId="49823"/>
    <cellStyle name="ARC-RRC 2" xfId="49824"/>
    <cellStyle name="ARC-RRC 3" xfId="49825"/>
    <cellStyle name="ARC-RRC 4" xfId="49826"/>
    <cellStyle name="ARC-RRC 5" xfId="49827"/>
    <cellStyle name="ARC-RRC 6" xfId="49828"/>
    <cellStyle name="ARC-RRC 7" xfId="49829"/>
    <cellStyle name="ARC-RRC 8" xfId="49830"/>
    <cellStyle name="ARC-RRC Input" xfId="49831"/>
    <cellStyle name="args.style" xfId="49832"/>
    <cellStyle name="args.style 2" xfId="49833"/>
    <cellStyle name="Arial" xfId="49834"/>
    <cellStyle name="Assumption Currency." xfId="49835"/>
    <cellStyle name="Assumption Currency. 2" xfId="49836"/>
    <cellStyle name="Assumption Currency. 2 2" xfId="49837"/>
    <cellStyle name="Assumption Currency. 2 3" xfId="49838"/>
    <cellStyle name="Assumption Currency. 2 4" xfId="49839"/>
    <cellStyle name="Assumption Currency. 3" xfId="49840"/>
    <cellStyle name="Assumption Currency. 3 2" xfId="49841"/>
    <cellStyle name="Assumption Currency. 3 3" xfId="49842"/>
    <cellStyle name="Assumption Currency. 3 4" xfId="49843"/>
    <cellStyle name="Assumption Currency. 4" xfId="49844"/>
    <cellStyle name="Assumption Currency. 5" xfId="49845"/>
    <cellStyle name="Assumption Currency. 6" xfId="49846"/>
    <cellStyle name="Assumption Currency. 7" xfId="49847"/>
    <cellStyle name="Assumption Date." xfId="49848"/>
    <cellStyle name="Assumption Date. 2" xfId="49849"/>
    <cellStyle name="Assumption Date. 2 2" xfId="49850"/>
    <cellStyle name="Assumption Date. 2 3" xfId="49851"/>
    <cellStyle name="Assumption Date. 2 4" xfId="49852"/>
    <cellStyle name="Assumption Date. 3" xfId="49853"/>
    <cellStyle name="Assumption Date. 3 2" xfId="49854"/>
    <cellStyle name="Assumption Date. 3 3" xfId="49855"/>
    <cellStyle name="Assumption Date. 3 4" xfId="49856"/>
    <cellStyle name="Assumption Date. 4" xfId="49857"/>
    <cellStyle name="Assumption Date. 5" xfId="49858"/>
    <cellStyle name="Assumption Date. 6" xfId="49859"/>
    <cellStyle name="Assumption Date. 7" xfId="49860"/>
    <cellStyle name="Assumption Heading." xfId="49861"/>
    <cellStyle name="Assumption Heading. 2" xfId="49862"/>
    <cellStyle name="Assumption Heading. 2 2" xfId="49863"/>
    <cellStyle name="Assumption Heading. 2 3" xfId="49864"/>
    <cellStyle name="Assumption Heading. 2 4" xfId="49865"/>
    <cellStyle name="Assumption Heading. 3" xfId="49866"/>
    <cellStyle name="Assumption Heading. 3 2" xfId="49867"/>
    <cellStyle name="Assumption Heading. 3 3" xfId="49868"/>
    <cellStyle name="Assumption Heading. 3 4" xfId="49869"/>
    <cellStyle name="Assumption Heading. 4" xfId="49870"/>
    <cellStyle name="Assumption Heading. 5" xfId="49871"/>
    <cellStyle name="Assumption Heading. 6" xfId="49872"/>
    <cellStyle name="Assumption Heading. 7" xfId="49873"/>
    <cellStyle name="Assumption Multiple." xfId="49874"/>
    <cellStyle name="Assumption Multiple. 2" xfId="49875"/>
    <cellStyle name="Assumption Multiple. 2 2" xfId="49876"/>
    <cellStyle name="Assumption Multiple. 2 3" xfId="49877"/>
    <cellStyle name="Assumption Multiple. 2 4" xfId="49878"/>
    <cellStyle name="Assumption Multiple. 3" xfId="49879"/>
    <cellStyle name="Assumption Multiple. 3 2" xfId="49880"/>
    <cellStyle name="Assumption Multiple. 3 3" xfId="49881"/>
    <cellStyle name="Assumption Multiple. 3 4" xfId="49882"/>
    <cellStyle name="Assumption Multiple. 4" xfId="49883"/>
    <cellStyle name="Assumption Multiple. 5" xfId="49884"/>
    <cellStyle name="Assumption Multiple. 6" xfId="49885"/>
    <cellStyle name="Assumption Multiple. 7" xfId="49886"/>
    <cellStyle name="Assumption Number." xfId="49887"/>
    <cellStyle name="Assumption Number. 2" xfId="49888"/>
    <cellStyle name="Assumption Number. 2 2" xfId="49889"/>
    <cellStyle name="Assumption Number. 2 3" xfId="49890"/>
    <cellStyle name="Assumption Number. 2 4" xfId="49891"/>
    <cellStyle name="Assumption Number. 3" xfId="49892"/>
    <cellStyle name="Assumption Number. 3 2" xfId="49893"/>
    <cellStyle name="Assumption Number. 3 3" xfId="49894"/>
    <cellStyle name="Assumption Number. 3 4" xfId="49895"/>
    <cellStyle name="Assumption Number. 4" xfId="49896"/>
    <cellStyle name="Assumption Number. 5" xfId="49897"/>
    <cellStyle name="Assumption Number. 6" xfId="49898"/>
    <cellStyle name="Assumption Number. 7" xfId="49899"/>
    <cellStyle name="Assumption Percentage." xfId="49900"/>
    <cellStyle name="Assumption Percentage. 2" xfId="49901"/>
    <cellStyle name="Assumption Percentage. 2 2" xfId="49902"/>
    <cellStyle name="Assumption Percentage. 2 3" xfId="49903"/>
    <cellStyle name="Assumption Percentage. 2 4" xfId="49904"/>
    <cellStyle name="Assumption Percentage. 3" xfId="49905"/>
    <cellStyle name="Assumption Percentage. 3 2" xfId="49906"/>
    <cellStyle name="Assumption Percentage. 3 3" xfId="49907"/>
    <cellStyle name="Assumption Percentage. 3 4" xfId="49908"/>
    <cellStyle name="Assumption Percentage. 4" xfId="49909"/>
    <cellStyle name="Assumption Percentage. 5" xfId="49910"/>
    <cellStyle name="Assumption Percentage. 6" xfId="49911"/>
    <cellStyle name="Assumption Percentage. 7" xfId="49912"/>
    <cellStyle name="Assumption Year." xfId="49913"/>
    <cellStyle name="Assumption Year. 2" xfId="49914"/>
    <cellStyle name="Assumption Year. 2 2" xfId="49915"/>
    <cellStyle name="Assumption Year. 2 3" xfId="49916"/>
    <cellStyle name="Assumption Year. 2 4" xfId="49917"/>
    <cellStyle name="Assumption Year. 3" xfId="49918"/>
    <cellStyle name="Assumption Year. 3 2" xfId="49919"/>
    <cellStyle name="Assumption Year. 3 3" xfId="49920"/>
    <cellStyle name="Assumption Year. 3 4" xfId="49921"/>
    <cellStyle name="Assumption Year. 4" xfId="49922"/>
    <cellStyle name="Assumption Year. 5" xfId="49923"/>
    <cellStyle name="Assumption Year. 6" xfId="49924"/>
    <cellStyle name="Assumption Year. 7" xfId="49925"/>
    <cellStyle name="Assumptions Center Currency" xfId="49926"/>
    <cellStyle name="Assumptions Center Currency 2" xfId="49927"/>
    <cellStyle name="Assumptions Center Currency_~9868926" xfId="49928"/>
    <cellStyle name="Assumptions Center Date" xfId="49929"/>
    <cellStyle name="Assumptions Center Date 2" xfId="49930"/>
    <cellStyle name="Assumptions Center Date_~9868926" xfId="49931"/>
    <cellStyle name="Assumptions Center Multiple" xfId="49932"/>
    <cellStyle name="Assumptions Center Multiple 2" xfId="49933"/>
    <cellStyle name="Assumptions Center Multiple_~9868926" xfId="49934"/>
    <cellStyle name="Assumptions Center Number" xfId="49935"/>
    <cellStyle name="Assumptions Center Number 2" xfId="49936"/>
    <cellStyle name="Assumptions Center Number_~9868926" xfId="49937"/>
    <cellStyle name="Assumptions Center Percentage" xfId="49938"/>
    <cellStyle name="Assumptions Center Percentage 2" xfId="49939"/>
    <cellStyle name="Assumptions Center Percentage_~9868926" xfId="49940"/>
    <cellStyle name="Assumptions Center Year" xfId="49941"/>
    <cellStyle name="Assumptions Center Year 2" xfId="49942"/>
    <cellStyle name="Assumptions Center Year_~9868926" xfId="49943"/>
    <cellStyle name="Assumptions Heading" xfId="49944"/>
    <cellStyle name="Assumptions Heading 2" xfId="49945"/>
    <cellStyle name="Assumptions Heading 2 2" xfId="49946"/>
    <cellStyle name="Assumptions Heading 3" xfId="49947"/>
    <cellStyle name="Assumptions Heading_~9868926" xfId="49948"/>
    <cellStyle name="Assumptions Right Currency" xfId="49949"/>
    <cellStyle name="Assumptions Right Currency 2" xfId="49950"/>
    <cellStyle name="Assumptions Right Currency_~9868926" xfId="49951"/>
    <cellStyle name="Assumptions Right Date" xfId="49952"/>
    <cellStyle name="Assumptions Right Date 2" xfId="49953"/>
    <cellStyle name="Assumptions Right Date_~9868926" xfId="49954"/>
    <cellStyle name="Assumptions Right Multiple" xfId="49955"/>
    <cellStyle name="Assumptions Right Multiple 2" xfId="49956"/>
    <cellStyle name="Assumptions Right Multiple_~9868926" xfId="49957"/>
    <cellStyle name="Assumptions Right Number" xfId="49958"/>
    <cellStyle name="Assumptions Right Number 2" xfId="49959"/>
    <cellStyle name="Assumptions Right Number_~9868926" xfId="49960"/>
    <cellStyle name="Assumptions Right Percentage" xfId="49961"/>
    <cellStyle name="Assumptions Right Percentage 2" xfId="49962"/>
    <cellStyle name="Assumptions Right Percentage_~9868926" xfId="49963"/>
    <cellStyle name="Assumptions Right Year" xfId="49964"/>
    <cellStyle name="Assumptions Right Year 2" xfId="49965"/>
    <cellStyle name="Assumptions Right Year_~9868926" xfId="49966"/>
    <cellStyle name="Att1" xfId="25"/>
    <cellStyle name="Att1 2" xfId="268"/>
    <cellStyle name="Att1 2 10" xfId="49967"/>
    <cellStyle name="Att1 2 2" xfId="8020"/>
    <cellStyle name="Att1 2 3" xfId="49968"/>
    <cellStyle name="Att1 2 4" xfId="49969"/>
    <cellStyle name="Att1 2 5" xfId="49970"/>
    <cellStyle name="Att1 2 6" xfId="49971"/>
    <cellStyle name="Att1 2 7" xfId="49972"/>
    <cellStyle name="Att1 2 8" xfId="49973"/>
    <cellStyle name="Att1 2 9" xfId="49974"/>
    <cellStyle name="Att1 3" xfId="8021"/>
    <cellStyle name="Att1 3 2" xfId="49975"/>
    <cellStyle name="Att1 3 3" xfId="49976"/>
    <cellStyle name="Att1 3 4" xfId="49977"/>
    <cellStyle name="Att1 3 5" xfId="49978"/>
    <cellStyle name="Att1 3 6" xfId="49979"/>
    <cellStyle name="Att1 3 7" xfId="49980"/>
    <cellStyle name="Att1 3 8" xfId="49981"/>
    <cellStyle name="Att1 3 9" xfId="49982"/>
    <cellStyle name="Att1 4" xfId="49983"/>
    <cellStyle name="Att1 4 2" xfId="49984"/>
    <cellStyle name="Att1 5" xfId="49985"/>
    <cellStyle name="Att1 5 2" xfId="49986"/>
    <cellStyle name="Att1 6" xfId="49987"/>
    <cellStyle name="Att1 6 2" xfId="49988"/>
    <cellStyle name="Att1 7" xfId="49989"/>
    <cellStyle name="Att1 7 2" xfId="49990"/>
    <cellStyle name="AutoFormat Options" xfId="49991"/>
    <cellStyle name="Avertissement" xfId="49992"/>
    <cellStyle name="Avertissement 2" xfId="49993"/>
    <cellStyle name="Bad" xfId="26" builtinId="27" customBuiltin="1"/>
    <cellStyle name="Bad 10" xfId="49994"/>
    <cellStyle name="Bad 10 2" xfId="49995"/>
    <cellStyle name="Bad 2" xfId="128"/>
    <cellStyle name="Bad 2 2" xfId="8022"/>
    <cellStyle name="Bad 2 3" xfId="8023"/>
    <cellStyle name="Bad 2 4" xfId="49996"/>
    <cellStyle name="Bad 3" xfId="129"/>
    <cellStyle name="Bad 3 2" xfId="49997"/>
    <cellStyle name="Bad 3 3" xfId="49998"/>
    <cellStyle name="Bad 3 4" xfId="49999"/>
    <cellStyle name="Bad 4" xfId="286"/>
    <cellStyle name="Bad 5" xfId="8024"/>
    <cellStyle name="Bad 5 2" xfId="50000"/>
    <cellStyle name="Bad 6" xfId="50001"/>
    <cellStyle name="Bad 6 2" xfId="50002"/>
    <cellStyle name="Bad 7" xfId="50003"/>
    <cellStyle name="Bad 7 2" xfId="50004"/>
    <cellStyle name="Bad 8" xfId="50005"/>
    <cellStyle name="Bad 8 2" xfId="50006"/>
    <cellStyle name="Bad 9" xfId="50007"/>
    <cellStyle name="Bad 9 2" xfId="50008"/>
    <cellStyle name="Beregning" xfId="50009"/>
    <cellStyle name="Beregning 2" xfId="50010"/>
    <cellStyle name="Beregning 2 2" xfId="50011"/>
    <cellStyle name="Beregning 2 3" xfId="50012"/>
    <cellStyle name="Beregning 2 4" xfId="50013"/>
    <cellStyle name="Beregning 3" xfId="50014"/>
    <cellStyle name="Beregning 3 2" xfId="50015"/>
    <cellStyle name="Beregning 3 3" xfId="50016"/>
    <cellStyle name="Beregning 3 4" xfId="50017"/>
    <cellStyle name="Beregning 4" xfId="50018"/>
    <cellStyle name="Beregning 5" xfId="50019"/>
    <cellStyle name="Beregning 6" xfId="50020"/>
    <cellStyle name="Beregning 7" xfId="50021"/>
    <cellStyle name="bigred" xfId="50022"/>
    <cellStyle name="Billing" xfId="50023"/>
    <cellStyle name="Billing 2" xfId="50024"/>
    <cellStyle name="Billing 3" xfId="50025"/>
    <cellStyle name="Billing 4" xfId="50026"/>
    <cellStyle name="Billing 5" xfId="50027"/>
    <cellStyle name="Billing 6" xfId="50028"/>
    <cellStyle name="black bar" xfId="50029"/>
    <cellStyle name="black bar 2" xfId="50030"/>
    <cellStyle name="Blank" xfId="50031"/>
    <cellStyle name="Blank 2" xfId="50032"/>
    <cellStyle name="Blue" xfId="50033"/>
    <cellStyle name="Blue 2" xfId="50034"/>
    <cellStyle name="Body" xfId="50035"/>
    <cellStyle name="Body 2" xfId="50036"/>
    <cellStyle name="Body_$Dollars" xfId="50037"/>
    <cellStyle name="Bold GHG Numbers (0.00)" xfId="50038"/>
    <cellStyle name="Bold/Border" xfId="50039"/>
    <cellStyle name="Bold/Border 2" xfId="50040"/>
    <cellStyle name="Bold/Border 2 2" xfId="50041"/>
    <cellStyle name="Bold/Border 2 2 2" xfId="50042"/>
    <cellStyle name="Bold/Border 2 3" xfId="50043"/>
    <cellStyle name="Bold/Border 2 4" xfId="50044"/>
    <cellStyle name="Bold/Border 3" xfId="50045"/>
    <cellStyle name="Bold/Border 3 2" xfId="50046"/>
    <cellStyle name="Bold/Border 3 3" xfId="50047"/>
    <cellStyle name="Bold/Border 3 4" xfId="50048"/>
    <cellStyle name="Bold/Border 4" xfId="50049"/>
    <cellStyle name="Bold/Border 4 2" xfId="50050"/>
    <cellStyle name="Bold/Border 5" xfId="50051"/>
    <cellStyle name="Bold/Border 6" xfId="50052"/>
    <cellStyle name="Bold/Border_~9868926" xfId="50053"/>
    <cellStyle name="Bold_8" xfId="50054"/>
    <cellStyle name="boldbluetxt_green" xfId="27"/>
    <cellStyle name="Border" xfId="50055"/>
    <cellStyle name="Border 2" xfId="50056"/>
    <cellStyle name="Border 3" xfId="50057"/>
    <cellStyle name="Border 4" xfId="50058"/>
    <cellStyle name="Border 5" xfId="50059"/>
    <cellStyle name="Border 6" xfId="50060"/>
    <cellStyle name="Border Heavy" xfId="50061"/>
    <cellStyle name="Border Heavy 2" xfId="50062"/>
    <cellStyle name="Border Thin" xfId="50063"/>
    <cellStyle name="Border Thin 2" xfId="50064"/>
    <cellStyle name="Border Thin 2 2" xfId="50065"/>
    <cellStyle name="Border Thin 2 3" xfId="50066"/>
    <cellStyle name="Border Thin 2 4" xfId="50067"/>
    <cellStyle name="Border Thin 3" xfId="50068"/>
    <cellStyle name="Border Thin 3 2" xfId="50069"/>
    <cellStyle name="Border Thin 3 3" xfId="50070"/>
    <cellStyle name="Border Thin 4" xfId="50071"/>
    <cellStyle name="Border Thin 5" xfId="50072"/>
    <cellStyle name="Border Thin 6" xfId="50073"/>
    <cellStyle name="Border Thin_~9868926" xfId="50074"/>
    <cellStyle name="Bottom bold border" xfId="50075"/>
    <cellStyle name="Bottom single border" xfId="50076"/>
    <cellStyle name="Bottom single border 2" xfId="50077"/>
    <cellStyle name="Bottom single border 2 2" xfId="50078"/>
    <cellStyle name="Bottom single border 2 3" xfId="50079"/>
    <cellStyle name="Bottom single border 2 4" xfId="50080"/>
    <cellStyle name="Bottom single border 3" xfId="50081"/>
    <cellStyle name="Bottom single border 3 2" xfId="50082"/>
    <cellStyle name="Bottom single border 4" xfId="50083"/>
    <cellStyle name="Bottom single border_~9868926" xfId="50084"/>
    <cellStyle name="box" xfId="28"/>
    <cellStyle name="box 2" xfId="269"/>
    <cellStyle name="box 2 10" xfId="50085"/>
    <cellStyle name="box 2 2" xfId="8025"/>
    <cellStyle name="box 2 3" xfId="50086"/>
    <cellStyle name="box 2 4" xfId="50087"/>
    <cellStyle name="box 2 5" xfId="50088"/>
    <cellStyle name="box 2 6" xfId="50089"/>
    <cellStyle name="box 2 7" xfId="50090"/>
    <cellStyle name="box 2 8" xfId="50091"/>
    <cellStyle name="box 2 9" xfId="50092"/>
    <cellStyle name="box 2_IBP - COPI Uplift at Investment Area Level 01Feb12" xfId="50093"/>
    <cellStyle name="box 3" xfId="8026"/>
    <cellStyle name="box 3 2" xfId="50094"/>
    <cellStyle name="box 3 3" xfId="50095"/>
    <cellStyle name="box 3 4" xfId="50096"/>
    <cellStyle name="box 3 5" xfId="50097"/>
    <cellStyle name="box 3 6" xfId="50098"/>
    <cellStyle name="box 3 7" xfId="50099"/>
    <cellStyle name="box 3 8" xfId="50100"/>
    <cellStyle name="box 3 9" xfId="50101"/>
    <cellStyle name="box 3_IBP - COPI Uplift at Investment Area Level 01Feb12" xfId="50102"/>
    <cellStyle name="box 4" xfId="8027"/>
    <cellStyle name="box 4 2" xfId="50103"/>
    <cellStyle name="box 5" xfId="8028"/>
    <cellStyle name="box 5 2" xfId="50104"/>
    <cellStyle name="box 6" xfId="8029"/>
    <cellStyle name="box 6 2" xfId="50105"/>
    <cellStyle name="box 7" xfId="50106"/>
    <cellStyle name="box 7 2" xfId="50107"/>
    <cellStyle name="box_2012 04 April R&amp;O Register IC Reporting" xfId="50108"/>
    <cellStyle name="brackets" xfId="50109"/>
    <cellStyle name="Branch" xfId="50110"/>
    <cellStyle name="Branch 2" xfId="50111"/>
    <cellStyle name="Brand Align Left Text" xfId="50112"/>
    <cellStyle name="Brand Default" xfId="50113"/>
    <cellStyle name="Brand Percent" xfId="50114"/>
    <cellStyle name="Brand Source" xfId="50115"/>
    <cellStyle name="Brand Subtitle with Underline" xfId="50116"/>
    <cellStyle name="Brand Subtitle without Underline" xfId="50117"/>
    <cellStyle name="Brand Title" xfId="50118"/>
    <cellStyle name="British Pound" xfId="50119"/>
    <cellStyle name="British Pound 2" xfId="50120"/>
    <cellStyle name="British Pound 2 2" xfId="50121"/>
    <cellStyle name="British Pound 3" xfId="50122"/>
    <cellStyle name="British Pound 3 2" xfId="50123"/>
    <cellStyle name="British Pound 4" xfId="50124"/>
    <cellStyle name="British Pound 4 2" xfId="50125"/>
    <cellStyle name="British Pound 5" xfId="50126"/>
    <cellStyle name="British Pound 5 2" xfId="50127"/>
    <cellStyle name="British Pound 6" xfId="50128"/>
    <cellStyle name="British Pound 6 2" xfId="50129"/>
    <cellStyle name="British Pound 7" xfId="50130"/>
    <cellStyle name="British Pound[2]" xfId="50131"/>
    <cellStyle name="British Pound[2] 10" xfId="50132"/>
    <cellStyle name="British Pound[2] 2" xfId="50133"/>
    <cellStyle name="British Pound[2] 2 2" xfId="50134"/>
    <cellStyle name="British Pound[2] 2 2 2" xfId="50135"/>
    <cellStyle name="British Pound[2] 2 3" xfId="50136"/>
    <cellStyle name="British Pound[2] 2 4" xfId="50137"/>
    <cellStyle name="British Pound[2] 2 5" xfId="50138"/>
    <cellStyle name="British Pound[2] 3" xfId="50139"/>
    <cellStyle name="British Pound[2] 3 2" xfId="50140"/>
    <cellStyle name="British Pound[2] 3 3" xfId="50141"/>
    <cellStyle name="British Pound[2] 3 4" xfId="50142"/>
    <cellStyle name="British Pound[2] 4" xfId="50143"/>
    <cellStyle name="British Pound[2] 4 2" xfId="50144"/>
    <cellStyle name="British Pound[2] 4 3" xfId="50145"/>
    <cellStyle name="British Pound[2] 4 4" xfId="50146"/>
    <cellStyle name="British Pound[2] 5" xfId="50147"/>
    <cellStyle name="British Pound[2] 5 2" xfId="50148"/>
    <cellStyle name="British Pound[2] 5 3" xfId="50149"/>
    <cellStyle name="British Pound[2] 5 4" xfId="50150"/>
    <cellStyle name="British Pound[2] 6" xfId="50151"/>
    <cellStyle name="British Pound[2] 6 2" xfId="50152"/>
    <cellStyle name="British Pound[2] 6 3" xfId="50153"/>
    <cellStyle name="British Pound[2] 6 4" xfId="50154"/>
    <cellStyle name="British Pound[2] 7" xfId="50155"/>
    <cellStyle name="British Pound[2] 7 2" xfId="50156"/>
    <cellStyle name="British Pound[2] 7 3" xfId="50157"/>
    <cellStyle name="British Pound[2] 7 4" xfId="50158"/>
    <cellStyle name="British Pound[2] 8" xfId="50159"/>
    <cellStyle name="British Pound[2] 9" xfId="50160"/>
    <cellStyle name="Brought" xfId="50161"/>
    <cellStyle name="BudgetWS_HQ" xfId="50162"/>
    <cellStyle name="Bullet" xfId="50163"/>
    <cellStyle name="Bullet 2" xfId="50164"/>
    <cellStyle name="Business Description" xfId="50165"/>
    <cellStyle name="Business Description 2" xfId="50166"/>
    <cellStyle name="Business Description 2 2" xfId="50167"/>
    <cellStyle name="Business Description 3" xfId="50168"/>
    <cellStyle name="c5" xfId="50169"/>
    <cellStyle name="Cabecera 1" xfId="50170"/>
    <cellStyle name="Cabecera 1 2" xfId="50171"/>
    <cellStyle name="Cabecera 2" xfId="50172"/>
    <cellStyle name="Cabecera 2 2" xfId="50173"/>
    <cellStyle name="Calc Currency (0)" xfId="50174"/>
    <cellStyle name="Calc Currency (0) 2" xfId="50175"/>
    <cellStyle name="Calc Currency (2)" xfId="50176"/>
    <cellStyle name="Calc Currency (2) 2" xfId="50177"/>
    <cellStyle name="Calc Percent (0)" xfId="50178"/>
    <cellStyle name="Calc Percent (0) 2" xfId="50179"/>
    <cellStyle name="Calc Percent (1)" xfId="50180"/>
    <cellStyle name="Calc Percent (1) 2" xfId="50181"/>
    <cellStyle name="Calc Percent (2)" xfId="50182"/>
    <cellStyle name="Calc Percent (2) 2" xfId="50183"/>
    <cellStyle name="Calc Units (0)" xfId="50184"/>
    <cellStyle name="Calc Units (0) 2" xfId="50185"/>
    <cellStyle name="Calc Units (1)" xfId="50186"/>
    <cellStyle name="Calc Units (1) 2" xfId="50187"/>
    <cellStyle name="Calc Units (2)" xfId="50188"/>
    <cellStyle name="Calc Units (2) 2" xfId="50189"/>
    <cellStyle name="Calcul" xfId="50190"/>
    <cellStyle name="calculate" xfId="50191"/>
    <cellStyle name="Calculation" xfId="29" builtinId="22" customBuiltin="1"/>
    <cellStyle name="Calculation 10" xfId="50192"/>
    <cellStyle name="Calculation 10 2" xfId="50193"/>
    <cellStyle name="Calculation 10 2 2" xfId="50194"/>
    <cellStyle name="Calculation 10 2 3" xfId="50195"/>
    <cellStyle name="Calculation 10 2 4" xfId="50196"/>
    <cellStyle name="Calculation 10 3" xfId="50197"/>
    <cellStyle name="Calculation 10 3 2" xfId="50198"/>
    <cellStyle name="Calculation 10 3 3" xfId="50199"/>
    <cellStyle name="Calculation 10 3 4" xfId="50200"/>
    <cellStyle name="Calculation 10 4" xfId="50201"/>
    <cellStyle name="Calculation 10 5" xfId="50202"/>
    <cellStyle name="Calculation 10 6" xfId="50203"/>
    <cellStyle name="Calculation 10 7" xfId="50204"/>
    <cellStyle name="Calculation 2" xfId="130"/>
    <cellStyle name="Calculation 2 10" xfId="292"/>
    <cellStyle name="Calculation 2 10 10" xfId="8030"/>
    <cellStyle name="Calculation 2 10 11" xfId="8031"/>
    <cellStyle name="Calculation 2 10 12" xfId="8032"/>
    <cellStyle name="Calculation 2 10 13" xfId="8033"/>
    <cellStyle name="Calculation 2 10 14" xfId="8034"/>
    <cellStyle name="Calculation 2 10 15" xfId="8035"/>
    <cellStyle name="Calculation 2 10 16" xfId="8036"/>
    <cellStyle name="Calculation 2 10 17" xfId="8037"/>
    <cellStyle name="Calculation 2 10 18" xfId="8038"/>
    <cellStyle name="Calculation 2 10 19" xfId="8039"/>
    <cellStyle name="Calculation 2 10 2" xfId="293"/>
    <cellStyle name="Calculation 2 10 2 2" xfId="8040"/>
    <cellStyle name="Calculation 2 10 2 2 2" xfId="8041"/>
    <cellStyle name="Calculation 2 10 2 2 2 2" xfId="8042"/>
    <cellStyle name="Calculation 2 10 2 2 2 3" xfId="8043"/>
    <cellStyle name="Calculation 2 10 2 2 2 4" xfId="8044"/>
    <cellStyle name="Calculation 2 10 2 2 3" xfId="8045"/>
    <cellStyle name="Calculation 2 10 2 2 4" xfId="8046"/>
    <cellStyle name="Calculation 2 10 2 2 5" xfId="8047"/>
    <cellStyle name="Calculation 2 10 2 2 6" xfId="8048"/>
    <cellStyle name="Calculation 2 10 2 3" xfId="8049"/>
    <cellStyle name="Calculation 2 10 2 3 2" xfId="8050"/>
    <cellStyle name="Calculation 2 10 2 3 3" xfId="8051"/>
    <cellStyle name="Calculation 2 10 2 3 4" xfId="8052"/>
    <cellStyle name="Calculation 2 10 2 4" xfId="8053"/>
    <cellStyle name="Calculation 2 10 2 5" xfId="8054"/>
    <cellStyle name="Calculation 2 10 2 6" xfId="8055"/>
    <cellStyle name="Calculation 2 10 2 7" xfId="8056"/>
    <cellStyle name="Calculation 2 10 20" xfId="8057"/>
    <cellStyle name="Calculation 2 10 21" xfId="8058"/>
    <cellStyle name="Calculation 2 10 22" xfId="8059"/>
    <cellStyle name="Calculation 2 10 23" xfId="8060"/>
    <cellStyle name="Calculation 2 10 24" xfId="8061"/>
    <cellStyle name="Calculation 2 10 3" xfId="294"/>
    <cellStyle name="Calculation 2 10 3 2" xfId="8062"/>
    <cellStyle name="Calculation 2 10 3 2 2" xfId="8063"/>
    <cellStyle name="Calculation 2 10 3 2 3" xfId="8064"/>
    <cellStyle name="Calculation 2 10 3 2 4" xfId="8065"/>
    <cellStyle name="Calculation 2 10 3 3" xfId="8066"/>
    <cellStyle name="Calculation 2 10 3 4" xfId="8067"/>
    <cellStyle name="Calculation 2 10 3 5" xfId="8068"/>
    <cellStyle name="Calculation 2 10 3 6" xfId="8069"/>
    <cellStyle name="Calculation 2 10 4" xfId="8070"/>
    <cellStyle name="Calculation 2 10 4 2" xfId="8071"/>
    <cellStyle name="Calculation 2 10 4 3" xfId="8072"/>
    <cellStyle name="Calculation 2 10 4 4" xfId="8073"/>
    <cellStyle name="Calculation 2 10 4 5" xfId="8074"/>
    <cellStyle name="Calculation 2 10 5" xfId="8075"/>
    <cellStyle name="Calculation 2 10 5 2" xfId="8076"/>
    <cellStyle name="Calculation 2 10 5 3" xfId="8077"/>
    <cellStyle name="Calculation 2 10 5 4" xfId="8078"/>
    <cellStyle name="Calculation 2 10 6" xfId="8079"/>
    <cellStyle name="Calculation 2 10 6 2" xfId="8080"/>
    <cellStyle name="Calculation 2 10 6 3" xfId="8081"/>
    <cellStyle name="Calculation 2 10 6 4" xfId="8082"/>
    <cellStyle name="Calculation 2 10 7" xfId="8083"/>
    <cellStyle name="Calculation 2 10 7 2" xfId="8084"/>
    <cellStyle name="Calculation 2 10 7 3" xfId="8085"/>
    <cellStyle name="Calculation 2 10 7 4" xfId="8086"/>
    <cellStyle name="Calculation 2 10 8" xfId="8087"/>
    <cellStyle name="Calculation 2 10 8 2" xfId="8088"/>
    <cellStyle name="Calculation 2 10 8 3" xfId="8089"/>
    <cellStyle name="Calculation 2 10 8 4" xfId="8090"/>
    <cellStyle name="Calculation 2 10 9" xfId="8091"/>
    <cellStyle name="Calculation 2 11" xfId="295"/>
    <cellStyle name="Calculation 2 11 10" xfId="8092"/>
    <cellStyle name="Calculation 2 11 11" xfId="8093"/>
    <cellStyle name="Calculation 2 11 12" xfId="8094"/>
    <cellStyle name="Calculation 2 11 13" xfId="8095"/>
    <cellStyle name="Calculation 2 11 14" xfId="8096"/>
    <cellStyle name="Calculation 2 11 15" xfId="8097"/>
    <cellStyle name="Calculation 2 11 16" xfId="8098"/>
    <cellStyle name="Calculation 2 11 17" xfId="8099"/>
    <cellStyle name="Calculation 2 11 18" xfId="8100"/>
    <cellStyle name="Calculation 2 11 19" xfId="8101"/>
    <cellStyle name="Calculation 2 11 2" xfId="296"/>
    <cellStyle name="Calculation 2 11 2 2" xfId="8102"/>
    <cellStyle name="Calculation 2 11 2 2 2" xfId="8103"/>
    <cellStyle name="Calculation 2 11 2 2 3" xfId="8104"/>
    <cellStyle name="Calculation 2 11 2 2 4" xfId="8105"/>
    <cellStyle name="Calculation 2 11 2 3" xfId="8106"/>
    <cellStyle name="Calculation 2 11 2 4" xfId="8107"/>
    <cellStyle name="Calculation 2 11 2 5" xfId="8108"/>
    <cellStyle name="Calculation 2 11 2 6" xfId="8109"/>
    <cellStyle name="Calculation 2 11 20" xfId="8110"/>
    <cellStyle name="Calculation 2 11 21" xfId="8111"/>
    <cellStyle name="Calculation 2 11 22" xfId="8112"/>
    <cellStyle name="Calculation 2 11 23" xfId="8113"/>
    <cellStyle name="Calculation 2 11 3" xfId="297"/>
    <cellStyle name="Calculation 2 11 3 2" xfId="8114"/>
    <cellStyle name="Calculation 2 11 3 3" xfId="8115"/>
    <cellStyle name="Calculation 2 11 3 4" xfId="8116"/>
    <cellStyle name="Calculation 2 11 3 5" xfId="8117"/>
    <cellStyle name="Calculation 2 11 4" xfId="8118"/>
    <cellStyle name="Calculation 2 11 4 2" xfId="8119"/>
    <cellStyle name="Calculation 2 11 4 3" xfId="8120"/>
    <cellStyle name="Calculation 2 11 4 4" xfId="8121"/>
    <cellStyle name="Calculation 2 11 5" xfId="8122"/>
    <cellStyle name="Calculation 2 11 5 2" xfId="8123"/>
    <cellStyle name="Calculation 2 11 5 3" xfId="8124"/>
    <cellStyle name="Calculation 2 11 5 4" xfId="8125"/>
    <cellStyle name="Calculation 2 11 6" xfId="8126"/>
    <cellStyle name="Calculation 2 11 6 2" xfId="8127"/>
    <cellStyle name="Calculation 2 11 6 3" xfId="8128"/>
    <cellStyle name="Calculation 2 11 6 4" xfId="8129"/>
    <cellStyle name="Calculation 2 11 7" xfId="8130"/>
    <cellStyle name="Calculation 2 11 7 2" xfId="8131"/>
    <cellStyle name="Calculation 2 11 7 3" xfId="8132"/>
    <cellStyle name="Calculation 2 11 7 4" xfId="8133"/>
    <cellStyle name="Calculation 2 11 8" xfId="8134"/>
    <cellStyle name="Calculation 2 11 9" xfId="8135"/>
    <cellStyle name="Calculation 2 12" xfId="298"/>
    <cellStyle name="Calculation 2 12 10" xfId="8136"/>
    <cellStyle name="Calculation 2 12 11" xfId="8137"/>
    <cellStyle name="Calculation 2 12 12" xfId="8138"/>
    <cellStyle name="Calculation 2 12 13" xfId="8139"/>
    <cellStyle name="Calculation 2 12 14" xfId="8140"/>
    <cellStyle name="Calculation 2 12 15" xfId="8141"/>
    <cellStyle name="Calculation 2 12 16" xfId="8142"/>
    <cellStyle name="Calculation 2 12 17" xfId="8143"/>
    <cellStyle name="Calculation 2 12 18" xfId="8144"/>
    <cellStyle name="Calculation 2 12 19" xfId="8145"/>
    <cellStyle name="Calculation 2 12 2" xfId="299"/>
    <cellStyle name="Calculation 2 12 2 2" xfId="8146"/>
    <cellStyle name="Calculation 2 12 2 3" xfId="8147"/>
    <cellStyle name="Calculation 2 12 2 4" xfId="8148"/>
    <cellStyle name="Calculation 2 12 20" xfId="8149"/>
    <cellStyle name="Calculation 2 12 3" xfId="300"/>
    <cellStyle name="Calculation 2 12 3 2" xfId="8150"/>
    <cellStyle name="Calculation 2 12 3 3" xfId="8151"/>
    <cellStyle name="Calculation 2 12 3 4" xfId="8152"/>
    <cellStyle name="Calculation 2 12 4" xfId="8153"/>
    <cellStyle name="Calculation 2 12 4 2" xfId="8154"/>
    <cellStyle name="Calculation 2 12 4 3" xfId="8155"/>
    <cellStyle name="Calculation 2 12 4 4" xfId="8156"/>
    <cellStyle name="Calculation 2 12 5" xfId="8157"/>
    <cellStyle name="Calculation 2 12 6" xfId="8158"/>
    <cellStyle name="Calculation 2 12 7" xfId="8159"/>
    <cellStyle name="Calculation 2 12 8" xfId="8160"/>
    <cellStyle name="Calculation 2 12 9" xfId="8161"/>
    <cellStyle name="Calculation 2 13" xfId="301"/>
    <cellStyle name="Calculation 2 13 10" xfId="8162"/>
    <cellStyle name="Calculation 2 13 11" xfId="8163"/>
    <cellStyle name="Calculation 2 13 12" xfId="8164"/>
    <cellStyle name="Calculation 2 13 13" xfId="8165"/>
    <cellStyle name="Calculation 2 13 14" xfId="8166"/>
    <cellStyle name="Calculation 2 13 15" xfId="8167"/>
    <cellStyle name="Calculation 2 13 16" xfId="8168"/>
    <cellStyle name="Calculation 2 13 17" xfId="8169"/>
    <cellStyle name="Calculation 2 13 18" xfId="8170"/>
    <cellStyle name="Calculation 2 13 19" xfId="8171"/>
    <cellStyle name="Calculation 2 13 2" xfId="302"/>
    <cellStyle name="Calculation 2 13 2 2" xfId="8172"/>
    <cellStyle name="Calculation 2 13 2 3" xfId="8173"/>
    <cellStyle name="Calculation 2 13 2 4" xfId="8174"/>
    <cellStyle name="Calculation 2 13 20" xfId="8175"/>
    <cellStyle name="Calculation 2 13 3" xfId="303"/>
    <cellStyle name="Calculation 2 13 3 2" xfId="8176"/>
    <cellStyle name="Calculation 2 13 3 3" xfId="8177"/>
    <cellStyle name="Calculation 2 13 3 4" xfId="8178"/>
    <cellStyle name="Calculation 2 13 4" xfId="8179"/>
    <cellStyle name="Calculation 2 13 4 2" xfId="8180"/>
    <cellStyle name="Calculation 2 13 4 3" xfId="8181"/>
    <cellStyle name="Calculation 2 13 4 4" xfId="8182"/>
    <cellStyle name="Calculation 2 13 5" xfId="8183"/>
    <cellStyle name="Calculation 2 13 6" xfId="8184"/>
    <cellStyle name="Calculation 2 13 7" xfId="8185"/>
    <cellStyle name="Calculation 2 13 8" xfId="8186"/>
    <cellStyle name="Calculation 2 13 9" xfId="8187"/>
    <cellStyle name="Calculation 2 14" xfId="304"/>
    <cellStyle name="Calculation 2 14 10" xfId="8188"/>
    <cellStyle name="Calculation 2 14 11" xfId="8189"/>
    <cellStyle name="Calculation 2 14 12" xfId="8190"/>
    <cellStyle name="Calculation 2 14 13" xfId="8191"/>
    <cellStyle name="Calculation 2 14 14" xfId="8192"/>
    <cellStyle name="Calculation 2 14 15" xfId="8193"/>
    <cellStyle name="Calculation 2 14 16" xfId="8194"/>
    <cellStyle name="Calculation 2 14 17" xfId="8195"/>
    <cellStyle name="Calculation 2 14 18" xfId="8196"/>
    <cellStyle name="Calculation 2 14 2" xfId="305"/>
    <cellStyle name="Calculation 2 14 2 2" xfId="8197"/>
    <cellStyle name="Calculation 2 14 2 3" xfId="8198"/>
    <cellStyle name="Calculation 2 14 2 4" xfId="8199"/>
    <cellStyle name="Calculation 2 14 3" xfId="306"/>
    <cellStyle name="Calculation 2 14 3 2" xfId="8200"/>
    <cellStyle name="Calculation 2 14 3 3" xfId="8201"/>
    <cellStyle name="Calculation 2 14 3 4" xfId="8202"/>
    <cellStyle name="Calculation 2 14 4" xfId="8203"/>
    <cellStyle name="Calculation 2 14 5" xfId="8204"/>
    <cellStyle name="Calculation 2 14 6" xfId="8205"/>
    <cellStyle name="Calculation 2 14 7" xfId="8206"/>
    <cellStyle name="Calculation 2 14 8" xfId="8207"/>
    <cellStyle name="Calculation 2 14 9" xfId="8208"/>
    <cellStyle name="Calculation 2 15" xfId="307"/>
    <cellStyle name="Calculation 2 15 10" xfId="8209"/>
    <cellStyle name="Calculation 2 15 11" xfId="8210"/>
    <cellStyle name="Calculation 2 15 12" xfId="8211"/>
    <cellStyle name="Calculation 2 15 13" xfId="8212"/>
    <cellStyle name="Calculation 2 15 14" xfId="8213"/>
    <cellStyle name="Calculation 2 15 15" xfId="8214"/>
    <cellStyle name="Calculation 2 15 16" xfId="8215"/>
    <cellStyle name="Calculation 2 15 17" xfId="8216"/>
    <cellStyle name="Calculation 2 15 18" xfId="8217"/>
    <cellStyle name="Calculation 2 15 2" xfId="308"/>
    <cellStyle name="Calculation 2 15 2 2" xfId="8218"/>
    <cellStyle name="Calculation 2 15 2 3" xfId="8219"/>
    <cellStyle name="Calculation 2 15 2 4" xfId="8220"/>
    <cellStyle name="Calculation 2 15 3" xfId="309"/>
    <cellStyle name="Calculation 2 15 3 2" xfId="8221"/>
    <cellStyle name="Calculation 2 15 3 3" xfId="8222"/>
    <cellStyle name="Calculation 2 15 3 4" xfId="8223"/>
    <cellStyle name="Calculation 2 15 4" xfId="8224"/>
    <cellStyle name="Calculation 2 15 5" xfId="8225"/>
    <cellStyle name="Calculation 2 15 6" xfId="8226"/>
    <cellStyle name="Calculation 2 15 7" xfId="8227"/>
    <cellStyle name="Calculation 2 15 8" xfId="8228"/>
    <cellStyle name="Calculation 2 15 9" xfId="8229"/>
    <cellStyle name="Calculation 2 16" xfId="310"/>
    <cellStyle name="Calculation 2 16 10" xfId="8230"/>
    <cellStyle name="Calculation 2 16 11" xfId="8231"/>
    <cellStyle name="Calculation 2 16 12" xfId="8232"/>
    <cellStyle name="Calculation 2 16 13" xfId="8233"/>
    <cellStyle name="Calculation 2 16 14" xfId="8234"/>
    <cellStyle name="Calculation 2 16 15" xfId="8235"/>
    <cellStyle name="Calculation 2 16 16" xfId="8236"/>
    <cellStyle name="Calculation 2 16 17" xfId="8237"/>
    <cellStyle name="Calculation 2 16 2" xfId="8238"/>
    <cellStyle name="Calculation 2 16 2 2" xfId="8239"/>
    <cellStyle name="Calculation 2 16 2 3" xfId="8240"/>
    <cellStyle name="Calculation 2 16 2 4" xfId="8241"/>
    <cellStyle name="Calculation 2 16 3" xfId="8242"/>
    <cellStyle name="Calculation 2 16 4" xfId="8243"/>
    <cellStyle name="Calculation 2 16 5" xfId="8244"/>
    <cellStyle name="Calculation 2 16 6" xfId="8245"/>
    <cellStyle name="Calculation 2 16 7" xfId="8246"/>
    <cellStyle name="Calculation 2 16 8" xfId="8247"/>
    <cellStyle name="Calculation 2 16 9" xfId="8248"/>
    <cellStyle name="Calculation 2 17" xfId="8249"/>
    <cellStyle name="Calculation 2 17 10" xfId="8250"/>
    <cellStyle name="Calculation 2 17 11" xfId="8251"/>
    <cellStyle name="Calculation 2 17 12" xfId="8252"/>
    <cellStyle name="Calculation 2 17 13" xfId="8253"/>
    <cellStyle name="Calculation 2 17 14" xfId="8254"/>
    <cellStyle name="Calculation 2 17 15" xfId="8255"/>
    <cellStyle name="Calculation 2 17 16" xfId="8256"/>
    <cellStyle name="Calculation 2 17 2" xfId="8257"/>
    <cellStyle name="Calculation 2 17 3" xfId="8258"/>
    <cellStyle name="Calculation 2 17 4" xfId="8259"/>
    <cellStyle name="Calculation 2 17 5" xfId="8260"/>
    <cellStyle name="Calculation 2 17 6" xfId="8261"/>
    <cellStyle name="Calculation 2 17 7" xfId="8262"/>
    <cellStyle name="Calculation 2 17 8" xfId="8263"/>
    <cellStyle name="Calculation 2 17 9" xfId="8264"/>
    <cellStyle name="Calculation 2 18" xfId="8265"/>
    <cellStyle name="Calculation 2 18 10" xfId="8266"/>
    <cellStyle name="Calculation 2 18 11" xfId="8267"/>
    <cellStyle name="Calculation 2 18 12" xfId="8268"/>
    <cellStyle name="Calculation 2 18 13" xfId="8269"/>
    <cellStyle name="Calculation 2 18 14" xfId="8270"/>
    <cellStyle name="Calculation 2 18 15" xfId="8271"/>
    <cellStyle name="Calculation 2 18 2" xfId="8272"/>
    <cellStyle name="Calculation 2 18 3" xfId="8273"/>
    <cellStyle name="Calculation 2 18 4" xfId="8274"/>
    <cellStyle name="Calculation 2 18 5" xfId="8275"/>
    <cellStyle name="Calculation 2 18 6" xfId="8276"/>
    <cellStyle name="Calculation 2 18 7" xfId="8277"/>
    <cellStyle name="Calculation 2 18 8" xfId="8278"/>
    <cellStyle name="Calculation 2 18 9" xfId="8279"/>
    <cellStyle name="Calculation 2 19" xfId="8280"/>
    <cellStyle name="Calculation 2 19 10" xfId="8281"/>
    <cellStyle name="Calculation 2 19 11" xfId="8282"/>
    <cellStyle name="Calculation 2 19 12" xfId="8283"/>
    <cellStyle name="Calculation 2 19 13" xfId="8284"/>
    <cellStyle name="Calculation 2 19 14" xfId="8285"/>
    <cellStyle name="Calculation 2 19 15" xfId="8286"/>
    <cellStyle name="Calculation 2 19 2" xfId="8287"/>
    <cellStyle name="Calculation 2 19 3" xfId="8288"/>
    <cellStyle name="Calculation 2 19 4" xfId="8289"/>
    <cellStyle name="Calculation 2 19 5" xfId="8290"/>
    <cellStyle name="Calculation 2 19 6" xfId="8291"/>
    <cellStyle name="Calculation 2 19 7" xfId="8292"/>
    <cellStyle name="Calculation 2 19 8" xfId="8293"/>
    <cellStyle name="Calculation 2 19 9" xfId="8294"/>
    <cellStyle name="Calculation 2 2" xfId="131"/>
    <cellStyle name="Calculation 2 2 10" xfId="311"/>
    <cellStyle name="Calculation 2 2 10 10" xfId="8295"/>
    <cellStyle name="Calculation 2 2 10 11" xfId="8296"/>
    <cellStyle name="Calculation 2 2 10 2" xfId="312"/>
    <cellStyle name="Calculation 2 2 10 2 2" xfId="8297"/>
    <cellStyle name="Calculation 2 2 10 2 2 2" xfId="8298"/>
    <cellStyle name="Calculation 2 2 10 2 2 3" xfId="8299"/>
    <cellStyle name="Calculation 2 2 10 2 2 4" xfId="8300"/>
    <cellStyle name="Calculation 2 2 10 2 3" xfId="8301"/>
    <cellStyle name="Calculation 2 2 10 2 4" xfId="8302"/>
    <cellStyle name="Calculation 2 2 10 2 5" xfId="8303"/>
    <cellStyle name="Calculation 2 2 10 2 6" xfId="8304"/>
    <cellStyle name="Calculation 2 2 10 3" xfId="313"/>
    <cellStyle name="Calculation 2 2 10 3 2" xfId="8305"/>
    <cellStyle name="Calculation 2 2 10 3 3" xfId="8306"/>
    <cellStyle name="Calculation 2 2 10 3 4" xfId="8307"/>
    <cellStyle name="Calculation 2 2 10 4" xfId="8308"/>
    <cellStyle name="Calculation 2 2 10 4 2" xfId="8309"/>
    <cellStyle name="Calculation 2 2 10 4 3" xfId="8310"/>
    <cellStyle name="Calculation 2 2 10 4 4" xfId="8311"/>
    <cellStyle name="Calculation 2 2 10 5" xfId="8312"/>
    <cellStyle name="Calculation 2 2 10 5 2" xfId="8313"/>
    <cellStyle name="Calculation 2 2 10 5 3" xfId="8314"/>
    <cellStyle name="Calculation 2 2 10 5 4" xfId="8315"/>
    <cellStyle name="Calculation 2 2 10 6" xfId="8316"/>
    <cellStyle name="Calculation 2 2 10 6 2" xfId="8317"/>
    <cellStyle name="Calculation 2 2 10 6 3" xfId="8318"/>
    <cellStyle name="Calculation 2 2 10 6 4" xfId="8319"/>
    <cellStyle name="Calculation 2 2 10 7" xfId="8320"/>
    <cellStyle name="Calculation 2 2 10 7 2" xfId="8321"/>
    <cellStyle name="Calculation 2 2 10 7 3" xfId="8322"/>
    <cellStyle name="Calculation 2 2 10 7 4" xfId="8323"/>
    <cellStyle name="Calculation 2 2 10 8" xfId="8324"/>
    <cellStyle name="Calculation 2 2 10 9" xfId="8325"/>
    <cellStyle name="Calculation 2 2 11" xfId="314"/>
    <cellStyle name="Calculation 2 2 11 2" xfId="315"/>
    <cellStyle name="Calculation 2 2 11 2 2" xfId="8326"/>
    <cellStyle name="Calculation 2 2 11 2 3" xfId="8327"/>
    <cellStyle name="Calculation 2 2 11 2 4" xfId="8328"/>
    <cellStyle name="Calculation 2 2 11 3" xfId="316"/>
    <cellStyle name="Calculation 2 2 11 3 2" xfId="8329"/>
    <cellStyle name="Calculation 2 2 11 3 3" xfId="8330"/>
    <cellStyle name="Calculation 2 2 11 3 4" xfId="8331"/>
    <cellStyle name="Calculation 2 2 11 4" xfId="8332"/>
    <cellStyle name="Calculation 2 2 11 4 2" xfId="8333"/>
    <cellStyle name="Calculation 2 2 11 4 3" xfId="8334"/>
    <cellStyle name="Calculation 2 2 11 4 4" xfId="8335"/>
    <cellStyle name="Calculation 2 2 11 5" xfId="8336"/>
    <cellStyle name="Calculation 2 2 11 6" xfId="8337"/>
    <cellStyle name="Calculation 2 2 11 7" xfId="8338"/>
    <cellStyle name="Calculation 2 2 11 8" xfId="8339"/>
    <cellStyle name="Calculation 2 2 12" xfId="317"/>
    <cellStyle name="Calculation 2 2 12 2" xfId="318"/>
    <cellStyle name="Calculation 2 2 12 2 2" xfId="8340"/>
    <cellStyle name="Calculation 2 2 12 2 3" xfId="8341"/>
    <cellStyle name="Calculation 2 2 12 2 4" xfId="8342"/>
    <cellStyle name="Calculation 2 2 12 3" xfId="319"/>
    <cellStyle name="Calculation 2 2 12 3 2" xfId="8343"/>
    <cellStyle name="Calculation 2 2 12 3 3" xfId="8344"/>
    <cellStyle name="Calculation 2 2 12 3 4" xfId="8345"/>
    <cellStyle name="Calculation 2 2 12 4" xfId="8346"/>
    <cellStyle name="Calculation 2 2 12 4 2" xfId="8347"/>
    <cellStyle name="Calculation 2 2 12 4 3" xfId="8348"/>
    <cellStyle name="Calculation 2 2 12 4 4" xfId="8349"/>
    <cellStyle name="Calculation 2 2 12 5" xfId="8350"/>
    <cellStyle name="Calculation 2 2 12 6" xfId="8351"/>
    <cellStyle name="Calculation 2 2 12 7" xfId="8352"/>
    <cellStyle name="Calculation 2 2 12 8" xfId="8353"/>
    <cellStyle name="Calculation 2 2 13" xfId="320"/>
    <cellStyle name="Calculation 2 2 13 2" xfId="321"/>
    <cellStyle name="Calculation 2 2 13 2 2" xfId="8354"/>
    <cellStyle name="Calculation 2 2 13 2 3" xfId="8355"/>
    <cellStyle name="Calculation 2 2 13 2 4" xfId="8356"/>
    <cellStyle name="Calculation 2 2 13 3" xfId="322"/>
    <cellStyle name="Calculation 2 2 13 3 2" xfId="8357"/>
    <cellStyle name="Calculation 2 2 13 3 3" xfId="8358"/>
    <cellStyle name="Calculation 2 2 13 3 4" xfId="8359"/>
    <cellStyle name="Calculation 2 2 13 4" xfId="8360"/>
    <cellStyle name="Calculation 2 2 13 5" xfId="8361"/>
    <cellStyle name="Calculation 2 2 13 6" xfId="8362"/>
    <cellStyle name="Calculation 2 2 13 7" xfId="8363"/>
    <cellStyle name="Calculation 2 2 14" xfId="323"/>
    <cellStyle name="Calculation 2 2 14 2" xfId="8364"/>
    <cellStyle name="Calculation 2 2 14 2 2" xfId="8365"/>
    <cellStyle name="Calculation 2 2 14 2 3" xfId="8366"/>
    <cellStyle name="Calculation 2 2 14 2 4" xfId="8367"/>
    <cellStyle name="Calculation 2 2 14 3" xfId="8368"/>
    <cellStyle name="Calculation 2 2 14 3 2" xfId="8369"/>
    <cellStyle name="Calculation 2 2 14 3 3" xfId="8370"/>
    <cellStyle name="Calculation 2 2 14 3 4" xfId="8371"/>
    <cellStyle name="Calculation 2 2 14 4" xfId="8372"/>
    <cellStyle name="Calculation 2 2 14 5" xfId="8373"/>
    <cellStyle name="Calculation 2 2 14 6" xfId="8374"/>
    <cellStyle name="Calculation 2 2 14 7" xfId="8375"/>
    <cellStyle name="Calculation 2 2 15" xfId="324"/>
    <cellStyle name="Calculation 2 2 15 2" xfId="8376"/>
    <cellStyle name="Calculation 2 2 15 2 2" xfId="8377"/>
    <cellStyle name="Calculation 2 2 15 2 3" xfId="8378"/>
    <cellStyle name="Calculation 2 2 15 2 4" xfId="8379"/>
    <cellStyle name="Calculation 2 2 15 3" xfId="8380"/>
    <cellStyle name="Calculation 2 2 15 4" xfId="8381"/>
    <cellStyle name="Calculation 2 2 15 5" xfId="8382"/>
    <cellStyle name="Calculation 2 2 15 6" xfId="8383"/>
    <cellStyle name="Calculation 2 2 16" xfId="8384"/>
    <cellStyle name="Calculation 2 2 16 2" xfId="8385"/>
    <cellStyle name="Calculation 2 2 16 3" xfId="8386"/>
    <cellStyle name="Calculation 2 2 16 4" xfId="8387"/>
    <cellStyle name="Calculation 2 2 16 5" xfId="8388"/>
    <cellStyle name="Calculation 2 2 17" xfId="8389"/>
    <cellStyle name="Calculation 2 2 17 2" xfId="8390"/>
    <cellStyle name="Calculation 2 2 17 3" xfId="8391"/>
    <cellStyle name="Calculation 2 2 17 4" xfId="8392"/>
    <cellStyle name="Calculation 2 2 18" xfId="8393"/>
    <cellStyle name="Calculation 2 2 18 2" xfId="8394"/>
    <cellStyle name="Calculation 2 2 18 3" xfId="8395"/>
    <cellStyle name="Calculation 2 2 18 4" xfId="8396"/>
    <cellStyle name="Calculation 2 2 19" xfId="8397"/>
    <cellStyle name="Calculation 2 2 19 2" xfId="8398"/>
    <cellStyle name="Calculation 2 2 19 3" xfId="8399"/>
    <cellStyle name="Calculation 2 2 19 4" xfId="8400"/>
    <cellStyle name="Calculation 2 2 2" xfId="325"/>
    <cellStyle name="Calculation 2 2 2 10" xfId="8401"/>
    <cellStyle name="Calculation 2 2 2 10 2" xfId="8402"/>
    <cellStyle name="Calculation 2 2 2 10 2 2" xfId="8403"/>
    <cellStyle name="Calculation 2 2 2 10 2 3" xfId="8404"/>
    <cellStyle name="Calculation 2 2 2 10 2 4" xfId="8405"/>
    <cellStyle name="Calculation 2 2 2 10 3" xfId="8406"/>
    <cellStyle name="Calculation 2 2 2 10 3 2" xfId="8407"/>
    <cellStyle name="Calculation 2 2 2 10 3 3" xfId="8408"/>
    <cellStyle name="Calculation 2 2 2 10 3 4" xfId="8409"/>
    <cellStyle name="Calculation 2 2 2 10 4" xfId="8410"/>
    <cellStyle name="Calculation 2 2 2 10 5" xfId="8411"/>
    <cellStyle name="Calculation 2 2 2 10 6" xfId="8412"/>
    <cellStyle name="Calculation 2 2 2 10 7" xfId="8413"/>
    <cellStyle name="Calculation 2 2 2 11" xfId="8414"/>
    <cellStyle name="Calculation 2 2 2 11 2" xfId="8415"/>
    <cellStyle name="Calculation 2 2 2 11 2 2" xfId="8416"/>
    <cellStyle name="Calculation 2 2 2 11 2 3" xfId="8417"/>
    <cellStyle name="Calculation 2 2 2 11 2 4" xfId="8418"/>
    <cellStyle name="Calculation 2 2 2 11 3" xfId="8419"/>
    <cellStyle name="Calculation 2 2 2 11 3 2" xfId="8420"/>
    <cellStyle name="Calculation 2 2 2 11 3 3" xfId="8421"/>
    <cellStyle name="Calculation 2 2 2 11 3 4" xfId="8422"/>
    <cellStyle name="Calculation 2 2 2 11 4" xfId="8423"/>
    <cellStyle name="Calculation 2 2 2 11 5" xfId="8424"/>
    <cellStyle name="Calculation 2 2 2 11 6" xfId="8425"/>
    <cellStyle name="Calculation 2 2 2 11 7" xfId="8426"/>
    <cellStyle name="Calculation 2 2 2 12" xfId="8427"/>
    <cellStyle name="Calculation 2 2 2 12 2" xfId="8428"/>
    <cellStyle name="Calculation 2 2 2 12 2 2" xfId="8429"/>
    <cellStyle name="Calculation 2 2 2 12 2 3" xfId="8430"/>
    <cellStyle name="Calculation 2 2 2 12 2 4" xfId="8431"/>
    <cellStyle name="Calculation 2 2 2 12 3" xfId="8432"/>
    <cellStyle name="Calculation 2 2 2 12 3 2" xfId="8433"/>
    <cellStyle name="Calculation 2 2 2 12 3 3" xfId="8434"/>
    <cellStyle name="Calculation 2 2 2 12 3 4" xfId="8435"/>
    <cellStyle name="Calculation 2 2 2 12 4" xfId="8436"/>
    <cellStyle name="Calculation 2 2 2 12 5" xfId="8437"/>
    <cellStyle name="Calculation 2 2 2 12 6" xfId="8438"/>
    <cellStyle name="Calculation 2 2 2 12 7" xfId="8439"/>
    <cellStyle name="Calculation 2 2 2 13" xfId="8440"/>
    <cellStyle name="Calculation 2 2 2 13 2" xfId="8441"/>
    <cellStyle name="Calculation 2 2 2 13 2 2" xfId="8442"/>
    <cellStyle name="Calculation 2 2 2 13 2 3" xfId="8443"/>
    <cellStyle name="Calculation 2 2 2 13 2 4" xfId="8444"/>
    <cellStyle name="Calculation 2 2 2 13 3" xfId="8445"/>
    <cellStyle name="Calculation 2 2 2 13 3 2" xfId="8446"/>
    <cellStyle name="Calculation 2 2 2 13 3 3" xfId="8447"/>
    <cellStyle name="Calculation 2 2 2 13 3 4" xfId="8448"/>
    <cellStyle name="Calculation 2 2 2 13 4" xfId="8449"/>
    <cellStyle name="Calculation 2 2 2 13 5" xfId="8450"/>
    <cellStyle name="Calculation 2 2 2 13 6" xfId="8451"/>
    <cellStyle name="Calculation 2 2 2 13 7" xfId="8452"/>
    <cellStyle name="Calculation 2 2 2 14" xfId="8453"/>
    <cellStyle name="Calculation 2 2 2 14 2" xfId="8454"/>
    <cellStyle name="Calculation 2 2 2 14 2 2" xfId="8455"/>
    <cellStyle name="Calculation 2 2 2 14 2 3" xfId="8456"/>
    <cellStyle name="Calculation 2 2 2 14 2 4" xfId="8457"/>
    <cellStyle name="Calculation 2 2 2 14 3" xfId="8458"/>
    <cellStyle name="Calculation 2 2 2 14 4" xfId="8459"/>
    <cellStyle name="Calculation 2 2 2 14 5" xfId="8460"/>
    <cellStyle name="Calculation 2 2 2 14 6" xfId="8461"/>
    <cellStyle name="Calculation 2 2 2 15" xfId="8462"/>
    <cellStyle name="Calculation 2 2 2 15 2" xfId="8463"/>
    <cellStyle name="Calculation 2 2 2 15 3" xfId="8464"/>
    <cellStyle name="Calculation 2 2 2 15 4" xfId="8465"/>
    <cellStyle name="Calculation 2 2 2 15 5" xfId="8466"/>
    <cellStyle name="Calculation 2 2 2 16" xfId="8467"/>
    <cellStyle name="Calculation 2 2 2 16 2" xfId="8468"/>
    <cellStyle name="Calculation 2 2 2 16 3" xfId="8469"/>
    <cellStyle name="Calculation 2 2 2 16 4" xfId="8470"/>
    <cellStyle name="Calculation 2 2 2 17" xfId="8471"/>
    <cellStyle name="Calculation 2 2 2 17 2" xfId="8472"/>
    <cellStyle name="Calculation 2 2 2 17 3" xfId="8473"/>
    <cellStyle name="Calculation 2 2 2 17 4" xfId="8474"/>
    <cellStyle name="Calculation 2 2 2 18" xfId="8475"/>
    <cellStyle name="Calculation 2 2 2 18 2" xfId="8476"/>
    <cellStyle name="Calculation 2 2 2 18 3" xfId="8477"/>
    <cellStyle name="Calculation 2 2 2 18 4" xfId="8478"/>
    <cellStyle name="Calculation 2 2 2 19" xfId="8479"/>
    <cellStyle name="Calculation 2 2 2 2" xfId="326"/>
    <cellStyle name="Calculation 2 2 2 2 10" xfId="8480"/>
    <cellStyle name="Calculation 2 2 2 2 10 2" xfId="8481"/>
    <cellStyle name="Calculation 2 2 2 2 10 3" xfId="8482"/>
    <cellStyle name="Calculation 2 2 2 2 10 4" xfId="8483"/>
    <cellStyle name="Calculation 2 2 2 2 11" xfId="8484"/>
    <cellStyle name="Calculation 2 2 2 2 11 2" xfId="8485"/>
    <cellStyle name="Calculation 2 2 2 2 11 3" xfId="8486"/>
    <cellStyle name="Calculation 2 2 2 2 11 4" xfId="8487"/>
    <cellStyle name="Calculation 2 2 2 2 12" xfId="8488"/>
    <cellStyle name="Calculation 2 2 2 2 13" xfId="8489"/>
    <cellStyle name="Calculation 2 2 2 2 14" xfId="8490"/>
    <cellStyle name="Calculation 2 2 2 2 15" xfId="8491"/>
    <cellStyle name="Calculation 2 2 2 2 2" xfId="8492"/>
    <cellStyle name="Calculation 2 2 2 2 2 10" xfId="8493"/>
    <cellStyle name="Calculation 2 2 2 2 2 11" xfId="8494"/>
    <cellStyle name="Calculation 2 2 2 2 2 12" xfId="8495"/>
    <cellStyle name="Calculation 2 2 2 2 2 2" xfId="8496"/>
    <cellStyle name="Calculation 2 2 2 2 2 2 10" xfId="8497"/>
    <cellStyle name="Calculation 2 2 2 2 2 2 11" xfId="8498"/>
    <cellStyle name="Calculation 2 2 2 2 2 2 2" xfId="8499"/>
    <cellStyle name="Calculation 2 2 2 2 2 2 2 2" xfId="8500"/>
    <cellStyle name="Calculation 2 2 2 2 2 2 2 2 2" xfId="8501"/>
    <cellStyle name="Calculation 2 2 2 2 2 2 2 2 2 2" xfId="8502"/>
    <cellStyle name="Calculation 2 2 2 2 2 2 2 2 2 3" xfId="8503"/>
    <cellStyle name="Calculation 2 2 2 2 2 2 2 2 2 4" xfId="8504"/>
    <cellStyle name="Calculation 2 2 2 2 2 2 2 2 3" xfId="8505"/>
    <cellStyle name="Calculation 2 2 2 2 2 2 2 2 4" xfId="8506"/>
    <cellStyle name="Calculation 2 2 2 2 2 2 2 2 5" xfId="8507"/>
    <cellStyle name="Calculation 2 2 2 2 2 2 2 2 6" xfId="8508"/>
    <cellStyle name="Calculation 2 2 2 2 2 2 2 3" xfId="8509"/>
    <cellStyle name="Calculation 2 2 2 2 2 2 2 3 2" xfId="8510"/>
    <cellStyle name="Calculation 2 2 2 2 2 2 2 3 3" xfId="8511"/>
    <cellStyle name="Calculation 2 2 2 2 2 2 2 3 4" xfId="8512"/>
    <cellStyle name="Calculation 2 2 2 2 2 2 2 4" xfId="8513"/>
    <cellStyle name="Calculation 2 2 2 2 2 2 2 5" xfId="8514"/>
    <cellStyle name="Calculation 2 2 2 2 2 2 2 6" xfId="8515"/>
    <cellStyle name="Calculation 2 2 2 2 2 2 2 7" xfId="8516"/>
    <cellStyle name="Calculation 2 2 2 2 2 2 3" xfId="8517"/>
    <cellStyle name="Calculation 2 2 2 2 2 2 3 2" xfId="8518"/>
    <cellStyle name="Calculation 2 2 2 2 2 2 3 2 2" xfId="8519"/>
    <cellStyle name="Calculation 2 2 2 2 2 2 3 2 3" xfId="8520"/>
    <cellStyle name="Calculation 2 2 2 2 2 2 3 2 4" xfId="8521"/>
    <cellStyle name="Calculation 2 2 2 2 2 2 3 3" xfId="8522"/>
    <cellStyle name="Calculation 2 2 2 2 2 2 3 4" xfId="8523"/>
    <cellStyle name="Calculation 2 2 2 2 2 2 3 5" xfId="8524"/>
    <cellStyle name="Calculation 2 2 2 2 2 2 3 6" xfId="8525"/>
    <cellStyle name="Calculation 2 2 2 2 2 2 4" xfId="8526"/>
    <cellStyle name="Calculation 2 2 2 2 2 2 4 2" xfId="8527"/>
    <cellStyle name="Calculation 2 2 2 2 2 2 4 3" xfId="8528"/>
    <cellStyle name="Calculation 2 2 2 2 2 2 4 4" xfId="8529"/>
    <cellStyle name="Calculation 2 2 2 2 2 2 4 5" xfId="8530"/>
    <cellStyle name="Calculation 2 2 2 2 2 2 5" xfId="8531"/>
    <cellStyle name="Calculation 2 2 2 2 2 2 5 2" xfId="8532"/>
    <cellStyle name="Calculation 2 2 2 2 2 2 5 3" xfId="8533"/>
    <cellStyle name="Calculation 2 2 2 2 2 2 5 4" xfId="8534"/>
    <cellStyle name="Calculation 2 2 2 2 2 2 6" xfId="8535"/>
    <cellStyle name="Calculation 2 2 2 2 2 2 6 2" xfId="8536"/>
    <cellStyle name="Calculation 2 2 2 2 2 2 6 3" xfId="8537"/>
    <cellStyle name="Calculation 2 2 2 2 2 2 6 4" xfId="8538"/>
    <cellStyle name="Calculation 2 2 2 2 2 2 7" xfId="8539"/>
    <cellStyle name="Calculation 2 2 2 2 2 2 7 2" xfId="8540"/>
    <cellStyle name="Calculation 2 2 2 2 2 2 7 3" xfId="8541"/>
    <cellStyle name="Calculation 2 2 2 2 2 2 7 4" xfId="8542"/>
    <cellStyle name="Calculation 2 2 2 2 2 2 8" xfId="8543"/>
    <cellStyle name="Calculation 2 2 2 2 2 2 9" xfId="8544"/>
    <cellStyle name="Calculation 2 2 2 2 2 3" xfId="8545"/>
    <cellStyle name="Calculation 2 2 2 2 2 3 2" xfId="8546"/>
    <cellStyle name="Calculation 2 2 2 2 2 3 2 2" xfId="8547"/>
    <cellStyle name="Calculation 2 2 2 2 2 3 2 2 2" xfId="8548"/>
    <cellStyle name="Calculation 2 2 2 2 2 3 2 2 3" xfId="8549"/>
    <cellStyle name="Calculation 2 2 2 2 2 3 2 2 4" xfId="8550"/>
    <cellStyle name="Calculation 2 2 2 2 2 3 2 3" xfId="8551"/>
    <cellStyle name="Calculation 2 2 2 2 2 3 2 4" xfId="8552"/>
    <cellStyle name="Calculation 2 2 2 2 2 3 2 5" xfId="8553"/>
    <cellStyle name="Calculation 2 2 2 2 2 3 2 6" xfId="8554"/>
    <cellStyle name="Calculation 2 2 2 2 2 3 3" xfId="8555"/>
    <cellStyle name="Calculation 2 2 2 2 2 3 3 2" xfId="8556"/>
    <cellStyle name="Calculation 2 2 2 2 2 3 3 3" xfId="8557"/>
    <cellStyle name="Calculation 2 2 2 2 2 3 3 4" xfId="8558"/>
    <cellStyle name="Calculation 2 2 2 2 2 3 4" xfId="8559"/>
    <cellStyle name="Calculation 2 2 2 2 2 3 5" xfId="8560"/>
    <cellStyle name="Calculation 2 2 2 2 2 3 6" xfId="8561"/>
    <cellStyle name="Calculation 2 2 2 2 2 3 7" xfId="8562"/>
    <cellStyle name="Calculation 2 2 2 2 2 4" xfId="8563"/>
    <cellStyle name="Calculation 2 2 2 2 2 4 2" xfId="8564"/>
    <cellStyle name="Calculation 2 2 2 2 2 4 2 2" xfId="8565"/>
    <cellStyle name="Calculation 2 2 2 2 2 4 2 3" xfId="8566"/>
    <cellStyle name="Calculation 2 2 2 2 2 4 2 4" xfId="8567"/>
    <cellStyle name="Calculation 2 2 2 2 2 4 3" xfId="8568"/>
    <cellStyle name="Calculation 2 2 2 2 2 4 4" xfId="8569"/>
    <cellStyle name="Calculation 2 2 2 2 2 4 5" xfId="8570"/>
    <cellStyle name="Calculation 2 2 2 2 2 4 6" xfId="8571"/>
    <cellStyle name="Calculation 2 2 2 2 2 5" xfId="8572"/>
    <cellStyle name="Calculation 2 2 2 2 2 5 2" xfId="8573"/>
    <cellStyle name="Calculation 2 2 2 2 2 5 3" xfId="8574"/>
    <cellStyle name="Calculation 2 2 2 2 2 5 4" xfId="8575"/>
    <cellStyle name="Calculation 2 2 2 2 2 5 5" xfId="8576"/>
    <cellStyle name="Calculation 2 2 2 2 2 6" xfId="8577"/>
    <cellStyle name="Calculation 2 2 2 2 2 6 2" xfId="8578"/>
    <cellStyle name="Calculation 2 2 2 2 2 6 3" xfId="8579"/>
    <cellStyle name="Calculation 2 2 2 2 2 6 4" xfId="8580"/>
    <cellStyle name="Calculation 2 2 2 2 2 7" xfId="8581"/>
    <cellStyle name="Calculation 2 2 2 2 2 7 2" xfId="8582"/>
    <cellStyle name="Calculation 2 2 2 2 2 7 3" xfId="8583"/>
    <cellStyle name="Calculation 2 2 2 2 2 7 4" xfId="8584"/>
    <cellStyle name="Calculation 2 2 2 2 2 8" xfId="8585"/>
    <cellStyle name="Calculation 2 2 2 2 2 8 2" xfId="8586"/>
    <cellStyle name="Calculation 2 2 2 2 2 8 3" xfId="8587"/>
    <cellStyle name="Calculation 2 2 2 2 2 8 4" xfId="8588"/>
    <cellStyle name="Calculation 2 2 2 2 2 9" xfId="8589"/>
    <cellStyle name="Calculation 2 2 2 2 3" xfId="8590"/>
    <cellStyle name="Calculation 2 2 2 2 3 10" xfId="8591"/>
    <cellStyle name="Calculation 2 2 2 2 3 11" xfId="8592"/>
    <cellStyle name="Calculation 2 2 2 2 3 2" xfId="8593"/>
    <cellStyle name="Calculation 2 2 2 2 3 2 2" xfId="8594"/>
    <cellStyle name="Calculation 2 2 2 2 3 2 2 2" xfId="8595"/>
    <cellStyle name="Calculation 2 2 2 2 3 2 2 2 2" xfId="8596"/>
    <cellStyle name="Calculation 2 2 2 2 3 2 2 2 3" xfId="8597"/>
    <cellStyle name="Calculation 2 2 2 2 3 2 2 2 4" xfId="8598"/>
    <cellStyle name="Calculation 2 2 2 2 3 2 2 3" xfId="8599"/>
    <cellStyle name="Calculation 2 2 2 2 3 2 2 4" xfId="8600"/>
    <cellStyle name="Calculation 2 2 2 2 3 2 2 5" xfId="8601"/>
    <cellStyle name="Calculation 2 2 2 2 3 2 2 6" xfId="8602"/>
    <cellStyle name="Calculation 2 2 2 2 3 2 3" xfId="8603"/>
    <cellStyle name="Calculation 2 2 2 2 3 2 3 2" xfId="8604"/>
    <cellStyle name="Calculation 2 2 2 2 3 2 3 3" xfId="8605"/>
    <cellStyle name="Calculation 2 2 2 2 3 2 3 4" xfId="8606"/>
    <cellStyle name="Calculation 2 2 2 2 3 2 4" xfId="8607"/>
    <cellStyle name="Calculation 2 2 2 2 3 2 5" xfId="8608"/>
    <cellStyle name="Calculation 2 2 2 2 3 2 6" xfId="8609"/>
    <cellStyle name="Calculation 2 2 2 2 3 2 7" xfId="8610"/>
    <cellStyle name="Calculation 2 2 2 2 3 3" xfId="8611"/>
    <cellStyle name="Calculation 2 2 2 2 3 3 2" xfId="8612"/>
    <cellStyle name="Calculation 2 2 2 2 3 3 2 2" xfId="8613"/>
    <cellStyle name="Calculation 2 2 2 2 3 3 2 3" xfId="8614"/>
    <cellStyle name="Calculation 2 2 2 2 3 3 2 4" xfId="8615"/>
    <cellStyle name="Calculation 2 2 2 2 3 3 3" xfId="8616"/>
    <cellStyle name="Calculation 2 2 2 2 3 3 4" xfId="8617"/>
    <cellStyle name="Calculation 2 2 2 2 3 3 5" xfId="8618"/>
    <cellStyle name="Calculation 2 2 2 2 3 3 6" xfId="8619"/>
    <cellStyle name="Calculation 2 2 2 2 3 4" xfId="8620"/>
    <cellStyle name="Calculation 2 2 2 2 3 4 2" xfId="8621"/>
    <cellStyle name="Calculation 2 2 2 2 3 4 3" xfId="8622"/>
    <cellStyle name="Calculation 2 2 2 2 3 4 4" xfId="8623"/>
    <cellStyle name="Calculation 2 2 2 2 3 4 5" xfId="8624"/>
    <cellStyle name="Calculation 2 2 2 2 3 5" xfId="8625"/>
    <cellStyle name="Calculation 2 2 2 2 3 5 2" xfId="8626"/>
    <cellStyle name="Calculation 2 2 2 2 3 5 3" xfId="8627"/>
    <cellStyle name="Calculation 2 2 2 2 3 5 4" xfId="8628"/>
    <cellStyle name="Calculation 2 2 2 2 3 6" xfId="8629"/>
    <cellStyle name="Calculation 2 2 2 2 3 6 2" xfId="8630"/>
    <cellStyle name="Calculation 2 2 2 2 3 6 3" xfId="8631"/>
    <cellStyle name="Calculation 2 2 2 2 3 6 4" xfId="8632"/>
    <cellStyle name="Calculation 2 2 2 2 3 7" xfId="8633"/>
    <cellStyle name="Calculation 2 2 2 2 3 7 2" xfId="8634"/>
    <cellStyle name="Calculation 2 2 2 2 3 7 3" xfId="8635"/>
    <cellStyle name="Calculation 2 2 2 2 3 7 4" xfId="8636"/>
    <cellStyle name="Calculation 2 2 2 2 3 8" xfId="8637"/>
    <cellStyle name="Calculation 2 2 2 2 3 9" xfId="8638"/>
    <cellStyle name="Calculation 2 2 2 2 4" xfId="8639"/>
    <cellStyle name="Calculation 2 2 2 2 4 2" xfId="8640"/>
    <cellStyle name="Calculation 2 2 2 2 4 2 2" xfId="8641"/>
    <cellStyle name="Calculation 2 2 2 2 4 2 2 2" xfId="8642"/>
    <cellStyle name="Calculation 2 2 2 2 4 2 2 3" xfId="8643"/>
    <cellStyle name="Calculation 2 2 2 2 4 2 2 4" xfId="8644"/>
    <cellStyle name="Calculation 2 2 2 2 4 2 3" xfId="8645"/>
    <cellStyle name="Calculation 2 2 2 2 4 2 4" xfId="8646"/>
    <cellStyle name="Calculation 2 2 2 2 4 2 5" xfId="8647"/>
    <cellStyle name="Calculation 2 2 2 2 4 2 6" xfId="8648"/>
    <cellStyle name="Calculation 2 2 2 2 4 3" xfId="8649"/>
    <cellStyle name="Calculation 2 2 2 2 4 3 2" xfId="8650"/>
    <cellStyle name="Calculation 2 2 2 2 4 3 3" xfId="8651"/>
    <cellStyle name="Calculation 2 2 2 2 4 3 4" xfId="8652"/>
    <cellStyle name="Calculation 2 2 2 2 4 4" xfId="8653"/>
    <cellStyle name="Calculation 2 2 2 2 4 5" xfId="8654"/>
    <cellStyle name="Calculation 2 2 2 2 4 6" xfId="8655"/>
    <cellStyle name="Calculation 2 2 2 2 4 7" xfId="8656"/>
    <cellStyle name="Calculation 2 2 2 2 5" xfId="8657"/>
    <cellStyle name="Calculation 2 2 2 2 5 2" xfId="8658"/>
    <cellStyle name="Calculation 2 2 2 2 5 2 2" xfId="8659"/>
    <cellStyle name="Calculation 2 2 2 2 5 2 3" xfId="8660"/>
    <cellStyle name="Calculation 2 2 2 2 5 2 4" xfId="8661"/>
    <cellStyle name="Calculation 2 2 2 2 5 3" xfId="8662"/>
    <cellStyle name="Calculation 2 2 2 2 5 3 2" xfId="8663"/>
    <cellStyle name="Calculation 2 2 2 2 5 3 3" xfId="8664"/>
    <cellStyle name="Calculation 2 2 2 2 5 3 4" xfId="8665"/>
    <cellStyle name="Calculation 2 2 2 2 5 4" xfId="8666"/>
    <cellStyle name="Calculation 2 2 2 2 5 5" xfId="8667"/>
    <cellStyle name="Calculation 2 2 2 2 5 6" xfId="8668"/>
    <cellStyle name="Calculation 2 2 2 2 5 7" xfId="8669"/>
    <cellStyle name="Calculation 2 2 2 2 6" xfId="8670"/>
    <cellStyle name="Calculation 2 2 2 2 6 2" xfId="8671"/>
    <cellStyle name="Calculation 2 2 2 2 6 2 2" xfId="8672"/>
    <cellStyle name="Calculation 2 2 2 2 6 2 3" xfId="8673"/>
    <cellStyle name="Calculation 2 2 2 2 6 2 4" xfId="8674"/>
    <cellStyle name="Calculation 2 2 2 2 6 3" xfId="8675"/>
    <cellStyle name="Calculation 2 2 2 2 6 3 2" xfId="8676"/>
    <cellStyle name="Calculation 2 2 2 2 6 3 3" xfId="8677"/>
    <cellStyle name="Calculation 2 2 2 2 6 3 4" xfId="8678"/>
    <cellStyle name="Calculation 2 2 2 2 6 4" xfId="8679"/>
    <cellStyle name="Calculation 2 2 2 2 6 5" xfId="8680"/>
    <cellStyle name="Calculation 2 2 2 2 6 6" xfId="8681"/>
    <cellStyle name="Calculation 2 2 2 2 6 7" xfId="8682"/>
    <cellStyle name="Calculation 2 2 2 2 7" xfId="8683"/>
    <cellStyle name="Calculation 2 2 2 2 7 2" xfId="8684"/>
    <cellStyle name="Calculation 2 2 2 2 7 2 2" xfId="8685"/>
    <cellStyle name="Calculation 2 2 2 2 7 2 3" xfId="8686"/>
    <cellStyle name="Calculation 2 2 2 2 7 2 4" xfId="8687"/>
    <cellStyle name="Calculation 2 2 2 2 7 3" xfId="8688"/>
    <cellStyle name="Calculation 2 2 2 2 7 3 2" xfId="8689"/>
    <cellStyle name="Calculation 2 2 2 2 7 3 3" xfId="8690"/>
    <cellStyle name="Calculation 2 2 2 2 7 3 4" xfId="8691"/>
    <cellStyle name="Calculation 2 2 2 2 7 4" xfId="8692"/>
    <cellStyle name="Calculation 2 2 2 2 7 5" xfId="8693"/>
    <cellStyle name="Calculation 2 2 2 2 7 6" xfId="8694"/>
    <cellStyle name="Calculation 2 2 2 2 7 7" xfId="8695"/>
    <cellStyle name="Calculation 2 2 2 2 8" xfId="8696"/>
    <cellStyle name="Calculation 2 2 2 2 8 2" xfId="8697"/>
    <cellStyle name="Calculation 2 2 2 2 8 2 2" xfId="8698"/>
    <cellStyle name="Calculation 2 2 2 2 8 2 3" xfId="8699"/>
    <cellStyle name="Calculation 2 2 2 2 8 2 4" xfId="8700"/>
    <cellStyle name="Calculation 2 2 2 2 8 3" xfId="8701"/>
    <cellStyle name="Calculation 2 2 2 2 8 4" xfId="8702"/>
    <cellStyle name="Calculation 2 2 2 2 8 5" xfId="8703"/>
    <cellStyle name="Calculation 2 2 2 2 8 6" xfId="8704"/>
    <cellStyle name="Calculation 2 2 2 2 9" xfId="8705"/>
    <cellStyle name="Calculation 2 2 2 2 9 2" xfId="8706"/>
    <cellStyle name="Calculation 2 2 2 2 9 3" xfId="8707"/>
    <cellStyle name="Calculation 2 2 2 2 9 4" xfId="8708"/>
    <cellStyle name="Calculation 2 2 2 2 9 5" xfId="8709"/>
    <cellStyle name="Calculation 2 2 2 20" xfId="8710"/>
    <cellStyle name="Calculation 2 2 2 21" xfId="8711"/>
    <cellStyle name="Calculation 2 2 2 22" xfId="8712"/>
    <cellStyle name="Calculation 2 2 2 3" xfId="8713"/>
    <cellStyle name="Calculation 2 2 2 3 10" xfId="8714"/>
    <cellStyle name="Calculation 2 2 2 3 10 2" xfId="8715"/>
    <cellStyle name="Calculation 2 2 2 3 10 3" xfId="8716"/>
    <cellStyle name="Calculation 2 2 2 3 10 4" xfId="8717"/>
    <cellStyle name="Calculation 2 2 2 3 11" xfId="8718"/>
    <cellStyle name="Calculation 2 2 2 3 11 2" xfId="8719"/>
    <cellStyle name="Calculation 2 2 2 3 11 3" xfId="8720"/>
    <cellStyle name="Calculation 2 2 2 3 11 4" xfId="8721"/>
    <cellStyle name="Calculation 2 2 2 3 12" xfId="8722"/>
    <cellStyle name="Calculation 2 2 2 3 13" xfId="8723"/>
    <cellStyle name="Calculation 2 2 2 3 14" xfId="8724"/>
    <cellStyle name="Calculation 2 2 2 3 15" xfId="8725"/>
    <cellStyle name="Calculation 2 2 2 3 2" xfId="8726"/>
    <cellStyle name="Calculation 2 2 2 3 2 10" xfId="8727"/>
    <cellStyle name="Calculation 2 2 2 3 2 11" xfId="8728"/>
    <cellStyle name="Calculation 2 2 2 3 2 12" xfId="8729"/>
    <cellStyle name="Calculation 2 2 2 3 2 2" xfId="8730"/>
    <cellStyle name="Calculation 2 2 2 3 2 2 10" xfId="8731"/>
    <cellStyle name="Calculation 2 2 2 3 2 2 11" xfId="8732"/>
    <cellStyle name="Calculation 2 2 2 3 2 2 2" xfId="8733"/>
    <cellStyle name="Calculation 2 2 2 3 2 2 2 2" xfId="8734"/>
    <cellStyle name="Calculation 2 2 2 3 2 2 2 2 2" xfId="8735"/>
    <cellStyle name="Calculation 2 2 2 3 2 2 2 2 2 2" xfId="8736"/>
    <cellStyle name="Calculation 2 2 2 3 2 2 2 2 2 3" xfId="8737"/>
    <cellStyle name="Calculation 2 2 2 3 2 2 2 2 2 4" xfId="8738"/>
    <cellStyle name="Calculation 2 2 2 3 2 2 2 2 3" xfId="8739"/>
    <cellStyle name="Calculation 2 2 2 3 2 2 2 2 4" xfId="8740"/>
    <cellStyle name="Calculation 2 2 2 3 2 2 2 2 5" xfId="8741"/>
    <cellStyle name="Calculation 2 2 2 3 2 2 2 2 6" xfId="8742"/>
    <cellStyle name="Calculation 2 2 2 3 2 2 2 3" xfId="8743"/>
    <cellStyle name="Calculation 2 2 2 3 2 2 2 3 2" xfId="8744"/>
    <cellStyle name="Calculation 2 2 2 3 2 2 2 3 3" xfId="8745"/>
    <cellStyle name="Calculation 2 2 2 3 2 2 2 3 4" xfId="8746"/>
    <cellStyle name="Calculation 2 2 2 3 2 2 2 4" xfId="8747"/>
    <cellStyle name="Calculation 2 2 2 3 2 2 2 5" xfId="8748"/>
    <cellStyle name="Calculation 2 2 2 3 2 2 2 6" xfId="8749"/>
    <cellStyle name="Calculation 2 2 2 3 2 2 2 7" xfId="8750"/>
    <cellStyle name="Calculation 2 2 2 3 2 2 3" xfId="8751"/>
    <cellStyle name="Calculation 2 2 2 3 2 2 3 2" xfId="8752"/>
    <cellStyle name="Calculation 2 2 2 3 2 2 3 2 2" xfId="8753"/>
    <cellStyle name="Calculation 2 2 2 3 2 2 3 2 3" xfId="8754"/>
    <cellStyle name="Calculation 2 2 2 3 2 2 3 2 4" xfId="8755"/>
    <cellStyle name="Calculation 2 2 2 3 2 2 3 3" xfId="8756"/>
    <cellStyle name="Calculation 2 2 2 3 2 2 3 4" xfId="8757"/>
    <cellStyle name="Calculation 2 2 2 3 2 2 3 5" xfId="8758"/>
    <cellStyle name="Calculation 2 2 2 3 2 2 3 6" xfId="8759"/>
    <cellStyle name="Calculation 2 2 2 3 2 2 4" xfId="8760"/>
    <cellStyle name="Calculation 2 2 2 3 2 2 4 2" xfId="8761"/>
    <cellStyle name="Calculation 2 2 2 3 2 2 4 3" xfId="8762"/>
    <cellStyle name="Calculation 2 2 2 3 2 2 4 4" xfId="8763"/>
    <cellStyle name="Calculation 2 2 2 3 2 2 4 5" xfId="8764"/>
    <cellStyle name="Calculation 2 2 2 3 2 2 5" xfId="8765"/>
    <cellStyle name="Calculation 2 2 2 3 2 2 5 2" xfId="8766"/>
    <cellStyle name="Calculation 2 2 2 3 2 2 5 3" xfId="8767"/>
    <cellStyle name="Calculation 2 2 2 3 2 2 5 4" xfId="8768"/>
    <cellStyle name="Calculation 2 2 2 3 2 2 6" xfId="8769"/>
    <cellStyle name="Calculation 2 2 2 3 2 2 6 2" xfId="8770"/>
    <cellStyle name="Calculation 2 2 2 3 2 2 6 3" xfId="8771"/>
    <cellStyle name="Calculation 2 2 2 3 2 2 6 4" xfId="8772"/>
    <cellStyle name="Calculation 2 2 2 3 2 2 7" xfId="8773"/>
    <cellStyle name="Calculation 2 2 2 3 2 2 7 2" xfId="8774"/>
    <cellStyle name="Calculation 2 2 2 3 2 2 7 3" xfId="8775"/>
    <cellStyle name="Calculation 2 2 2 3 2 2 7 4" xfId="8776"/>
    <cellStyle name="Calculation 2 2 2 3 2 2 8" xfId="8777"/>
    <cellStyle name="Calculation 2 2 2 3 2 2 9" xfId="8778"/>
    <cellStyle name="Calculation 2 2 2 3 2 3" xfId="8779"/>
    <cellStyle name="Calculation 2 2 2 3 2 3 2" xfId="8780"/>
    <cellStyle name="Calculation 2 2 2 3 2 3 2 2" xfId="8781"/>
    <cellStyle name="Calculation 2 2 2 3 2 3 2 2 2" xfId="8782"/>
    <cellStyle name="Calculation 2 2 2 3 2 3 2 2 3" xfId="8783"/>
    <cellStyle name="Calculation 2 2 2 3 2 3 2 2 4" xfId="8784"/>
    <cellStyle name="Calculation 2 2 2 3 2 3 2 3" xfId="8785"/>
    <cellStyle name="Calculation 2 2 2 3 2 3 2 4" xfId="8786"/>
    <cellStyle name="Calculation 2 2 2 3 2 3 2 5" xfId="8787"/>
    <cellStyle name="Calculation 2 2 2 3 2 3 2 6" xfId="8788"/>
    <cellStyle name="Calculation 2 2 2 3 2 3 3" xfId="8789"/>
    <cellStyle name="Calculation 2 2 2 3 2 3 3 2" xfId="8790"/>
    <cellStyle name="Calculation 2 2 2 3 2 3 3 3" xfId="8791"/>
    <cellStyle name="Calculation 2 2 2 3 2 3 3 4" xfId="8792"/>
    <cellStyle name="Calculation 2 2 2 3 2 3 4" xfId="8793"/>
    <cellStyle name="Calculation 2 2 2 3 2 3 5" xfId="8794"/>
    <cellStyle name="Calculation 2 2 2 3 2 3 6" xfId="8795"/>
    <cellStyle name="Calculation 2 2 2 3 2 3 7" xfId="8796"/>
    <cellStyle name="Calculation 2 2 2 3 2 4" xfId="8797"/>
    <cellStyle name="Calculation 2 2 2 3 2 4 2" xfId="8798"/>
    <cellStyle name="Calculation 2 2 2 3 2 4 2 2" xfId="8799"/>
    <cellStyle name="Calculation 2 2 2 3 2 4 2 3" xfId="8800"/>
    <cellStyle name="Calculation 2 2 2 3 2 4 2 4" xfId="8801"/>
    <cellStyle name="Calculation 2 2 2 3 2 4 3" xfId="8802"/>
    <cellStyle name="Calculation 2 2 2 3 2 4 4" xfId="8803"/>
    <cellStyle name="Calculation 2 2 2 3 2 4 5" xfId="8804"/>
    <cellStyle name="Calculation 2 2 2 3 2 4 6" xfId="8805"/>
    <cellStyle name="Calculation 2 2 2 3 2 5" xfId="8806"/>
    <cellStyle name="Calculation 2 2 2 3 2 5 2" xfId="8807"/>
    <cellStyle name="Calculation 2 2 2 3 2 5 3" xfId="8808"/>
    <cellStyle name="Calculation 2 2 2 3 2 5 4" xfId="8809"/>
    <cellStyle name="Calculation 2 2 2 3 2 5 5" xfId="8810"/>
    <cellStyle name="Calculation 2 2 2 3 2 6" xfId="8811"/>
    <cellStyle name="Calculation 2 2 2 3 2 6 2" xfId="8812"/>
    <cellStyle name="Calculation 2 2 2 3 2 6 3" xfId="8813"/>
    <cellStyle name="Calculation 2 2 2 3 2 6 4" xfId="8814"/>
    <cellStyle name="Calculation 2 2 2 3 2 7" xfId="8815"/>
    <cellStyle name="Calculation 2 2 2 3 2 7 2" xfId="8816"/>
    <cellStyle name="Calculation 2 2 2 3 2 7 3" xfId="8817"/>
    <cellStyle name="Calculation 2 2 2 3 2 7 4" xfId="8818"/>
    <cellStyle name="Calculation 2 2 2 3 2 8" xfId="8819"/>
    <cellStyle name="Calculation 2 2 2 3 2 8 2" xfId="8820"/>
    <cellStyle name="Calculation 2 2 2 3 2 8 3" xfId="8821"/>
    <cellStyle name="Calculation 2 2 2 3 2 8 4" xfId="8822"/>
    <cellStyle name="Calculation 2 2 2 3 2 9" xfId="8823"/>
    <cellStyle name="Calculation 2 2 2 3 3" xfId="8824"/>
    <cellStyle name="Calculation 2 2 2 3 3 10" xfId="8825"/>
    <cellStyle name="Calculation 2 2 2 3 3 11" xfId="8826"/>
    <cellStyle name="Calculation 2 2 2 3 3 2" xfId="8827"/>
    <cellStyle name="Calculation 2 2 2 3 3 2 2" xfId="8828"/>
    <cellStyle name="Calculation 2 2 2 3 3 2 2 2" xfId="8829"/>
    <cellStyle name="Calculation 2 2 2 3 3 2 2 2 2" xfId="8830"/>
    <cellStyle name="Calculation 2 2 2 3 3 2 2 2 3" xfId="8831"/>
    <cellStyle name="Calculation 2 2 2 3 3 2 2 2 4" xfId="8832"/>
    <cellStyle name="Calculation 2 2 2 3 3 2 2 3" xfId="8833"/>
    <cellStyle name="Calculation 2 2 2 3 3 2 2 4" xfId="8834"/>
    <cellStyle name="Calculation 2 2 2 3 3 2 2 5" xfId="8835"/>
    <cellStyle name="Calculation 2 2 2 3 3 2 2 6" xfId="8836"/>
    <cellStyle name="Calculation 2 2 2 3 3 2 3" xfId="8837"/>
    <cellStyle name="Calculation 2 2 2 3 3 2 3 2" xfId="8838"/>
    <cellStyle name="Calculation 2 2 2 3 3 2 3 3" xfId="8839"/>
    <cellStyle name="Calculation 2 2 2 3 3 2 3 4" xfId="8840"/>
    <cellStyle name="Calculation 2 2 2 3 3 2 4" xfId="8841"/>
    <cellStyle name="Calculation 2 2 2 3 3 2 5" xfId="8842"/>
    <cellStyle name="Calculation 2 2 2 3 3 2 6" xfId="8843"/>
    <cellStyle name="Calculation 2 2 2 3 3 2 7" xfId="8844"/>
    <cellStyle name="Calculation 2 2 2 3 3 3" xfId="8845"/>
    <cellStyle name="Calculation 2 2 2 3 3 3 2" xfId="8846"/>
    <cellStyle name="Calculation 2 2 2 3 3 3 2 2" xfId="8847"/>
    <cellStyle name="Calculation 2 2 2 3 3 3 2 3" xfId="8848"/>
    <cellStyle name="Calculation 2 2 2 3 3 3 2 4" xfId="8849"/>
    <cellStyle name="Calculation 2 2 2 3 3 3 3" xfId="8850"/>
    <cellStyle name="Calculation 2 2 2 3 3 3 4" xfId="8851"/>
    <cellStyle name="Calculation 2 2 2 3 3 3 5" xfId="8852"/>
    <cellStyle name="Calculation 2 2 2 3 3 3 6" xfId="8853"/>
    <cellStyle name="Calculation 2 2 2 3 3 4" xfId="8854"/>
    <cellStyle name="Calculation 2 2 2 3 3 4 2" xfId="8855"/>
    <cellStyle name="Calculation 2 2 2 3 3 4 3" xfId="8856"/>
    <cellStyle name="Calculation 2 2 2 3 3 4 4" xfId="8857"/>
    <cellStyle name="Calculation 2 2 2 3 3 4 5" xfId="8858"/>
    <cellStyle name="Calculation 2 2 2 3 3 5" xfId="8859"/>
    <cellStyle name="Calculation 2 2 2 3 3 5 2" xfId="8860"/>
    <cellStyle name="Calculation 2 2 2 3 3 5 3" xfId="8861"/>
    <cellStyle name="Calculation 2 2 2 3 3 5 4" xfId="8862"/>
    <cellStyle name="Calculation 2 2 2 3 3 6" xfId="8863"/>
    <cellStyle name="Calculation 2 2 2 3 3 6 2" xfId="8864"/>
    <cellStyle name="Calculation 2 2 2 3 3 6 3" xfId="8865"/>
    <cellStyle name="Calculation 2 2 2 3 3 6 4" xfId="8866"/>
    <cellStyle name="Calculation 2 2 2 3 3 7" xfId="8867"/>
    <cellStyle name="Calculation 2 2 2 3 3 7 2" xfId="8868"/>
    <cellStyle name="Calculation 2 2 2 3 3 7 3" xfId="8869"/>
    <cellStyle name="Calculation 2 2 2 3 3 7 4" xfId="8870"/>
    <cellStyle name="Calculation 2 2 2 3 3 8" xfId="8871"/>
    <cellStyle name="Calculation 2 2 2 3 3 9" xfId="8872"/>
    <cellStyle name="Calculation 2 2 2 3 4" xfId="8873"/>
    <cellStyle name="Calculation 2 2 2 3 4 2" xfId="8874"/>
    <cellStyle name="Calculation 2 2 2 3 4 2 2" xfId="8875"/>
    <cellStyle name="Calculation 2 2 2 3 4 2 2 2" xfId="8876"/>
    <cellStyle name="Calculation 2 2 2 3 4 2 2 3" xfId="8877"/>
    <cellStyle name="Calculation 2 2 2 3 4 2 2 4" xfId="8878"/>
    <cellStyle name="Calculation 2 2 2 3 4 2 3" xfId="8879"/>
    <cellStyle name="Calculation 2 2 2 3 4 2 4" xfId="8880"/>
    <cellStyle name="Calculation 2 2 2 3 4 2 5" xfId="8881"/>
    <cellStyle name="Calculation 2 2 2 3 4 2 6" xfId="8882"/>
    <cellStyle name="Calculation 2 2 2 3 4 3" xfId="8883"/>
    <cellStyle name="Calculation 2 2 2 3 4 3 2" xfId="8884"/>
    <cellStyle name="Calculation 2 2 2 3 4 3 3" xfId="8885"/>
    <cellStyle name="Calculation 2 2 2 3 4 3 4" xfId="8886"/>
    <cellStyle name="Calculation 2 2 2 3 4 4" xfId="8887"/>
    <cellStyle name="Calculation 2 2 2 3 4 5" xfId="8888"/>
    <cellStyle name="Calculation 2 2 2 3 4 6" xfId="8889"/>
    <cellStyle name="Calculation 2 2 2 3 4 7" xfId="8890"/>
    <cellStyle name="Calculation 2 2 2 3 5" xfId="8891"/>
    <cellStyle name="Calculation 2 2 2 3 5 2" xfId="8892"/>
    <cellStyle name="Calculation 2 2 2 3 5 2 2" xfId="8893"/>
    <cellStyle name="Calculation 2 2 2 3 5 2 3" xfId="8894"/>
    <cellStyle name="Calculation 2 2 2 3 5 2 4" xfId="8895"/>
    <cellStyle name="Calculation 2 2 2 3 5 3" xfId="8896"/>
    <cellStyle name="Calculation 2 2 2 3 5 3 2" xfId="8897"/>
    <cellStyle name="Calculation 2 2 2 3 5 3 3" xfId="8898"/>
    <cellStyle name="Calculation 2 2 2 3 5 3 4" xfId="8899"/>
    <cellStyle name="Calculation 2 2 2 3 5 4" xfId="8900"/>
    <cellStyle name="Calculation 2 2 2 3 5 5" xfId="8901"/>
    <cellStyle name="Calculation 2 2 2 3 5 6" xfId="8902"/>
    <cellStyle name="Calculation 2 2 2 3 5 7" xfId="8903"/>
    <cellStyle name="Calculation 2 2 2 3 6" xfId="8904"/>
    <cellStyle name="Calculation 2 2 2 3 6 2" xfId="8905"/>
    <cellStyle name="Calculation 2 2 2 3 6 2 2" xfId="8906"/>
    <cellStyle name="Calculation 2 2 2 3 6 2 3" xfId="8907"/>
    <cellStyle name="Calculation 2 2 2 3 6 2 4" xfId="8908"/>
    <cellStyle name="Calculation 2 2 2 3 6 3" xfId="8909"/>
    <cellStyle name="Calculation 2 2 2 3 6 3 2" xfId="8910"/>
    <cellStyle name="Calculation 2 2 2 3 6 3 3" xfId="8911"/>
    <cellStyle name="Calculation 2 2 2 3 6 3 4" xfId="8912"/>
    <cellStyle name="Calculation 2 2 2 3 6 4" xfId="8913"/>
    <cellStyle name="Calculation 2 2 2 3 6 5" xfId="8914"/>
    <cellStyle name="Calculation 2 2 2 3 6 6" xfId="8915"/>
    <cellStyle name="Calculation 2 2 2 3 6 7" xfId="8916"/>
    <cellStyle name="Calculation 2 2 2 3 7" xfId="8917"/>
    <cellStyle name="Calculation 2 2 2 3 7 2" xfId="8918"/>
    <cellStyle name="Calculation 2 2 2 3 7 2 2" xfId="8919"/>
    <cellStyle name="Calculation 2 2 2 3 7 2 3" xfId="8920"/>
    <cellStyle name="Calculation 2 2 2 3 7 2 4" xfId="8921"/>
    <cellStyle name="Calculation 2 2 2 3 7 3" xfId="8922"/>
    <cellStyle name="Calculation 2 2 2 3 7 3 2" xfId="8923"/>
    <cellStyle name="Calculation 2 2 2 3 7 3 3" xfId="8924"/>
    <cellStyle name="Calculation 2 2 2 3 7 3 4" xfId="8925"/>
    <cellStyle name="Calculation 2 2 2 3 7 4" xfId="8926"/>
    <cellStyle name="Calculation 2 2 2 3 7 5" xfId="8927"/>
    <cellStyle name="Calculation 2 2 2 3 7 6" xfId="8928"/>
    <cellStyle name="Calculation 2 2 2 3 7 7" xfId="8929"/>
    <cellStyle name="Calculation 2 2 2 3 8" xfId="8930"/>
    <cellStyle name="Calculation 2 2 2 3 8 2" xfId="8931"/>
    <cellStyle name="Calculation 2 2 2 3 8 2 2" xfId="8932"/>
    <cellStyle name="Calculation 2 2 2 3 8 2 3" xfId="8933"/>
    <cellStyle name="Calculation 2 2 2 3 8 2 4" xfId="8934"/>
    <cellStyle name="Calculation 2 2 2 3 8 3" xfId="8935"/>
    <cellStyle name="Calculation 2 2 2 3 8 4" xfId="8936"/>
    <cellStyle name="Calculation 2 2 2 3 8 5" xfId="8937"/>
    <cellStyle name="Calculation 2 2 2 3 8 6" xfId="8938"/>
    <cellStyle name="Calculation 2 2 2 3 9" xfId="8939"/>
    <cellStyle name="Calculation 2 2 2 3 9 2" xfId="8940"/>
    <cellStyle name="Calculation 2 2 2 3 9 3" xfId="8941"/>
    <cellStyle name="Calculation 2 2 2 3 9 4" xfId="8942"/>
    <cellStyle name="Calculation 2 2 2 3 9 5" xfId="8943"/>
    <cellStyle name="Calculation 2 2 2 4" xfId="8944"/>
    <cellStyle name="Calculation 2 2 2 4 10" xfId="8945"/>
    <cellStyle name="Calculation 2 2 2 4 10 2" xfId="8946"/>
    <cellStyle name="Calculation 2 2 2 4 10 3" xfId="8947"/>
    <cellStyle name="Calculation 2 2 2 4 10 4" xfId="8948"/>
    <cellStyle name="Calculation 2 2 2 4 11" xfId="8949"/>
    <cellStyle name="Calculation 2 2 2 4 11 2" xfId="8950"/>
    <cellStyle name="Calculation 2 2 2 4 11 3" xfId="8951"/>
    <cellStyle name="Calculation 2 2 2 4 11 4" xfId="8952"/>
    <cellStyle name="Calculation 2 2 2 4 12" xfId="8953"/>
    <cellStyle name="Calculation 2 2 2 4 12 2" xfId="8954"/>
    <cellStyle name="Calculation 2 2 2 4 12 3" xfId="8955"/>
    <cellStyle name="Calculation 2 2 2 4 12 4" xfId="8956"/>
    <cellStyle name="Calculation 2 2 2 4 13" xfId="8957"/>
    <cellStyle name="Calculation 2 2 2 4 14" xfId="8958"/>
    <cellStyle name="Calculation 2 2 2 4 15" xfId="8959"/>
    <cellStyle name="Calculation 2 2 2 4 16" xfId="8960"/>
    <cellStyle name="Calculation 2 2 2 4 2" xfId="8961"/>
    <cellStyle name="Calculation 2 2 2 4 2 10" xfId="8962"/>
    <cellStyle name="Calculation 2 2 2 4 2 11" xfId="8963"/>
    <cellStyle name="Calculation 2 2 2 4 2 12" xfId="8964"/>
    <cellStyle name="Calculation 2 2 2 4 2 2" xfId="8965"/>
    <cellStyle name="Calculation 2 2 2 4 2 2 10" xfId="8966"/>
    <cellStyle name="Calculation 2 2 2 4 2 2 11" xfId="8967"/>
    <cellStyle name="Calculation 2 2 2 4 2 2 2" xfId="8968"/>
    <cellStyle name="Calculation 2 2 2 4 2 2 2 2" xfId="8969"/>
    <cellStyle name="Calculation 2 2 2 4 2 2 2 2 2" xfId="8970"/>
    <cellStyle name="Calculation 2 2 2 4 2 2 2 2 2 2" xfId="8971"/>
    <cellStyle name="Calculation 2 2 2 4 2 2 2 2 2 3" xfId="8972"/>
    <cellStyle name="Calculation 2 2 2 4 2 2 2 2 2 4" xfId="8973"/>
    <cellStyle name="Calculation 2 2 2 4 2 2 2 2 3" xfId="8974"/>
    <cellStyle name="Calculation 2 2 2 4 2 2 2 2 4" xfId="8975"/>
    <cellStyle name="Calculation 2 2 2 4 2 2 2 2 5" xfId="8976"/>
    <cellStyle name="Calculation 2 2 2 4 2 2 2 2 6" xfId="8977"/>
    <cellStyle name="Calculation 2 2 2 4 2 2 2 3" xfId="8978"/>
    <cellStyle name="Calculation 2 2 2 4 2 2 2 3 2" xfId="8979"/>
    <cellStyle name="Calculation 2 2 2 4 2 2 2 3 3" xfId="8980"/>
    <cellStyle name="Calculation 2 2 2 4 2 2 2 3 4" xfId="8981"/>
    <cellStyle name="Calculation 2 2 2 4 2 2 2 4" xfId="8982"/>
    <cellStyle name="Calculation 2 2 2 4 2 2 2 5" xfId="8983"/>
    <cellStyle name="Calculation 2 2 2 4 2 2 2 6" xfId="8984"/>
    <cellStyle name="Calculation 2 2 2 4 2 2 2 7" xfId="8985"/>
    <cellStyle name="Calculation 2 2 2 4 2 2 3" xfId="8986"/>
    <cellStyle name="Calculation 2 2 2 4 2 2 3 2" xfId="8987"/>
    <cellStyle name="Calculation 2 2 2 4 2 2 3 2 2" xfId="8988"/>
    <cellStyle name="Calculation 2 2 2 4 2 2 3 2 3" xfId="8989"/>
    <cellStyle name="Calculation 2 2 2 4 2 2 3 2 4" xfId="8990"/>
    <cellStyle name="Calculation 2 2 2 4 2 2 3 3" xfId="8991"/>
    <cellStyle name="Calculation 2 2 2 4 2 2 3 4" xfId="8992"/>
    <cellStyle name="Calculation 2 2 2 4 2 2 3 5" xfId="8993"/>
    <cellStyle name="Calculation 2 2 2 4 2 2 3 6" xfId="8994"/>
    <cellStyle name="Calculation 2 2 2 4 2 2 4" xfId="8995"/>
    <cellStyle name="Calculation 2 2 2 4 2 2 4 2" xfId="8996"/>
    <cellStyle name="Calculation 2 2 2 4 2 2 4 3" xfId="8997"/>
    <cellStyle name="Calculation 2 2 2 4 2 2 4 4" xfId="8998"/>
    <cellStyle name="Calculation 2 2 2 4 2 2 4 5" xfId="8999"/>
    <cellStyle name="Calculation 2 2 2 4 2 2 5" xfId="9000"/>
    <cellStyle name="Calculation 2 2 2 4 2 2 5 2" xfId="9001"/>
    <cellStyle name="Calculation 2 2 2 4 2 2 5 3" xfId="9002"/>
    <cellStyle name="Calculation 2 2 2 4 2 2 5 4" xfId="9003"/>
    <cellStyle name="Calculation 2 2 2 4 2 2 6" xfId="9004"/>
    <cellStyle name="Calculation 2 2 2 4 2 2 6 2" xfId="9005"/>
    <cellStyle name="Calculation 2 2 2 4 2 2 6 3" xfId="9006"/>
    <cellStyle name="Calculation 2 2 2 4 2 2 6 4" xfId="9007"/>
    <cellStyle name="Calculation 2 2 2 4 2 2 7" xfId="9008"/>
    <cellStyle name="Calculation 2 2 2 4 2 2 7 2" xfId="9009"/>
    <cellStyle name="Calculation 2 2 2 4 2 2 7 3" xfId="9010"/>
    <cellStyle name="Calculation 2 2 2 4 2 2 7 4" xfId="9011"/>
    <cellStyle name="Calculation 2 2 2 4 2 2 8" xfId="9012"/>
    <cellStyle name="Calculation 2 2 2 4 2 2 9" xfId="9013"/>
    <cellStyle name="Calculation 2 2 2 4 2 3" xfId="9014"/>
    <cellStyle name="Calculation 2 2 2 4 2 3 2" xfId="9015"/>
    <cellStyle name="Calculation 2 2 2 4 2 3 2 2" xfId="9016"/>
    <cellStyle name="Calculation 2 2 2 4 2 3 2 2 2" xfId="9017"/>
    <cellStyle name="Calculation 2 2 2 4 2 3 2 2 3" xfId="9018"/>
    <cellStyle name="Calculation 2 2 2 4 2 3 2 2 4" xfId="9019"/>
    <cellStyle name="Calculation 2 2 2 4 2 3 2 3" xfId="9020"/>
    <cellStyle name="Calculation 2 2 2 4 2 3 2 4" xfId="9021"/>
    <cellStyle name="Calculation 2 2 2 4 2 3 2 5" xfId="9022"/>
    <cellStyle name="Calculation 2 2 2 4 2 3 2 6" xfId="9023"/>
    <cellStyle name="Calculation 2 2 2 4 2 3 3" xfId="9024"/>
    <cellStyle name="Calculation 2 2 2 4 2 3 3 2" xfId="9025"/>
    <cellStyle name="Calculation 2 2 2 4 2 3 3 3" xfId="9026"/>
    <cellStyle name="Calculation 2 2 2 4 2 3 3 4" xfId="9027"/>
    <cellStyle name="Calculation 2 2 2 4 2 3 4" xfId="9028"/>
    <cellStyle name="Calculation 2 2 2 4 2 3 5" xfId="9029"/>
    <cellStyle name="Calculation 2 2 2 4 2 3 6" xfId="9030"/>
    <cellStyle name="Calculation 2 2 2 4 2 3 7" xfId="9031"/>
    <cellStyle name="Calculation 2 2 2 4 2 4" xfId="9032"/>
    <cellStyle name="Calculation 2 2 2 4 2 4 2" xfId="9033"/>
    <cellStyle name="Calculation 2 2 2 4 2 4 2 2" xfId="9034"/>
    <cellStyle name="Calculation 2 2 2 4 2 4 2 3" xfId="9035"/>
    <cellStyle name="Calculation 2 2 2 4 2 4 2 4" xfId="9036"/>
    <cellStyle name="Calculation 2 2 2 4 2 4 3" xfId="9037"/>
    <cellStyle name="Calculation 2 2 2 4 2 4 4" xfId="9038"/>
    <cellStyle name="Calculation 2 2 2 4 2 4 5" xfId="9039"/>
    <cellStyle name="Calculation 2 2 2 4 2 4 6" xfId="9040"/>
    <cellStyle name="Calculation 2 2 2 4 2 5" xfId="9041"/>
    <cellStyle name="Calculation 2 2 2 4 2 5 2" xfId="9042"/>
    <cellStyle name="Calculation 2 2 2 4 2 5 3" xfId="9043"/>
    <cellStyle name="Calculation 2 2 2 4 2 5 4" xfId="9044"/>
    <cellStyle name="Calculation 2 2 2 4 2 5 5" xfId="9045"/>
    <cellStyle name="Calculation 2 2 2 4 2 6" xfId="9046"/>
    <cellStyle name="Calculation 2 2 2 4 2 6 2" xfId="9047"/>
    <cellStyle name="Calculation 2 2 2 4 2 6 3" xfId="9048"/>
    <cellStyle name="Calculation 2 2 2 4 2 6 4" xfId="9049"/>
    <cellStyle name="Calculation 2 2 2 4 2 7" xfId="9050"/>
    <cellStyle name="Calculation 2 2 2 4 2 7 2" xfId="9051"/>
    <cellStyle name="Calculation 2 2 2 4 2 7 3" xfId="9052"/>
    <cellStyle name="Calculation 2 2 2 4 2 7 4" xfId="9053"/>
    <cellStyle name="Calculation 2 2 2 4 2 8" xfId="9054"/>
    <cellStyle name="Calculation 2 2 2 4 2 8 2" xfId="9055"/>
    <cellStyle name="Calculation 2 2 2 4 2 8 3" xfId="9056"/>
    <cellStyle name="Calculation 2 2 2 4 2 8 4" xfId="9057"/>
    <cellStyle name="Calculation 2 2 2 4 2 9" xfId="9058"/>
    <cellStyle name="Calculation 2 2 2 4 3" xfId="9059"/>
    <cellStyle name="Calculation 2 2 2 4 3 10" xfId="9060"/>
    <cellStyle name="Calculation 2 2 2 4 3 11" xfId="9061"/>
    <cellStyle name="Calculation 2 2 2 4 3 2" xfId="9062"/>
    <cellStyle name="Calculation 2 2 2 4 3 2 2" xfId="9063"/>
    <cellStyle name="Calculation 2 2 2 4 3 2 2 2" xfId="9064"/>
    <cellStyle name="Calculation 2 2 2 4 3 2 2 2 2" xfId="9065"/>
    <cellStyle name="Calculation 2 2 2 4 3 2 2 2 3" xfId="9066"/>
    <cellStyle name="Calculation 2 2 2 4 3 2 2 2 4" xfId="9067"/>
    <cellStyle name="Calculation 2 2 2 4 3 2 2 3" xfId="9068"/>
    <cellStyle name="Calculation 2 2 2 4 3 2 2 4" xfId="9069"/>
    <cellStyle name="Calculation 2 2 2 4 3 2 2 5" xfId="9070"/>
    <cellStyle name="Calculation 2 2 2 4 3 2 2 6" xfId="9071"/>
    <cellStyle name="Calculation 2 2 2 4 3 2 3" xfId="9072"/>
    <cellStyle name="Calculation 2 2 2 4 3 2 3 2" xfId="9073"/>
    <cellStyle name="Calculation 2 2 2 4 3 2 3 3" xfId="9074"/>
    <cellStyle name="Calculation 2 2 2 4 3 2 3 4" xfId="9075"/>
    <cellStyle name="Calculation 2 2 2 4 3 2 4" xfId="9076"/>
    <cellStyle name="Calculation 2 2 2 4 3 2 5" xfId="9077"/>
    <cellStyle name="Calculation 2 2 2 4 3 2 6" xfId="9078"/>
    <cellStyle name="Calculation 2 2 2 4 3 2 7" xfId="9079"/>
    <cellStyle name="Calculation 2 2 2 4 3 3" xfId="9080"/>
    <cellStyle name="Calculation 2 2 2 4 3 3 2" xfId="9081"/>
    <cellStyle name="Calculation 2 2 2 4 3 3 2 2" xfId="9082"/>
    <cellStyle name="Calculation 2 2 2 4 3 3 2 3" xfId="9083"/>
    <cellStyle name="Calculation 2 2 2 4 3 3 2 4" xfId="9084"/>
    <cellStyle name="Calculation 2 2 2 4 3 3 3" xfId="9085"/>
    <cellStyle name="Calculation 2 2 2 4 3 3 4" xfId="9086"/>
    <cellStyle name="Calculation 2 2 2 4 3 3 5" xfId="9087"/>
    <cellStyle name="Calculation 2 2 2 4 3 3 6" xfId="9088"/>
    <cellStyle name="Calculation 2 2 2 4 3 4" xfId="9089"/>
    <cellStyle name="Calculation 2 2 2 4 3 4 2" xfId="9090"/>
    <cellStyle name="Calculation 2 2 2 4 3 4 3" xfId="9091"/>
    <cellStyle name="Calculation 2 2 2 4 3 4 4" xfId="9092"/>
    <cellStyle name="Calculation 2 2 2 4 3 4 5" xfId="9093"/>
    <cellStyle name="Calculation 2 2 2 4 3 5" xfId="9094"/>
    <cellStyle name="Calculation 2 2 2 4 3 5 2" xfId="9095"/>
    <cellStyle name="Calculation 2 2 2 4 3 5 3" xfId="9096"/>
    <cellStyle name="Calculation 2 2 2 4 3 5 4" xfId="9097"/>
    <cellStyle name="Calculation 2 2 2 4 3 6" xfId="9098"/>
    <cellStyle name="Calculation 2 2 2 4 3 6 2" xfId="9099"/>
    <cellStyle name="Calculation 2 2 2 4 3 6 3" xfId="9100"/>
    <cellStyle name="Calculation 2 2 2 4 3 6 4" xfId="9101"/>
    <cellStyle name="Calculation 2 2 2 4 3 7" xfId="9102"/>
    <cellStyle name="Calculation 2 2 2 4 3 7 2" xfId="9103"/>
    <cellStyle name="Calculation 2 2 2 4 3 7 3" xfId="9104"/>
    <cellStyle name="Calculation 2 2 2 4 3 7 4" xfId="9105"/>
    <cellStyle name="Calculation 2 2 2 4 3 8" xfId="9106"/>
    <cellStyle name="Calculation 2 2 2 4 3 9" xfId="9107"/>
    <cellStyle name="Calculation 2 2 2 4 4" xfId="9108"/>
    <cellStyle name="Calculation 2 2 2 4 4 2" xfId="9109"/>
    <cellStyle name="Calculation 2 2 2 4 4 2 2" xfId="9110"/>
    <cellStyle name="Calculation 2 2 2 4 4 2 2 2" xfId="9111"/>
    <cellStyle name="Calculation 2 2 2 4 4 2 2 3" xfId="9112"/>
    <cellStyle name="Calculation 2 2 2 4 4 2 2 4" xfId="9113"/>
    <cellStyle name="Calculation 2 2 2 4 4 2 3" xfId="9114"/>
    <cellStyle name="Calculation 2 2 2 4 4 2 4" xfId="9115"/>
    <cellStyle name="Calculation 2 2 2 4 4 2 5" xfId="9116"/>
    <cellStyle name="Calculation 2 2 2 4 4 2 6" xfId="9117"/>
    <cellStyle name="Calculation 2 2 2 4 4 3" xfId="9118"/>
    <cellStyle name="Calculation 2 2 2 4 4 3 2" xfId="9119"/>
    <cellStyle name="Calculation 2 2 2 4 4 3 3" xfId="9120"/>
    <cellStyle name="Calculation 2 2 2 4 4 3 4" xfId="9121"/>
    <cellStyle name="Calculation 2 2 2 4 4 4" xfId="9122"/>
    <cellStyle name="Calculation 2 2 2 4 4 5" xfId="9123"/>
    <cellStyle name="Calculation 2 2 2 4 4 6" xfId="9124"/>
    <cellStyle name="Calculation 2 2 2 4 4 7" xfId="9125"/>
    <cellStyle name="Calculation 2 2 2 4 5" xfId="9126"/>
    <cellStyle name="Calculation 2 2 2 4 5 2" xfId="9127"/>
    <cellStyle name="Calculation 2 2 2 4 5 2 2" xfId="9128"/>
    <cellStyle name="Calculation 2 2 2 4 5 2 3" xfId="9129"/>
    <cellStyle name="Calculation 2 2 2 4 5 2 4" xfId="9130"/>
    <cellStyle name="Calculation 2 2 2 4 5 3" xfId="9131"/>
    <cellStyle name="Calculation 2 2 2 4 5 3 2" xfId="9132"/>
    <cellStyle name="Calculation 2 2 2 4 5 3 3" xfId="9133"/>
    <cellStyle name="Calculation 2 2 2 4 5 3 4" xfId="9134"/>
    <cellStyle name="Calculation 2 2 2 4 5 4" xfId="9135"/>
    <cellStyle name="Calculation 2 2 2 4 5 5" xfId="9136"/>
    <cellStyle name="Calculation 2 2 2 4 5 6" xfId="9137"/>
    <cellStyle name="Calculation 2 2 2 4 5 7" xfId="9138"/>
    <cellStyle name="Calculation 2 2 2 4 6" xfId="9139"/>
    <cellStyle name="Calculation 2 2 2 4 6 2" xfId="9140"/>
    <cellStyle name="Calculation 2 2 2 4 6 2 2" xfId="9141"/>
    <cellStyle name="Calculation 2 2 2 4 6 2 3" xfId="9142"/>
    <cellStyle name="Calculation 2 2 2 4 6 2 4" xfId="9143"/>
    <cellStyle name="Calculation 2 2 2 4 6 3" xfId="9144"/>
    <cellStyle name="Calculation 2 2 2 4 6 3 2" xfId="9145"/>
    <cellStyle name="Calculation 2 2 2 4 6 3 3" xfId="9146"/>
    <cellStyle name="Calculation 2 2 2 4 6 3 4" xfId="9147"/>
    <cellStyle name="Calculation 2 2 2 4 6 4" xfId="9148"/>
    <cellStyle name="Calculation 2 2 2 4 6 5" xfId="9149"/>
    <cellStyle name="Calculation 2 2 2 4 6 6" xfId="9150"/>
    <cellStyle name="Calculation 2 2 2 4 6 7" xfId="9151"/>
    <cellStyle name="Calculation 2 2 2 4 7" xfId="9152"/>
    <cellStyle name="Calculation 2 2 2 4 7 2" xfId="9153"/>
    <cellStyle name="Calculation 2 2 2 4 7 2 2" xfId="9154"/>
    <cellStyle name="Calculation 2 2 2 4 7 2 3" xfId="9155"/>
    <cellStyle name="Calculation 2 2 2 4 7 2 4" xfId="9156"/>
    <cellStyle name="Calculation 2 2 2 4 7 3" xfId="9157"/>
    <cellStyle name="Calculation 2 2 2 4 7 3 2" xfId="9158"/>
    <cellStyle name="Calculation 2 2 2 4 7 3 3" xfId="9159"/>
    <cellStyle name="Calculation 2 2 2 4 7 3 4" xfId="9160"/>
    <cellStyle name="Calculation 2 2 2 4 7 4" xfId="9161"/>
    <cellStyle name="Calculation 2 2 2 4 7 5" xfId="9162"/>
    <cellStyle name="Calculation 2 2 2 4 7 6" xfId="9163"/>
    <cellStyle name="Calculation 2 2 2 4 7 7" xfId="9164"/>
    <cellStyle name="Calculation 2 2 2 4 8" xfId="9165"/>
    <cellStyle name="Calculation 2 2 2 4 8 2" xfId="9166"/>
    <cellStyle name="Calculation 2 2 2 4 8 2 2" xfId="9167"/>
    <cellStyle name="Calculation 2 2 2 4 8 2 3" xfId="9168"/>
    <cellStyle name="Calculation 2 2 2 4 8 2 4" xfId="9169"/>
    <cellStyle name="Calculation 2 2 2 4 8 3" xfId="9170"/>
    <cellStyle name="Calculation 2 2 2 4 8 4" xfId="9171"/>
    <cellStyle name="Calculation 2 2 2 4 8 5" xfId="9172"/>
    <cellStyle name="Calculation 2 2 2 4 8 6" xfId="9173"/>
    <cellStyle name="Calculation 2 2 2 4 9" xfId="9174"/>
    <cellStyle name="Calculation 2 2 2 4 9 2" xfId="9175"/>
    <cellStyle name="Calculation 2 2 2 4 9 3" xfId="9176"/>
    <cellStyle name="Calculation 2 2 2 4 9 4" xfId="9177"/>
    <cellStyle name="Calculation 2 2 2 4 9 5" xfId="9178"/>
    <cellStyle name="Calculation 2 2 2 5" xfId="9179"/>
    <cellStyle name="Calculation 2 2 2 5 10" xfId="9180"/>
    <cellStyle name="Calculation 2 2 2 5 11" xfId="9181"/>
    <cellStyle name="Calculation 2 2 2 5 12" xfId="9182"/>
    <cellStyle name="Calculation 2 2 2 5 13" xfId="9183"/>
    <cellStyle name="Calculation 2 2 2 5 2" xfId="9184"/>
    <cellStyle name="Calculation 2 2 2 5 2 10" xfId="9185"/>
    <cellStyle name="Calculation 2 2 2 5 2 11" xfId="9186"/>
    <cellStyle name="Calculation 2 2 2 5 2 12" xfId="9187"/>
    <cellStyle name="Calculation 2 2 2 5 2 2" xfId="9188"/>
    <cellStyle name="Calculation 2 2 2 5 2 2 10" xfId="9189"/>
    <cellStyle name="Calculation 2 2 2 5 2 2 11" xfId="9190"/>
    <cellStyle name="Calculation 2 2 2 5 2 2 2" xfId="9191"/>
    <cellStyle name="Calculation 2 2 2 5 2 2 2 2" xfId="9192"/>
    <cellStyle name="Calculation 2 2 2 5 2 2 2 2 2" xfId="9193"/>
    <cellStyle name="Calculation 2 2 2 5 2 2 2 2 2 2" xfId="9194"/>
    <cellStyle name="Calculation 2 2 2 5 2 2 2 2 2 3" xfId="9195"/>
    <cellStyle name="Calculation 2 2 2 5 2 2 2 2 2 4" xfId="9196"/>
    <cellStyle name="Calculation 2 2 2 5 2 2 2 2 3" xfId="9197"/>
    <cellStyle name="Calculation 2 2 2 5 2 2 2 2 4" xfId="9198"/>
    <cellStyle name="Calculation 2 2 2 5 2 2 2 2 5" xfId="9199"/>
    <cellStyle name="Calculation 2 2 2 5 2 2 2 2 6" xfId="9200"/>
    <cellStyle name="Calculation 2 2 2 5 2 2 2 3" xfId="9201"/>
    <cellStyle name="Calculation 2 2 2 5 2 2 2 3 2" xfId="9202"/>
    <cellStyle name="Calculation 2 2 2 5 2 2 2 3 3" xfId="9203"/>
    <cellStyle name="Calculation 2 2 2 5 2 2 2 3 4" xfId="9204"/>
    <cellStyle name="Calculation 2 2 2 5 2 2 2 4" xfId="9205"/>
    <cellStyle name="Calculation 2 2 2 5 2 2 2 5" xfId="9206"/>
    <cellStyle name="Calculation 2 2 2 5 2 2 2 6" xfId="9207"/>
    <cellStyle name="Calculation 2 2 2 5 2 2 2 7" xfId="9208"/>
    <cellStyle name="Calculation 2 2 2 5 2 2 3" xfId="9209"/>
    <cellStyle name="Calculation 2 2 2 5 2 2 3 2" xfId="9210"/>
    <cellStyle name="Calculation 2 2 2 5 2 2 3 2 2" xfId="9211"/>
    <cellStyle name="Calculation 2 2 2 5 2 2 3 2 3" xfId="9212"/>
    <cellStyle name="Calculation 2 2 2 5 2 2 3 2 4" xfId="9213"/>
    <cellStyle name="Calculation 2 2 2 5 2 2 3 3" xfId="9214"/>
    <cellStyle name="Calculation 2 2 2 5 2 2 3 4" xfId="9215"/>
    <cellStyle name="Calculation 2 2 2 5 2 2 3 5" xfId="9216"/>
    <cellStyle name="Calculation 2 2 2 5 2 2 3 6" xfId="9217"/>
    <cellStyle name="Calculation 2 2 2 5 2 2 4" xfId="9218"/>
    <cellStyle name="Calculation 2 2 2 5 2 2 4 2" xfId="9219"/>
    <cellStyle name="Calculation 2 2 2 5 2 2 4 3" xfId="9220"/>
    <cellStyle name="Calculation 2 2 2 5 2 2 4 4" xfId="9221"/>
    <cellStyle name="Calculation 2 2 2 5 2 2 4 5" xfId="9222"/>
    <cellStyle name="Calculation 2 2 2 5 2 2 5" xfId="9223"/>
    <cellStyle name="Calculation 2 2 2 5 2 2 5 2" xfId="9224"/>
    <cellStyle name="Calculation 2 2 2 5 2 2 5 3" xfId="9225"/>
    <cellStyle name="Calculation 2 2 2 5 2 2 5 4" xfId="9226"/>
    <cellStyle name="Calculation 2 2 2 5 2 2 6" xfId="9227"/>
    <cellStyle name="Calculation 2 2 2 5 2 2 6 2" xfId="9228"/>
    <cellStyle name="Calculation 2 2 2 5 2 2 6 3" xfId="9229"/>
    <cellStyle name="Calculation 2 2 2 5 2 2 6 4" xfId="9230"/>
    <cellStyle name="Calculation 2 2 2 5 2 2 7" xfId="9231"/>
    <cellStyle name="Calculation 2 2 2 5 2 2 7 2" xfId="9232"/>
    <cellStyle name="Calculation 2 2 2 5 2 2 7 3" xfId="9233"/>
    <cellStyle name="Calculation 2 2 2 5 2 2 7 4" xfId="9234"/>
    <cellStyle name="Calculation 2 2 2 5 2 2 8" xfId="9235"/>
    <cellStyle name="Calculation 2 2 2 5 2 2 9" xfId="9236"/>
    <cellStyle name="Calculation 2 2 2 5 2 3" xfId="9237"/>
    <cellStyle name="Calculation 2 2 2 5 2 3 2" xfId="9238"/>
    <cellStyle name="Calculation 2 2 2 5 2 3 2 2" xfId="9239"/>
    <cellStyle name="Calculation 2 2 2 5 2 3 2 2 2" xfId="9240"/>
    <cellStyle name="Calculation 2 2 2 5 2 3 2 2 3" xfId="9241"/>
    <cellStyle name="Calculation 2 2 2 5 2 3 2 2 4" xfId="9242"/>
    <cellStyle name="Calculation 2 2 2 5 2 3 2 3" xfId="9243"/>
    <cellStyle name="Calculation 2 2 2 5 2 3 2 4" xfId="9244"/>
    <cellStyle name="Calculation 2 2 2 5 2 3 2 5" xfId="9245"/>
    <cellStyle name="Calculation 2 2 2 5 2 3 2 6" xfId="9246"/>
    <cellStyle name="Calculation 2 2 2 5 2 3 3" xfId="9247"/>
    <cellStyle name="Calculation 2 2 2 5 2 3 3 2" xfId="9248"/>
    <cellStyle name="Calculation 2 2 2 5 2 3 3 3" xfId="9249"/>
    <cellStyle name="Calculation 2 2 2 5 2 3 3 4" xfId="9250"/>
    <cellStyle name="Calculation 2 2 2 5 2 3 4" xfId="9251"/>
    <cellStyle name="Calculation 2 2 2 5 2 3 5" xfId="9252"/>
    <cellStyle name="Calculation 2 2 2 5 2 3 6" xfId="9253"/>
    <cellStyle name="Calculation 2 2 2 5 2 3 7" xfId="9254"/>
    <cellStyle name="Calculation 2 2 2 5 2 4" xfId="9255"/>
    <cellStyle name="Calculation 2 2 2 5 2 4 2" xfId="9256"/>
    <cellStyle name="Calculation 2 2 2 5 2 4 2 2" xfId="9257"/>
    <cellStyle name="Calculation 2 2 2 5 2 4 2 3" xfId="9258"/>
    <cellStyle name="Calculation 2 2 2 5 2 4 2 4" xfId="9259"/>
    <cellStyle name="Calculation 2 2 2 5 2 4 3" xfId="9260"/>
    <cellStyle name="Calculation 2 2 2 5 2 4 4" xfId="9261"/>
    <cellStyle name="Calculation 2 2 2 5 2 4 5" xfId="9262"/>
    <cellStyle name="Calculation 2 2 2 5 2 4 6" xfId="9263"/>
    <cellStyle name="Calculation 2 2 2 5 2 5" xfId="9264"/>
    <cellStyle name="Calculation 2 2 2 5 2 5 2" xfId="9265"/>
    <cellStyle name="Calculation 2 2 2 5 2 5 3" xfId="9266"/>
    <cellStyle name="Calculation 2 2 2 5 2 5 4" xfId="9267"/>
    <cellStyle name="Calculation 2 2 2 5 2 5 5" xfId="9268"/>
    <cellStyle name="Calculation 2 2 2 5 2 6" xfId="9269"/>
    <cellStyle name="Calculation 2 2 2 5 2 6 2" xfId="9270"/>
    <cellStyle name="Calculation 2 2 2 5 2 6 3" xfId="9271"/>
    <cellStyle name="Calculation 2 2 2 5 2 6 4" xfId="9272"/>
    <cellStyle name="Calculation 2 2 2 5 2 7" xfId="9273"/>
    <cellStyle name="Calculation 2 2 2 5 2 7 2" xfId="9274"/>
    <cellStyle name="Calculation 2 2 2 5 2 7 3" xfId="9275"/>
    <cellStyle name="Calculation 2 2 2 5 2 7 4" xfId="9276"/>
    <cellStyle name="Calculation 2 2 2 5 2 8" xfId="9277"/>
    <cellStyle name="Calculation 2 2 2 5 2 8 2" xfId="9278"/>
    <cellStyle name="Calculation 2 2 2 5 2 8 3" xfId="9279"/>
    <cellStyle name="Calculation 2 2 2 5 2 8 4" xfId="9280"/>
    <cellStyle name="Calculation 2 2 2 5 2 9" xfId="9281"/>
    <cellStyle name="Calculation 2 2 2 5 3" xfId="9282"/>
    <cellStyle name="Calculation 2 2 2 5 3 10" xfId="9283"/>
    <cellStyle name="Calculation 2 2 2 5 3 11" xfId="9284"/>
    <cellStyle name="Calculation 2 2 2 5 3 2" xfId="9285"/>
    <cellStyle name="Calculation 2 2 2 5 3 2 2" xfId="9286"/>
    <cellStyle name="Calculation 2 2 2 5 3 2 2 2" xfId="9287"/>
    <cellStyle name="Calculation 2 2 2 5 3 2 2 2 2" xfId="9288"/>
    <cellStyle name="Calculation 2 2 2 5 3 2 2 2 3" xfId="9289"/>
    <cellStyle name="Calculation 2 2 2 5 3 2 2 2 4" xfId="9290"/>
    <cellStyle name="Calculation 2 2 2 5 3 2 2 3" xfId="9291"/>
    <cellStyle name="Calculation 2 2 2 5 3 2 2 4" xfId="9292"/>
    <cellStyle name="Calculation 2 2 2 5 3 2 2 5" xfId="9293"/>
    <cellStyle name="Calculation 2 2 2 5 3 2 2 6" xfId="9294"/>
    <cellStyle name="Calculation 2 2 2 5 3 2 3" xfId="9295"/>
    <cellStyle name="Calculation 2 2 2 5 3 2 3 2" xfId="9296"/>
    <cellStyle name="Calculation 2 2 2 5 3 2 3 3" xfId="9297"/>
    <cellStyle name="Calculation 2 2 2 5 3 2 3 4" xfId="9298"/>
    <cellStyle name="Calculation 2 2 2 5 3 2 4" xfId="9299"/>
    <cellStyle name="Calculation 2 2 2 5 3 2 5" xfId="9300"/>
    <cellStyle name="Calculation 2 2 2 5 3 2 6" xfId="9301"/>
    <cellStyle name="Calculation 2 2 2 5 3 2 7" xfId="9302"/>
    <cellStyle name="Calculation 2 2 2 5 3 3" xfId="9303"/>
    <cellStyle name="Calculation 2 2 2 5 3 3 2" xfId="9304"/>
    <cellStyle name="Calculation 2 2 2 5 3 3 2 2" xfId="9305"/>
    <cellStyle name="Calculation 2 2 2 5 3 3 2 3" xfId="9306"/>
    <cellStyle name="Calculation 2 2 2 5 3 3 2 4" xfId="9307"/>
    <cellStyle name="Calculation 2 2 2 5 3 3 3" xfId="9308"/>
    <cellStyle name="Calculation 2 2 2 5 3 3 4" xfId="9309"/>
    <cellStyle name="Calculation 2 2 2 5 3 3 5" xfId="9310"/>
    <cellStyle name="Calculation 2 2 2 5 3 3 6" xfId="9311"/>
    <cellStyle name="Calculation 2 2 2 5 3 4" xfId="9312"/>
    <cellStyle name="Calculation 2 2 2 5 3 4 2" xfId="9313"/>
    <cellStyle name="Calculation 2 2 2 5 3 4 3" xfId="9314"/>
    <cellStyle name="Calculation 2 2 2 5 3 4 4" xfId="9315"/>
    <cellStyle name="Calculation 2 2 2 5 3 4 5" xfId="9316"/>
    <cellStyle name="Calculation 2 2 2 5 3 5" xfId="9317"/>
    <cellStyle name="Calculation 2 2 2 5 3 5 2" xfId="9318"/>
    <cellStyle name="Calculation 2 2 2 5 3 5 3" xfId="9319"/>
    <cellStyle name="Calculation 2 2 2 5 3 5 4" xfId="9320"/>
    <cellStyle name="Calculation 2 2 2 5 3 6" xfId="9321"/>
    <cellStyle name="Calculation 2 2 2 5 3 6 2" xfId="9322"/>
    <cellStyle name="Calculation 2 2 2 5 3 6 3" xfId="9323"/>
    <cellStyle name="Calculation 2 2 2 5 3 6 4" xfId="9324"/>
    <cellStyle name="Calculation 2 2 2 5 3 7" xfId="9325"/>
    <cellStyle name="Calculation 2 2 2 5 3 7 2" xfId="9326"/>
    <cellStyle name="Calculation 2 2 2 5 3 7 3" xfId="9327"/>
    <cellStyle name="Calculation 2 2 2 5 3 7 4" xfId="9328"/>
    <cellStyle name="Calculation 2 2 2 5 3 8" xfId="9329"/>
    <cellStyle name="Calculation 2 2 2 5 3 9" xfId="9330"/>
    <cellStyle name="Calculation 2 2 2 5 4" xfId="9331"/>
    <cellStyle name="Calculation 2 2 2 5 4 2" xfId="9332"/>
    <cellStyle name="Calculation 2 2 2 5 4 2 2" xfId="9333"/>
    <cellStyle name="Calculation 2 2 2 5 4 2 2 2" xfId="9334"/>
    <cellStyle name="Calculation 2 2 2 5 4 2 2 3" xfId="9335"/>
    <cellStyle name="Calculation 2 2 2 5 4 2 2 4" xfId="9336"/>
    <cellStyle name="Calculation 2 2 2 5 4 2 3" xfId="9337"/>
    <cellStyle name="Calculation 2 2 2 5 4 2 4" xfId="9338"/>
    <cellStyle name="Calculation 2 2 2 5 4 2 5" xfId="9339"/>
    <cellStyle name="Calculation 2 2 2 5 4 2 6" xfId="9340"/>
    <cellStyle name="Calculation 2 2 2 5 4 3" xfId="9341"/>
    <cellStyle name="Calculation 2 2 2 5 4 3 2" xfId="9342"/>
    <cellStyle name="Calculation 2 2 2 5 4 3 3" xfId="9343"/>
    <cellStyle name="Calculation 2 2 2 5 4 3 4" xfId="9344"/>
    <cellStyle name="Calculation 2 2 2 5 4 4" xfId="9345"/>
    <cellStyle name="Calculation 2 2 2 5 4 5" xfId="9346"/>
    <cellStyle name="Calculation 2 2 2 5 4 6" xfId="9347"/>
    <cellStyle name="Calculation 2 2 2 5 4 7" xfId="9348"/>
    <cellStyle name="Calculation 2 2 2 5 5" xfId="9349"/>
    <cellStyle name="Calculation 2 2 2 5 5 2" xfId="9350"/>
    <cellStyle name="Calculation 2 2 2 5 5 2 2" xfId="9351"/>
    <cellStyle name="Calculation 2 2 2 5 5 2 3" xfId="9352"/>
    <cellStyle name="Calculation 2 2 2 5 5 2 4" xfId="9353"/>
    <cellStyle name="Calculation 2 2 2 5 5 3" xfId="9354"/>
    <cellStyle name="Calculation 2 2 2 5 5 4" xfId="9355"/>
    <cellStyle name="Calculation 2 2 2 5 5 5" xfId="9356"/>
    <cellStyle name="Calculation 2 2 2 5 5 6" xfId="9357"/>
    <cellStyle name="Calculation 2 2 2 5 6" xfId="9358"/>
    <cellStyle name="Calculation 2 2 2 5 6 2" xfId="9359"/>
    <cellStyle name="Calculation 2 2 2 5 6 3" xfId="9360"/>
    <cellStyle name="Calculation 2 2 2 5 6 4" xfId="9361"/>
    <cellStyle name="Calculation 2 2 2 5 6 5" xfId="9362"/>
    <cellStyle name="Calculation 2 2 2 5 7" xfId="9363"/>
    <cellStyle name="Calculation 2 2 2 5 7 2" xfId="9364"/>
    <cellStyle name="Calculation 2 2 2 5 7 3" xfId="9365"/>
    <cellStyle name="Calculation 2 2 2 5 7 4" xfId="9366"/>
    <cellStyle name="Calculation 2 2 2 5 8" xfId="9367"/>
    <cellStyle name="Calculation 2 2 2 5 8 2" xfId="9368"/>
    <cellStyle name="Calculation 2 2 2 5 8 3" xfId="9369"/>
    <cellStyle name="Calculation 2 2 2 5 8 4" xfId="9370"/>
    <cellStyle name="Calculation 2 2 2 5 9" xfId="9371"/>
    <cellStyle name="Calculation 2 2 2 5 9 2" xfId="9372"/>
    <cellStyle name="Calculation 2 2 2 5 9 3" xfId="9373"/>
    <cellStyle name="Calculation 2 2 2 5 9 4" xfId="9374"/>
    <cellStyle name="Calculation 2 2 2 6" xfId="9375"/>
    <cellStyle name="Calculation 2 2 2 6 10" xfId="9376"/>
    <cellStyle name="Calculation 2 2 2 6 11" xfId="9377"/>
    <cellStyle name="Calculation 2 2 2 6 12" xfId="9378"/>
    <cellStyle name="Calculation 2 2 2 6 13" xfId="9379"/>
    <cellStyle name="Calculation 2 2 2 6 2" xfId="9380"/>
    <cellStyle name="Calculation 2 2 2 6 2 10" xfId="9381"/>
    <cellStyle name="Calculation 2 2 2 6 2 11" xfId="9382"/>
    <cellStyle name="Calculation 2 2 2 6 2 2" xfId="9383"/>
    <cellStyle name="Calculation 2 2 2 6 2 2 2" xfId="9384"/>
    <cellStyle name="Calculation 2 2 2 6 2 2 2 2" xfId="9385"/>
    <cellStyle name="Calculation 2 2 2 6 2 2 2 2 2" xfId="9386"/>
    <cellStyle name="Calculation 2 2 2 6 2 2 2 2 3" xfId="9387"/>
    <cellStyle name="Calculation 2 2 2 6 2 2 2 2 4" xfId="9388"/>
    <cellStyle name="Calculation 2 2 2 6 2 2 2 3" xfId="9389"/>
    <cellStyle name="Calculation 2 2 2 6 2 2 2 4" xfId="9390"/>
    <cellStyle name="Calculation 2 2 2 6 2 2 2 5" xfId="9391"/>
    <cellStyle name="Calculation 2 2 2 6 2 2 2 6" xfId="9392"/>
    <cellStyle name="Calculation 2 2 2 6 2 2 3" xfId="9393"/>
    <cellStyle name="Calculation 2 2 2 6 2 2 3 2" xfId="9394"/>
    <cellStyle name="Calculation 2 2 2 6 2 2 3 3" xfId="9395"/>
    <cellStyle name="Calculation 2 2 2 6 2 2 3 4" xfId="9396"/>
    <cellStyle name="Calculation 2 2 2 6 2 2 4" xfId="9397"/>
    <cellStyle name="Calculation 2 2 2 6 2 2 5" xfId="9398"/>
    <cellStyle name="Calculation 2 2 2 6 2 2 6" xfId="9399"/>
    <cellStyle name="Calculation 2 2 2 6 2 2 7" xfId="9400"/>
    <cellStyle name="Calculation 2 2 2 6 2 3" xfId="9401"/>
    <cellStyle name="Calculation 2 2 2 6 2 3 2" xfId="9402"/>
    <cellStyle name="Calculation 2 2 2 6 2 3 2 2" xfId="9403"/>
    <cellStyle name="Calculation 2 2 2 6 2 3 2 3" xfId="9404"/>
    <cellStyle name="Calculation 2 2 2 6 2 3 2 4" xfId="9405"/>
    <cellStyle name="Calculation 2 2 2 6 2 3 3" xfId="9406"/>
    <cellStyle name="Calculation 2 2 2 6 2 3 4" xfId="9407"/>
    <cellStyle name="Calculation 2 2 2 6 2 3 5" xfId="9408"/>
    <cellStyle name="Calculation 2 2 2 6 2 3 6" xfId="9409"/>
    <cellStyle name="Calculation 2 2 2 6 2 4" xfId="9410"/>
    <cellStyle name="Calculation 2 2 2 6 2 4 2" xfId="9411"/>
    <cellStyle name="Calculation 2 2 2 6 2 4 3" xfId="9412"/>
    <cellStyle name="Calculation 2 2 2 6 2 4 4" xfId="9413"/>
    <cellStyle name="Calculation 2 2 2 6 2 4 5" xfId="9414"/>
    <cellStyle name="Calculation 2 2 2 6 2 5" xfId="9415"/>
    <cellStyle name="Calculation 2 2 2 6 2 5 2" xfId="9416"/>
    <cellStyle name="Calculation 2 2 2 6 2 5 3" xfId="9417"/>
    <cellStyle name="Calculation 2 2 2 6 2 5 4" xfId="9418"/>
    <cellStyle name="Calculation 2 2 2 6 2 6" xfId="9419"/>
    <cellStyle name="Calculation 2 2 2 6 2 6 2" xfId="9420"/>
    <cellStyle name="Calculation 2 2 2 6 2 6 3" xfId="9421"/>
    <cellStyle name="Calculation 2 2 2 6 2 6 4" xfId="9422"/>
    <cellStyle name="Calculation 2 2 2 6 2 7" xfId="9423"/>
    <cellStyle name="Calculation 2 2 2 6 2 7 2" xfId="9424"/>
    <cellStyle name="Calculation 2 2 2 6 2 7 3" xfId="9425"/>
    <cellStyle name="Calculation 2 2 2 6 2 7 4" xfId="9426"/>
    <cellStyle name="Calculation 2 2 2 6 2 8" xfId="9427"/>
    <cellStyle name="Calculation 2 2 2 6 2 9" xfId="9428"/>
    <cellStyle name="Calculation 2 2 2 6 3" xfId="9429"/>
    <cellStyle name="Calculation 2 2 2 6 3 10" xfId="9430"/>
    <cellStyle name="Calculation 2 2 2 6 3 11" xfId="9431"/>
    <cellStyle name="Calculation 2 2 2 6 3 2" xfId="9432"/>
    <cellStyle name="Calculation 2 2 2 6 3 2 2" xfId="9433"/>
    <cellStyle name="Calculation 2 2 2 6 3 2 2 2" xfId="9434"/>
    <cellStyle name="Calculation 2 2 2 6 3 2 2 3" xfId="9435"/>
    <cellStyle name="Calculation 2 2 2 6 3 2 2 4" xfId="9436"/>
    <cellStyle name="Calculation 2 2 2 6 3 2 3" xfId="9437"/>
    <cellStyle name="Calculation 2 2 2 6 3 2 3 2" xfId="9438"/>
    <cellStyle name="Calculation 2 2 2 6 3 2 3 3" xfId="9439"/>
    <cellStyle name="Calculation 2 2 2 6 3 2 3 4" xfId="9440"/>
    <cellStyle name="Calculation 2 2 2 6 3 2 4" xfId="9441"/>
    <cellStyle name="Calculation 2 2 2 6 3 2 5" xfId="9442"/>
    <cellStyle name="Calculation 2 2 2 6 3 2 6" xfId="9443"/>
    <cellStyle name="Calculation 2 2 2 6 3 2 7" xfId="9444"/>
    <cellStyle name="Calculation 2 2 2 6 3 3" xfId="9445"/>
    <cellStyle name="Calculation 2 2 2 6 3 3 2" xfId="9446"/>
    <cellStyle name="Calculation 2 2 2 6 3 3 2 2" xfId="9447"/>
    <cellStyle name="Calculation 2 2 2 6 3 3 2 3" xfId="9448"/>
    <cellStyle name="Calculation 2 2 2 6 3 3 2 4" xfId="9449"/>
    <cellStyle name="Calculation 2 2 2 6 3 3 3" xfId="9450"/>
    <cellStyle name="Calculation 2 2 2 6 3 3 4" xfId="9451"/>
    <cellStyle name="Calculation 2 2 2 6 3 3 5" xfId="9452"/>
    <cellStyle name="Calculation 2 2 2 6 3 3 6" xfId="9453"/>
    <cellStyle name="Calculation 2 2 2 6 3 4" xfId="9454"/>
    <cellStyle name="Calculation 2 2 2 6 3 4 2" xfId="9455"/>
    <cellStyle name="Calculation 2 2 2 6 3 4 3" xfId="9456"/>
    <cellStyle name="Calculation 2 2 2 6 3 4 4" xfId="9457"/>
    <cellStyle name="Calculation 2 2 2 6 3 4 5" xfId="9458"/>
    <cellStyle name="Calculation 2 2 2 6 3 5" xfId="9459"/>
    <cellStyle name="Calculation 2 2 2 6 3 5 2" xfId="9460"/>
    <cellStyle name="Calculation 2 2 2 6 3 5 3" xfId="9461"/>
    <cellStyle name="Calculation 2 2 2 6 3 5 4" xfId="9462"/>
    <cellStyle name="Calculation 2 2 2 6 3 6" xfId="9463"/>
    <cellStyle name="Calculation 2 2 2 6 3 6 2" xfId="9464"/>
    <cellStyle name="Calculation 2 2 2 6 3 6 3" xfId="9465"/>
    <cellStyle name="Calculation 2 2 2 6 3 6 4" xfId="9466"/>
    <cellStyle name="Calculation 2 2 2 6 3 7" xfId="9467"/>
    <cellStyle name="Calculation 2 2 2 6 3 7 2" xfId="9468"/>
    <cellStyle name="Calculation 2 2 2 6 3 7 3" xfId="9469"/>
    <cellStyle name="Calculation 2 2 2 6 3 7 4" xfId="9470"/>
    <cellStyle name="Calculation 2 2 2 6 3 8" xfId="9471"/>
    <cellStyle name="Calculation 2 2 2 6 3 9" xfId="9472"/>
    <cellStyle name="Calculation 2 2 2 6 4" xfId="9473"/>
    <cellStyle name="Calculation 2 2 2 6 4 2" xfId="9474"/>
    <cellStyle name="Calculation 2 2 2 6 4 2 2" xfId="9475"/>
    <cellStyle name="Calculation 2 2 2 6 4 2 2 2" xfId="9476"/>
    <cellStyle name="Calculation 2 2 2 6 4 2 2 3" xfId="9477"/>
    <cellStyle name="Calculation 2 2 2 6 4 2 2 4" xfId="9478"/>
    <cellStyle name="Calculation 2 2 2 6 4 2 3" xfId="9479"/>
    <cellStyle name="Calculation 2 2 2 6 4 2 4" xfId="9480"/>
    <cellStyle name="Calculation 2 2 2 6 4 2 5" xfId="9481"/>
    <cellStyle name="Calculation 2 2 2 6 4 2 6" xfId="9482"/>
    <cellStyle name="Calculation 2 2 2 6 4 3" xfId="9483"/>
    <cellStyle name="Calculation 2 2 2 6 4 3 2" xfId="9484"/>
    <cellStyle name="Calculation 2 2 2 6 4 3 3" xfId="9485"/>
    <cellStyle name="Calculation 2 2 2 6 4 3 4" xfId="9486"/>
    <cellStyle name="Calculation 2 2 2 6 4 4" xfId="9487"/>
    <cellStyle name="Calculation 2 2 2 6 4 5" xfId="9488"/>
    <cellStyle name="Calculation 2 2 2 6 4 6" xfId="9489"/>
    <cellStyle name="Calculation 2 2 2 6 4 7" xfId="9490"/>
    <cellStyle name="Calculation 2 2 2 6 5" xfId="9491"/>
    <cellStyle name="Calculation 2 2 2 6 5 2" xfId="9492"/>
    <cellStyle name="Calculation 2 2 2 6 5 2 2" xfId="9493"/>
    <cellStyle name="Calculation 2 2 2 6 5 2 3" xfId="9494"/>
    <cellStyle name="Calculation 2 2 2 6 5 2 4" xfId="9495"/>
    <cellStyle name="Calculation 2 2 2 6 5 3" xfId="9496"/>
    <cellStyle name="Calculation 2 2 2 6 5 4" xfId="9497"/>
    <cellStyle name="Calculation 2 2 2 6 5 5" xfId="9498"/>
    <cellStyle name="Calculation 2 2 2 6 5 6" xfId="9499"/>
    <cellStyle name="Calculation 2 2 2 6 6" xfId="9500"/>
    <cellStyle name="Calculation 2 2 2 6 6 2" xfId="9501"/>
    <cellStyle name="Calculation 2 2 2 6 6 3" xfId="9502"/>
    <cellStyle name="Calculation 2 2 2 6 6 4" xfId="9503"/>
    <cellStyle name="Calculation 2 2 2 6 6 5" xfId="9504"/>
    <cellStyle name="Calculation 2 2 2 6 7" xfId="9505"/>
    <cellStyle name="Calculation 2 2 2 6 7 2" xfId="9506"/>
    <cellStyle name="Calculation 2 2 2 6 7 3" xfId="9507"/>
    <cellStyle name="Calculation 2 2 2 6 7 4" xfId="9508"/>
    <cellStyle name="Calculation 2 2 2 6 8" xfId="9509"/>
    <cellStyle name="Calculation 2 2 2 6 8 2" xfId="9510"/>
    <cellStyle name="Calculation 2 2 2 6 8 3" xfId="9511"/>
    <cellStyle name="Calculation 2 2 2 6 8 4" xfId="9512"/>
    <cellStyle name="Calculation 2 2 2 6 9" xfId="9513"/>
    <cellStyle name="Calculation 2 2 2 6 9 2" xfId="9514"/>
    <cellStyle name="Calculation 2 2 2 6 9 3" xfId="9515"/>
    <cellStyle name="Calculation 2 2 2 6 9 4" xfId="9516"/>
    <cellStyle name="Calculation 2 2 2 7" xfId="9517"/>
    <cellStyle name="Calculation 2 2 2 7 10" xfId="9518"/>
    <cellStyle name="Calculation 2 2 2 7 11" xfId="9519"/>
    <cellStyle name="Calculation 2 2 2 7 12" xfId="9520"/>
    <cellStyle name="Calculation 2 2 2 7 2" xfId="9521"/>
    <cellStyle name="Calculation 2 2 2 7 2 10" xfId="9522"/>
    <cellStyle name="Calculation 2 2 2 7 2 11" xfId="9523"/>
    <cellStyle name="Calculation 2 2 2 7 2 2" xfId="9524"/>
    <cellStyle name="Calculation 2 2 2 7 2 2 2" xfId="9525"/>
    <cellStyle name="Calculation 2 2 2 7 2 2 2 2" xfId="9526"/>
    <cellStyle name="Calculation 2 2 2 7 2 2 2 2 2" xfId="9527"/>
    <cellStyle name="Calculation 2 2 2 7 2 2 2 2 3" xfId="9528"/>
    <cellStyle name="Calculation 2 2 2 7 2 2 2 2 4" xfId="9529"/>
    <cellStyle name="Calculation 2 2 2 7 2 2 2 3" xfId="9530"/>
    <cellStyle name="Calculation 2 2 2 7 2 2 2 4" xfId="9531"/>
    <cellStyle name="Calculation 2 2 2 7 2 2 2 5" xfId="9532"/>
    <cellStyle name="Calculation 2 2 2 7 2 2 2 6" xfId="9533"/>
    <cellStyle name="Calculation 2 2 2 7 2 2 3" xfId="9534"/>
    <cellStyle name="Calculation 2 2 2 7 2 2 3 2" xfId="9535"/>
    <cellStyle name="Calculation 2 2 2 7 2 2 3 3" xfId="9536"/>
    <cellStyle name="Calculation 2 2 2 7 2 2 3 4" xfId="9537"/>
    <cellStyle name="Calculation 2 2 2 7 2 2 4" xfId="9538"/>
    <cellStyle name="Calculation 2 2 2 7 2 2 5" xfId="9539"/>
    <cellStyle name="Calculation 2 2 2 7 2 2 6" xfId="9540"/>
    <cellStyle name="Calculation 2 2 2 7 2 2 7" xfId="9541"/>
    <cellStyle name="Calculation 2 2 2 7 2 3" xfId="9542"/>
    <cellStyle name="Calculation 2 2 2 7 2 3 2" xfId="9543"/>
    <cellStyle name="Calculation 2 2 2 7 2 3 2 2" xfId="9544"/>
    <cellStyle name="Calculation 2 2 2 7 2 3 2 3" xfId="9545"/>
    <cellStyle name="Calculation 2 2 2 7 2 3 2 4" xfId="9546"/>
    <cellStyle name="Calculation 2 2 2 7 2 3 3" xfId="9547"/>
    <cellStyle name="Calculation 2 2 2 7 2 3 4" xfId="9548"/>
    <cellStyle name="Calculation 2 2 2 7 2 3 5" xfId="9549"/>
    <cellStyle name="Calculation 2 2 2 7 2 3 6" xfId="9550"/>
    <cellStyle name="Calculation 2 2 2 7 2 4" xfId="9551"/>
    <cellStyle name="Calculation 2 2 2 7 2 4 2" xfId="9552"/>
    <cellStyle name="Calculation 2 2 2 7 2 4 3" xfId="9553"/>
    <cellStyle name="Calculation 2 2 2 7 2 4 4" xfId="9554"/>
    <cellStyle name="Calculation 2 2 2 7 2 4 5" xfId="9555"/>
    <cellStyle name="Calculation 2 2 2 7 2 5" xfId="9556"/>
    <cellStyle name="Calculation 2 2 2 7 2 5 2" xfId="9557"/>
    <cellStyle name="Calculation 2 2 2 7 2 5 3" xfId="9558"/>
    <cellStyle name="Calculation 2 2 2 7 2 5 4" xfId="9559"/>
    <cellStyle name="Calculation 2 2 2 7 2 6" xfId="9560"/>
    <cellStyle name="Calculation 2 2 2 7 2 6 2" xfId="9561"/>
    <cellStyle name="Calculation 2 2 2 7 2 6 3" xfId="9562"/>
    <cellStyle name="Calculation 2 2 2 7 2 6 4" xfId="9563"/>
    <cellStyle name="Calculation 2 2 2 7 2 7" xfId="9564"/>
    <cellStyle name="Calculation 2 2 2 7 2 7 2" xfId="9565"/>
    <cellStyle name="Calculation 2 2 2 7 2 7 3" xfId="9566"/>
    <cellStyle name="Calculation 2 2 2 7 2 7 4" xfId="9567"/>
    <cellStyle name="Calculation 2 2 2 7 2 8" xfId="9568"/>
    <cellStyle name="Calculation 2 2 2 7 2 9" xfId="9569"/>
    <cellStyle name="Calculation 2 2 2 7 3" xfId="9570"/>
    <cellStyle name="Calculation 2 2 2 7 3 2" xfId="9571"/>
    <cellStyle name="Calculation 2 2 2 7 3 2 2" xfId="9572"/>
    <cellStyle name="Calculation 2 2 2 7 3 2 2 2" xfId="9573"/>
    <cellStyle name="Calculation 2 2 2 7 3 2 2 3" xfId="9574"/>
    <cellStyle name="Calculation 2 2 2 7 3 2 2 4" xfId="9575"/>
    <cellStyle name="Calculation 2 2 2 7 3 2 3" xfId="9576"/>
    <cellStyle name="Calculation 2 2 2 7 3 2 4" xfId="9577"/>
    <cellStyle name="Calculation 2 2 2 7 3 2 5" xfId="9578"/>
    <cellStyle name="Calculation 2 2 2 7 3 2 6" xfId="9579"/>
    <cellStyle name="Calculation 2 2 2 7 3 3" xfId="9580"/>
    <cellStyle name="Calculation 2 2 2 7 3 3 2" xfId="9581"/>
    <cellStyle name="Calculation 2 2 2 7 3 3 3" xfId="9582"/>
    <cellStyle name="Calculation 2 2 2 7 3 3 4" xfId="9583"/>
    <cellStyle name="Calculation 2 2 2 7 3 4" xfId="9584"/>
    <cellStyle name="Calculation 2 2 2 7 3 5" xfId="9585"/>
    <cellStyle name="Calculation 2 2 2 7 3 6" xfId="9586"/>
    <cellStyle name="Calculation 2 2 2 7 3 7" xfId="9587"/>
    <cellStyle name="Calculation 2 2 2 7 4" xfId="9588"/>
    <cellStyle name="Calculation 2 2 2 7 4 2" xfId="9589"/>
    <cellStyle name="Calculation 2 2 2 7 4 2 2" xfId="9590"/>
    <cellStyle name="Calculation 2 2 2 7 4 2 3" xfId="9591"/>
    <cellStyle name="Calculation 2 2 2 7 4 2 4" xfId="9592"/>
    <cellStyle name="Calculation 2 2 2 7 4 3" xfId="9593"/>
    <cellStyle name="Calculation 2 2 2 7 4 4" xfId="9594"/>
    <cellStyle name="Calculation 2 2 2 7 4 5" xfId="9595"/>
    <cellStyle name="Calculation 2 2 2 7 4 6" xfId="9596"/>
    <cellStyle name="Calculation 2 2 2 7 5" xfId="9597"/>
    <cellStyle name="Calculation 2 2 2 7 5 2" xfId="9598"/>
    <cellStyle name="Calculation 2 2 2 7 5 3" xfId="9599"/>
    <cellStyle name="Calculation 2 2 2 7 5 4" xfId="9600"/>
    <cellStyle name="Calculation 2 2 2 7 5 5" xfId="9601"/>
    <cellStyle name="Calculation 2 2 2 7 6" xfId="9602"/>
    <cellStyle name="Calculation 2 2 2 7 6 2" xfId="9603"/>
    <cellStyle name="Calculation 2 2 2 7 6 3" xfId="9604"/>
    <cellStyle name="Calculation 2 2 2 7 6 4" xfId="9605"/>
    <cellStyle name="Calculation 2 2 2 7 7" xfId="9606"/>
    <cellStyle name="Calculation 2 2 2 7 7 2" xfId="9607"/>
    <cellStyle name="Calculation 2 2 2 7 7 3" xfId="9608"/>
    <cellStyle name="Calculation 2 2 2 7 7 4" xfId="9609"/>
    <cellStyle name="Calculation 2 2 2 7 8" xfId="9610"/>
    <cellStyle name="Calculation 2 2 2 7 8 2" xfId="9611"/>
    <cellStyle name="Calculation 2 2 2 7 8 3" xfId="9612"/>
    <cellStyle name="Calculation 2 2 2 7 8 4" xfId="9613"/>
    <cellStyle name="Calculation 2 2 2 7 9" xfId="9614"/>
    <cellStyle name="Calculation 2 2 2 8" xfId="9615"/>
    <cellStyle name="Calculation 2 2 2 8 10" xfId="9616"/>
    <cellStyle name="Calculation 2 2 2 8 11" xfId="9617"/>
    <cellStyle name="Calculation 2 2 2 8 2" xfId="9618"/>
    <cellStyle name="Calculation 2 2 2 8 2 2" xfId="9619"/>
    <cellStyle name="Calculation 2 2 2 8 2 2 2" xfId="9620"/>
    <cellStyle name="Calculation 2 2 2 8 2 2 2 2" xfId="9621"/>
    <cellStyle name="Calculation 2 2 2 8 2 2 2 3" xfId="9622"/>
    <cellStyle name="Calculation 2 2 2 8 2 2 2 4" xfId="9623"/>
    <cellStyle name="Calculation 2 2 2 8 2 2 3" xfId="9624"/>
    <cellStyle name="Calculation 2 2 2 8 2 2 4" xfId="9625"/>
    <cellStyle name="Calculation 2 2 2 8 2 2 5" xfId="9626"/>
    <cellStyle name="Calculation 2 2 2 8 2 2 6" xfId="9627"/>
    <cellStyle name="Calculation 2 2 2 8 2 3" xfId="9628"/>
    <cellStyle name="Calculation 2 2 2 8 2 3 2" xfId="9629"/>
    <cellStyle name="Calculation 2 2 2 8 2 3 3" xfId="9630"/>
    <cellStyle name="Calculation 2 2 2 8 2 3 4" xfId="9631"/>
    <cellStyle name="Calculation 2 2 2 8 2 4" xfId="9632"/>
    <cellStyle name="Calculation 2 2 2 8 2 5" xfId="9633"/>
    <cellStyle name="Calculation 2 2 2 8 2 6" xfId="9634"/>
    <cellStyle name="Calculation 2 2 2 8 2 7" xfId="9635"/>
    <cellStyle name="Calculation 2 2 2 8 3" xfId="9636"/>
    <cellStyle name="Calculation 2 2 2 8 3 2" xfId="9637"/>
    <cellStyle name="Calculation 2 2 2 8 3 2 2" xfId="9638"/>
    <cellStyle name="Calculation 2 2 2 8 3 2 3" xfId="9639"/>
    <cellStyle name="Calculation 2 2 2 8 3 2 4" xfId="9640"/>
    <cellStyle name="Calculation 2 2 2 8 3 3" xfId="9641"/>
    <cellStyle name="Calculation 2 2 2 8 3 4" xfId="9642"/>
    <cellStyle name="Calculation 2 2 2 8 3 5" xfId="9643"/>
    <cellStyle name="Calculation 2 2 2 8 3 6" xfId="9644"/>
    <cellStyle name="Calculation 2 2 2 8 4" xfId="9645"/>
    <cellStyle name="Calculation 2 2 2 8 4 2" xfId="9646"/>
    <cellStyle name="Calculation 2 2 2 8 4 3" xfId="9647"/>
    <cellStyle name="Calculation 2 2 2 8 4 4" xfId="9648"/>
    <cellStyle name="Calculation 2 2 2 8 4 5" xfId="9649"/>
    <cellStyle name="Calculation 2 2 2 8 5" xfId="9650"/>
    <cellStyle name="Calculation 2 2 2 8 5 2" xfId="9651"/>
    <cellStyle name="Calculation 2 2 2 8 5 3" xfId="9652"/>
    <cellStyle name="Calculation 2 2 2 8 5 4" xfId="9653"/>
    <cellStyle name="Calculation 2 2 2 8 6" xfId="9654"/>
    <cellStyle name="Calculation 2 2 2 8 6 2" xfId="9655"/>
    <cellStyle name="Calculation 2 2 2 8 6 3" xfId="9656"/>
    <cellStyle name="Calculation 2 2 2 8 6 4" xfId="9657"/>
    <cellStyle name="Calculation 2 2 2 8 7" xfId="9658"/>
    <cellStyle name="Calculation 2 2 2 8 7 2" xfId="9659"/>
    <cellStyle name="Calculation 2 2 2 8 7 3" xfId="9660"/>
    <cellStyle name="Calculation 2 2 2 8 7 4" xfId="9661"/>
    <cellStyle name="Calculation 2 2 2 8 8" xfId="9662"/>
    <cellStyle name="Calculation 2 2 2 8 9" xfId="9663"/>
    <cellStyle name="Calculation 2 2 2 9" xfId="9664"/>
    <cellStyle name="Calculation 2 2 2 9 10" xfId="9665"/>
    <cellStyle name="Calculation 2 2 2 9 2" xfId="9666"/>
    <cellStyle name="Calculation 2 2 2 9 2 2" xfId="9667"/>
    <cellStyle name="Calculation 2 2 2 9 2 2 2" xfId="9668"/>
    <cellStyle name="Calculation 2 2 2 9 2 2 3" xfId="9669"/>
    <cellStyle name="Calculation 2 2 2 9 2 2 4" xfId="9670"/>
    <cellStyle name="Calculation 2 2 2 9 2 3" xfId="9671"/>
    <cellStyle name="Calculation 2 2 2 9 2 4" xfId="9672"/>
    <cellStyle name="Calculation 2 2 2 9 2 5" xfId="9673"/>
    <cellStyle name="Calculation 2 2 2 9 2 6" xfId="9674"/>
    <cellStyle name="Calculation 2 2 2 9 3" xfId="9675"/>
    <cellStyle name="Calculation 2 2 2 9 3 2" xfId="9676"/>
    <cellStyle name="Calculation 2 2 2 9 3 3" xfId="9677"/>
    <cellStyle name="Calculation 2 2 2 9 3 4" xfId="9678"/>
    <cellStyle name="Calculation 2 2 2 9 4" xfId="9679"/>
    <cellStyle name="Calculation 2 2 2 9 4 2" xfId="9680"/>
    <cellStyle name="Calculation 2 2 2 9 4 3" xfId="9681"/>
    <cellStyle name="Calculation 2 2 2 9 4 4" xfId="9682"/>
    <cellStyle name="Calculation 2 2 2 9 5" xfId="9683"/>
    <cellStyle name="Calculation 2 2 2 9 5 2" xfId="9684"/>
    <cellStyle name="Calculation 2 2 2 9 5 3" xfId="9685"/>
    <cellStyle name="Calculation 2 2 2 9 5 4" xfId="9686"/>
    <cellStyle name="Calculation 2 2 2 9 6" xfId="9687"/>
    <cellStyle name="Calculation 2 2 2 9 6 2" xfId="9688"/>
    <cellStyle name="Calculation 2 2 2 9 6 3" xfId="9689"/>
    <cellStyle name="Calculation 2 2 2 9 6 4" xfId="9690"/>
    <cellStyle name="Calculation 2 2 2 9 7" xfId="9691"/>
    <cellStyle name="Calculation 2 2 2 9 8" xfId="9692"/>
    <cellStyle name="Calculation 2 2 2 9 9" xfId="9693"/>
    <cellStyle name="Calculation 2 2 20" xfId="9694"/>
    <cellStyle name="Calculation 2 2 21" xfId="9695"/>
    <cellStyle name="Calculation 2 2 22" xfId="9696"/>
    <cellStyle name="Calculation 2 2 23" xfId="9697"/>
    <cellStyle name="Calculation 2 2 24" xfId="9698"/>
    <cellStyle name="Calculation 2 2 25" xfId="9699"/>
    <cellStyle name="Calculation 2 2 26" xfId="9700"/>
    <cellStyle name="Calculation 2 2 27" xfId="9701"/>
    <cellStyle name="Calculation 2 2 28" xfId="9702"/>
    <cellStyle name="Calculation 2 2 29" xfId="9703"/>
    <cellStyle name="Calculation 2 2 3" xfId="327"/>
    <cellStyle name="Calculation 2 2 3 10" xfId="9704"/>
    <cellStyle name="Calculation 2 2 3 10 2" xfId="9705"/>
    <cellStyle name="Calculation 2 2 3 10 3" xfId="9706"/>
    <cellStyle name="Calculation 2 2 3 10 4" xfId="9707"/>
    <cellStyle name="Calculation 2 2 3 11" xfId="9708"/>
    <cellStyle name="Calculation 2 2 3 11 2" xfId="9709"/>
    <cellStyle name="Calculation 2 2 3 11 3" xfId="9710"/>
    <cellStyle name="Calculation 2 2 3 11 4" xfId="9711"/>
    <cellStyle name="Calculation 2 2 3 12" xfId="9712"/>
    <cellStyle name="Calculation 2 2 3 12 2" xfId="9713"/>
    <cellStyle name="Calculation 2 2 3 12 3" xfId="9714"/>
    <cellStyle name="Calculation 2 2 3 12 4" xfId="9715"/>
    <cellStyle name="Calculation 2 2 3 13" xfId="9716"/>
    <cellStyle name="Calculation 2 2 3 14" xfId="9717"/>
    <cellStyle name="Calculation 2 2 3 15" xfId="9718"/>
    <cellStyle name="Calculation 2 2 3 16" xfId="9719"/>
    <cellStyle name="Calculation 2 2 3 2" xfId="328"/>
    <cellStyle name="Calculation 2 2 3 2 10" xfId="9720"/>
    <cellStyle name="Calculation 2 2 3 2 11" xfId="9721"/>
    <cellStyle name="Calculation 2 2 3 2 12" xfId="9722"/>
    <cellStyle name="Calculation 2 2 3 2 2" xfId="9723"/>
    <cellStyle name="Calculation 2 2 3 2 2 10" xfId="9724"/>
    <cellStyle name="Calculation 2 2 3 2 2 11" xfId="9725"/>
    <cellStyle name="Calculation 2 2 3 2 2 2" xfId="9726"/>
    <cellStyle name="Calculation 2 2 3 2 2 2 2" xfId="9727"/>
    <cellStyle name="Calculation 2 2 3 2 2 2 2 2" xfId="9728"/>
    <cellStyle name="Calculation 2 2 3 2 2 2 2 2 2" xfId="9729"/>
    <cellStyle name="Calculation 2 2 3 2 2 2 2 2 3" xfId="9730"/>
    <cellStyle name="Calculation 2 2 3 2 2 2 2 2 4" xfId="9731"/>
    <cellStyle name="Calculation 2 2 3 2 2 2 2 3" xfId="9732"/>
    <cellStyle name="Calculation 2 2 3 2 2 2 2 4" xfId="9733"/>
    <cellStyle name="Calculation 2 2 3 2 2 2 2 5" xfId="9734"/>
    <cellStyle name="Calculation 2 2 3 2 2 2 2 6" xfId="9735"/>
    <cellStyle name="Calculation 2 2 3 2 2 2 3" xfId="9736"/>
    <cellStyle name="Calculation 2 2 3 2 2 2 3 2" xfId="9737"/>
    <cellStyle name="Calculation 2 2 3 2 2 2 3 3" xfId="9738"/>
    <cellStyle name="Calculation 2 2 3 2 2 2 3 4" xfId="9739"/>
    <cellStyle name="Calculation 2 2 3 2 2 2 4" xfId="9740"/>
    <cellStyle name="Calculation 2 2 3 2 2 2 5" xfId="9741"/>
    <cellStyle name="Calculation 2 2 3 2 2 2 6" xfId="9742"/>
    <cellStyle name="Calculation 2 2 3 2 2 2 7" xfId="9743"/>
    <cellStyle name="Calculation 2 2 3 2 2 3" xfId="9744"/>
    <cellStyle name="Calculation 2 2 3 2 2 3 2" xfId="9745"/>
    <cellStyle name="Calculation 2 2 3 2 2 3 2 2" xfId="9746"/>
    <cellStyle name="Calculation 2 2 3 2 2 3 2 3" xfId="9747"/>
    <cellStyle name="Calculation 2 2 3 2 2 3 2 4" xfId="9748"/>
    <cellStyle name="Calculation 2 2 3 2 2 3 3" xfId="9749"/>
    <cellStyle name="Calculation 2 2 3 2 2 3 4" xfId="9750"/>
    <cellStyle name="Calculation 2 2 3 2 2 3 5" xfId="9751"/>
    <cellStyle name="Calculation 2 2 3 2 2 3 6" xfId="9752"/>
    <cellStyle name="Calculation 2 2 3 2 2 4" xfId="9753"/>
    <cellStyle name="Calculation 2 2 3 2 2 4 2" xfId="9754"/>
    <cellStyle name="Calculation 2 2 3 2 2 4 3" xfId="9755"/>
    <cellStyle name="Calculation 2 2 3 2 2 4 4" xfId="9756"/>
    <cellStyle name="Calculation 2 2 3 2 2 4 5" xfId="9757"/>
    <cellStyle name="Calculation 2 2 3 2 2 5" xfId="9758"/>
    <cellStyle name="Calculation 2 2 3 2 2 5 2" xfId="9759"/>
    <cellStyle name="Calculation 2 2 3 2 2 5 3" xfId="9760"/>
    <cellStyle name="Calculation 2 2 3 2 2 5 4" xfId="9761"/>
    <cellStyle name="Calculation 2 2 3 2 2 6" xfId="9762"/>
    <cellStyle name="Calculation 2 2 3 2 2 6 2" xfId="9763"/>
    <cellStyle name="Calculation 2 2 3 2 2 6 3" xfId="9764"/>
    <cellStyle name="Calculation 2 2 3 2 2 6 4" xfId="9765"/>
    <cellStyle name="Calculation 2 2 3 2 2 7" xfId="9766"/>
    <cellStyle name="Calculation 2 2 3 2 2 7 2" xfId="9767"/>
    <cellStyle name="Calculation 2 2 3 2 2 7 3" xfId="9768"/>
    <cellStyle name="Calculation 2 2 3 2 2 7 4" xfId="9769"/>
    <cellStyle name="Calculation 2 2 3 2 2 8" xfId="9770"/>
    <cellStyle name="Calculation 2 2 3 2 2 9" xfId="9771"/>
    <cellStyle name="Calculation 2 2 3 2 3" xfId="9772"/>
    <cellStyle name="Calculation 2 2 3 2 3 2" xfId="9773"/>
    <cellStyle name="Calculation 2 2 3 2 3 2 2" xfId="9774"/>
    <cellStyle name="Calculation 2 2 3 2 3 2 2 2" xfId="9775"/>
    <cellStyle name="Calculation 2 2 3 2 3 2 2 3" xfId="9776"/>
    <cellStyle name="Calculation 2 2 3 2 3 2 2 4" xfId="9777"/>
    <cellStyle name="Calculation 2 2 3 2 3 2 3" xfId="9778"/>
    <cellStyle name="Calculation 2 2 3 2 3 2 4" xfId="9779"/>
    <cellStyle name="Calculation 2 2 3 2 3 2 5" xfId="9780"/>
    <cellStyle name="Calculation 2 2 3 2 3 2 6" xfId="9781"/>
    <cellStyle name="Calculation 2 2 3 2 3 3" xfId="9782"/>
    <cellStyle name="Calculation 2 2 3 2 3 3 2" xfId="9783"/>
    <cellStyle name="Calculation 2 2 3 2 3 3 3" xfId="9784"/>
    <cellStyle name="Calculation 2 2 3 2 3 3 4" xfId="9785"/>
    <cellStyle name="Calculation 2 2 3 2 3 4" xfId="9786"/>
    <cellStyle name="Calculation 2 2 3 2 3 5" xfId="9787"/>
    <cellStyle name="Calculation 2 2 3 2 3 6" xfId="9788"/>
    <cellStyle name="Calculation 2 2 3 2 3 7" xfId="9789"/>
    <cellStyle name="Calculation 2 2 3 2 4" xfId="9790"/>
    <cellStyle name="Calculation 2 2 3 2 4 2" xfId="9791"/>
    <cellStyle name="Calculation 2 2 3 2 4 2 2" xfId="9792"/>
    <cellStyle name="Calculation 2 2 3 2 4 2 3" xfId="9793"/>
    <cellStyle name="Calculation 2 2 3 2 4 2 4" xfId="9794"/>
    <cellStyle name="Calculation 2 2 3 2 4 3" xfId="9795"/>
    <cellStyle name="Calculation 2 2 3 2 4 4" xfId="9796"/>
    <cellStyle name="Calculation 2 2 3 2 4 5" xfId="9797"/>
    <cellStyle name="Calculation 2 2 3 2 4 6" xfId="9798"/>
    <cellStyle name="Calculation 2 2 3 2 5" xfId="9799"/>
    <cellStyle name="Calculation 2 2 3 2 5 2" xfId="9800"/>
    <cellStyle name="Calculation 2 2 3 2 5 3" xfId="9801"/>
    <cellStyle name="Calculation 2 2 3 2 5 4" xfId="9802"/>
    <cellStyle name="Calculation 2 2 3 2 5 5" xfId="9803"/>
    <cellStyle name="Calculation 2 2 3 2 6" xfId="9804"/>
    <cellStyle name="Calculation 2 2 3 2 6 2" xfId="9805"/>
    <cellStyle name="Calculation 2 2 3 2 6 3" xfId="9806"/>
    <cellStyle name="Calculation 2 2 3 2 6 4" xfId="9807"/>
    <cellStyle name="Calculation 2 2 3 2 7" xfId="9808"/>
    <cellStyle name="Calculation 2 2 3 2 7 2" xfId="9809"/>
    <cellStyle name="Calculation 2 2 3 2 7 3" xfId="9810"/>
    <cellStyle name="Calculation 2 2 3 2 7 4" xfId="9811"/>
    <cellStyle name="Calculation 2 2 3 2 8" xfId="9812"/>
    <cellStyle name="Calculation 2 2 3 2 8 2" xfId="9813"/>
    <cellStyle name="Calculation 2 2 3 2 8 3" xfId="9814"/>
    <cellStyle name="Calculation 2 2 3 2 8 4" xfId="9815"/>
    <cellStyle name="Calculation 2 2 3 2 9" xfId="9816"/>
    <cellStyle name="Calculation 2 2 3 3" xfId="9817"/>
    <cellStyle name="Calculation 2 2 3 3 10" xfId="9818"/>
    <cellStyle name="Calculation 2 2 3 3 11" xfId="9819"/>
    <cellStyle name="Calculation 2 2 3 3 2" xfId="9820"/>
    <cellStyle name="Calculation 2 2 3 3 2 2" xfId="9821"/>
    <cellStyle name="Calculation 2 2 3 3 2 2 2" xfId="9822"/>
    <cellStyle name="Calculation 2 2 3 3 2 2 2 2" xfId="9823"/>
    <cellStyle name="Calculation 2 2 3 3 2 2 2 3" xfId="9824"/>
    <cellStyle name="Calculation 2 2 3 3 2 2 2 4" xfId="9825"/>
    <cellStyle name="Calculation 2 2 3 3 2 2 3" xfId="9826"/>
    <cellStyle name="Calculation 2 2 3 3 2 2 4" xfId="9827"/>
    <cellStyle name="Calculation 2 2 3 3 2 2 5" xfId="9828"/>
    <cellStyle name="Calculation 2 2 3 3 2 2 6" xfId="9829"/>
    <cellStyle name="Calculation 2 2 3 3 2 3" xfId="9830"/>
    <cellStyle name="Calculation 2 2 3 3 2 3 2" xfId="9831"/>
    <cellStyle name="Calculation 2 2 3 3 2 3 3" xfId="9832"/>
    <cellStyle name="Calculation 2 2 3 3 2 3 4" xfId="9833"/>
    <cellStyle name="Calculation 2 2 3 3 2 4" xfId="9834"/>
    <cellStyle name="Calculation 2 2 3 3 2 5" xfId="9835"/>
    <cellStyle name="Calculation 2 2 3 3 2 6" xfId="9836"/>
    <cellStyle name="Calculation 2 2 3 3 2 7" xfId="9837"/>
    <cellStyle name="Calculation 2 2 3 3 3" xfId="9838"/>
    <cellStyle name="Calculation 2 2 3 3 3 2" xfId="9839"/>
    <cellStyle name="Calculation 2 2 3 3 3 2 2" xfId="9840"/>
    <cellStyle name="Calculation 2 2 3 3 3 2 3" xfId="9841"/>
    <cellStyle name="Calculation 2 2 3 3 3 2 4" xfId="9842"/>
    <cellStyle name="Calculation 2 2 3 3 3 3" xfId="9843"/>
    <cellStyle name="Calculation 2 2 3 3 3 4" xfId="9844"/>
    <cellStyle name="Calculation 2 2 3 3 3 5" xfId="9845"/>
    <cellStyle name="Calculation 2 2 3 3 3 6" xfId="9846"/>
    <cellStyle name="Calculation 2 2 3 3 4" xfId="9847"/>
    <cellStyle name="Calculation 2 2 3 3 4 2" xfId="9848"/>
    <cellStyle name="Calculation 2 2 3 3 4 3" xfId="9849"/>
    <cellStyle name="Calculation 2 2 3 3 4 4" xfId="9850"/>
    <cellStyle name="Calculation 2 2 3 3 4 5" xfId="9851"/>
    <cellStyle name="Calculation 2 2 3 3 5" xfId="9852"/>
    <cellStyle name="Calculation 2 2 3 3 5 2" xfId="9853"/>
    <cellStyle name="Calculation 2 2 3 3 5 3" xfId="9854"/>
    <cellStyle name="Calculation 2 2 3 3 5 4" xfId="9855"/>
    <cellStyle name="Calculation 2 2 3 3 6" xfId="9856"/>
    <cellStyle name="Calculation 2 2 3 3 6 2" xfId="9857"/>
    <cellStyle name="Calculation 2 2 3 3 6 3" xfId="9858"/>
    <cellStyle name="Calculation 2 2 3 3 6 4" xfId="9859"/>
    <cellStyle name="Calculation 2 2 3 3 7" xfId="9860"/>
    <cellStyle name="Calculation 2 2 3 3 7 2" xfId="9861"/>
    <cellStyle name="Calculation 2 2 3 3 7 3" xfId="9862"/>
    <cellStyle name="Calculation 2 2 3 3 7 4" xfId="9863"/>
    <cellStyle name="Calculation 2 2 3 3 8" xfId="9864"/>
    <cellStyle name="Calculation 2 2 3 3 9" xfId="9865"/>
    <cellStyle name="Calculation 2 2 3 4" xfId="9866"/>
    <cellStyle name="Calculation 2 2 3 4 2" xfId="9867"/>
    <cellStyle name="Calculation 2 2 3 4 2 2" xfId="9868"/>
    <cellStyle name="Calculation 2 2 3 4 2 2 2" xfId="9869"/>
    <cellStyle name="Calculation 2 2 3 4 2 2 3" xfId="9870"/>
    <cellStyle name="Calculation 2 2 3 4 2 2 4" xfId="9871"/>
    <cellStyle name="Calculation 2 2 3 4 2 3" xfId="9872"/>
    <cellStyle name="Calculation 2 2 3 4 2 4" xfId="9873"/>
    <cellStyle name="Calculation 2 2 3 4 2 5" xfId="9874"/>
    <cellStyle name="Calculation 2 2 3 4 2 6" xfId="9875"/>
    <cellStyle name="Calculation 2 2 3 4 3" xfId="9876"/>
    <cellStyle name="Calculation 2 2 3 4 3 2" xfId="9877"/>
    <cellStyle name="Calculation 2 2 3 4 3 3" xfId="9878"/>
    <cellStyle name="Calculation 2 2 3 4 3 4" xfId="9879"/>
    <cellStyle name="Calculation 2 2 3 4 4" xfId="9880"/>
    <cellStyle name="Calculation 2 2 3 4 5" xfId="9881"/>
    <cellStyle name="Calculation 2 2 3 4 6" xfId="9882"/>
    <cellStyle name="Calculation 2 2 3 4 7" xfId="9883"/>
    <cellStyle name="Calculation 2 2 3 5" xfId="9884"/>
    <cellStyle name="Calculation 2 2 3 5 2" xfId="9885"/>
    <cellStyle name="Calculation 2 2 3 5 2 2" xfId="9886"/>
    <cellStyle name="Calculation 2 2 3 5 2 3" xfId="9887"/>
    <cellStyle name="Calculation 2 2 3 5 2 4" xfId="9888"/>
    <cellStyle name="Calculation 2 2 3 5 3" xfId="9889"/>
    <cellStyle name="Calculation 2 2 3 5 3 2" xfId="9890"/>
    <cellStyle name="Calculation 2 2 3 5 3 3" xfId="9891"/>
    <cellStyle name="Calculation 2 2 3 5 3 4" xfId="9892"/>
    <cellStyle name="Calculation 2 2 3 5 4" xfId="9893"/>
    <cellStyle name="Calculation 2 2 3 5 5" xfId="9894"/>
    <cellStyle name="Calculation 2 2 3 5 6" xfId="9895"/>
    <cellStyle name="Calculation 2 2 3 5 7" xfId="9896"/>
    <cellStyle name="Calculation 2 2 3 6" xfId="9897"/>
    <cellStyle name="Calculation 2 2 3 6 2" xfId="9898"/>
    <cellStyle name="Calculation 2 2 3 6 2 2" xfId="9899"/>
    <cellStyle name="Calculation 2 2 3 6 2 3" xfId="9900"/>
    <cellStyle name="Calculation 2 2 3 6 2 4" xfId="9901"/>
    <cellStyle name="Calculation 2 2 3 6 3" xfId="9902"/>
    <cellStyle name="Calculation 2 2 3 6 3 2" xfId="9903"/>
    <cellStyle name="Calculation 2 2 3 6 3 3" xfId="9904"/>
    <cellStyle name="Calculation 2 2 3 6 3 4" xfId="9905"/>
    <cellStyle name="Calculation 2 2 3 6 4" xfId="9906"/>
    <cellStyle name="Calculation 2 2 3 6 5" xfId="9907"/>
    <cellStyle name="Calculation 2 2 3 6 6" xfId="9908"/>
    <cellStyle name="Calculation 2 2 3 6 7" xfId="9909"/>
    <cellStyle name="Calculation 2 2 3 7" xfId="9910"/>
    <cellStyle name="Calculation 2 2 3 7 2" xfId="9911"/>
    <cellStyle name="Calculation 2 2 3 7 2 2" xfId="9912"/>
    <cellStyle name="Calculation 2 2 3 7 2 3" xfId="9913"/>
    <cellStyle name="Calculation 2 2 3 7 2 4" xfId="9914"/>
    <cellStyle name="Calculation 2 2 3 7 3" xfId="9915"/>
    <cellStyle name="Calculation 2 2 3 7 3 2" xfId="9916"/>
    <cellStyle name="Calculation 2 2 3 7 3 3" xfId="9917"/>
    <cellStyle name="Calculation 2 2 3 7 3 4" xfId="9918"/>
    <cellStyle name="Calculation 2 2 3 7 4" xfId="9919"/>
    <cellStyle name="Calculation 2 2 3 7 5" xfId="9920"/>
    <cellStyle name="Calculation 2 2 3 7 6" xfId="9921"/>
    <cellStyle name="Calculation 2 2 3 7 7" xfId="9922"/>
    <cellStyle name="Calculation 2 2 3 8" xfId="9923"/>
    <cellStyle name="Calculation 2 2 3 8 2" xfId="9924"/>
    <cellStyle name="Calculation 2 2 3 8 2 2" xfId="9925"/>
    <cellStyle name="Calculation 2 2 3 8 2 3" xfId="9926"/>
    <cellStyle name="Calculation 2 2 3 8 2 4" xfId="9927"/>
    <cellStyle name="Calculation 2 2 3 8 3" xfId="9928"/>
    <cellStyle name="Calculation 2 2 3 8 4" xfId="9929"/>
    <cellStyle name="Calculation 2 2 3 8 5" xfId="9930"/>
    <cellStyle name="Calculation 2 2 3 8 6" xfId="9931"/>
    <cellStyle name="Calculation 2 2 3 9" xfId="9932"/>
    <cellStyle name="Calculation 2 2 3 9 2" xfId="9933"/>
    <cellStyle name="Calculation 2 2 3 9 3" xfId="9934"/>
    <cellStyle name="Calculation 2 2 3 9 4" xfId="9935"/>
    <cellStyle name="Calculation 2 2 3 9 5" xfId="9936"/>
    <cellStyle name="Calculation 2 2 30" xfId="9937"/>
    <cellStyle name="Calculation 2 2 31" xfId="9938"/>
    <cellStyle name="Calculation 2 2 32" xfId="9939"/>
    <cellStyle name="Calculation 2 2 33" xfId="9940"/>
    <cellStyle name="Calculation 2 2 34" xfId="9941"/>
    <cellStyle name="Calculation 2 2 35" xfId="9942"/>
    <cellStyle name="Calculation 2 2 36" xfId="50205"/>
    <cellStyle name="Calculation 2 2 37" xfId="50206"/>
    <cellStyle name="Calculation 2 2 38" xfId="50207"/>
    <cellStyle name="Calculation 2 2 39" xfId="50208"/>
    <cellStyle name="Calculation 2 2 4" xfId="329"/>
    <cellStyle name="Calculation 2 2 4 10" xfId="9943"/>
    <cellStyle name="Calculation 2 2 4 10 2" xfId="9944"/>
    <cellStyle name="Calculation 2 2 4 10 3" xfId="9945"/>
    <cellStyle name="Calculation 2 2 4 10 4" xfId="9946"/>
    <cellStyle name="Calculation 2 2 4 11" xfId="9947"/>
    <cellStyle name="Calculation 2 2 4 11 2" xfId="9948"/>
    <cellStyle name="Calculation 2 2 4 11 3" xfId="9949"/>
    <cellStyle name="Calculation 2 2 4 11 4" xfId="9950"/>
    <cellStyle name="Calculation 2 2 4 12" xfId="9951"/>
    <cellStyle name="Calculation 2 2 4 12 2" xfId="9952"/>
    <cellStyle name="Calculation 2 2 4 12 3" xfId="9953"/>
    <cellStyle name="Calculation 2 2 4 12 4" xfId="9954"/>
    <cellStyle name="Calculation 2 2 4 13" xfId="9955"/>
    <cellStyle name="Calculation 2 2 4 14" xfId="9956"/>
    <cellStyle name="Calculation 2 2 4 15" xfId="9957"/>
    <cellStyle name="Calculation 2 2 4 16" xfId="9958"/>
    <cellStyle name="Calculation 2 2 4 2" xfId="330"/>
    <cellStyle name="Calculation 2 2 4 2 10" xfId="9959"/>
    <cellStyle name="Calculation 2 2 4 2 11" xfId="9960"/>
    <cellStyle name="Calculation 2 2 4 2 12" xfId="9961"/>
    <cellStyle name="Calculation 2 2 4 2 2" xfId="9962"/>
    <cellStyle name="Calculation 2 2 4 2 2 10" xfId="9963"/>
    <cellStyle name="Calculation 2 2 4 2 2 11" xfId="9964"/>
    <cellStyle name="Calculation 2 2 4 2 2 2" xfId="9965"/>
    <cellStyle name="Calculation 2 2 4 2 2 2 2" xfId="9966"/>
    <cellStyle name="Calculation 2 2 4 2 2 2 2 2" xfId="9967"/>
    <cellStyle name="Calculation 2 2 4 2 2 2 2 2 2" xfId="9968"/>
    <cellStyle name="Calculation 2 2 4 2 2 2 2 2 3" xfId="9969"/>
    <cellStyle name="Calculation 2 2 4 2 2 2 2 2 4" xfId="9970"/>
    <cellStyle name="Calculation 2 2 4 2 2 2 2 3" xfId="9971"/>
    <cellStyle name="Calculation 2 2 4 2 2 2 2 4" xfId="9972"/>
    <cellStyle name="Calculation 2 2 4 2 2 2 2 5" xfId="9973"/>
    <cellStyle name="Calculation 2 2 4 2 2 2 2 6" xfId="9974"/>
    <cellStyle name="Calculation 2 2 4 2 2 2 3" xfId="9975"/>
    <cellStyle name="Calculation 2 2 4 2 2 2 3 2" xfId="9976"/>
    <cellStyle name="Calculation 2 2 4 2 2 2 3 3" xfId="9977"/>
    <cellStyle name="Calculation 2 2 4 2 2 2 3 4" xfId="9978"/>
    <cellStyle name="Calculation 2 2 4 2 2 2 4" xfId="9979"/>
    <cellStyle name="Calculation 2 2 4 2 2 2 5" xfId="9980"/>
    <cellStyle name="Calculation 2 2 4 2 2 2 6" xfId="9981"/>
    <cellStyle name="Calculation 2 2 4 2 2 2 7" xfId="9982"/>
    <cellStyle name="Calculation 2 2 4 2 2 3" xfId="9983"/>
    <cellStyle name="Calculation 2 2 4 2 2 3 2" xfId="9984"/>
    <cellStyle name="Calculation 2 2 4 2 2 3 2 2" xfId="9985"/>
    <cellStyle name="Calculation 2 2 4 2 2 3 2 3" xfId="9986"/>
    <cellStyle name="Calculation 2 2 4 2 2 3 2 4" xfId="9987"/>
    <cellStyle name="Calculation 2 2 4 2 2 3 3" xfId="9988"/>
    <cellStyle name="Calculation 2 2 4 2 2 3 4" xfId="9989"/>
    <cellStyle name="Calculation 2 2 4 2 2 3 5" xfId="9990"/>
    <cellStyle name="Calculation 2 2 4 2 2 3 6" xfId="9991"/>
    <cellStyle name="Calculation 2 2 4 2 2 4" xfId="9992"/>
    <cellStyle name="Calculation 2 2 4 2 2 4 2" xfId="9993"/>
    <cellStyle name="Calculation 2 2 4 2 2 4 3" xfId="9994"/>
    <cellStyle name="Calculation 2 2 4 2 2 4 4" xfId="9995"/>
    <cellStyle name="Calculation 2 2 4 2 2 4 5" xfId="9996"/>
    <cellStyle name="Calculation 2 2 4 2 2 5" xfId="9997"/>
    <cellStyle name="Calculation 2 2 4 2 2 5 2" xfId="9998"/>
    <cellStyle name="Calculation 2 2 4 2 2 5 3" xfId="9999"/>
    <cellStyle name="Calculation 2 2 4 2 2 5 4" xfId="10000"/>
    <cellStyle name="Calculation 2 2 4 2 2 6" xfId="10001"/>
    <cellStyle name="Calculation 2 2 4 2 2 6 2" xfId="10002"/>
    <cellStyle name="Calculation 2 2 4 2 2 6 3" xfId="10003"/>
    <cellStyle name="Calculation 2 2 4 2 2 6 4" xfId="10004"/>
    <cellStyle name="Calculation 2 2 4 2 2 7" xfId="10005"/>
    <cellStyle name="Calculation 2 2 4 2 2 7 2" xfId="10006"/>
    <cellStyle name="Calculation 2 2 4 2 2 7 3" xfId="10007"/>
    <cellStyle name="Calculation 2 2 4 2 2 7 4" xfId="10008"/>
    <cellStyle name="Calculation 2 2 4 2 2 8" xfId="10009"/>
    <cellStyle name="Calculation 2 2 4 2 2 9" xfId="10010"/>
    <cellStyle name="Calculation 2 2 4 2 3" xfId="10011"/>
    <cellStyle name="Calculation 2 2 4 2 3 2" xfId="10012"/>
    <cellStyle name="Calculation 2 2 4 2 3 2 2" xfId="10013"/>
    <cellStyle name="Calculation 2 2 4 2 3 2 2 2" xfId="10014"/>
    <cellStyle name="Calculation 2 2 4 2 3 2 2 3" xfId="10015"/>
    <cellStyle name="Calculation 2 2 4 2 3 2 2 4" xfId="10016"/>
    <cellStyle name="Calculation 2 2 4 2 3 2 3" xfId="10017"/>
    <cellStyle name="Calculation 2 2 4 2 3 2 4" xfId="10018"/>
    <cellStyle name="Calculation 2 2 4 2 3 2 5" xfId="10019"/>
    <cellStyle name="Calculation 2 2 4 2 3 2 6" xfId="10020"/>
    <cellStyle name="Calculation 2 2 4 2 3 3" xfId="10021"/>
    <cellStyle name="Calculation 2 2 4 2 3 3 2" xfId="10022"/>
    <cellStyle name="Calculation 2 2 4 2 3 3 3" xfId="10023"/>
    <cellStyle name="Calculation 2 2 4 2 3 3 4" xfId="10024"/>
    <cellStyle name="Calculation 2 2 4 2 3 4" xfId="10025"/>
    <cellStyle name="Calculation 2 2 4 2 3 5" xfId="10026"/>
    <cellStyle name="Calculation 2 2 4 2 3 6" xfId="10027"/>
    <cellStyle name="Calculation 2 2 4 2 3 7" xfId="10028"/>
    <cellStyle name="Calculation 2 2 4 2 4" xfId="10029"/>
    <cellStyle name="Calculation 2 2 4 2 4 2" xfId="10030"/>
    <cellStyle name="Calculation 2 2 4 2 4 2 2" xfId="10031"/>
    <cellStyle name="Calculation 2 2 4 2 4 2 3" xfId="10032"/>
    <cellStyle name="Calculation 2 2 4 2 4 2 4" xfId="10033"/>
    <cellStyle name="Calculation 2 2 4 2 4 3" xfId="10034"/>
    <cellStyle name="Calculation 2 2 4 2 4 4" xfId="10035"/>
    <cellStyle name="Calculation 2 2 4 2 4 5" xfId="10036"/>
    <cellStyle name="Calculation 2 2 4 2 4 6" xfId="10037"/>
    <cellStyle name="Calculation 2 2 4 2 5" xfId="10038"/>
    <cellStyle name="Calculation 2 2 4 2 5 2" xfId="10039"/>
    <cellStyle name="Calculation 2 2 4 2 5 3" xfId="10040"/>
    <cellStyle name="Calculation 2 2 4 2 5 4" xfId="10041"/>
    <cellStyle name="Calculation 2 2 4 2 5 5" xfId="10042"/>
    <cellStyle name="Calculation 2 2 4 2 6" xfId="10043"/>
    <cellStyle name="Calculation 2 2 4 2 6 2" xfId="10044"/>
    <cellStyle name="Calculation 2 2 4 2 6 3" xfId="10045"/>
    <cellStyle name="Calculation 2 2 4 2 6 4" xfId="10046"/>
    <cellStyle name="Calculation 2 2 4 2 7" xfId="10047"/>
    <cellStyle name="Calculation 2 2 4 2 7 2" xfId="10048"/>
    <cellStyle name="Calculation 2 2 4 2 7 3" xfId="10049"/>
    <cellStyle name="Calculation 2 2 4 2 7 4" xfId="10050"/>
    <cellStyle name="Calculation 2 2 4 2 8" xfId="10051"/>
    <cellStyle name="Calculation 2 2 4 2 8 2" xfId="10052"/>
    <cellStyle name="Calculation 2 2 4 2 8 3" xfId="10053"/>
    <cellStyle name="Calculation 2 2 4 2 8 4" xfId="10054"/>
    <cellStyle name="Calculation 2 2 4 2 9" xfId="10055"/>
    <cellStyle name="Calculation 2 2 4 3" xfId="331"/>
    <cellStyle name="Calculation 2 2 4 3 10" xfId="10056"/>
    <cellStyle name="Calculation 2 2 4 3 11" xfId="10057"/>
    <cellStyle name="Calculation 2 2 4 3 2" xfId="10058"/>
    <cellStyle name="Calculation 2 2 4 3 2 2" xfId="10059"/>
    <cellStyle name="Calculation 2 2 4 3 2 2 2" xfId="10060"/>
    <cellStyle name="Calculation 2 2 4 3 2 2 2 2" xfId="10061"/>
    <cellStyle name="Calculation 2 2 4 3 2 2 2 3" xfId="10062"/>
    <cellStyle name="Calculation 2 2 4 3 2 2 2 4" xfId="10063"/>
    <cellStyle name="Calculation 2 2 4 3 2 2 3" xfId="10064"/>
    <cellStyle name="Calculation 2 2 4 3 2 2 4" xfId="10065"/>
    <cellStyle name="Calculation 2 2 4 3 2 2 5" xfId="10066"/>
    <cellStyle name="Calculation 2 2 4 3 2 2 6" xfId="10067"/>
    <cellStyle name="Calculation 2 2 4 3 2 3" xfId="10068"/>
    <cellStyle name="Calculation 2 2 4 3 2 3 2" xfId="10069"/>
    <cellStyle name="Calculation 2 2 4 3 2 3 3" xfId="10070"/>
    <cellStyle name="Calculation 2 2 4 3 2 3 4" xfId="10071"/>
    <cellStyle name="Calculation 2 2 4 3 2 4" xfId="10072"/>
    <cellStyle name="Calculation 2 2 4 3 2 5" xfId="10073"/>
    <cellStyle name="Calculation 2 2 4 3 2 6" xfId="10074"/>
    <cellStyle name="Calculation 2 2 4 3 2 7" xfId="10075"/>
    <cellStyle name="Calculation 2 2 4 3 3" xfId="10076"/>
    <cellStyle name="Calculation 2 2 4 3 3 2" xfId="10077"/>
    <cellStyle name="Calculation 2 2 4 3 3 2 2" xfId="10078"/>
    <cellStyle name="Calculation 2 2 4 3 3 2 3" xfId="10079"/>
    <cellStyle name="Calculation 2 2 4 3 3 2 4" xfId="10080"/>
    <cellStyle name="Calculation 2 2 4 3 3 3" xfId="10081"/>
    <cellStyle name="Calculation 2 2 4 3 3 4" xfId="10082"/>
    <cellStyle name="Calculation 2 2 4 3 3 5" xfId="10083"/>
    <cellStyle name="Calculation 2 2 4 3 3 6" xfId="10084"/>
    <cellStyle name="Calculation 2 2 4 3 4" xfId="10085"/>
    <cellStyle name="Calculation 2 2 4 3 4 2" xfId="10086"/>
    <cellStyle name="Calculation 2 2 4 3 4 3" xfId="10087"/>
    <cellStyle name="Calculation 2 2 4 3 4 4" xfId="10088"/>
    <cellStyle name="Calculation 2 2 4 3 4 5" xfId="10089"/>
    <cellStyle name="Calculation 2 2 4 3 5" xfId="10090"/>
    <cellStyle name="Calculation 2 2 4 3 5 2" xfId="10091"/>
    <cellStyle name="Calculation 2 2 4 3 5 3" xfId="10092"/>
    <cellStyle name="Calculation 2 2 4 3 5 4" xfId="10093"/>
    <cellStyle name="Calculation 2 2 4 3 6" xfId="10094"/>
    <cellStyle name="Calculation 2 2 4 3 6 2" xfId="10095"/>
    <cellStyle name="Calculation 2 2 4 3 6 3" xfId="10096"/>
    <cellStyle name="Calculation 2 2 4 3 6 4" xfId="10097"/>
    <cellStyle name="Calculation 2 2 4 3 7" xfId="10098"/>
    <cellStyle name="Calculation 2 2 4 3 7 2" xfId="10099"/>
    <cellStyle name="Calculation 2 2 4 3 7 3" xfId="10100"/>
    <cellStyle name="Calculation 2 2 4 3 7 4" xfId="10101"/>
    <cellStyle name="Calculation 2 2 4 3 8" xfId="10102"/>
    <cellStyle name="Calculation 2 2 4 3 9" xfId="10103"/>
    <cellStyle name="Calculation 2 2 4 4" xfId="10104"/>
    <cellStyle name="Calculation 2 2 4 4 2" xfId="10105"/>
    <cellStyle name="Calculation 2 2 4 4 2 2" xfId="10106"/>
    <cellStyle name="Calculation 2 2 4 4 2 2 2" xfId="10107"/>
    <cellStyle name="Calculation 2 2 4 4 2 2 3" xfId="10108"/>
    <cellStyle name="Calculation 2 2 4 4 2 2 4" xfId="10109"/>
    <cellStyle name="Calculation 2 2 4 4 2 3" xfId="10110"/>
    <cellStyle name="Calculation 2 2 4 4 2 4" xfId="10111"/>
    <cellStyle name="Calculation 2 2 4 4 2 5" xfId="10112"/>
    <cellStyle name="Calculation 2 2 4 4 2 6" xfId="10113"/>
    <cellStyle name="Calculation 2 2 4 4 3" xfId="10114"/>
    <cellStyle name="Calculation 2 2 4 4 3 2" xfId="10115"/>
    <cellStyle name="Calculation 2 2 4 4 3 3" xfId="10116"/>
    <cellStyle name="Calculation 2 2 4 4 3 4" xfId="10117"/>
    <cellStyle name="Calculation 2 2 4 4 4" xfId="10118"/>
    <cellStyle name="Calculation 2 2 4 4 5" xfId="10119"/>
    <cellStyle name="Calculation 2 2 4 4 6" xfId="10120"/>
    <cellStyle name="Calculation 2 2 4 4 7" xfId="10121"/>
    <cellStyle name="Calculation 2 2 4 5" xfId="10122"/>
    <cellStyle name="Calculation 2 2 4 5 2" xfId="10123"/>
    <cellStyle name="Calculation 2 2 4 5 2 2" xfId="10124"/>
    <cellStyle name="Calculation 2 2 4 5 2 3" xfId="10125"/>
    <cellStyle name="Calculation 2 2 4 5 2 4" xfId="10126"/>
    <cellStyle name="Calculation 2 2 4 5 3" xfId="10127"/>
    <cellStyle name="Calculation 2 2 4 5 3 2" xfId="10128"/>
    <cellStyle name="Calculation 2 2 4 5 3 3" xfId="10129"/>
    <cellStyle name="Calculation 2 2 4 5 3 4" xfId="10130"/>
    <cellStyle name="Calculation 2 2 4 5 4" xfId="10131"/>
    <cellStyle name="Calculation 2 2 4 5 5" xfId="10132"/>
    <cellStyle name="Calculation 2 2 4 5 6" xfId="10133"/>
    <cellStyle name="Calculation 2 2 4 5 7" xfId="10134"/>
    <cellStyle name="Calculation 2 2 4 6" xfId="10135"/>
    <cellStyle name="Calculation 2 2 4 6 2" xfId="10136"/>
    <cellStyle name="Calculation 2 2 4 6 2 2" xfId="10137"/>
    <cellStyle name="Calculation 2 2 4 6 2 3" xfId="10138"/>
    <cellStyle name="Calculation 2 2 4 6 2 4" xfId="10139"/>
    <cellStyle name="Calculation 2 2 4 6 3" xfId="10140"/>
    <cellStyle name="Calculation 2 2 4 6 3 2" xfId="10141"/>
    <cellStyle name="Calculation 2 2 4 6 3 3" xfId="10142"/>
    <cellStyle name="Calculation 2 2 4 6 3 4" xfId="10143"/>
    <cellStyle name="Calculation 2 2 4 6 4" xfId="10144"/>
    <cellStyle name="Calculation 2 2 4 6 5" xfId="10145"/>
    <cellStyle name="Calculation 2 2 4 6 6" xfId="10146"/>
    <cellStyle name="Calculation 2 2 4 6 7" xfId="10147"/>
    <cellStyle name="Calculation 2 2 4 7" xfId="10148"/>
    <cellStyle name="Calculation 2 2 4 7 2" xfId="10149"/>
    <cellStyle name="Calculation 2 2 4 7 2 2" xfId="10150"/>
    <cellStyle name="Calculation 2 2 4 7 2 3" xfId="10151"/>
    <cellStyle name="Calculation 2 2 4 7 2 4" xfId="10152"/>
    <cellStyle name="Calculation 2 2 4 7 3" xfId="10153"/>
    <cellStyle name="Calculation 2 2 4 7 3 2" xfId="10154"/>
    <cellStyle name="Calculation 2 2 4 7 3 3" xfId="10155"/>
    <cellStyle name="Calculation 2 2 4 7 3 4" xfId="10156"/>
    <cellStyle name="Calculation 2 2 4 7 4" xfId="10157"/>
    <cellStyle name="Calculation 2 2 4 7 5" xfId="10158"/>
    <cellStyle name="Calculation 2 2 4 7 6" xfId="10159"/>
    <cellStyle name="Calculation 2 2 4 7 7" xfId="10160"/>
    <cellStyle name="Calculation 2 2 4 8" xfId="10161"/>
    <cellStyle name="Calculation 2 2 4 8 2" xfId="10162"/>
    <cellStyle name="Calculation 2 2 4 8 2 2" xfId="10163"/>
    <cellStyle name="Calculation 2 2 4 8 2 3" xfId="10164"/>
    <cellStyle name="Calculation 2 2 4 8 2 4" xfId="10165"/>
    <cellStyle name="Calculation 2 2 4 8 3" xfId="10166"/>
    <cellStyle name="Calculation 2 2 4 8 4" xfId="10167"/>
    <cellStyle name="Calculation 2 2 4 8 5" xfId="10168"/>
    <cellStyle name="Calculation 2 2 4 8 6" xfId="10169"/>
    <cellStyle name="Calculation 2 2 4 9" xfId="10170"/>
    <cellStyle name="Calculation 2 2 4 9 2" xfId="10171"/>
    <cellStyle name="Calculation 2 2 4 9 3" xfId="10172"/>
    <cellStyle name="Calculation 2 2 4 9 4" xfId="10173"/>
    <cellStyle name="Calculation 2 2 4 9 5" xfId="10174"/>
    <cellStyle name="Calculation 2 2 40" xfId="50209"/>
    <cellStyle name="Calculation 2 2 5" xfId="332"/>
    <cellStyle name="Calculation 2 2 5 10" xfId="10175"/>
    <cellStyle name="Calculation 2 2 5 10 2" xfId="10176"/>
    <cellStyle name="Calculation 2 2 5 10 3" xfId="10177"/>
    <cellStyle name="Calculation 2 2 5 10 4" xfId="10178"/>
    <cellStyle name="Calculation 2 2 5 11" xfId="10179"/>
    <cellStyle name="Calculation 2 2 5 11 2" xfId="10180"/>
    <cellStyle name="Calculation 2 2 5 11 3" xfId="10181"/>
    <cellStyle name="Calculation 2 2 5 11 4" xfId="10182"/>
    <cellStyle name="Calculation 2 2 5 12" xfId="10183"/>
    <cellStyle name="Calculation 2 2 5 12 2" xfId="10184"/>
    <cellStyle name="Calculation 2 2 5 12 3" xfId="10185"/>
    <cellStyle name="Calculation 2 2 5 12 4" xfId="10186"/>
    <cellStyle name="Calculation 2 2 5 13" xfId="10187"/>
    <cellStyle name="Calculation 2 2 5 14" xfId="10188"/>
    <cellStyle name="Calculation 2 2 5 15" xfId="10189"/>
    <cellStyle name="Calculation 2 2 5 16" xfId="10190"/>
    <cellStyle name="Calculation 2 2 5 2" xfId="333"/>
    <cellStyle name="Calculation 2 2 5 2 10" xfId="10191"/>
    <cellStyle name="Calculation 2 2 5 2 11" xfId="10192"/>
    <cellStyle name="Calculation 2 2 5 2 12" xfId="10193"/>
    <cellStyle name="Calculation 2 2 5 2 2" xfId="10194"/>
    <cellStyle name="Calculation 2 2 5 2 2 10" xfId="10195"/>
    <cellStyle name="Calculation 2 2 5 2 2 11" xfId="10196"/>
    <cellStyle name="Calculation 2 2 5 2 2 2" xfId="10197"/>
    <cellStyle name="Calculation 2 2 5 2 2 2 2" xfId="10198"/>
    <cellStyle name="Calculation 2 2 5 2 2 2 2 2" xfId="10199"/>
    <cellStyle name="Calculation 2 2 5 2 2 2 2 2 2" xfId="10200"/>
    <cellStyle name="Calculation 2 2 5 2 2 2 2 2 3" xfId="10201"/>
    <cellStyle name="Calculation 2 2 5 2 2 2 2 2 4" xfId="10202"/>
    <cellStyle name="Calculation 2 2 5 2 2 2 2 3" xfId="10203"/>
    <cellStyle name="Calculation 2 2 5 2 2 2 2 4" xfId="10204"/>
    <cellStyle name="Calculation 2 2 5 2 2 2 2 5" xfId="10205"/>
    <cellStyle name="Calculation 2 2 5 2 2 2 2 6" xfId="10206"/>
    <cellStyle name="Calculation 2 2 5 2 2 2 3" xfId="10207"/>
    <cellStyle name="Calculation 2 2 5 2 2 2 3 2" xfId="10208"/>
    <cellStyle name="Calculation 2 2 5 2 2 2 3 3" xfId="10209"/>
    <cellStyle name="Calculation 2 2 5 2 2 2 3 4" xfId="10210"/>
    <cellStyle name="Calculation 2 2 5 2 2 2 4" xfId="10211"/>
    <cellStyle name="Calculation 2 2 5 2 2 2 5" xfId="10212"/>
    <cellStyle name="Calculation 2 2 5 2 2 2 6" xfId="10213"/>
    <cellStyle name="Calculation 2 2 5 2 2 2 7" xfId="10214"/>
    <cellStyle name="Calculation 2 2 5 2 2 3" xfId="10215"/>
    <cellStyle name="Calculation 2 2 5 2 2 3 2" xfId="10216"/>
    <cellStyle name="Calculation 2 2 5 2 2 3 2 2" xfId="10217"/>
    <cellStyle name="Calculation 2 2 5 2 2 3 2 3" xfId="10218"/>
    <cellStyle name="Calculation 2 2 5 2 2 3 2 4" xfId="10219"/>
    <cellStyle name="Calculation 2 2 5 2 2 3 3" xfId="10220"/>
    <cellStyle name="Calculation 2 2 5 2 2 3 4" xfId="10221"/>
    <cellStyle name="Calculation 2 2 5 2 2 3 5" xfId="10222"/>
    <cellStyle name="Calculation 2 2 5 2 2 3 6" xfId="10223"/>
    <cellStyle name="Calculation 2 2 5 2 2 4" xfId="10224"/>
    <cellStyle name="Calculation 2 2 5 2 2 4 2" xfId="10225"/>
    <cellStyle name="Calculation 2 2 5 2 2 4 3" xfId="10226"/>
    <cellStyle name="Calculation 2 2 5 2 2 4 4" xfId="10227"/>
    <cellStyle name="Calculation 2 2 5 2 2 4 5" xfId="10228"/>
    <cellStyle name="Calculation 2 2 5 2 2 5" xfId="10229"/>
    <cellStyle name="Calculation 2 2 5 2 2 5 2" xfId="10230"/>
    <cellStyle name="Calculation 2 2 5 2 2 5 3" xfId="10231"/>
    <cellStyle name="Calculation 2 2 5 2 2 5 4" xfId="10232"/>
    <cellStyle name="Calculation 2 2 5 2 2 6" xfId="10233"/>
    <cellStyle name="Calculation 2 2 5 2 2 6 2" xfId="10234"/>
    <cellStyle name="Calculation 2 2 5 2 2 6 3" xfId="10235"/>
    <cellStyle name="Calculation 2 2 5 2 2 6 4" xfId="10236"/>
    <cellStyle name="Calculation 2 2 5 2 2 7" xfId="10237"/>
    <cellStyle name="Calculation 2 2 5 2 2 7 2" xfId="10238"/>
    <cellStyle name="Calculation 2 2 5 2 2 7 3" xfId="10239"/>
    <cellStyle name="Calculation 2 2 5 2 2 7 4" xfId="10240"/>
    <cellStyle name="Calculation 2 2 5 2 2 8" xfId="10241"/>
    <cellStyle name="Calculation 2 2 5 2 2 9" xfId="10242"/>
    <cellStyle name="Calculation 2 2 5 2 3" xfId="10243"/>
    <cellStyle name="Calculation 2 2 5 2 3 2" xfId="10244"/>
    <cellStyle name="Calculation 2 2 5 2 3 2 2" xfId="10245"/>
    <cellStyle name="Calculation 2 2 5 2 3 2 2 2" xfId="10246"/>
    <cellStyle name="Calculation 2 2 5 2 3 2 2 3" xfId="10247"/>
    <cellStyle name="Calculation 2 2 5 2 3 2 2 4" xfId="10248"/>
    <cellStyle name="Calculation 2 2 5 2 3 2 3" xfId="10249"/>
    <cellStyle name="Calculation 2 2 5 2 3 2 4" xfId="10250"/>
    <cellStyle name="Calculation 2 2 5 2 3 2 5" xfId="10251"/>
    <cellStyle name="Calculation 2 2 5 2 3 2 6" xfId="10252"/>
    <cellStyle name="Calculation 2 2 5 2 3 3" xfId="10253"/>
    <cellStyle name="Calculation 2 2 5 2 3 3 2" xfId="10254"/>
    <cellStyle name="Calculation 2 2 5 2 3 3 3" xfId="10255"/>
    <cellStyle name="Calculation 2 2 5 2 3 3 4" xfId="10256"/>
    <cellStyle name="Calculation 2 2 5 2 3 4" xfId="10257"/>
    <cellStyle name="Calculation 2 2 5 2 3 5" xfId="10258"/>
    <cellStyle name="Calculation 2 2 5 2 3 6" xfId="10259"/>
    <cellStyle name="Calculation 2 2 5 2 3 7" xfId="10260"/>
    <cellStyle name="Calculation 2 2 5 2 4" xfId="10261"/>
    <cellStyle name="Calculation 2 2 5 2 4 2" xfId="10262"/>
    <cellStyle name="Calculation 2 2 5 2 4 2 2" xfId="10263"/>
    <cellStyle name="Calculation 2 2 5 2 4 2 3" xfId="10264"/>
    <cellStyle name="Calculation 2 2 5 2 4 2 4" xfId="10265"/>
    <cellStyle name="Calculation 2 2 5 2 4 3" xfId="10266"/>
    <cellStyle name="Calculation 2 2 5 2 4 4" xfId="10267"/>
    <cellStyle name="Calculation 2 2 5 2 4 5" xfId="10268"/>
    <cellStyle name="Calculation 2 2 5 2 4 6" xfId="10269"/>
    <cellStyle name="Calculation 2 2 5 2 5" xfId="10270"/>
    <cellStyle name="Calculation 2 2 5 2 5 2" xfId="10271"/>
    <cellStyle name="Calculation 2 2 5 2 5 3" xfId="10272"/>
    <cellStyle name="Calculation 2 2 5 2 5 4" xfId="10273"/>
    <cellStyle name="Calculation 2 2 5 2 5 5" xfId="10274"/>
    <cellStyle name="Calculation 2 2 5 2 6" xfId="10275"/>
    <cellStyle name="Calculation 2 2 5 2 6 2" xfId="10276"/>
    <cellStyle name="Calculation 2 2 5 2 6 3" xfId="10277"/>
    <cellStyle name="Calculation 2 2 5 2 6 4" xfId="10278"/>
    <cellStyle name="Calculation 2 2 5 2 7" xfId="10279"/>
    <cellStyle name="Calculation 2 2 5 2 7 2" xfId="10280"/>
    <cellStyle name="Calculation 2 2 5 2 7 3" xfId="10281"/>
    <cellStyle name="Calculation 2 2 5 2 7 4" xfId="10282"/>
    <cellStyle name="Calculation 2 2 5 2 8" xfId="10283"/>
    <cellStyle name="Calculation 2 2 5 2 8 2" xfId="10284"/>
    <cellStyle name="Calculation 2 2 5 2 8 3" xfId="10285"/>
    <cellStyle name="Calculation 2 2 5 2 8 4" xfId="10286"/>
    <cellStyle name="Calculation 2 2 5 2 9" xfId="10287"/>
    <cellStyle name="Calculation 2 2 5 3" xfId="334"/>
    <cellStyle name="Calculation 2 2 5 3 10" xfId="10288"/>
    <cellStyle name="Calculation 2 2 5 3 11" xfId="10289"/>
    <cellStyle name="Calculation 2 2 5 3 2" xfId="10290"/>
    <cellStyle name="Calculation 2 2 5 3 2 2" xfId="10291"/>
    <cellStyle name="Calculation 2 2 5 3 2 2 2" xfId="10292"/>
    <cellStyle name="Calculation 2 2 5 3 2 2 2 2" xfId="10293"/>
    <cellStyle name="Calculation 2 2 5 3 2 2 2 3" xfId="10294"/>
    <cellStyle name="Calculation 2 2 5 3 2 2 2 4" xfId="10295"/>
    <cellStyle name="Calculation 2 2 5 3 2 2 3" xfId="10296"/>
    <cellStyle name="Calculation 2 2 5 3 2 2 4" xfId="10297"/>
    <cellStyle name="Calculation 2 2 5 3 2 2 5" xfId="10298"/>
    <cellStyle name="Calculation 2 2 5 3 2 2 6" xfId="10299"/>
    <cellStyle name="Calculation 2 2 5 3 2 3" xfId="10300"/>
    <cellStyle name="Calculation 2 2 5 3 2 3 2" xfId="10301"/>
    <cellStyle name="Calculation 2 2 5 3 2 3 3" xfId="10302"/>
    <cellStyle name="Calculation 2 2 5 3 2 3 4" xfId="10303"/>
    <cellStyle name="Calculation 2 2 5 3 2 4" xfId="10304"/>
    <cellStyle name="Calculation 2 2 5 3 2 5" xfId="10305"/>
    <cellStyle name="Calculation 2 2 5 3 2 6" xfId="10306"/>
    <cellStyle name="Calculation 2 2 5 3 2 7" xfId="10307"/>
    <cellStyle name="Calculation 2 2 5 3 3" xfId="10308"/>
    <cellStyle name="Calculation 2 2 5 3 3 2" xfId="10309"/>
    <cellStyle name="Calculation 2 2 5 3 3 2 2" xfId="10310"/>
    <cellStyle name="Calculation 2 2 5 3 3 2 3" xfId="10311"/>
    <cellStyle name="Calculation 2 2 5 3 3 2 4" xfId="10312"/>
    <cellStyle name="Calculation 2 2 5 3 3 3" xfId="10313"/>
    <cellStyle name="Calculation 2 2 5 3 3 4" xfId="10314"/>
    <cellStyle name="Calculation 2 2 5 3 3 5" xfId="10315"/>
    <cellStyle name="Calculation 2 2 5 3 3 6" xfId="10316"/>
    <cellStyle name="Calculation 2 2 5 3 4" xfId="10317"/>
    <cellStyle name="Calculation 2 2 5 3 4 2" xfId="10318"/>
    <cellStyle name="Calculation 2 2 5 3 4 3" xfId="10319"/>
    <cellStyle name="Calculation 2 2 5 3 4 4" xfId="10320"/>
    <cellStyle name="Calculation 2 2 5 3 4 5" xfId="10321"/>
    <cellStyle name="Calculation 2 2 5 3 5" xfId="10322"/>
    <cellStyle name="Calculation 2 2 5 3 5 2" xfId="10323"/>
    <cellStyle name="Calculation 2 2 5 3 5 3" xfId="10324"/>
    <cellStyle name="Calculation 2 2 5 3 5 4" xfId="10325"/>
    <cellStyle name="Calculation 2 2 5 3 6" xfId="10326"/>
    <cellStyle name="Calculation 2 2 5 3 6 2" xfId="10327"/>
    <cellStyle name="Calculation 2 2 5 3 6 3" xfId="10328"/>
    <cellStyle name="Calculation 2 2 5 3 6 4" xfId="10329"/>
    <cellStyle name="Calculation 2 2 5 3 7" xfId="10330"/>
    <cellStyle name="Calculation 2 2 5 3 7 2" xfId="10331"/>
    <cellStyle name="Calculation 2 2 5 3 7 3" xfId="10332"/>
    <cellStyle name="Calculation 2 2 5 3 7 4" xfId="10333"/>
    <cellStyle name="Calculation 2 2 5 3 8" xfId="10334"/>
    <cellStyle name="Calculation 2 2 5 3 9" xfId="10335"/>
    <cellStyle name="Calculation 2 2 5 4" xfId="10336"/>
    <cellStyle name="Calculation 2 2 5 4 2" xfId="10337"/>
    <cellStyle name="Calculation 2 2 5 4 2 2" xfId="10338"/>
    <cellStyle name="Calculation 2 2 5 4 2 2 2" xfId="10339"/>
    <cellStyle name="Calculation 2 2 5 4 2 2 3" xfId="10340"/>
    <cellStyle name="Calculation 2 2 5 4 2 2 4" xfId="10341"/>
    <cellStyle name="Calculation 2 2 5 4 2 3" xfId="10342"/>
    <cellStyle name="Calculation 2 2 5 4 2 4" xfId="10343"/>
    <cellStyle name="Calculation 2 2 5 4 2 5" xfId="10344"/>
    <cellStyle name="Calculation 2 2 5 4 2 6" xfId="10345"/>
    <cellStyle name="Calculation 2 2 5 4 3" xfId="10346"/>
    <cellStyle name="Calculation 2 2 5 4 3 2" xfId="10347"/>
    <cellStyle name="Calculation 2 2 5 4 3 3" xfId="10348"/>
    <cellStyle name="Calculation 2 2 5 4 3 4" xfId="10349"/>
    <cellStyle name="Calculation 2 2 5 4 4" xfId="10350"/>
    <cellStyle name="Calculation 2 2 5 4 5" xfId="10351"/>
    <cellStyle name="Calculation 2 2 5 4 6" xfId="10352"/>
    <cellStyle name="Calculation 2 2 5 4 7" xfId="10353"/>
    <cellStyle name="Calculation 2 2 5 5" xfId="10354"/>
    <cellStyle name="Calculation 2 2 5 5 2" xfId="10355"/>
    <cellStyle name="Calculation 2 2 5 5 2 2" xfId="10356"/>
    <cellStyle name="Calculation 2 2 5 5 2 3" xfId="10357"/>
    <cellStyle name="Calculation 2 2 5 5 2 4" xfId="10358"/>
    <cellStyle name="Calculation 2 2 5 5 3" xfId="10359"/>
    <cellStyle name="Calculation 2 2 5 5 3 2" xfId="10360"/>
    <cellStyle name="Calculation 2 2 5 5 3 3" xfId="10361"/>
    <cellStyle name="Calculation 2 2 5 5 3 4" xfId="10362"/>
    <cellStyle name="Calculation 2 2 5 5 4" xfId="10363"/>
    <cellStyle name="Calculation 2 2 5 5 5" xfId="10364"/>
    <cellStyle name="Calculation 2 2 5 5 6" xfId="10365"/>
    <cellStyle name="Calculation 2 2 5 5 7" xfId="10366"/>
    <cellStyle name="Calculation 2 2 5 6" xfId="10367"/>
    <cellStyle name="Calculation 2 2 5 6 2" xfId="10368"/>
    <cellStyle name="Calculation 2 2 5 6 2 2" xfId="10369"/>
    <cellStyle name="Calculation 2 2 5 6 2 3" xfId="10370"/>
    <cellStyle name="Calculation 2 2 5 6 2 4" xfId="10371"/>
    <cellStyle name="Calculation 2 2 5 6 3" xfId="10372"/>
    <cellStyle name="Calculation 2 2 5 6 3 2" xfId="10373"/>
    <cellStyle name="Calculation 2 2 5 6 3 3" xfId="10374"/>
    <cellStyle name="Calculation 2 2 5 6 3 4" xfId="10375"/>
    <cellStyle name="Calculation 2 2 5 6 4" xfId="10376"/>
    <cellStyle name="Calculation 2 2 5 6 5" xfId="10377"/>
    <cellStyle name="Calculation 2 2 5 6 6" xfId="10378"/>
    <cellStyle name="Calculation 2 2 5 6 7" xfId="10379"/>
    <cellStyle name="Calculation 2 2 5 7" xfId="10380"/>
    <cellStyle name="Calculation 2 2 5 7 2" xfId="10381"/>
    <cellStyle name="Calculation 2 2 5 7 2 2" xfId="10382"/>
    <cellStyle name="Calculation 2 2 5 7 2 3" xfId="10383"/>
    <cellStyle name="Calculation 2 2 5 7 2 4" xfId="10384"/>
    <cellStyle name="Calculation 2 2 5 7 3" xfId="10385"/>
    <cellStyle name="Calculation 2 2 5 7 3 2" xfId="10386"/>
    <cellStyle name="Calculation 2 2 5 7 3 3" xfId="10387"/>
    <cellStyle name="Calculation 2 2 5 7 3 4" xfId="10388"/>
    <cellStyle name="Calculation 2 2 5 7 4" xfId="10389"/>
    <cellStyle name="Calculation 2 2 5 7 5" xfId="10390"/>
    <cellStyle name="Calculation 2 2 5 7 6" xfId="10391"/>
    <cellStyle name="Calculation 2 2 5 7 7" xfId="10392"/>
    <cellStyle name="Calculation 2 2 5 8" xfId="10393"/>
    <cellStyle name="Calculation 2 2 5 8 2" xfId="10394"/>
    <cellStyle name="Calculation 2 2 5 8 2 2" xfId="10395"/>
    <cellStyle name="Calculation 2 2 5 8 2 3" xfId="10396"/>
    <cellStyle name="Calculation 2 2 5 8 2 4" xfId="10397"/>
    <cellStyle name="Calculation 2 2 5 8 3" xfId="10398"/>
    <cellStyle name="Calculation 2 2 5 8 4" xfId="10399"/>
    <cellStyle name="Calculation 2 2 5 8 5" xfId="10400"/>
    <cellStyle name="Calculation 2 2 5 8 6" xfId="10401"/>
    <cellStyle name="Calculation 2 2 5 9" xfId="10402"/>
    <cellStyle name="Calculation 2 2 5 9 2" xfId="10403"/>
    <cellStyle name="Calculation 2 2 5 9 3" xfId="10404"/>
    <cellStyle name="Calculation 2 2 5 9 4" xfId="10405"/>
    <cellStyle name="Calculation 2 2 5 9 5" xfId="10406"/>
    <cellStyle name="Calculation 2 2 6" xfId="335"/>
    <cellStyle name="Calculation 2 2 6 10" xfId="10407"/>
    <cellStyle name="Calculation 2 2 6 10 2" xfId="10408"/>
    <cellStyle name="Calculation 2 2 6 10 3" xfId="10409"/>
    <cellStyle name="Calculation 2 2 6 10 4" xfId="10410"/>
    <cellStyle name="Calculation 2 2 6 11" xfId="10411"/>
    <cellStyle name="Calculation 2 2 6 11 2" xfId="10412"/>
    <cellStyle name="Calculation 2 2 6 11 3" xfId="10413"/>
    <cellStyle name="Calculation 2 2 6 11 4" xfId="10414"/>
    <cellStyle name="Calculation 2 2 6 12" xfId="10415"/>
    <cellStyle name="Calculation 2 2 6 12 2" xfId="10416"/>
    <cellStyle name="Calculation 2 2 6 12 3" xfId="10417"/>
    <cellStyle name="Calculation 2 2 6 12 4" xfId="10418"/>
    <cellStyle name="Calculation 2 2 6 13" xfId="10419"/>
    <cellStyle name="Calculation 2 2 6 13 2" xfId="10420"/>
    <cellStyle name="Calculation 2 2 6 13 3" xfId="10421"/>
    <cellStyle name="Calculation 2 2 6 13 4" xfId="10422"/>
    <cellStyle name="Calculation 2 2 6 14" xfId="10423"/>
    <cellStyle name="Calculation 2 2 6 15" xfId="10424"/>
    <cellStyle name="Calculation 2 2 6 16" xfId="10425"/>
    <cellStyle name="Calculation 2 2 6 17" xfId="10426"/>
    <cellStyle name="Calculation 2 2 6 2" xfId="336"/>
    <cellStyle name="Calculation 2 2 6 2 10" xfId="10427"/>
    <cellStyle name="Calculation 2 2 6 2 11" xfId="10428"/>
    <cellStyle name="Calculation 2 2 6 2 12" xfId="10429"/>
    <cellStyle name="Calculation 2 2 6 2 2" xfId="10430"/>
    <cellStyle name="Calculation 2 2 6 2 2 10" xfId="10431"/>
    <cellStyle name="Calculation 2 2 6 2 2 11" xfId="10432"/>
    <cellStyle name="Calculation 2 2 6 2 2 2" xfId="10433"/>
    <cellStyle name="Calculation 2 2 6 2 2 2 2" xfId="10434"/>
    <cellStyle name="Calculation 2 2 6 2 2 2 2 2" xfId="10435"/>
    <cellStyle name="Calculation 2 2 6 2 2 2 2 2 2" xfId="10436"/>
    <cellStyle name="Calculation 2 2 6 2 2 2 2 2 3" xfId="10437"/>
    <cellStyle name="Calculation 2 2 6 2 2 2 2 2 4" xfId="10438"/>
    <cellStyle name="Calculation 2 2 6 2 2 2 2 3" xfId="10439"/>
    <cellStyle name="Calculation 2 2 6 2 2 2 2 4" xfId="10440"/>
    <cellStyle name="Calculation 2 2 6 2 2 2 2 5" xfId="10441"/>
    <cellStyle name="Calculation 2 2 6 2 2 2 2 6" xfId="10442"/>
    <cellStyle name="Calculation 2 2 6 2 2 2 3" xfId="10443"/>
    <cellStyle name="Calculation 2 2 6 2 2 2 3 2" xfId="10444"/>
    <cellStyle name="Calculation 2 2 6 2 2 2 3 3" xfId="10445"/>
    <cellStyle name="Calculation 2 2 6 2 2 2 3 4" xfId="10446"/>
    <cellStyle name="Calculation 2 2 6 2 2 2 4" xfId="10447"/>
    <cellStyle name="Calculation 2 2 6 2 2 2 5" xfId="10448"/>
    <cellStyle name="Calculation 2 2 6 2 2 2 6" xfId="10449"/>
    <cellStyle name="Calculation 2 2 6 2 2 2 7" xfId="10450"/>
    <cellStyle name="Calculation 2 2 6 2 2 3" xfId="10451"/>
    <cellStyle name="Calculation 2 2 6 2 2 3 2" xfId="10452"/>
    <cellStyle name="Calculation 2 2 6 2 2 3 2 2" xfId="10453"/>
    <cellStyle name="Calculation 2 2 6 2 2 3 2 3" xfId="10454"/>
    <cellStyle name="Calculation 2 2 6 2 2 3 2 4" xfId="10455"/>
    <cellStyle name="Calculation 2 2 6 2 2 3 3" xfId="10456"/>
    <cellStyle name="Calculation 2 2 6 2 2 3 4" xfId="10457"/>
    <cellStyle name="Calculation 2 2 6 2 2 3 5" xfId="10458"/>
    <cellStyle name="Calculation 2 2 6 2 2 3 6" xfId="10459"/>
    <cellStyle name="Calculation 2 2 6 2 2 4" xfId="10460"/>
    <cellStyle name="Calculation 2 2 6 2 2 4 2" xfId="10461"/>
    <cellStyle name="Calculation 2 2 6 2 2 4 3" xfId="10462"/>
    <cellStyle name="Calculation 2 2 6 2 2 4 4" xfId="10463"/>
    <cellStyle name="Calculation 2 2 6 2 2 4 5" xfId="10464"/>
    <cellStyle name="Calculation 2 2 6 2 2 5" xfId="10465"/>
    <cellStyle name="Calculation 2 2 6 2 2 5 2" xfId="10466"/>
    <cellStyle name="Calculation 2 2 6 2 2 5 3" xfId="10467"/>
    <cellStyle name="Calculation 2 2 6 2 2 5 4" xfId="10468"/>
    <cellStyle name="Calculation 2 2 6 2 2 6" xfId="10469"/>
    <cellStyle name="Calculation 2 2 6 2 2 6 2" xfId="10470"/>
    <cellStyle name="Calculation 2 2 6 2 2 6 3" xfId="10471"/>
    <cellStyle name="Calculation 2 2 6 2 2 6 4" xfId="10472"/>
    <cellStyle name="Calculation 2 2 6 2 2 7" xfId="10473"/>
    <cellStyle name="Calculation 2 2 6 2 2 7 2" xfId="10474"/>
    <cellStyle name="Calculation 2 2 6 2 2 7 3" xfId="10475"/>
    <cellStyle name="Calculation 2 2 6 2 2 7 4" xfId="10476"/>
    <cellStyle name="Calculation 2 2 6 2 2 8" xfId="10477"/>
    <cellStyle name="Calculation 2 2 6 2 2 9" xfId="10478"/>
    <cellStyle name="Calculation 2 2 6 2 3" xfId="10479"/>
    <cellStyle name="Calculation 2 2 6 2 3 2" xfId="10480"/>
    <cellStyle name="Calculation 2 2 6 2 3 2 2" xfId="10481"/>
    <cellStyle name="Calculation 2 2 6 2 3 2 2 2" xfId="10482"/>
    <cellStyle name="Calculation 2 2 6 2 3 2 2 3" xfId="10483"/>
    <cellStyle name="Calculation 2 2 6 2 3 2 2 4" xfId="10484"/>
    <cellStyle name="Calculation 2 2 6 2 3 2 3" xfId="10485"/>
    <cellStyle name="Calculation 2 2 6 2 3 2 4" xfId="10486"/>
    <cellStyle name="Calculation 2 2 6 2 3 2 5" xfId="10487"/>
    <cellStyle name="Calculation 2 2 6 2 3 2 6" xfId="10488"/>
    <cellStyle name="Calculation 2 2 6 2 3 3" xfId="10489"/>
    <cellStyle name="Calculation 2 2 6 2 3 3 2" xfId="10490"/>
    <cellStyle name="Calculation 2 2 6 2 3 3 3" xfId="10491"/>
    <cellStyle name="Calculation 2 2 6 2 3 3 4" xfId="10492"/>
    <cellStyle name="Calculation 2 2 6 2 3 4" xfId="10493"/>
    <cellStyle name="Calculation 2 2 6 2 3 5" xfId="10494"/>
    <cellStyle name="Calculation 2 2 6 2 3 6" xfId="10495"/>
    <cellStyle name="Calculation 2 2 6 2 3 7" xfId="10496"/>
    <cellStyle name="Calculation 2 2 6 2 4" xfId="10497"/>
    <cellStyle name="Calculation 2 2 6 2 4 2" xfId="10498"/>
    <cellStyle name="Calculation 2 2 6 2 4 2 2" xfId="10499"/>
    <cellStyle name="Calculation 2 2 6 2 4 2 3" xfId="10500"/>
    <cellStyle name="Calculation 2 2 6 2 4 2 4" xfId="10501"/>
    <cellStyle name="Calculation 2 2 6 2 4 3" xfId="10502"/>
    <cellStyle name="Calculation 2 2 6 2 4 4" xfId="10503"/>
    <cellStyle name="Calculation 2 2 6 2 4 5" xfId="10504"/>
    <cellStyle name="Calculation 2 2 6 2 4 6" xfId="10505"/>
    <cellStyle name="Calculation 2 2 6 2 5" xfId="10506"/>
    <cellStyle name="Calculation 2 2 6 2 5 2" xfId="10507"/>
    <cellStyle name="Calculation 2 2 6 2 5 3" xfId="10508"/>
    <cellStyle name="Calculation 2 2 6 2 5 4" xfId="10509"/>
    <cellStyle name="Calculation 2 2 6 2 5 5" xfId="10510"/>
    <cellStyle name="Calculation 2 2 6 2 6" xfId="10511"/>
    <cellStyle name="Calculation 2 2 6 2 6 2" xfId="10512"/>
    <cellStyle name="Calculation 2 2 6 2 6 3" xfId="10513"/>
    <cellStyle name="Calculation 2 2 6 2 6 4" xfId="10514"/>
    <cellStyle name="Calculation 2 2 6 2 7" xfId="10515"/>
    <cellStyle name="Calculation 2 2 6 2 7 2" xfId="10516"/>
    <cellStyle name="Calculation 2 2 6 2 7 3" xfId="10517"/>
    <cellStyle name="Calculation 2 2 6 2 7 4" xfId="10518"/>
    <cellStyle name="Calculation 2 2 6 2 8" xfId="10519"/>
    <cellStyle name="Calculation 2 2 6 2 8 2" xfId="10520"/>
    <cellStyle name="Calculation 2 2 6 2 8 3" xfId="10521"/>
    <cellStyle name="Calculation 2 2 6 2 8 4" xfId="10522"/>
    <cellStyle name="Calculation 2 2 6 2 9" xfId="10523"/>
    <cellStyle name="Calculation 2 2 6 3" xfId="337"/>
    <cellStyle name="Calculation 2 2 6 3 10" xfId="10524"/>
    <cellStyle name="Calculation 2 2 6 3 11" xfId="10525"/>
    <cellStyle name="Calculation 2 2 6 3 2" xfId="10526"/>
    <cellStyle name="Calculation 2 2 6 3 2 2" xfId="10527"/>
    <cellStyle name="Calculation 2 2 6 3 2 2 2" xfId="10528"/>
    <cellStyle name="Calculation 2 2 6 3 2 2 2 2" xfId="10529"/>
    <cellStyle name="Calculation 2 2 6 3 2 2 2 3" xfId="10530"/>
    <cellStyle name="Calculation 2 2 6 3 2 2 2 4" xfId="10531"/>
    <cellStyle name="Calculation 2 2 6 3 2 2 3" xfId="10532"/>
    <cellStyle name="Calculation 2 2 6 3 2 2 4" xfId="10533"/>
    <cellStyle name="Calculation 2 2 6 3 2 2 5" xfId="10534"/>
    <cellStyle name="Calculation 2 2 6 3 2 2 6" xfId="10535"/>
    <cellStyle name="Calculation 2 2 6 3 2 3" xfId="10536"/>
    <cellStyle name="Calculation 2 2 6 3 2 3 2" xfId="10537"/>
    <cellStyle name="Calculation 2 2 6 3 2 3 3" xfId="10538"/>
    <cellStyle name="Calculation 2 2 6 3 2 3 4" xfId="10539"/>
    <cellStyle name="Calculation 2 2 6 3 2 4" xfId="10540"/>
    <cellStyle name="Calculation 2 2 6 3 2 5" xfId="10541"/>
    <cellStyle name="Calculation 2 2 6 3 2 6" xfId="10542"/>
    <cellStyle name="Calculation 2 2 6 3 2 7" xfId="10543"/>
    <cellStyle name="Calculation 2 2 6 3 3" xfId="10544"/>
    <cellStyle name="Calculation 2 2 6 3 3 2" xfId="10545"/>
    <cellStyle name="Calculation 2 2 6 3 3 2 2" xfId="10546"/>
    <cellStyle name="Calculation 2 2 6 3 3 2 3" xfId="10547"/>
    <cellStyle name="Calculation 2 2 6 3 3 2 4" xfId="10548"/>
    <cellStyle name="Calculation 2 2 6 3 3 3" xfId="10549"/>
    <cellStyle name="Calculation 2 2 6 3 3 4" xfId="10550"/>
    <cellStyle name="Calculation 2 2 6 3 3 5" xfId="10551"/>
    <cellStyle name="Calculation 2 2 6 3 3 6" xfId="10552"/>
    <cellStyle name="Calculation 2 2 6 3 4" xfId="10553"/>
    <cellStyle name="Calculation 2 2 6 3 4 2" xfId="10554"/>
    <cellStyle name="Calculation 2 2 6 3 4 3" xfId="10555"/>
    <cellStyle name="Calculation 2 2 6 3 4 4" xfId="10556"/>
    <cellStyle name="Calculation 2 2 6 3 4 5" xfId="10557"/>
    <cellStyle name="Calculation 2 2 6 3 5" xfId="10558"/>
    <cellStyle name="Calculation 2 2 6 3 5 2" xfId="10559"/>
    <cellStyle name="Calculation 2 2 6 3 5 3" xfId="10560"/>
    <cellStyle name="Calculation 2 2 6 3 5 4" xfId="10561"/>
    <cellStyle name="Calculation 2 2 6 3 6" xfId="10562"/>
    <cellStyle name="Calculation 2 2 6 3 6 2" xfId="10563"/>
    <cellStyle name="Calculation 2 2 6 3 6 3" xfId="10564"/>
    <cellStyle name="Calculation 2 2 6 3 6 4" xfId="10565"/>
    <cellStyle name="Calculation 2 2 6 3 7" xfId="10566"/>
    <cellStyle name="Calculation 2 2 6 3 7 2" xfId="10567"/>
    <cellStyle name="Calculation 2 2 6 3 7 3" xfId="10568"/>
    <cellStyle name="Calculation 2 2 6 3 7 4" xfId="10569"/>
    <cellStyle name="Calculation 2 2 6 3 8" xfId="10570"/>
    <cellStyle name="Calculation 2 2 6 3 9" xfId="10571"/>
    <cellStyle name="Calculation 2 2 6 4" xfId="10572"/>
    <cellStyle name="Calculation 2 2 6 4 2" xfId="10573"/>
    <cellStyle name="Calculation 2 2 6 4 2 2" xfId="10574"/>
    <cellStyle name="Calculation 2 2 6 4 2 2 2" xfId="10575"/>
    <cellStyle name="Calculation 2 2 6 4 2 2 3" xfId="10576"/>
    <cellStyle name="Calculation 2 2 6 4 2 2 4" xfId="10577"/>
    <cellStyle name="Calculation 2 2 6 4 2 3" xfId="10578"/>
    <cellStyle name="Calculation 2 2 6 4 2 4" xfId="10579"/>
    <cellStyle name="Calculation 2 2 6 4 2 5" xfId="10580"/>
    <cellStyle name="Calculation 2 2 6 4 2 6" xfId="10581"/>
    <cellStyle name="Calculation 2 2 6 4 3" xfId="10582"/>
    <cellStyle name="Calculation 2 2 6 4 3 2" xfId="10583"/>
    <cellStyle name="Calculation 2 2 6 4 3 3" xfId="10584"/>
    <cellStyle name="Calculation 2 2 6 4 3 4" xfId="10585"/>
    <cellStyle name="Calculation 2 2 6 4 4" xfId="10586"/>
    <cellStyle name="Calculation 2 2 6 4 5" xfId="10587"/>
    <cellStyle name="Calculation 2 2 6 4 6" xfId="10588"/>
    <cellStyle name="Calculation 2 2 6 4 7" xfId="10589"/>
    <cellStyle name="Calculation 2 2 6 5" xfId="10590"/>
    <cellStyle name="Calculation 2 2 6 5 2" xfId="10591"/>
    <cellStyle name="Calculation 2 2 6 5 2 2" xfId="10592"/>
    <cellStyle name="Calculation 2 2 6 5 2 3" xfId="10593"/>
    <cellStyle name="Calculation 2 2 6 5 2 4" xfId="10594"/>
    <cellStyle name="Calculation 2 2 6 5 3" xfId="10595"/>
    <cellStyle name="Calculation 2 2 6 5 3 2" xfId="10596"/>
    <cellStyle name="Calculation 2 2 6 5 3 3" xfId="10597"/>
    <cellStyle name="Calculation 2 2 6 5 3 4" xfId="10598"/>
    <cellStyle name="Calculation 2 2 6 5 4" xfId="10599"/>
    <cellStyle name="Calculation 2 2 6 5 5" xfId="10600"/>
    <cellStyle name="Calculation 2 2 6 5 6" xfId="10601"/>
    <cellStyle name="Calculation 2 2 6 5 7" xfId="10602"/>
    <cellStyle name="Calculation 2 2 6 6" xfId="10603"/>
    <cellStyle name="Calculation 2 2 6 6 2" xfId="10604"/>
    <cellStyle name="Calculation 2 2 6 6 2 2" xfId="10605"/>
    <cellStyle name="Calculation 2 2 6 6 2 3" xfId="10606"/>
    <cellStyle name="Calculation 2 2 6 6 2 4" xfId="10607"/>
    <cellStyle name="Calculation 2 2 6 6 3" xfId="10608"/>
    <cellStyle name="Calculation 2 2 6 6 3 2" xfId="10609"/>
    <cellStyle name="Calculation 2 2 6 6 3 3" xfId="10610"/>
    <cellStyle name="Calculation 2 2 6 6 3 4" xfId="10611"/>
    <cellStyle name="Calculation 2 2 6 6 4" xfId="10612"/>
    <cellStyle name="Calculation 2 2 6 6 5" xfId="10613"/>
    <cellStyle name="Calculation 2 2 6 6 6" xfId="10614"/>
    <cellStyle name="Calculation 2 2 6 6 7" xfId="10615"/>
    <cellStyle name="Calculation 2 2 6 7" xfId="10616"/>
    <cellStyle name="Calculation 2 2 6 7 2" xfId="10617"/>
    <cellStyle name="Calculation 2 2 6 7 2 2" xfId="10618"/>
    <cellStyle name="Calculation 2 2 6 7 2 3" xfId="10619"/>
    <cellStyle name="Calculation 2 2 6 7 2 4" xfId="10620"/>
    <cellStyle name="Calculation 2 2 6 7 3" xfId="10621"/>
    <cellStyle name="Calculation 2 2 6 7 3 2" xfId="10622"/>
    <cellStyle name="Calculation 2 2 6 7 3 3" xfId="10623"/>
    <cellStyle name="Calculation 2 2 6 7 3 4" xfId="10624"/>
    <cellStyle name="Calculation 2 2 6 7 4" xfId="10625"/>
    <cellStyle name="Calculation 2 2 6 7 5" xfId="10626"/>
    <cellStyle name="Calculation 2 2 6 7 6" xfId="10627"/>
    <cellStyle name="Calculation 2 2 6 7 7" xfId="10628"/>
    <cellStyle name="Calculation 2 2 6 8" xfId="10629"/>
    <cellStyle name="Calculation 2 2 6 8 2" xfId="10630"/>
    <cellStyle name="Calculation 2 2 6 8 2 2" xfId="10631"/>
    <cellStyle name="Calculation 2 2 6 8 2 3" xfId="10632"/>
    <cellStyle name="Calculation 2 2 6 8 2 4" xfId="10633"/>
    <cellStyle name="Calculation 2 2 6 8 3" xfId="10634"/>
    <cellStyle name="Calculation 2 2 6 8 4" xfId="10635"/>
    <cellStyle name="Calculation 2 2 6 8 5" xfId="10636"/>
    <cellStyle name="Calculation 2 2 6 8 6" xfId="10637"/>
    <cellStyle name="Calculation 2 2 6 9" xfId="10638"/>
    <cellStyle name="Calculation 2 2 6 9 2" xfId="10639"/>
    <cellStyle name="Calculation 2 2 6 9 3" xfId="10640"/>
    <cellStyle name="Calculation 2 2 6 9 4" xfId="10641"/>
    <cellStyle name="Calculation 2 2 6 9 5" xfId="10642"/>
    <cellStyle name="Calculation 2 2 7" xfId="338"/>
    <cellStyle name="Calculation 2 2 7 10" xfId="10643"/>
    <cellStyle name="Calculation 2 2 7 10 2" xfId="10644"/>
    <cellStyle name="Calculation 2 2 7 10 3" xfId="10645"/>
    <cellStyle name="Calculation 2 2 7 10 4" xfId="10646"/>
    <cellStyle name="Calculation 2 2 7 11" xfId="10647"/>
    <cellStyle name="Calculation 2 2 7 12" xfId="10648"/>
    <cellStyle name="Calculation 2 2 7 13" xfId="10649"/>
    <cellStyle name="Calculation 2 2 7 14" xfId="10650"/>
    <cellStyle name="Calculation 2 2 7 2" xfId="339"/>
    <cellStyle name="Calculation 2 2 7 2 10" xfId="10651"/>
    <cellStyle name="Calculation 2 2 7 2 11" xfId="10652"/>
    <cellStyle name="Calculation 2 2 7 2 2" xfId="10653"/>
    <cellStyle name="Calculation 2 2 7 2 2 2" xfId="10654"/>
    <cellStyle name="Calculation 2 2 7 2 2 2 2" xfId="10655"/>
    <cellStyle name="Calculation 2 2 7 2 2 2 2 2" xfId="10656"/>
    <cellStyle name="Calculation 2 2 7 2 2 2 2 3" xfId="10657"/>
    <cellStyle name="Calculation 2 2 7 2 2 2 2 4" xfId="10658"/>
    <cellStyle name="Calculation 2 2 7 2 2 2 3" xfId="10659"/>
    <cellStyle name="Calculation 2 2 7 2 2 2 4" xfId="10660"/>
    <cellStyle name="Calculation 2 2 7 2 2 2 5" xfId="10661"/>
    <cellStyle name="Calculation 2 2 7 2 2 2 6" xfId="10662"/>
    <cellStyle name="Calculation 2 2 7 2 2 3" xfId="10663"/>
    <cellStyle name="Calculation 2 2 7 2 2 3 2" xfId="10664"/>
    <cellStyle name="Calculation 2 2 7 2 2 3 3" xfId="10665"/>
    <cellStyle name="Calculation 2 2 7 2 2 3 4" xfId="10666"/>
    <cellStyle name="Calculation 2 2 7 2 2 4" xfId="10667"/>
    <cellStyle name="Calculation 2 2 7 2 2 5" xfId="10668"/>
    <cellStyle name="Calculation 2 2 7 2 2 6" xfId="10669"/>
    <cellStyle name="Calculation 2 2 7 2 2 7" xfId="10670"/>
    <cellStyle name="Calculation 2 2 7 2 3" xfId="10671"/>
    <cellStyle name="Calculation 2 2 7 2 3 2" xfId="10672"/>
    <cellStyle name="Calculation 2 2 7 2 3 2 2" xfId="10673"/>
    <cellStyle name="Calculation 2 2 7 2 3 2 3" xfId="10674"/>
    <cellStyle name="Calculation 2 2 7 2 3 2 4" xfId="10675"/>
    <cellStyle name="Calculation 2 2 7 2 3 3" xfId="10676"/>
    <cellStyle name="Calculation 2 2 7 2 3 4" xfId="10677"/>
    <cellStyle name="Calculation 2 2 7 2 3 5" xfId="10678"/>
    <cellStyle name="Calculation 2 2 7 2 3 6" xfId="10679"/>
    <cellStyle name="Calculation 2 2 7 2 4" xfId="10680"/>
    <cellStyle name="Calculation 2 2 7 2 4 2" xfId="10681"/>
    <cellStyle name="Calculation 2 2 7 2 4 3" xfId="10682"/>
    <cellStyle name="Calculation 2 2 7 2 4 4" xfId="10683"/>
    <cellStyle name="Calculation 2 2 7 2 4 5" xfId="10684"/>
    <cellStyle name="Calculation 2 2 7 2 5" xfId="10685"/>
    <cellStyle name="Calculation 2 2 7 2 5 2" xfId="10686"/>
    <cellStyle name="Calculation 2 2 7 2 5 3" xfId="10687"/>
    <cellStyle name="Calculation 2 2 7 2 5 4" xfId="10688"/>
    <cellStyle name="Calculation 2 2 7 2 6" xfId="10689"/>
    <cellStyle name="Calculation 2 2 7 2 6 2" xfId="10690"/>
    <cellStyle name="Calculation 2 2 7 2 6 3" xfId="10691"/>
    <cellStyle name="Calculation 2 2 7 2 6 4" xfId="10692"/>
    <cellStyle name="Calculation 2 2 7 2 7" xfId="10693"/>
    <cellStyle name="Calculation 2 2 7 2 7 2" xfId="10694"/>
    <cellStyle name="Calculation 2 2 7 2 7 3" xfId="10695"/>
    <cellStyle name="Calculation 2 2 7 2 7 4" xfId="10696"/>
    <cellStyle name="Calculation 2 2 7 2 8" xfId="10697"/>
    <cellStyle name="Calculation 2 2 7 2 9" xfId="10698"/>
    <cellStyle name="Calculation 2 2 7 3" xfId="340"/>
    <cellStyle name="Calculation 2 2 7 3 10" xfId="10699"/>
    <cellStyle name="Calculation 2 2 7 3 11" xfId="10700"/>
    <cellStyle name="Calculation 2 2 7 3 2" xfId="10701"/>
    <cellStyle name="Calculation 2 2 7 3 2 2" xfId="10702"/>
    <cellStyle name="Calculation 2 2 7 3 2 2 2" xfId="10703"/>
    <cellStyle name="Calculation 2 2 7 3 2 2 3" xfId="10704"/>
    <cellStyle name="Calculation 2 2 7 3 2 2 4" xfId="10705"/>
    <cellStyle name="Calculation 2 2 7 3 2 3" xfId="10706"/>
    <cellStyle name="Calculation 2 2 7 3 2 3 2" xfId="10707"/>
    <cellStyle name="Calculation 2 2 7 3 2 3 3" xfId="10708"/>
    <cellStyle name="Calculation 2 2 7 3 2 3 4" xfId="10709"/>
    <cellStyle name="Calculation 2 2 7 3 2 4" xfId="10710"/>
    <cellStyle name="Calculation 2 2 7 3 2 5" xfId="10711"/>
    <cellStyle name="Calculation 2 2 7 3 2 6" xfId="10712"/>
    <cellStyle name="Calculation 2 2 7 3 2 7" xfId="10713"/>
    <cellStyle name="Calculation 2 2 7 3 3" xfId="10714"/>
    <cellStyle name="Calculation 2 2 7 3 3 2" xfId="10715"/>
    <cellStyle name="Calculation 2 2 7 3 3 2 2" xfId="10716"/>
    <cellStyle name="Calculation 2 2 7 3 3 2 3" xfId="10717"/>
    <cellStyle name="Calculation 2 2 7 3 3 2 4" xfId="10718"/>
    <cellStyle name="Calculation 2 2 7 3 3 3" xfId="10719"/>
    <cellStyle name="Calculation 2 2 7 3 3 4" xfId="10720"/>
    <cellStyle name="Calculation 2 2 7 3 3 5" xfId="10721"/>
    <cellStyle name="Calculation 2 2 7 3 3 6" xfId="10722"/>
    <cellStyle name="Calculation 2 2 7 3 4" xfId="10723"/>
    <cellStyle name="Calculation 2 2 7 3 4 2" xfId="10724"/>
    <cellStyle name="Calculation 2 2 7 3 4 3" xfId="10725"/>
    <cellStyle name="Calculation 2 2 7 3 4 4" xfId="10726"/>
    <cellStyle name="Calculation 2 2 7 3 4 5" xfId="10727"/>
    <cellStyle name="Calculation 2 2 7 3 5" xfId="10728"/>
    <cellStyle name="Calculation 2 2 7 3 5 2" xfId="10729"/>
    <cellStyle name="Calculation 2 2 7 3 5 3" xfId="10730"/>
    <cellStyle name="Calculation 2 2 7 3 5 4" xfId="10731"/>
    <cellStyle name="Calculation 2 2 7 3 6" xfId="10732"/>
    <cellStyle name="Calculation 2 2 7 3 6 2" xfId="10733"/>
    <cellStyle name="Calculation 2 2 7 3 6 3" xfId="10734"/>
    <cellStyle name="Calculation 2 2 7 3 6 4" xfId="10735"/>
    <cellStyle name="Calculation 2 2 7 3 7" xfId="10736"/>
    <cellStyle name="Calculation 2 2 7 3 7 2" xfId="10737"/>
    <cellStyle name="Calculation 2 2 7 3 7 3" xfId="10738"/>
    <cellStyle name="Calculation 2 2 7 3 7 4" xfId="10739"/>
    <cellStyle name="Calculation 2 2 7 3 8" xfId="10740"/>
    <cellStyle name="Calculation 2 2 7 3 9" xfId="10741"/>
    <cellStyle name="Calculation 2 2 7 4" xfId="10742"/>
    <cellStyle name="Calculation 2 2 7 4 2" xfId="10743"/>
    <cellStyle name="Calculation 2 2 7 4 2 2" xfId="10744"/>
    <cellStyle name="Calculation 2 2 7 4 2 2 2" xfId="10745"/>
    <cellStyle name="Calculation 2 2 7 4 2 2 3" xfId="10746"/>
    <cellStyle name="Calculation 2 2 7 4 2 2 4" xfId="10747"/>
    <cellStyle name="Calculation 2 2 7 4 2 3" xfId="10748"/>
    <cellStyle name="Calculation 2 2 7 4 2 4" xfId="10749"/>
    <cellStyle name="Calculation 2 2 7 4 2 5" xfId="10750"/>
    <cellStyle name="Calculation 2 2 7 4 2 6" xfId="10751"/>
    <cellStyle name="Calculation 2 2 7 4 3" xfId="10752"/>
    <cellStyle name="Calculation 2 2 7 4 3 2" xfId="10753"/>
    <cellStyle name="Calculation 2 2 7 4 3 3" xfId="10754"/>
    <cellStyle name="Calculation 2 2 7 4 3 4" xfId="10755"/>
    <cellStyle name="Calculation 2 2 7 4 4" xfId="10756"/>
    <cellStyle name="Calculation 2 2 7 4 5" xfId="10757"/>
    <cellStyle name="Calculation 2 2 7 4 6" xfId="10758"/>
    <cellStyle name="Calculation 2 2 7 4 7" xfId="10759"/>
    <cellStyle name="Calculation 2 2 7 5" xfId="10760"/>
    <cellStyle name="Calculation 2 2 7 5 2" xfId="10761"/>
    <cellStyle name="Calculation 2 2 7 5 2 2" xfId="10762"/>
    <cellStyle name="Calculation 2 2 7 5 2 3" xfId="10763"/>
    <cellStyle name="Calculation 2 2 7 5 2 4" xfId="10764"/>
    <cellStyle name="Calculation 2 2 7 5 3" xfId="10765"/>
    <cellStyle name="Calculation 2 2 7 5 4" xfId="10766"/>
    <cellStyle name="Calculation 2 2 7 5 5" xfId="10767"/>
    <cellStyle name="Calculation 2 2 7 5 6" xfId="10768"/>
    <cellStyle name="Calculation 2 2 7 6" xfId="10769"/>
    <cellStyle name="Calculation 2 2 7 6 2" xfId="10770"/>
    <cellStyle name="Calculation 2 2 7 6 3" xfId="10771"/>
    <cellStyle name="Calculation 2 2 7 6 4" xfId="10772"/>
    <cellStyle name="Calculation 2 2 7 6 5" xfId="10773"/>
    <cellStyle name="Calculation 2 2 7 7" xfId="10774"/>
    <cellStyle name="Calculation 2 2 7 7 2" xfId="10775"/>
    <cellStyle name="Calculation 2 2 7 7 3" xfId="10776"/>
    <cellStyle name="Calculation 2 2 7 7 4" xfId="10777"/>
    <cellStyle name="Calculation 2 2 7 8" xfId="10778"/>
    <cellStyle name="Calculation 2 2 7 8 2" xfId="10779"/>
    <cellStyle name="Calculation 2 2 7 8 3" xfId="10780"/>
    <cellStyle name="Calculation 2 2 7 8 4" xfId="10781"/>
    <cellStyle name="Calculation 2 2 7 9" xfId="10782"/>
    <cellStyle name="Calculation 2 2 7 9 2" xfId="10783"/>
    <cellStyle name="Calculation 2 2 7 9 3" xfId="10784"/>
    <cellStyle name="Calculation 2 2 7 9 4" xfId="10785"/>
    <cellStyle name="Calculation 2 2 8" xfId="341"/>
    <cellStyle name="Calculation 2 2 8 10" xfId="10786"/>
    <cellStyle name="Calculation 2 2 8 11" xfId="10787"/>
    <cellStyle name="Calculation 2 2 8 12" xfId="10788"/>
    <cellStyle name="Calculation 2 2 8 13" xfId="10789"/>
    <cellStyle name="Calculation 2 2 8 2" xfId="342"/>
    <cellStyle name="Calculation 2 2 8 2 10" xfId="10790"/>
    <cellStyle name="Calculation 2 2 8 2 11" xfId="10791"/>
    <cellStyle name="Calculation 2 2 8 2 2" xfId="10792"/>
    <cellStyle name="Calculation 2 2 8 2 2 2" xfId="10793"/>
    <cellStyle name="Calculation 2 2 8 2 2 2 2" xfId="10794"/>
    <cellStyle name="Calculation 2 2 8 2 2 2 2 2" xfId="10795"/>
    <cellStyle name="Calculation 2 2 8 2 2 2 2 3" xfId="10796"/>
    <cellStyle name="Calculation 2 2 8 2 2 2 2 4" xfId="10797"/>
    <cellStyle name="Calculation 2 2 8 2 2 2 3" xfId="10798"/>
    <cellStyle name="Calculation 2 2 8 2 2 2 4" xfId="10799"/>
    <cellStyle name="Calculation 2 2 8 2 2 2 5" xfId="10800"/>
    <cellStyle name="Calculation 2 2 8 2 2 2 6" xfId="10801"/>
    <cellStyle name="Calculation 2 2 8 2 2 3" xfId="10802"/>
    <cellStyle name="Calculation 2 2 8 2 2 3 2" xfId="10803"/>
    <cellStyle name="Calculation 2 2 8 2 2 3 3" xfId="10804"/>
    <cellStyle name="Calculation 2 2 8 2 2 3 4" xfId="10805"/>
    <cellStyle name="Calculation 2 2 8 2 2 4" xfId="10806"/>
    <cellStyle name="Calculation 2 2 8 2 2 5" xfId="10807"/>
    <cellStyle name="Calculation 2 2 8 2 2 6" xfId="10808"/>
    <cellStyle name="Calculation 2 2 8 2 2 7" xfId="10809"/>
    <cellStyle name="Calculation 2 2 8 2 3" xfId="10810"/>
    <cellStyle name="Calculation 2 2 8 2 3 2" xfId="10811"/>
    <cellStyle name="Calculation 2 2 8 2 3 2 2" xfId="10812"/>
    <cellStyle name="Calculation 2 2 8 2 3 2 3" xfId="10813"/>
    <cellStyle name="Calculation 2 2 8 2 3 2 4" xfId="10814"/>
    <cellStyle name="Calculation 2 2 8 2 3 3" xfId="10815"/>
    <cellStyle name="Calculation 2 2 8 2 3 4" xfId="10816"/>
    <cellStyle name="Calculation 2 2 8 2 3 5" xfId="10817"/>
    <cellStyle name="Calculation 2 2 8 2 3 6" xfId="10818"/>
    <cellStyle name="Calculation 2 2 8 2 4" xfId="10819"/>
    <cellStyle name="Calculation 2 2 8 2 4 2" xfId="10820"/>
    <cellStyle name="Calculation 2 2 8 2 4 3" xfId="10821"/>
    <cellStyle name="Calculation 2 2 8 2 4 4" xfId="10822"/>
    <cellStyle name="Calculation 2 2 8 2 4 5" xfId="10823"/>
    <cellStyle name="Calculation 2 2 8 2 5" xfId="10824"/>
    <cellStyle name="Calculation 2 2 8 2 5 2" xfId="10825"/>
    <cellStyle name="Calculation 2 2 8 2 5 3" xfId="10826"/>
    <cellStyle name="Calculation 2 2 8 2 5 4" xfId="10827"/>
    <cellStyle name="Calculation 2 2 8 2 6" xfId="10828"/>
    <cellStyle name="Calculation 2 2 8 2 6 2" xfId="10829"/>
    <cellStyle name="Calculation 2 2 8 2 6 3" xfId="10830"/>
    <cellStyle name="Calculation 2 2 8 2 6 4" xfId="10831"/>
    <cellStyle name="Calculation 2 2 8 2 7" xfId="10832"/>
    <cellStyle name="Calculation 2 2 8 2 7 2" xfId="10833"/>
    <cellStyle name="Calculation 2 2 8 2 7 3" xfId="10834"/>
    <cellStyle name="Calculation 2 2 8 2 7 4" xfId="10835"/>
    <cellStyle name="Calculation 2 2 8 2 8" xfId="10836"/>
    <cellStyle name="Calculation 2 2 8 2 9" xfId="10837"/>
    <cellStyle name="Calculation 2 2 8 3" xfId="343"/>
    <cellStyle name="Calculation 2 2 8 3 2" xfId="10838"/>
    <cellStyle name="Calculation 2 2 8 3 2 2" xfId="10839"/>
    <cellStyle name="Calculation 2 2 8 3 2 2 2" xfId="10840"/>
    <cellStyle name="Calculation 2 2 8 3 2 2 3" xfId="10841"/>
    <cellStyle name="Calculation 2 2 8 3 2 2 4" xfId="10842"/>
    <cellStyle name="Calculation 2 2 8 3 2 3" xfId="10843"/>
    <cellStyle name="Calculation 2 2 8 3 2 4" xfId="10844"/>
    <cellStyle name="Calculation 2 2 8 3 2 5" xfId="10845"/>
    <cellStyle name="Calculation 2 2 8 3 2 6" xfId="10846"/>
    <cellStyle name="Calculation 2 2 8 3 3" xfId="10847"/>
    <cellStyle name="Calculation 2 2 8 3 3 2" xfId="10848"/>
    <cellStyle name="Calculation 2 2 8 3 3 3" xfId="10849"/>
    <cellStyle name="Calculation 2 2 8 3 3 4" xfId="10850"/>
    <cellStyle name="Calculation 2 2 8 3 4" xfId="10851"/>
    <cellStyle name="Calculation 2 2 8 3 5" xfId="10852"/>
    <cellStyle name="Calculation 2 2 8 3 6" xfId="10853"/>
    <cellStyle name="Calculation 2 2 8 3 7" xfId="10854"/>
    <cellStyle name="Calculation 2 2 8 4" xfId="10855"/>
    <cellStyle name="Calculation 2 2 8 4 2" xfId="10856"/>
    <cellStyle name="Calculation 2 2 8 4 2 2" xfId="10857"/>
    <cellStyle name="Calculation 2 2 8 4 2 3" xfId="10858"/>
    <cellStyle name="Calculation 2 2 8 4 2 4" xfId="10859"/>
    <cellStyle name="Calculation 2 2 8 4 3" xfId="10860"/>
    <cellStyle name="Calculation 2 2 8 4 4" xfId="10861"/>
    <cellStyle name="Calculation 2 2 8 4 5" xfId="10862"/>
    <cellStyle name="Calculation 2 2 8 4 6" xfId="10863"/>
    <cellStyle name="Calculation 2 2 8 5" xfId="10864"/>
    <cellStyle name="Calculation 2 2 8 5 2" xfId="10865"/>
    <cellStyle name="Calculation 2 2 8 5 3" xfId="10866"/>
    <cellStyle name="Calculation 2 2 8 5 4" xfId="10867"/>
    <cellStyle name="Calculation 2 2 8 5 5" xfId="10868"/>
    <cellStyle name="Calculation 2 2 8 6" xfId="10869"/>
    <cellStyle name="Calculation 2 2 8 6 2" xfId="10870"/>
    <cellStyle name="Calculation 2 2 8 6 3" xfId="10871"/>
    <cellStyle name="Calculation 2 2 8 6 4" xfId="10872"/>
    <cellStyle name="Calculation 2 2 8 7" xfId="10873"/>
    <cellStyle name="Calculation 2 2 8 7 2" xfId="10874"/>
    <cellStyle name="Calculation 2 2 8 7 3" xfId="10875"/>
    <cellStyle name="Calculation 2 2 8 7 4" xfId="10876"/>
    <cellStyle name="Calculation 2 2 8 8" xfId="10877"/>
    <cellStyle name="Calculation 2 2 8 8 2" xfId="10878"/>
    <cellStyle name="Calculation 2 2 8 8 3" xfId="10879"/>
    <cellStyle name="Calculation 2 2 8 8 4" xfId="10880"/>
    <cellStyle name="Calculation 2 2 8 9" xfId="10881"/>
    <cellStyle name="Calculation 2 2 8 9 2" xfId="10882"/>
    <cellStyle name="Calculation 2 2 8 9 3" xfId="10883"/>
    <cellStyle name="Calculation 2 2 8 9 4" xfId="10884"/>
    <cellStyle name="Calculation 2 2 9" xfId="344"/>
    <cellStyle name="Calculation 2 2 9 10" xfId="10885"/>
    <cellStyle name="Calculation 2 2 9 11" xfId="10886"/>
    <cellStyle name="Calculation 2 2 9 12" xfId="10887"/>
    <cellStyle name="Calculation 2 2 9 2" xfId="345"/>
    <cellStyle name="Calculation 2 2 9 2 2" xfId="10888"/>
    <cellStyle name="Calculation 2 2 9 2 2 2" xfId="10889"/>
    <cellStyle name="Calculation 2 2 9 2 2 2 2" xfId="10890"/>
    <cellStyle name="Calculation 2 2 9 2 2 2 3" xfId="10891"/>
    <cellStyle name="Calculation 2 2 9 2 2 2 4" xfId="10892"/>
    <cellStyle name="Calculation 2 2 9 2 2 3" xfId="10893"/>
    <cellStyle name="Calculation 2 2 9 2 2 4" xfId="10894"/>
    <cellStyle name="Calculation 2 2 9 2 2 5" xfId="10895"/>
    <cellStyle name="Calculation 2 2 9 2 2 6" xfId="10896"/>
    <cellStyle name="Calculation 2 2 9 2 3" xfId="10897"/>
    <cellStyle name="Calculation 2 2 9 2 3 2" xfId="10898"/>
    <cellStyle name="Calculation 2 2 9 2 3 3" xfId="10899"/>
    <cellStyle name="Calculation 2 2 9 2 3 4" xfId="10900"/>
    <cellStyle name="Calculation 2 2 9 2 4" xfId="10901"/>
    <cellStyle name="Calculation 2 2 9 2 5" xfId="10902"/>
    <cellStyle name="Calculation 2 2 9 2 6" xfId="10903"/>
    <cellStyle name="Calculation 2 2 9 2 7" xfId="10904"/>
    <cellStyle name="Calculation 2 2 9 3" xfId="346"/>
    <cellStyle name="Calculation 2 2 9 3 2" xfId="10905"/>
    <cellStyle name="Calculation 2 2 9 3 2 2" xfId="10906"/>
    <cellStyle name="Calculation 2 2 9 3 2 3" xfId="10907"/>
    <cellStyle name="Calculation 2 2 9 3 2 4" xfId="10908"/>
    <cellStyle name="Calculation 2 2 9 3 3" xfId="10909"/>
    <cellStyle name="Calculation 2 2 9 3 4" xfId="10910"/>
    <cellStyle name="Calculation 2 2 9 3 5" xfId="10911"/>
    <cellStyle name="Calculation 2 2 9 3 6" xfId="10912"/>
    <cellStyle name="Calculation 2 2 9 4" xfId="10913"/>
    <cellStyle name="Calculation 2 2 9 4 2" xfId="10914"/>
    <cellStyle name="Calculation 2 2 9 4 3" xfId="10915"/>
    <cellStyle name="Calculation 2 2 9 4 4" xfId="10916"/>
    <cellStyle name="Calculation 2 2 9 4 5" xfId="10917"/>
    <cellStyle name="Calculation 2 2 9 5" xfId="10918"/>
    <cellStyle name="Calculation 2 2 9 5 2" xfId="10919"/>
    <cellStyle name="Calculation 2 2 9 5 3" xfId="10920"/>
    <cellStyle name="Calculation 2 2 9 5 4" xfId="10921"/>
    <cellStyle name="Calculation 2 2 9 6" xfId="10922"/>
    <cellStyle name="Calculation 2 2 9 6 2" xfId="10923"/>
    <cellStyle name="Calculation 2 2 9 6 3" xfId="10924"/>
    <cellStyle name="Calculation 2 2 9 6 4" xfId="10925"/>
    <cellStyle name="Calculation 2 2 9 7" xfId="10926"/>
    <cellStyle name="Calculation 2 2 9 7 2" xfId="10927"/>
    <cellStyle name="Calculation 2 2 9 7 3" xfId="10928"/>
    <cellStyle name="Calculation 2 2 9 7 4" xfId="10929"/>
    <cellStyle name="Calculation 2 2 9 8" xfId="10930"/>
    <cellStyle name="Calculation 2 2 9 8 2" xfId="10931"/>
    <cellStyle name="Calculation 2 2 9 8 3" xfId="10932"/>
    <cellStyle name="Calculation 2 2 9 8 4" xfId="10933"/>
    <cellStyle name="Calculation 2 2 9 9" xfId="10934"/>
    <cellStyle name="Calculation 2 20" xfId="10935"/>
    <cellStyle name="Calculation 2 20 10" xfId="10936"/>
    <cellStyle name="Calculation 2 20 11" xfId="10937"/>
    <cellStyle name="Calculation 2 20 12" xfId="10938"/>
    <cellStyle name="Calculation 2 20 13" xfId="10939"/>
    <cellStyle name="Calculation 2 20 14" xfId="10940"/>
    <cellStyle name="Calculation 2 20 15" xfId="10941"/>
    <cellStyle name="Calculation 2 20 2" xfId="10942"/>
    <cellStyle name="Calculation 2 20 3" xfId="10943"/>
    <cellStyle name="Calculation 2 20 4" xfId="10944"/>
    <cellStyle name="Calculation 2 20 5" xfId="10945"/>
    <cellStyle name="Calculation 2 20 6" xfId="10946"/>
    <cellStyle name="Calculation 2 20 7" xfId="10947"/>
    <cellStyle name="Calculation 2 20 8" xfId="10948"/>
    <cellStyle name="Calculation 2 20 9" xfId="10949"/>
    <cellStyle name="Calculation 2 21" xfId="10950"/>
    <cellStyle name="Calculation 2 21 10" xfId="10951"/>
    <cellStyle name="Calculation 2 21 11" xfId="10952"/>
    <cellStyle name="Calculation 2 21 12" xfId="10953"/>
    <cellStyle name="Calculation 2 21 2" xfId="10954"/>
    <cellStyle name="Calculation 2 21 3" xfId="10955"/>
    <cellStyle name="Calculation 2 21 4" xfId="10956"/>
    <cellStyle name="Calculation 2 21 5" xfId="10957"/>
    <cellStyle name="Calculation 2 21 6" xfId="10958"/>
    <cellStyle name="Calculation 2 21 7" xfId="10959"/>
    <cellStyle name="Calculation 2 21 8" xfId="10960"/>
    <cellStyle name="Calculation 2 21 9" xfId="10961"/>
    <cellStyle name="Calculation 2 22" xfId="10962"/>
    <cellStyle name="Calculation 2 22 10" xfId="10963"/>
    <cellStyle name="Calculation 2 22 11" xfId="10964"/>
    <cellStyle name="Calculation 2 22 12" xfId="10965"/>
    <cellStyle name="Calculation 2 22 2" xfId="10966"/>
    <cellStyle name="Calculation 2 22 3" xfId="10967"/>
    <cellStyle name="Calculation 2 22 4" xfId="10968"/>
    <cellStyle name="Calculation 2 22 5" xfId="10969"/>
    <cellStyle name="Calculation 2 22 6" xfId="10970"/>
    <cellStyle name="Calculation 2 22 7" xfId="10971"/>
    <cellStyle name="Calculation 2 22 8" xfId="10972"/>
    <cellStyle name="Calculation 2 22 9" xfId="10973"/>
    <cellStyle name="Calculation 2 23" xfId="10974"/>
    <cellStyle name="Calculation 2 23 10" xfId="10975"/>
    <cellStyle name="Calculation 2 23 11" xfId="10976"/>
    <cellStyle name="Calculation 2 23 12" xfId="10977"/>
    <cellStyle name="Calculation 2 23 2" xfId="10978"/>
    <cellStyle name="Calculation 2 23 3" xfId="10979"/>
    <cellStyle name="Calculation 2 23 4" xfId="10980"/>
    <cellStyle name="Calculation 2 23 5" xfId="10981"/>
    <cellStyle name="Calculation 2 23 6" xfId="10982"/>
    <cellStyle name="Calculation 2 23 7" xfId="10983"/>
    <cellStyle name="Calculation 2 23 8" xfId="10984"/>
    <cellStyle name="Calculation 2 23 9" xfId="10985"/>
    <cellStyle name="Calculation 2 24" xfId="10986"/>
    <cellStyle name="Calculation 2 24 10" xfId="10987"/>
    <cellStyle name="Calculation 2 24 11" xfId="10988"/>
    <cellStyle name="Calculation 2 24 12" xfId="10989"/>
    <cellStyle name="Calculation 2 24 2" xfId="10990"/>
    <cellStyle name="Calculation 2 24 3" xfId="10991"/>
    <cellStyle name="Calculation 2 24 4" xfId="10992"/>
    <cellStyle name="Calculation 2 24 5" xfId="10993"/>
    <cellStyle name="Calculation 2 24 6" xfId="10994"/>
    <cellStyle name="Calculation 2 24 7" xfId="10995"/>
    <cellStyle name="Calculation 2 24 8" xfId="10996"/>
    <cellStyle name="Calculation 2 24 9" xfId="10997"/>
    <cellStyle name="Calculation 2 25" xfId="10998"/>
    <cellStyle name="Calculation 2 25 10" xfId="10999"/>
    <cellStyle name="Calculation 2 25 11" xfId="11000"/>
    <cellStyle name="Calculation 2 25 12" xfId="11001"/>
    <cellStyle name="Calculation 2 25 2" xfId="11002"/>
    <cellStyle name="Calculation 2 25 3" xfId="11003"/>
    <cellStyle name="Calculation 2 25 4" xfId="11004"/>
    <cellStyle name="Calculation 2 25 5" xfId="11005"/>
    <cellStyle name="Calculation 2 25 6" xfId="11006"/>
    <cellStyle name="Calculation 2 25 7" xfId="11007"/>
    <cellStyle name="Calculation 2 25 8" xfId="11008"/>
    <cellStyle name="Calculation 2 25 9" xfId="11009"/>
    <cellStyle name="Calculation 2 26" xfId="11010"/>
    <cellStyle name="Calculation 2 26 10" xfId="11011"/>
    <cellStyle name="Calculation 2 26 11" xfId="11012"/>
    <cellStyle name="Calculation 2 26 12" xfId="11013"/>
    <cellStyle name="Calculation 2 26 2" xfId="11014"/>
    <cellStyle name="Calculation 2 26 3" xfId="11015"/>
    <cellStyle name="Calculation 2 26 4" xfId="11016"/>
    <cellStyle name="Calculation 2 26 5" xfId="11017"/>
    <cellStyle name="Calculation 2 26 6" xfId="11018"/>
    <cellStyle name="Calculation 2 26 7" xfId="11019"/>
    <cellStyle name="Calculation 2 26 8" xfId="11020"/>
    <cellStyle name="Calculation 2 26 9" xfId="11021"/>
    <cellStyle name="Calculation 2 27" xfId="11022"/>
    <cellStyle name="Calculation 2 27 10" xfId="11023"/>
    <cellStyle name="Calculation 2 27 11" xfId="11024"/>
    <cellStyle name="Calculation 2 27 12" xfId="11025"/>
    <cellStyle name="Calculation 2 27 2" xfId="11026"/>
    <cellStyle name="Calculation 2 27 3" xfId="11027"/>
    <cellStyle name="Calculation 2 27 4" xfId="11028"/>
    <cellStyle name="Calculation 2 27 5" xfId="11029"/>
    <cellStyle name="Calculation 2 27 6" xfId="11030"/>
    <cellStyle name="Calculation 2 27 7" xfId="11031"/>
    <cellStyle name="Calculation 2 27 8" xfId="11032"/>
    <cellStyle name="Calculation 2 27 9" xfId="11033"/>
    <cellStyle name="Calculation 2 28" xfId="11034"/>
    <cellStyle name="Calculation 2 28 10" xfId="11035"/>
    <cellStyle name="Calculation 2 28 11" xfId="11036"/>
    <cellStyle name="Calculation 2 28 12" xfId="11037"/>
    <cellStyle name="Calculation 2 28 2" xfId="11038"/>
    <cellStyle name="Calculation 2 28 3" xfId="11039"/>
    <cellStyle name="Calculation 2 28 4" xfId="11040"/>
    <cellStyle name="Calculation 2 28 5" xfId="11041"/>
    <cellStyle name="Calculation 2 28 6" xfId="11042"/>
    <cellStyle name="Calculation 2 28 7" xfId="11043"/>
    <cellStyle name="Calculation 2 28 8" xfId="11044"/>
    <cellStyle name="Calculation 2 28 9" xfId="11045"/>
    <cellStyle name="Calculation 2 29" xfId="11046"/>
    <cellStyle name="Calculation 2 29 10" xfId="11047"/>
    <cellStyle name="Calculation 2 29 11" xfId="11048"/>
    <cellStyle name="Calculation 2 29 12" xfId="11049"/>
    <cellStyle name="Calculation 2 29 2" xfId="11050"/>
    <cellStyle name="Calculation 2 29 3" xfId="11051"/>
    <cellStyle name="Calculation 2 29 4" xfId="11052"/>
    <cellStyle name="Calculation 2 29 5" xfId="11053"/>
    <cellStyle name="Calculation 2 29 6" xfId="11054"/>
    <cellStyle name="Calculation 2 29 7" xfId="11055"/>
    <cellStyle name="Calculation 2 29 8" xfId="11056"/>
    <cellStyle name="Calculation 2 29 9" xfId="11057"/>
    <cellStyle name="Calculation 2 3" xfId="132"/>
    <cellStyle name="Calculation 2 3 10" xfId="347"/>
    <cellStyle name="Calculation 2 3 10 2" xfId="348"/>
    <cellStyle name="Calculation 2 3 10 2 2" xfId="11058"/>
    <cellStyle name="Calculation 2 3 10 2 3" xfId="11059"/>
    <cellStyle name="Calculation 2 3 10 2 4" xfId="11060"/>
    <cellStyle name="Calculation 2 3 10 3" xfId="349"/>
    <cellStyle name="Calculation 2 3 10 3 2" xfId="11061"/>
    <cellStyle name="Calculation 2 3 10 3 3" xfId="11062"/>
    <cellStyle name="Calculation 2 3 10 3 4" xfId="11063"/>
    <cellStyle name="Calculation 2 3 10 4" xfId="11064"/>
    <cellStyle name="Calculation 2 3 10 5" xfId="11065"/>
    <cellStyle name="Calculation 2 3 10 6" xfId="11066"/>
    <cellStyle name="Calculation 2 3 10 7" xfId="11067"/>
    <cellStyle name="Calculation 2 3 11" xfId="350"/>
    <cellStyle name="Calculation 2 3 11 2" xfId="351"/>
    <cellStyle name="Calculation 2 3 11 2 2" xfId="11068"/>
    <cellStyle name="Calculation 2 3 11 2 3" xfId="11069"/>
    <cellStyle name="Calculation 2 3 11 2 4" xfId="11070"/>
    <cellStyle name="Calculation 2 3 11 3" xfId="352"/>
    <cellStyle name="Calculation 2 3 11 3 2" xfId="11071"/>
    <cellStyle name="Calculation 2 3 11 3 3" xfId="11072"/>
    <cellStyle name="Calculation 2 3 11 3 4" xfId="11073"/>
    <cellStyle name="Calculation 2 3 11 4" xfId="11074"/>
    <cellStyle name="Calculation 2 3 11 5" xfId="11075"/>
    <cellStyle name="Calculation 2 3 11 6" xfId="11076"/>
    <cellStyle name="Calculation 2 3 11 7" xfId="11077"/>
    <cellStyle name="Calculation 2 3 12" xfId="353"/>
    <cellStyle name="Calculation 2 3 12 2" xfId="354"/>
    <cellStyle name="Calculation 2 3 12 2 2" xfId="11078"/>
    <cellStyle name="Calculation 2 3 12 2 3" xfId="11079"/>
    <cellStyle name="Calculation 2 3 12 2 4" xfId="11080"/>
    <cellStyle name="Calculation 2 3 12 3" xfId="355"/>
    <cellStyle name="Calculation 2 3 12 3 2" xfId="11081"/>
    <cellStyle name="Calculation 2 3 12 3 3" xfId="11082"/>
    <cellStyle name="Calculation 2 3 12 3 4" xfId="11083"/>
    <cellStyle name="Calculation 2 3 12 4" xfId="11084"/>
    <cellStyle name="Calculation 2 3 12 5" xfId="11085"/>
    <cellStyle name="Calculation 2 3 12 6" xfId="11086"/>
    <cellStyle name="Calculation 2 3 12 7" xfId="11087"/>
    <cellStyle name="Calculation 2 3 13" xfId="356"/>
    <cellStyle name="Calculation 2 3 13 2" xfId="357"/>
    <cellStyle name="Calculation 2 3 13 2 2" xfId="11088"/>
    <cellStyle name="Calculation 2 3 13 2 3" xfId="11089"/>
    <cellStyle name="Calculation 2 3 13 2 4" xfId="11090"/>
    <cellStyle name="Calculation 2 3 13 3" xfId="358"/>
    <cellStyle name="Calculation 2 3 13 3 2" xfId="11091"/>
    <cellStyle name="Calculation 2 3 13 3 3" xfId="11092"/>
    <cellStyle name="Calculation 2 3 13 3 4" xfId="11093"/>
    <cellStyle name="Calculation 2 3 13 4" xfId="11094"/>
    <cellStyle name="Calculation 2 3 13 5" xfId="11095"/>
    <cellStyle name="Calculation 2 3 13 6" xfId="11096"/>
    <cellStyle name="Calculation 2 3 13 7" xfId="11097"/>
    <cellStyle name="Calculation 2 3 14" xfId="359"/>
    <cellStyle name="Calculation 2 3 14 2" xfId="11098"/>
    <cellStyle name="Calculation 2 3 14 2 2" xfId="11099"/>
    <cellStyle name="Calculation 2 3 14 2 3" xfId="11100"/>
    <cellStyle name="Calculation 2 3 14 2 4" xfId="11101"/>
    <cellStyle name="Calculation 2 3 14 3" xfId="11102"/>
    <cellStyle name="Calculation 2 3 14 4" xfId="11103"/>
    <cellStyle name="Calculation 2 3 14 5" xfId="11104"/>
    <cellStyle name="Calculation 2 3 14 6" xfId="11105"/>
    <cellStyle name="Calculation 2 3 15" xfId="360"/>
    <cellStyle name="Calculation 2 3 15 2" xfId="11106"/>
    <cellStyle name="Calculation 2 3 15 3" xfId="11107"/>
    <cellStyle name="Calculation 2 3 15 4" xfId="11108"/>
    <cellStyle name="Calculation 2 3 15 5" xfId="11109"/>
    <cellStyle name="Calculation 2 3 16" xfId="11110"/>
    <cellStyle name="Calculation 2 3 16 2" xfId="11111"/>
    <cellStyle name="Calculation 2 3 16 3" xfId="11112"/>
    <cellStyle name="Calculation 2 3 16 4" xfId="11113"/>
    <cellStyle name="Calculation 2 3 17" xfId="11114"/>
    <cellStyle name="Calculation 2 3 17 2" xfId="11115"/>
    <cellStyle name="Calculation 2 3 17 3" xfId="11116"/>
    <cellStyle name="Calculation 2 3 17 4" xfId="11117"/>
    <cellStyle name="Calculation 2 3 18" xfId="11118"/>
    <cellStyle name="Calculation 2 3 18 2" xfId="11119"/>
    <cellStyle name="Calculation 2 3 18 3" xfId="11120"/>
    <cellStyle name="Calculation 2 3 18 4" xfId="11121"/>
    <cellStyle name="Calculation 2 3 19" xfId="11122"/>
    <cellStyle name="Calculation 2 3 2" xfId="361"/>
    <cellStyle name="Calculation 2 3 2 10" xfId="11123"/>
    <cellStyle name="Calculation 2 3 2 10 2" xfId="11124"/>
    <cellStyle name="Calculation 2 3 2 10 3" xfId="11125"/>
    <cellStyle name="Calculation 2 3 2 10 4" xfId="11126"/>
    <cellStyle name="Calculation 2 3 2 11" xfId="11127"/>
    <cellStyle name="Calculation 2 3 2 11 2" xfId="11128"/>
    <cellStyle name="Calculation 2 3 2 11 3" xfId="11129"/>
    <cellStyle name="Calculation 2 3 2 11 4" xfId="11130"/>
    <cellStyle name="Calculation 2 3 2 12" xfId="11131"/>
    <cellStyle name="Calculation 2 3 2 13" xfId="11132"/>
    <cellStyle name="Calculation 2 3 2 14" xfId="11133"/>
    <cellStyle name="Calculation 2 3 2 15" xfId="11134"/>
    <cellStyle name="Calculation 2 3 2 2" xfId="362"/>
    <cellStyle name="Calculation 2 3 2 2 10" xfId="11135"/>
    <cellStyle name="Calculation 2 3 2 2 11" xfId="11136"/>
    <cellStyle name="Calculation 2 3 2 2 12" xfId="11137"/>
    <cellStyle name="Calculation 2 3 2 2 2" xfId="11138"/>
    <cellStyle name="Calculation 2 3 2 2 2 10" xfId="11139"/>
    <cellStyle name="Calculation 2 3 2 2 2 11" xfId="11140"/>
    <cellStyle name="Calculation 2 3 2 2 2 2" xfId="11141"/>
    <cellStyle name="Calculation 2 3 2 2 2 2 2" xfId="11142"/>
    <cellStyle name="Calculation 2 3 2 2 2 2 2 2" xfId="11143"/>
    <cellStyle name="Calculation 2 3 2 2 2 2 2 2 2" xfId="11144"/>
    <cellStyle name="Calculation 2 3 2 2 2 2 2 2 3" xfId="11145"/>
    <cellStyle name="Calculation 2 3 2 2 2 2 2 2 4" xfId="11146"/>
    <cellStyle name="Calculation 2 3 2 2 2 2 2 3" xfId="11147"/>
    <cellStyle name="Calculation 2 3 2 2 2 2 2 4" xfId="11148"/>
    <cellStyle name="Calculation 2 3 2 2 2 2 2 5" xfId="11149"/>
    <cellStyle name="Calculation 2 3 2 2 2 2 2 6" xfId="11150"/>
    <cellStyle name="Calculation 2 3 2 2 2 2 3" xfId="11151"/>
    <cellStyle name="Calculation 2 3 2 2 2 2 3 2" xfId="11152"/>
    <cellStyle name="Calculation 2 3 2 2 2 2 3 3" xfId="11153"/>
    <cellStyle name="Calculation 2 3 2 2 2 2 3 4" xfId="11154"/>
    <cellStyle name="Calculation 2 3 2 2 2 2 4" xfId="11155"/>
    <cellStyle name="Calculation 2 3 2 2 2 2 5" xfId="11156"/>
    <cellStyle name="Calculation 2 3 2 2 2 2 6" xfId="11157"/>
    <cellStyle name="Calculation 2 3 2 2 2 2 7" xfId="11158"/>
    <cellStyle name="Calculation 2 3 2 2 2 3" xfId="11159"/>
    <cellStyle name="Calculation 2 3 2 2 2 3 2" xfId="11160"/>
    <cellStyle name="Calculation 2 3 2 2 2 3 2 2" xfId="11161"/>
    <cellStyle name="Calculation 2 3 2 2 2 3 2 3" xfId="11162"/>
    <cellStyle name="Calculation 2 3 2 2 2 3 2 4" xfId="11163"/>
    <cellStyle name="Calculation 2 3 2 2 2 3 3" xfId="11164"/>
    <cellStyle name="Calculation 2 3 2 2 2 3 4" xfId="11165"/>
    <cellStyle name="Calculation 2 3 2 2 2 3 5" xfId="11166"/>
    <cellStyle name="Calculation 2 3 2 2 2 3 6" xfId="11167"/>
    <cellStyle name="Calculation 2 3 2 2 2 4" xfId="11168"/>
    <cellStyle name="Calculation 2 3 2 2 2 4 2" xfId="11169"/>
    <cellStyle name="Calculation 2 3 2 2 2 4 3" xfId="11170"/>
    <cellStyle name="Calculation 2 3 2 2 2 4 4" xfId="11171"/>
    <cellStyle name="Calculation 2 3 2 2 2 4 5" xfId="11172"/>
    <cellStyle name="Calculation 2 3 2 2 2 5" xfId="11173"/>
    <cellStyle name="Calculation 2 3 2 2 2 5 2" xfId="11174"/>
    <cellStyle name="Calculation 2 3 2 2 2 5 3" xfId="11175"/>
    <cellStyle name="Calculation 2 3 2 2 2 5 4" xfId="11176"/>
    <cellStyle name="Calculation 2 3 2 2 2 6" xfId="11177"/>
    <cellStyle name="Calculation 2 3 2 2 2 6 2" xfId="11178"/>
    <cellStyle name="Calculation 2 3 2 2 2 6 3" xfId="11179"/>
    <cellStyle name="Calculation 2 3 2 2 2 6 4" xfId="11180"/>
    <cellStyle name="Calculation 2 3 2 2 2 7" xfId="11181"/>
    <cellStyle name="Calculation 2 3 2 2 2 7 2" xfId="11182"/>
    <cellStyle name="Calculation 2 3 2 2 2 7 3" xfId="11183"/>
    <cellStyle name="Calculation 2 3 2 2 2 7 4" xfId="11184"/>
    <cellStyle name="Calculation 2 3 2 2 2 8" xfId="11185"/>
    <cellStyle name="Calculation 2 3 2 2 2 9" xfId="11186"/>
    <cellStyle name="Calculation 2 3 2 2 3" xfId="11187"/>
    <cellStyle name="Calculation 2 3 2 2 3 2" xfId="11188"/>
    <cellStyle name="Calculation 2 3 2 2 3 2 2" xfId="11189"/>
    <cellStyle name="Calculation 2 3 2 2 3 2 2 2" xfId="11190"/>
    <cellStyle name="Calculation 2 3 2 2 3 2 2 3" xfId="11191"/>
    <cellStyle name="Calculation 2 3 2 2 3 2 2 4" xfId="11192"/>
    <cellStyle name="Calculation 2 3 2 2 3 2 3" xfId="11193"/>
    <cellStyle name="Calculation 2 3 2 2 3 2 4" xfId="11194"/>
    <cellStyle name="Calculation 2 3 2 2 3 2 5" xfId="11195"/>
    <cellStyle name="Calculation 2 3 2 2 3 2 6" xfId="11196"/>
    <cellStyle name="Calculation 2 3 2 2 3 3" xfId="11197"/>
    <cellStyle name="Calculation 2 3 2 2 3 3 2" xfId="11198"/>
    <cellStyle name="Calculation 2 3 2 2 3 3 3" xfId="11199"/>
    <cellStyle name="Calculation 2 3 2 2 3 3 4" xfId="11200"/>
    <cellStyle name="Calculation 2 3 2 2 3 4" xfId="11201"/>
    <cellStyle name="Calculation 2 3 2 2 3 5" xfId="11202"/>
    <cellStyle name="Calculation 2 3 2 2 3 6" xfId="11203"/>
    <cellStyle name="Calculation 2 3 2 2 3 7" xfId="11204"/>
    <cellStyle name="Calculation 2 3 2 2 4" xfId="11205"/>
    <cellStyle name="Calculation 2 3 2 2 4 2" xfId="11206"/>
    <cellStyle name="Calculation 2 3 2 2 4 2 2" xfId="11207"/>
    <cellStyle name="Calculation 2 3 2 2 4 2 3" xfId="11208"/>
    <cellStyle name="Calculation 2 3 2 2 4 2 4" xfId="11209"/>
    <cellStyle name="Calculation 2 3 2 2 4 3" xfId="11210"/>
    <cellStyle name="Calculation 2 3 2 2 4 4" xfId="11211"/>
    <cellStyle name="Calculation 2 3 2 2 4 5" xfId="11212"/>
    <cellStyle name="Calculation 2 3 2 2 4 6" xfId="11213"/>
    <cellStyle name="Calculation 2 3 2 2 5" xfId="11214"/>
    <cellStyle name="Calculation 2 3 2 2 5 2" xfId="11215"/>
    <cellStyle name="Calculation 2 3 2 2 5 3" xfId="11216"/>
    <cellStyle name="Calculation 2 3 2 2 5 4" xfId="11217"/>
    <cellStyle name="Calculation 2 3 2 2 5 5" xfId="11218"/>
    <cellStyle name="Calculation 2 3 2 2 6" xfId="11219"/>
    <cellStyle name="Calculation 2 3 2 2 6 2" xfId="11220"/>
    <cellStyle name="Calculation 2 3 2 2 6 3" xfId="11221"/>
    <cellStyle name="Calculation 2 3 2 2 6 4" xfId="11222"/>
    <cellStyle name="Calculation 2 3 2 2 7" xfId="11223"/>
    <cellStyle name="Calculation 2 3 2 2 7 2" xfId="11224"/>
    <cellStyle name="Calculation 2 3 2 2 7 3" xfId="11225"/>
    <cellStyle name="Calculation 2 3 2 2 7 4" xfId="11226"/>
    <cellStyle name="Calculation 2 3 2 2 8" xfId="11227"/>
    <cellStyle name="Calculation 2 3 2 2 8 2" xfId="11228"/>
    <cellStyle name="Calculation 2 3 2 2 8 3" xfId="11229"/>
    <cellStyle name="Calculation 2 3 2 2 8 4" xfId="11230"/>
    <cellStyle name="Calculation 2 3 2 2 9" xfId="11231"/>
    <cellStyle name="Calculation 2 3 2 3" xfId="11232"/>
    <cellStyle name="Calculation 2 3 2 3 10" xfId="11233"/>
    <cellStyle name="Calculation 2 3 2 3 11" xfId="11234"/>
    <cellStyle name="Calculation 2 3 2 3 2" xfId="11235"/>
    <cellStyle name="Calculation 2 3 2 3 2 2" xfId="11236"/>
    <cellStyle name="Calculation 2 3 2 3 2 2 2" xfId="11237"/>
    <cellStyle name="Calculation 2 3 2 3 2 2 2 2" xfId="11238"/>
    <cellStyle name="Calculation 2 3 2 3 2 2 2 3" xfId="11239"/>
    <cellStyle name="Calculation 2 3 2 3 2 2 2 4" xfId="11240"/>
    <cellStyle name="Calculation 2 3 2 3 2 2 3" xfId="11241"/>
    <cellStyle name="Calculation 2 3 2 3 2 2 4" xfId="11242"/>
    <cellStyle name="Calculation 2 3 2 3 2 2 5" xfId="11243"/>
    <cellStyle name="Calculation 2 3 2 3 2 2 6" xfId="11244"/>
    <cellStyle name="Calculation 2 3 2 3 2 3" xfId="11245"/>
    <cellStyle name="Calculation 2 3 2 3 2 3 2" xfId="11246"/>
    <cellStyle name="Calculation 2 3 2 3 2 3 3" xfId="11247"/>
    <cellStyle name="Calculation 2 3 2 3 2 3 4" xfId="11248"/>
    <cellStyle name="Calculation 2 3 2 3 2 4" xfId="11249"/>
    <cellStyle name="Calculation 2 3 2 3 2 5" xfId="11250"/>
    <cellStyle name="Calculation 2 3 2 3 2 6" xfId="11251"/>
    <cellStyle name="Calculation 2 3 2 3 2 7" xfId="11252"/>
    <cellStyle name="Calculation 2 3 2 3 3" xfId="11253"/>
    <cellStyle name="Calculation 2 3 2 3 3 2" xfId="11254"/>
    <cellStyle name="Calculation 2 3 2 3 3 2 2" xfId="11255"/>
    <cellStyle name="Calculation 2 3 2 3 3 2 3" xfId="11256"/>
    <cellStyle name="Calculation 2 3 2 3 3 2 4" xfId="11257"/>
    <cellStyle name="Calculation 2 3 2 3 3 3" xfId="11258"/>
    <cellStyle name="Calculation 2 3 2 3 3 4" xfId="11259"/>
    <cellStyle name="Calculation 2 3 2 3 3 5" xfId="11260"/>
    <cellStyle name="Calculation 2 3 2 3 3 6" xfId="11261"/>
    <cellStyle name="Calculation 2 3 2 3 4" xfId="11262"/>
    <cellStyle name="Calculation 2 3 2 3 4 2" xfId="11263"/>
    <cellStyle name="Calculation 2 3 2 3 4 3" xfId="11264"/>
    <cellStyle name="Calculation 2 3 2 3 4 4" xfId="11265"/>
    <cellStyle name="Calculation 2 3 2 3 4 5" xfId="11266"/>
    <cellStyle name="Calculation 2 3 2 3 5" xfId="11267"/>
    <cellStyle name="Calculation 2 3 2 3 5 2" xfId="11268"/>
    <cellStyle name="Calculation 2 3 2 3 5 3" xfId="11269"/>
    <cellStyle name="Calculation 2 3 2 3 5 4" xfId="11270"/>
    <cellStyle name="Calculation 2 3 2 3 6" xfId="11271"/>
    <cellStyle name="Calculation 2 3 2 3 6 2" xfId="11272"/>
    <cellStyle name="Calculation 2 3 2 3 6 3" xfId="11273"/>
    <cellStyle name="Calculation 2 3 2 3 6 4" xfId="11274"/>
    <cellStyle name="Calculation 2 3 2 3 7" xfId="11275"/>
    <cellStyle name="Calculation 2 3 2 3 7 2" xfId="11276"/>
    <cellStyle name="Calculation 2 3 2 3 7 3" xfId="11277"/>
    <cellStyle name="Calculation 2 3 2 3 7 4" xfId="11278"/>
    <cellStyle name="Calculation 2 3 2 3 8" xfId="11279"/>
    <cellStyle name="Calculation 2 3 2 3 9" xfId="11280"/>
    <cellStyle name="Calculation 2 3 2 4" xfId="11281"/>
    <cellStyle name="Calculation 2 3 2 4 2" xfId="11282"/>
    <cellStyle name="Calculation 2 3 2 4 2 2" xfId="11283"/>
    <cellStyle name="Calculation 2 3 2 4 2 2 2" xfId="11284"/>
    <cellStyle name="Calculation 2 3 2 4 2 2 3" xfId="11285"/>
    <cellStyle name="Calculation 2 3 2 4 2 2 4" xfId="11286"/>
    <cellStyle name="Calculation 2 3 2 4 2 3" xfId="11287"/>
    <cellStyle name="Calculation 2 3 2 4 2 4" xfId="11288"/>
    <cellStyle name="Calculation 2 3 2 4 2 5" xfId="11289"/>
    <cellStyle name="Calculation 2 3 2 4 2 6" xfId="11290"/>
    <cellStyle name="Calculation 2 3 2 4 3" xfId="11291"/>
    <cellStyle name="Calculation 2 3 2 4 3 2" xfId="11292"/>
    <cellStyle name="Calculation 2 3 2 4 3 3" xfId="11293"/>
    <cellStyle name="Calculation 2 3 2 4 3 4" xfId="11294"/>
    <cellStyle name="Calculation 2 3 2 4 4" xfId="11295"/>
    <cellStyle name="Calculation 2 3 2 4 5" xfId="11296"/>
    <cellStyle name="Calculation 2 3 2 4 6" xfId="11297"/>
    <cellStyle name="Calculation 2 3 2 4 7" xfId="11298"/>
    <cellStyle name="Calculation 2 3 2 5" xfId="11299"/>
    <cellStyle name="Calculation 2 3 2 5 2" xfId="11300"/>
    <cellStyle name="Calculation 2 3 2 5 2 2" xfId="11301"/>
    <cellStyle name="Calculation 2 3 2 5 2 3" xfId="11302"/>
    <cellStyle name="Calculation 2 3 2 5 2 4" xfId="11303"/>
    <cellStyle name="Calculation 2 3 2 5 3" xfId="11304"/>
    <cellStyle name="Calculation 2 3 2 5 3 2" xfId="11305"/>
    <cellStyle name="Calculation 2 3 2 5 3 3" xfId="11306"/>
    <cellStyle name="Calculation 2 3 2 5 3 4" xfId="11307"/>
    <cellStyle name="Calculation 2 3 2 5 4" xfId="11308"/>
    <cellStyle name="Calculation 2 3 2 5 5" xfId="11309"/>
    <cellStyle name="Calculation 2 3 2 5 6" xfId="11310"/>
    <cellStyle name="Calculation 2 3 2 5 7" xfId="11311"/>
    <cellStyle name="Calculation 2 3 2 6" xfId="11312"/>
    <cellStyle name="Calculation 2 3 2 6 2" xfId="11313"/>
    <cellStyle name="Calculation 2 3 2 6 2 2" xfId="11314"/>
    <cellStyle name="Calculation 2 3 2 6 2 3" xfId="11315"/>
    <cellStyle name="Calculation 2 3 2 6 2 4" xfId="11316"/>
    <cellStyle name="Calculation 2 3 2 6 3" xfId="11317"/>
    <cellStyle name="Calculation 2 3 2 6 3 2" xfId="11318"/>
    <cellStyle name="Calculation 2 3 2 6 3 3" xfId="11319"/>
    <cellStyle name="Calculation 2 3 2 6 3 4" xfId="11320"/>
    <cellStyle name="Calculation 2 3 2 6 4" xfId="11321"/>
    <cellStyle name="Calculation 2 3 2 6 5" xfId="11322"/>
    <cellStyle name="Calculation 2 3 2 6 6" xfId="11323"/>
    <cellStyle name="Calculation 2 3 2 6 7" xfId="11324"/>
    <cellStyle name="Calculation 2 3 2 7" xfId="11325"/>
    <cellStyle name="Calculation 2 3 2 7 2" xfId="11326"/>
    <cellStyle name="Calculation 2 3 2 7 2 2" xfId="11327"/>
    <cellStyle name="Calculation 2 3 2 7 2 3" xfId="11328"/>
    <cellStyle name="Calculation 2 3 2 7 2 4" xfId="11329"/>
    <cellStyle name="Calculation 2 3 2 7 3" xfId="11330"/>
    <cellStyle name="Calculation 2 3 2 7 3 2" xfId="11331"/>
    <cellStyle name="Calculation 2 3 2 7 3 3" xfId="11332"/>
    <cellStyle name="Calculation 2 3 2 7 3 4" xfId="11333"/>
    <cellStyle name="Calculation 2 3 2 7 4" xfId="11334"/>
    <cellStyle name="Calculation 2 3 2 7 5" xfId="11335"/>
    <cellStyle name="Calculation 2 3 2 7 6" xfId="11336"/>
    <cellStyle name="Calculation 2 3 2 7 7" xfId="11337"/>
    <cellStyle name="Calculation 2 3 2 8" xfId="11338"/>
    <cellStyle name="Calculation 2 3 2 8 2" xfId="11339"/>
    <cellStyle name="Calculation 2 3 2 8 2 2" xfId="11340"/>
    <cellStyle name="Calculation 2 3 2 8 2 3" xfId="11341"/>
    <cellStyle name="Calculation 2 3 2 8 2 4" xfId="11342"/>
    <cellStyle name="Calculation 2 3 2 8 3" xfId="11343"/>
    <cellStyle name="Calculation 2 3 2 8 4" xfId="11344"/>
    <cellStyle name="Calculation 2 3 2 8 5" xfId="11345"/>
    <cellStyle name="Calculation 2 3 2 8 6" xfId="11346"/>
    <cellStyle name="Calculation 2 3 2 9" xfId="11347"/>
    <cellStyle name="Calculation 2 3 2 9 2" xfId="11348"/>
    <cellStyle name="Calculation 2 3 2 9 3" xfId="11349"/>
    <cellStyle name="Calculation 2 3 2 9 4" xfId="11350"/>
    <cellStyle name="Calculation 2 3 2 9 5" xfId="11351"/>
    <cellStyle name="Calculation 2 3 20" xfId="11352"/>
    <cellStyle name="Calculation 2 3 21" xfId="11353"/>
    <cellStyle name="Calculation 2 3 22" xfId="11354"/>
    <cellStyle name="Calculation 2 3 23" xfId="11355"/>
    <cellStyle name="Calculation 2 3 24" xfId="11356"/>
    <cellStyle name="Calculation 2 3 25" xfId="11357"/>
    <cellStyle name="Calculation 2 3 26" xfId="11358"/>
    <cellStyle name="Calculation 2 3 27" xfId="11359"/>
    <cellStyle name="Calculation 2 3 28" xfId="11360"/>
    <cellStyle name="Calculation 2 3 29" xfId="11361"/>
    <cellStyle name="Calculation 2 3 3" xfId="363"/>
    <cellStyle name="Calculation 2 3 3 10" xfId="11362"/>
    <cellStyle name="Calculation 2 3 3 10 2" xfId="11363"/>
    <cellStyle name="Calculation 2 3 3 10 3" xfId="11364"/>
    <cellStyle name="Calculation 2 3 3 10 4" xfId="11365"/>
    <cellStyle name="Calculation 2 3 3 11" xfId="11366"/>
    <cellStyle name="Calculation 2 3 3 11 2" xfId="11367"/>
    <cellStyle name="Calculation 2 3 3 11 3" xfId="11368"/>
    <cellStyle name="Calculation 2 3 3 11 4" xfId="11369"/>
    <cellStyle name="Calculation 2 3 3 12" xfId="11370"/>
    <cellStyle name="Calculation 2 3 3 13" xfId="11371"/>
    <cellStyle name="Calculation 2 3 3 14" xfId="11372"/>
    <cellStyle name="Calculation 2 3 3 15" xfId="11373"/>
    <cellStyle name="Calculation 2 3 3 2" xfId="364"/>
    <cellStyle name="Calculation 2 3 3 2 10" xfId="11374"/>
    <cellStyle name="Calculation 2 3 3 2 11" xfId="11375"/>
    <cellStyle name="Calculation 2 3 3 2 12" xfId="11376"/>
    <cellStyle name="Calculation 2 3 3 2 2" xfId="11377"/>
    <cellStyle name="Calculation 2 3 3 2 2 10" xfId="11378"/>
    <cellStyle name="Calculation 2 3 3 2 2 11" xfId="11379"/>
    <cellStyle name="Calculation 2 3 3 2 2 2" xfId="11380"/>
    <cellStyle name="Calculation 2 3 3 2 2 2 2" xfId="11381"/>
    <cellStyle name="Calculation 2 3 3 2 2 2 2 2" xfId="11382"/>
    <cellStyle name="Calculation 2 3 3 2 2 2 2 2 2" xfId="11383"/>
    <cellStyle name="Calculation 2 3 3 2 2 2 2 2 3" xfId="11384"/>
    <cellStyle name="Calculation 2 3 3 2 2 2 2 2 4" xfId="11385"/>
    <cellStyle name="Calculation 2 3 3 2 2 2 2 3" xfId="11386"/>
    <cellStyle name="Calculation 2 3 3 2 2 2 2 4" xfId="11387"/>
    <cellStyle name="Calculation 2 3 3 2 2 2 2 5" xfId="11388"/>
    <cellStyle name="Calculation 2 3 3 2 2 2 2 6" xfId="11389"/>
    <cellStyle name="Calculation 2 3 3 2 2 2 3" xfId="11390"/>
    <cellStyle name="Calculation 2 3 3 2 2 2 3 2" xfId="11391"/>
    <cellStyle name="Calculation 2 3 3 2 2 2 3 3" xfId="11392"/>
    <cellStyle name="Calculation 2 3 3 2 2 2 3 4" xfId="11393"/>
    <cellStyle name="Calculation 2 3 3 2 2 2 4" xfId="11394"/>
    <cellStyle name="Calculation 2 3 3 2 2 2 5" xfId="11395"/>
    <cellStyle name="Calculation 2 3 3 2 2 2 6" xfId="11396"/>
    <cellStyle name="Calculation 2 3 3 2 2 2 7" xfId="11397"/>
    <cellStyle name="Calculation 2 3 3 2 2 3" xfId="11398"/>
    <cellStyle name="Calculation 2 3 3 2 2 3 2" xfId="11399"/>
    <cellStyle name="Calculation 2 3 3 2 2 3 2 2" xfId="11400"/>
    <cellStyle name="Calculation 2 3 3 2 2 3 2 3" xfId="11401"/>
    <cellStyle name="Calculation 2 3 3 2 2 3 2 4" xfId="11402"/>
    <cellStyle name="Calculation 2 3 3 2 2 3 3" xfId="11403"/>
    <cellStyle name="Calculation 2 3 3 2 2 3 4" xfId="11404"/>
    <cellStyle name="Calculation 2 3 3 2 2 3 5" xfId="11405"/>
    <cellStyle name="Calculation 2 3 3 2 2 3 6" xfId="11406"/>
    <cellStyle name="Calculation 2 3 3 2 2 4" xfId="11407"/>
    <cellStyle name="Calculation 2 3 3 2 2 4 2" xfId="11408"/>
    <cellStyle name="Calculation 2 3 3 2 2 4 3" xfId="11409"/>
    <cellStyle name="Calculation 2 3 3 2 2 4 4" xfId="11410"/>
    <cellStyle name="Calculation 2 3 3 2 2 4 5" xfId="11411"/>
    <cellStyle name="Calculation 2 3 3 2 2 5" xfId="11412"/>
    <cellStyle name="Calculation 2 3 3 2 2 5 2" xfId="11413"/>
    <cellStyle name="Calculation 2 3 3 2 2 5 3" xfId="11414"/>
    <cellStyle name="Calculation 2 3 3 2 2 5 4" xfId="11415"/>
    <cellStyle name="Calculation 2 3 3 2 2 6" xfId="11416"/>
    <cellStyle name="Calculation 2 3 3 2 2 6 2" xfId="11417"/>
    <cellStyle name="Calculation 2 3 3 2 2 6 3" xfId="11418"/>
    <cellStyle name="Calculation 2 3 3 2 2 6 4" xfId="11419"/>
    <cellStyle name="Calculation 2 3 3 2 2 7" xfId="11420"/>
    <cellStyle name="Calculation 2 3 3 2 2 7 2" xfId="11421"/>
    <cellStyle name="Calculation 2 3 3 2 2 7 3" xfId="11422"/>
    <cellStyle name="Calculation 2 3 3 2 2 7 4" xfId="11423"/>
    <cellStyle name="Calculation 2 3 3 2 2 8" xfId="11424"/>
    <cellStyle name="Calculation 2 3 3 2 2 9" xfId="11425"/>
    <cellStyle name="Calculation 2 3 3 2 3" xfId="11426"/>
    <cellStyle name="Calculation 2 3 3 2 3 2" xfId="11427"/>
    <cellStyle name="Calculation 2 3 3 2 3 2 2" xfId="11428"/>
    <cellStyle name="Calculation 2 3 3 2 3 2 2 2" xfId="11429"/>
    <cellStyle name="Calculation 2 3 3 2 3 2 2 3" xfId="11430"/>
    <cellStyle name="Calculation 2 3 3 2 3 2 2 4" xfId="11431"/>
    <cellStyle name="Calculation 2 3 3 2 3 2 3" xfId="11432"/>
    <cellStyle name="Calculation 2 3 3 2 3 2 4" xfId="11433"/>
    <cellStyle name="Calculation 2 3 3 2 3 2 5" xfId="11434"/>
    <cellStyle name="Calculation 2 3 3 2 3 2 6" xfId="11435"/>
    <cellStyle name="Calculation 2 3 3 2 3 3" xfId="11436"/>
    <cellStyle name="Calculation 2 3 3 2 3 3 2" xfId="11437"/>
    <cellStyle name="Calculation 2 3 3 2 3 3 3" xfId="11438"/>
    <cellStyle name="Calculation 2 3 3 2 3 3 4" xfId="11439"/>
    <cellStyle name="Calculation 2 3 3 2 3 4" xfId="11440"/>
    <cellStyle name="Calculation 2 3 3 2 3 5" xfId="11441"/>
    <cellStyle name="Calculation 2 3 3 2 3 6" xfId="11442"/>
    <cellStyle name="Calculation 2 3 3 2 3 7" xfId="11443"/>
    <cellStyle name="Calculation 2 3 3 2 4" xfId="11444"/>
    <cellStyle name="Calculation 2 3 3 2 4 2" xfId="11445"/>
    <cellStyle name="Calculation 2 3 3 2 4 2 2" xfId="11446"/>
    <cellStyle name="Calculation 2 3 3 2 4 2 3" xfId="11447"/>
    <cellStyle name="Calculation 2 3 3 2 4 2 4" xfId="11448"/>
    <cellStyle name="Calculation 2 3 3 2 4 3" xfId="11449"/>
    <cellStyle name="Calculation 2 3 3 2 4 4" xfId="11450"/>
    <cellStyle name="Calculation 2 3 3 2 4 5" xfId="11451"/>
    <cellStyle name="Calculation 2 3 3 2 4 6" xfId="11452"/>
    <cellStyle name="Calculation 2 3 3 2 5" xfId="11453"/>
    <cellStyle name="Calculation 2 3 3 2 5 2" xfId="11454"/>
    <cellStyle name="Calculation 2 3 3 2 5 3" xfId="11455"/>
    <cellStyle name="Calculation 2 3 3 2 5 4" xfId="11456"/>
    <cellStyle name="Calculation 2 3 3 2 5 5" xfId="11457"/>
    <cellStyle name="Calculation 2 3 3 2 6" xfId="11458"/>
    <cellStyle name="Calculation 2 3 3 2 6 2" xfId="11459"/>
    <cellStyle name="Calculation 2 3 3 2 6 3" xfId="11460"/>
    <cellStyle name="Calculation 2 3 3 2 6 4" xfId="11461"/>
    <cellStyle name="Calculation 2 3 3 2 7" xfId="11462"/>
    <cellStyle name="Calculation 2 3 3 2 7 2" xfId="11463"/>
    <cellStyle name="Calculation 2 3 3 2 7 3" xfId="11464"/>
    <cellStyle name="Calculation 2 3 3 2 7 4" xfId="11465"/>
    <cellStyle name="Calculation 2 3 3 2 8" xfId="11466"/>
    <cellStyle name="Calculation 2 3 3 2 8 2" xfId="11467"/>
    <cellStyle name="Calculation 2 3 3 2 8 3" xfId="11468"/>
    <cellStyle name="Calculation 2 3 3 2 8 4" xfId="11469"/>
    <cellStyle name="Calculation 2 3 3 2 9" xfId="11470"/>
    <cellStyle name="Calculation 2 3 3 3" xfId="11471"/>
    <cellStyle name="Calculation 2 3 3 3 10" xfId="11472"/>
    <cellStyle name="Calculation 2 3 3 3 11" xfId="11473"/>
    <cellStyle name="Calculation 2 3 3 3 2" xfId="11474"/>
    <cellStyle name="Calculation 2 3 3 3 2 2" xfId="11475"/>
    <cellStyle name="Calculation 2 3 3 3 2 2 2" xfId="11476"/>
    <cellStyle name="Calculation 2 3 3 3 2 2 2 2" xfId="11477"/>
    <cellStyle name="Calculation 2 3 3 3 2 2 2 3" xfId="11478"/>
    <cellStyle name="Calculation 2 3 3 3 2 2 2 4" xfId="11479"/>
    <cellStyle name="Calculation 2 3 3 3 2 2 3" xfId="11480"/>
    <cellStyle name="Calculation 2 3 3 3 2 2 4" xfId="11481"/>
    <cellStyle name="Calculation 2 3 3 3 2 2 5" xfId="11482"/>
    <cellStyle name="Calculation 2 3 3 3 2 2 6" xfId="11483"/>
    <cellStyle name="Calculation 2 3 3 3 2 3" xfId="11484"/>
    <cellStyle name="Calculation 2 3 3 3 2 3 2" xfId="11485"/>
    <cellStyle name="Calculation 2 3 3 3 2 3 3" xfId="11486"/>
    <cellStyle name="Calculation 2 3 3 3 2 3 4" xfId="11487"/>
    <cellStyle name="Calculation 2 3 3 3 2 4" xfId="11488"/>
    <cellStyle name="Calculation 2 3 3 3 2 5" xfId="11489"/>
    <cellStyle name="Calculation 2 3 3 3 2 6" xfId="11490"/>
    <cellStyle name="Calculation 2 3 3 3 2 7" xfId="11491"/>
    <cellStyle name="Calculation 2 3 3 3 3" xfId="11492"/>
    <cellStyle name="Calculation 2 3 3 3 3 2" xfId="11493"/>
    <cellStyle name="Calculation 2 3 3 3 3 2 2" xfId="11494"/>
    <cellStyle name="Calculation 2 3 3 3 3 2 3" xfId="11495"/>
    <cellStyle name="Calculation 2 3 3 3 3 2 4" xfId="11496"/>
    <cellStyle name="Calculation 2 3 3 3 3 3" xfId="11497"/>
    <cellStyle name="Calculation 2 3 3 3 3 4" xfId="11498"/>
    <cellStyle name="Calculation 2 3 3 3 3 5" xfId="11499"/>
    <cellStyle name="Calculation 2 3 3 3 3 6" xfId="11500"/>
    <cellStyle name="Calculation 2 3 3 3 4" xfId="11501"/>
    <cellStyle name="Calculation 2 3 3 3 4 2" xfId="11502"/>
    <cellStyle name="Calculation 2 3 3 3 4 3" xfId="11503"/>
    <cellStyle name="Calculation 2 3 3 3 4 4" xfId="11504"/>
    <cellStyle name="Calculation 2 3 3 3 4 5" xfId="11505"/>
    <cellStyle name="Calculation 2 3 3 3 5" xfId="11506"/>
    <cellStyle name="Calculation 2 3 3 3 5 2" xfId="11507"/>
    <cellStyle name="Calculation 2 3 3 3 5 3" xfId="11508"/>
    <cellStyle name="Calculation 2 3 3 3 5 4" xfId="11509"/>
    <cellStyle name="Calculation 2 3 3 3 6" xfId="11510"/>
    <cellStyle name="Calculation 2 3 3 3 6 2" xfId="11511"/>
    <cellStyle name="Calculation 2 3 3 3 6 3" xfId="11512"/>
    <cellStyle name="Calculation 2 3 3 3 6 4" xfId="11513"/>
    <cellStyle name="Calculation 2 3 3 3 7" xfId="11514"/>
    <cellStyle name="Calculation 2 3 3 3 7 2" xfId="11515"/>
    <cellStyle name="Calculation 2 3 3 3 7 3" xfId="11516"/>
    <cellStyle name="Calculation 2 3 3 3 7 4" xfId="11517"/>
    <cellStyle name="Calculation 2 3 3 3 8" xfId="11518"/>
    <cellStyle name="Calculation 2 3 3 3 9" xfId="11519"/>
    <cellStyle name="Calculation 2 3 3 4" xfId="11520"/>
    <cellStyle name="Calculation 2 3 3 4 2" xfId="11521"/>
    <cellStyle name="Calculation 2 3 3 4 2 2" xfId="11522"/>
    <cellStyle name="Calculation 2 3 3 4 2 2 2" xfId="11523"/>
    <cellStyle name="Calculation 2 3 3 4 2 2 3" xfId="11524"/>
    <cellStyle name="Calculation 2 3 3 4 2 2 4" xfId="11525"/>
    <cellStyle name="Calculation 2 3 3 4 2 3" xfId="11526"/>
    <cellStyle name="Calculation 2 3 3 4 2 4" xfId="11527"/>
    <cellStyle name="Calculation 2 3 3 4 2 5" xfId="11528"/>
    <cellStyle name="Calculation 2 3 3 4 2 6" xfId="11529"/>
    <cellStyle name="Calculation 2 3 3 4 3" xfId="11530"/>
    <cellStyle name="Calculation 2 3 3 4 3 2" xfId="11531"/>
    <cellStyle name="Calculation 2 3 3 4 3 3" xfId="11532"/>
    <cellStyle name="Calculation 2 3 3 4 3 4" xfId="11533"/>
    <cellStyle name="Calculation 2 3 3 4 4" xfId="11534"/>
    <cellStyle name="Calculation 2 3 3 4 5" xfId="11535"/>
    <cellStyle name="Calculation 2 3 3 4 6" xfId="11536"/>
    <cellStyle name="Calculation 2 3 3 4 7" xfId="11537"/>
    <cellStyle name="Calculation 2 3 3 5" xfId="11538"/>
    <cellStyle name="Calculation 2 3 3 5 2" xfId="11539"/>
    <cellStyle name="Calculation 2 3 3 5 2 2" xfId="11540"/>
    <cellStyle name="Calculation 2 3 3 5 2 3" xfId="11541"/>
    <cellStyle name="Calculation 2 3 3 5 2 4" xfId="11542"/>
    <cellStyle name="Calculation 2 3 3 5 3" xfId="11543"/>
    <cellStyle name="Calculation 2 3 3 5 3 2" xfId="11544"/>
    <cellStyle name="Calculation 2 3 3 5 3 3" xfId="11545"/>
    <cellStyle name="Calculation 2 3 3 5 3 4" xfId="11546"/>
    <cellStyle name="Calculation 2 3 3 5 4" xfId="11547"/>
    <cellStyle name="Calculation 2 3 3 5 5" xfId="11548"/>
    <cellStyle name="Calculation 2 3 3 5 6" xfId="11549"/>
    <cellStyle name="Calculation 2 3 3 5 7" xfId="11550"/>
    <cellStyle name="Calculation 2 3 3 6" xfId="11551"/>
    <cellStyle name="Calculation 2 3 3 6 2" xfId="11552"/>
    <cellStyle name="Calculation 2 3 3 6 2 2" xfId="11553"/>
    <cellStyle name="Calculation 2 3 3 6 2 3" xfId="11554"/>
    <cellStyle name="Calculation 2 3 3 6 2 4" xfId="11555"/>
    <cellStyle name="Calculation 2 3 3 6 3" xfId="11556"/>
    <cellStyle name="Calculation 2 3 3 6 3 2" xfId="11557"/>
    <cellStyle name="Calculation 2 3 3 6 3 3" xfId="11558"/>
    <cellStyle name="Calculation 2 3 3 6 3 4" xfId="11559"/>
    <cellStyle name="Calculation 2 3 3 6 4" xfId="11560"/>
    <cellStyle name="Calculation 2 3 3 6 5" xfId="11561"/>
    <cellStyle name="Calculation 2 3 3 6 6" xfId="11562"/>
    <cellStyle name="Calculation 2 3 3 6 7" xfId="11563"/>
    <cellStyle name="Calculation 2 3 3 7" xfId="11564"/>
    <cellStyle name="Calculation 2 3 3 7 2" xfId="11565"/>
    <cellStyle name="Calculation 2 3 3 7 2 2" xfId="11566"/>
    <cellStyle name="Calculation 2 3 3 7 2 3" xfId="11567"/>
    <cellStyle name="Calculation 2 3 3 7 2 4" xfId="11568"/>
    <cellStyle name="Calculation 2 3 3 7 3" xfId="11569"/>
    <cellStyle name="Calculation 2 3 3 7 3 2" xfId="11570"/>
    <cellStyle name="Calculation 2 3 3 7 3 3" xfId="11571"/>
    <cellStyle name="Calculation 2 3 3 7 3 4" xfId="11572"/>
    <cellStyle name="Calculation 2 3 3 7 4" xfId="11573"/>
    <cellStyle name="Calculation 2 3 3 7 5" xfId="11574"/>
    <cellStyle name="Calculation 2 3 3 7 6" xfId="11575"/>
    <cellStyle name="Calculation 2 3 3 7 7" xfId="11576"/>
    <cellStyle name="Calculation 2 3 3 8" xfId="11577"/>
    <cellStyle name="Calculation 2 3 3 8 2" xfId="11578"/>
    <cellStyle name="Calculation 2 3 3 8 2 2" xfId="11579"/>
    <cellStyle name="Calculation 2 3 3 8 2 3" xfId="11580"/>
    <cellStyle name="Calculation 2 3 3 8 2 4" xfId="11581"/>
    <cellStyle name="Calculation 2 3 3 8 3" xfId="11582"/>
    <cellStyle name="Calculation 2 3 3 8 4" xfId="11583"/>
    <cellStyle name="Calculation 2 3 3 8 5" xfId="11584"/>
    <cellStyle name="Calculation 2 3 3 8 6" xfId="11585"/>
    <cellStyle name="Calculation 2 3 3 9" xfId="11586"/>
    <cellStyle name="Calculation 2 3 3 9 2" xfId="11587"/>
    <cellStyle name="Calculation 2 3 3 9 3" xfId="11588"/>
    <cellStyle name="Calculation 2 3 3 9 4" xfId="11589"/>
    <cellStyle name="Calculation 2 3 3 9 5" xfId="11590"/>
    <cellStyle name="Calculation 2 3 30" xfId="11591"/>
    <cellStyle name="Calculation 2 3 31" xfId="11592"/>
    <cellStyle name="Calculation 2 3 32" xfId="11593"/>
    <cellStyle name="Calculation 2 3 33" xfId="11594"/>
    <cellStyle name="Calculation 2 3 34" xfId="11595"/>
    <cellStyle name="Calculation 2 3 35" xfId="50210"/>
    <cellStyle name="Calculation 2 3 36" xfId="50211"/>
    <cellStyle name="Calculation 2 3 37" xfId="50212"/>
    <cellStyle name="Calculation 2 3 38" xfId="50213"/>
    <cellStyle name="Calculation 2 3 39" xfId="50214"/>
    <cellStyle name="Calculation 2 3 4" xfId="365"/>
    <cellStyle name="Calculation 2 3 4 10" xfId="11596"/>
    <cellStyle name="Calculation 2 3 4 10 2" xfId="11597"/>
    <cellStyle name="Calculation 2 3 4 10 3" xfId="11598"/>
    <cellStyle name="Calculation 2 3 4 10 4" xfId="11599"/>
    <cellStyle name="Calculation 2 3 4 11" xfId="11600"/>
    <cellStyle name="Calculation 2 3 4 11 2" xfId="11601"/>
    <cellStyle name="Calculation 2 3 4 11 3" xfId="11602"/>
    <cellStyle name="Calculation 2 3 4 11 4" xfId="11603"/>
    <cellStyle name="Calculation 2 3 4 12" xfId="11604"/>
    <cellStyle name="Calculation 2 3 4 12 2" xfId="11605"/>
    <cellStyle name="Calculation 2 3 4 12 3" xfId="11606"/>
    <cellStyle name="Calculation 2 3 4 12 4" xfId="11607"/>
    <cellStyle name="Calculation 2 3 4 13" xfId="11608"/>
    <cellStyle name="Calculation 2 3 4 14" xfId="11609"/>
    <cellStyle name="Calculation 2 3 4 15" xfId="11610"/>
    <cellStyle name="Calculation 2 3 4 16" xfId="11611"/>
    <cellStyle name="Calculation 2 3 4 2" xfId="366"/>
    <cellStyle name="Calculation 2 3 4 2 10" xfId="11612"/>
    <cellStyle name="Calculation 2 3 4 2 11" xfId="11613"/>
    <cellStyle name="Calculation 2 3 4 2 12" xfId="11614"/>
    <cellStyle name="Calculation 2 3 4 2 2" xfId="11615"/>
    <cellStyle name="Calculation 2 3 4 2 2 10" xfId="11616"/>
    <cellStyle name="Calculation 2 3 4 2 2 11" xfId="11617"/>
    <cellStyle name="Calculation 2 3 4 2 2 2" xfId="11618"/>
    <cellStyle name="Calculation 2 3 4 2 2 2 2" xfId="11619"/>
    <cellStyle name="Calculation 2 3 4 2 2 2 2 2" xfId="11620"/>
    <cellStyle name="Calculation 2 3 4 2 2 2 2 2 2" xfId="11621"/>
    <cellStyle name="Calculation 2 3 4 2 2 2 2 2 3" xfId="11622"/>
    <cellStyle name="Calculation 2 3 4 2 2 2 2 2 4" xfId="11623"/>
    <cellStyle name="Calculation 2 3 4 2 2 2 2 3" xfId="11624"/>
    <cellStyle name="Calculation 2 3 4 2 2 2 2 4" xfId="11625"/>
    <cellStyle name="Calculation 2 3 4 2 2 2 2 5" xfId="11626"/>
    <cellStyle name="Calculation 2 3 4 2 2 2 2 6" xfId="11627"/>
    <cellStyle name="Calculation 2 3 4 2 2 2 3" xfId="11628"/>
    <cellStyle name="Calculation 2 3 4 2 2 2 3 2" xfId="11629"/>
    <cellStyle name="Calculation 2 3 4 2 2 2 3 3" xfId="11630"/>
    <cellStyle name="Calculation 2 3 4 2 2 2 3 4" xfId="11631"/>
    <cellStyle name="Calculation 2 3 4 2 2 2 4" xfId="11632"/>
    <cellStyle name="Calculation 2 3 4 2 2 2 5" xfId="11633"/>
    <cellStyle name="Calculation 2 3 4 2 2 2 6" xfId="11634"/>
    <cellStyle name="Calculation 2 3 4 2 2 2 7" xfId="11635"/>
    <cellStyle name="Calculation 2 3 4 2 2 3" xfId="11636"/>
    <cellStyle name="Calculation 2 3 4 2 2 3 2" xfId="11637"/>
    <cellStyle name="Calculation 2 3 4 2 2 3 2 2" xfId="11638"/>
    <cellStyle name="Calculation 2 3 4 2 2 3 2 3" xfId="11639"/>
    <cellStyle name="Calculation 2 3 4 2 2 3 2 4" xfId="11640"/>
    <cellStyle name="Calculation 2 3 4 2 2 3 3" xfId="11641"/>
    <cellStyle name="Calculation 2 3 4 2 2 3 4" xfId="11642"/>
    <cellStyle name="Calculation 2 3 4 2 2 3 5" xfId="11643"/>
    <cellStyle name="Calculation 2 3 4 2 2 3 6" xfId="11644"/>
    <cellStyle name="Calculation 2 3 4 2 2 4" xfId="11645"/>
    <cellStyle name="Calculation 2 3 4 2 2 4 2" xfId="11646"/>
    <cellStyle name="Calculation 2 3 4 2 2 4 3" xfId="11647"/>
    <cellStyle name="Calculation 2 3 4 2 2 4 4" xfId="11648"/>
    <cellStyle name="Calculation 2 3 4 2 2 4 5" xfId="11649"/>
    <cellStyle name="Calculation 2 3 4 2 2 5" xfId="11650"/>
    <cellStyle name="Calculation 2 3 4 2 2 5 2" xfId="11651"/>
    <cellStyle name="Calculation 2 3 4 2 2 5 3" xfId="11652"/>
    <cellStyle name="Calculation 2 3 4 2 2 5 4" xfId="11653"/>
    <cellStyle name="Calculation 2 3 4 2 2 6" xfId="11654"/>
    <cellStyle name="Calculation 2 3 4 2 2 6 2" xfId="11655"/>
    <cellStyle name="Calculation 2 3 4 2 2 6 3" xfId="11656"/>
    <cellStyle name="Calculation 2 3 4 2 2 6 4" xfId="11657"/>
    <cellStyle name="Calculation 2 3 4 2 2 7" xfId="11658"/>
    <cellStyle name="Calculation 2 3 4 2 2 7 2" xfId="11659"/>
    <cellStyle name="Calculation 2 3 4 2 2 7 3" xfId="11660"/>
    <cellStyle name="Calculation 2 3 4 2 2 7 4" xfId="11661"/>
    <cellStyle name="Calculation 2 3 4 2 2 8" xfId="11662"/>
    <cellStyle name="Calculation 2 3 4 2 2 9" xfId="11663"/>
    <cellStyle name="Calculation 2 3 4 2 3" xfId="11664"/>
    <cellStyle name="Calculation 2 3 4 2 3 2" xfId="11665"/>
    <cellStyle name="Calculation 2 3 4 2 3 2 2" xfId="11666"/>
    <cellStyle name="Calculation 2 3 4 2 3 2 2 2" xfId="11667"/>
    <cellStyle name="Calculation 2 3 4 2 3 2 2 3" xfId="11668"/>
    <cellStyle name="Calculation 2 3 4 2 3 2 2 4" xfId="11669"/>
    <cellStyle name="Calculation 2 3 4 2 3 2 3" xfId="11670"/>
    <cellStyle name="Calculation 2 3 4 2 3 2 4" xfId="11671"/>
    <cellStyle name="Calculation 2 3 4 2 3 2 5" xfId="11672"/>
    <cellStyle name="Calculation 2 3 4 2 3 2 6" xfId="11673"/>
    <cellStyle name="Calculation 2 3 4 2 3 3" xfId="11674"/>
    <cellStyle name="Calculation 2 3 4 2 3 3 2" xfId="11675"/>
    <cellStyle name="Calculation 2 3 4 2 3 3 3" xfId="11676"/>
    <cellStyle name="Calculation 2 3 4 2 3 3 4" xfId="11677"/>
    <cellStyle name="Calculation 2 3 4 2 3 4" xfId="11678"/>
    <cellStyle name="Calculation 2 3 4 2 3 5" xfId="11679"/>
    <cellStyle name="Calculation 2 3 4 2 3 6" xfId="11680"/>
    <cellStyle name="Calculation 2 3 4 2 3 7" xfId="11681"/>
    <cellStyle name="Calculation 2 3 4 2 4" xfId="11682"/>
    <cellStyle name="Calculation 2 3 4 2 4 2" xfId="11683"/>
    <cellStyle name="Calculation 2 3 4 2 4 2 2" xfId="11684"/>
    <cellStyle name="Calculation 2 3 4 2 4 2 3" xfId="11685"/>
    <cellStyle name="Calculation 2 3 4 2 4 2 4" xfId="11686"/>
    <cellStyle name="Calculation 2 3 4 2 4 3" xfId="11687"/>
    <cellStyle name="Calculation 2 3 4 2 4 4" xfId="11688"/>
    <cellStyle name="Calculation 2 3 4 2 4 5" xfId="11689"/>
    <cellStyle name="Calculation 2 3 4 2 4 6" xfId="11690"/>
    <cellStyle name="Calculation 2 3 4 2 5" xfId="11691"/>
    <cellStyle name="Calculation 2 3 4 2 5 2" xfId="11692"/>
    <cellStyle name="Calculation 2 3 4 2 5 3" xfId="11693"/>
    <cellStyle name="Calculation 2 3 4 2 5 4" xfId="11694"/>
    <cellStyle name="Calculation 2 3 4 2 5 5" xfId="11695"/>
    <cellStyle name="Calculation 2 3 4 2 6" xfId="11696"/>
    <cellStyle name="Calculation 2 3 4 2 6 2" xfId="11697"/>
    <cellStyle name="Calculation 2 3 4 2 6 3" xfId="11698"/>
    <cellStyle name="Calculation 2 3 4 2 6 4" xfId="11699"/>
    <cellStyle name="Calculation 2 3 4 2 7" xfId="11700"/>
    <cellStyle name="Calculation 2 3 4 2 7 2" xfId="11701"/>
    <cellStyle name="Calculation 2 3 4 2 7 3" xfId="11702"/>
    <cellStyle name="Calculation 2 3 4 2 7 4" xfId="11703"/>
    <cellStyle name="Calculation 2 3 4 2 8" xfId="11704"/>
    <cellStyle name="Calculation 2 3 4 2 8 2" xfId="11705"/>
    <cellStyle name="Calculation 2 3 4 2 8 3" xfId="11706"/>
    <cellStyle name="Calculation 2 3 4 2 8 4" xfId="11707"/>
    <cellStyle name="Calculation 2 3 4 2 9" xfId="11708"/>
    <cellStyle name="Calculation 2 3 4 3" xfId="367"/>
    <cellStyle name="Calculation 2 3 4 3 10" xfId="11709"/>
    <cellStyle name="Calculation 2 3 4 3 11" xfId="11710"/>
    <cellStyle name="Calculation 2 3 4 3 2" xfId="11711"/>
    <cellStyle name="Calculation 2 3 4 3 2 2" xfId="11712"/>
    <cellStyle name="Calculation 2 3 4 3 2 2 2" xfId="11713"/>
    <cellStyle name="Calculation 2 3 4 3 2 2 2 2" xfId="11714"/>
    <cellStyle name="Calculation 2 3 4 3 2 2 2 3" xfId="11715"/>
    <cellStyle name="Calculation 2 3 4 3 2 2 2 4" xfId="11716"/>
    <cellStyle name="Calculation 2 3 4 3 2 2 3" xfId="11717"/>
    <cellStyle name="Calculation 2 3 4 3 2 2 4" xfId="11718"/>
    <cellStyle name="Calculation 2 3 4 3 2 2 5" xfId="11719"/>
    <cellStyle name="Calculation 2 3 4 3 2 2 6" xfId="11720"/>
    <cellStyle name="Calculation 2 3 4 3 2 3" xfId="11721"/>
    <cellStyle name="Calculation 2 3 4 3 2 3 2" xfId="11722"/>
    <cellStyle name="Calculation 2 3 4 3 2 3 3" xfId="11723"/>
    <cellStyle name="Calculation 2 3 4 3 2 3 4" xfId="11724"/>
    <cellStyle name="Calculation 2 3 4 3 2 4" xfId="11725"/>
    <cellStyle name="Calculation 2 3 4 3 2 5" xfId="11726"/>
    <cellStyle name="Calculation 2 3 4 3 2 6" xfId="11727"/>
    <cellStyle name="Calculation 2 3 4 3 2 7" xfId="11728"/>
    <cellStyle name="Calculation 2 3 4 3 3" xfId="11729"/>
    <cellStyle name="Calculation 2 3 4 3 3 2" xfId="11730"/>
    <cellStyle name="Calculation 2 3 4 3 3 2 2" xfId="11731"/>
    <cellStyle name="Calculation 2 3 4 3 3 2 3" xfId="11732"/>
    <cellStyle name="Calculation 2 3 4 3 3 2 4" xfId="11733"/>
    <cellStyle name="Calculation 2 3 4 3 3 3" xfId="11734"/>
    <cellStyle name="Calculation 2 3 4 3 3 4" xfId="11735"/>
    <cellStyle name="Calculation 2 3 4 3 3 5" xfId="11736"/>
    <cellStyle name="Calculation 2 3 4 3 3 6" xfId="11737"/>
    <cellStyle name="Calculation 2 3 4 3 4" xfId="11738"/>
    <cellStyle name="Calculation 2 3 4 3 4 2" xfId="11739"/>
    <cellStyle name="Calculation 2 3 4 3 4 3" xfId="11740"/>
    <cellStyle name="Calculation 2 3 4 3 4 4" xfId="11741"/>
    <cellStyle name="Calculation 2 3 4 3 4 5" xfId="11742"/>
    <cellStyle name="Calculation 2 3 4 3 5" xfId="11743"/>
    <cellStyle name="Calculation 2 3 4 3 5 2" xfId="11744"/>
    <cellStyle name="Calculation 2 3 4 3 5 3" xfId="11745"/>
    <cellStyle name="Calculation 2 3 4 3 5 4" xfId="11746"/>
    <cellStyle name="Calculation 2 3 4 3 6" xfId="11747"/>
    <cellStyle name="Calculation 2 3 4 3 6 2" xfId="11748"/>
    <cellStyle name="Calculation 2 3 4 3 6 3" xfId="11749"/>
    <cellStyle name="Calculation 2 3 4 3 6 4" xfId="11750"/>
    <cellStyle name="Calculation 2 3 4 3 7" xfId="11751"/>
    <cellStyle name="Calculation 2 3 4 3 7 2" xfId="11752"/>
    <cellStyle name="Calculation 2 3 4 3 7 3" xfId="11753"/>
    <cellStyle name="Calculation 2 3 4 3 7 4" xfId="11754"/>
    <cellStyle name="Calculation 2 3 4 3 8" xfId="11755"/>
    <cellStyle name="Calculation 2 3 4 3 9" xfId="11756"/>
    <cellStyle name="Calculation 2 3 4 4" xfId="11757"/>
    <cellStyle name="Calculation 2 3 4 4 2" xfId="11758"/>
    <cellStyle name="Calculation 2 3 4 4 2 2" xfId="11759"/>
    <cellStyle name="Calculation 2 3 4 4 2 2 2" xfId="11760"/>
    <cellStyle name="Calculation 2 3 4 4 2 2 3" xfId="11761"/>
    <cellStyle name="Calculation 2 3 4 4 2 2 4" xfId="11762"/>
    <cellStyle name="Calculation 2 3 4 4 2 3" xfId="11763"/>
    <cellStyle name="Calculation 2 3 4 4 2 4" xfId="11764"/>
    <cellStyle name="Calculation 2 3 4 4 2 5" xfId="11765"/>
    <cellStyle name="Calculation 2 3 4 4 2 6" xfId="11766"/>
    <cellStyle name="Calculation 2 3 4 4 3" xfId="11767"/>
    <cellStyle name="Calculation 2 3 4 4 3 2" xfId="11768"/>
    <cellStyle name="Calculation 2 3 4 4 3 3" xfId="11769"/>
    <cellStyle name="Calculation 2 3 4 4 3 4" xfId="11770"/>
    <cellStyle name="Calculation 2 3 4 4 4" xfId="11771"/>
    <cellStyle name="Calculation 2 3 4 4 5" xfId="11772"/>
    <cellStyle name="Calculation 2 3 4 4 6" xfId="11773"/>
    <cellStyle name="Calculation 2 3 4 4 7" xfId="11774"/>
    <cellStyle name="Calculation 2 3 4 5" xfId="11775"/>
    <cellStyle name="Calculation 2 3 4 5 2" xfId="11776"/>
    <cellStyle name="Calculation 2 3 4 5 2 2" xfId="11777"/>
    <cellStyle name="Calculation 2 3 4 5 2 3" xfId="11778"/>
    <cellStyle name="Calculation 2 3 4 5 2 4" xfId="11779"/>
    <cellStyle name="Calculation 2 3 4 5 3" xfId="11780"/>
    <cellStyle name="Calculation 2 3 4 5 3 2" xfId="11781"/>
    <cellStyle name="Calculation 2 3 4 5 3 3" xfId="11782"/>
    <cellStyle name="Calculation 2 3 4 5 3 4" xfId="11783"/>
    <cellStyle name="Calculation 2 3 4 5 4" xfId="11784"/>
    <cellStyle name="Calculation 2 3 4 5 5" xfId="11785"/>
    <cellStyle name="Calculation 2 3 4 5 6" xfId="11786"/>
    <cellStyle name="Calculation 2 3 4 5 7" xfId="11787"/>
    <cellStyle name="Calculation 2 3 4 6" xfId="11788"/>
    <cellStyle name="Calculation 2 3 4 6 2" xfId="11789"/>
    <cellStyle name="Calculation 2 3 4 6 2 2" xfId="11790"/>
    <cellStyle name="Calculation 2 3 4 6 2 3" xfId="11791"/>
    <cellStyle name="Calculation 2 3 4 6 2 4" xfId="11792"/>
    <cellStyle name="Calculation 2 3 4 6 3" xfId="11793"/>
    <cellStyle name="Calculation 2 3 4 6 3 2" xfId="11794"/>
    <cellStyle name="Calculation 2 3 4 6 3 3" xfId="11795"/>
    <cellStyle name="Calculation 2 3 4 6 3 4" xfId="11796"/>
    <cellStyle name="Calculation 2 3 4 6 4" xfId="11797"/>
    <cellStyle name="Calculation 2 3 4 6 5" xfId="11798"/>
    <cellStyle name="Calculation 2 3 4 6 6" xfId="11799"/>
    <cellStyle name="Calculation 2 3 4 6 7" xfId="11800"/>
    <cellStyle name="Calculation 2 3 4 7" xfId="11801"/>
    <cellStyle name="Calculation 2 3 4 7 2" xfId="11802"/>
    <cellStyle name="Calculation 2 3 4 7 2 2" xfId="11803"/>
    <cellStyle name="Calculation 2 3 4 7 2 3" xfId="11804"/>
    <cellStyle name="Calculation 2 3 4 7 2 4" xfId="11805"/>
    <cellStyle name="Calculation 2 3 4 7 3" xfId="11806"/>
    <cellStyle name="Calculation 2 3 4 7 3 2" xfId="11807"/>
    <cellStyle name="Calculation 2 3 4 7 3 3" xfId="11808"/>
    <cellStyle name="Calculation 2 3 4 7 3 4" xfId="11809"/>
    <cellStyle name="Calculation 2 3 4 7 4" xfId="11810"/>
    <cellStyle name="Calculation 2 3 4 7 5" xfId="11811"/>
    <cellStyle name="Calculation 2 3 4 7 6" xfId="11812"/>
    <cellStyle name="Calculation 2 3 4 7 7" xfId="11813"/>
    <cellStyle name="Calculation 2 3 4 8" xfId="11814"/>
    <cellStyle name="Calculation 2 3 4 8 2" xfId="11815"/>
    <cellStyle name="Calculation 2 3 4 8 2 2" xfId="11816"/>
    <cellStyle name="Calculation 2 3 4 8 2 3" xfId="11817"/>
    <cellStyle name="Calculation 2 3 4 8 2 4" xfId="11818"/>
    <cellStyle name="Calculation 2 3 4 8 3" xfId="11819"/>
    <cellStyle name="Calculation 2 3 4 8 4" xfId="11820"/>
    <cellStyle name="Calculation 2 3 4 8 5" xfId="11821"/>
    <cellStyle name="Calculation 2 3 4 8 6" xfId="11822"/>
    <cellStyle name="Calculation 2 3 4 9" xfId="11823"/>
    <cellStyle name="Calculation 2 3 4 9 2" xfId="11824"/>
    <cellStyle name="Calculation 2 3 4 9 3" xfId="11825"/>
    <cellStyle name="Calculation 2 3 4 9 4" xfId="11826"/>
    <cellStyle name="Calculation 2 3 4 9 5" xfId="11827"/>
    <cellStyle name="Calculation 2 3 40" xfId="50215"/>
    <cellStyle name="Calculation 2 3 5" xfId="368"/>
    <cellStyle name="Calculation 2 3 5 10" xfId="11828"/>
    <cellStyle name="Calculation 2 3 5 11" xfId="11829"/>
    <cellStyle name="Calculation 2 3 5 12" xfId="11830"/>
    <cellStyle name="Calculation 2 3 5 13" xfId="11831"/>
    <cellStyle name="Calculation 2 3 5 2" xfId="369"/>
    <cellStyle name="Calculation 2 3 5 2 10" xfId="11832"/>
    <cellStyle name="Calculation 2 3 5 2 11" xfId="11833"/>
    <cellStyle name="Calculation 2 3 5 2 12" xfId="11834"/>
    <cellStyle name="Calculation 2 3 5 2 2" xfId="11835"/>
    <cellStyle name="Calculation 2 3 5 2 2 10" xfId="11836"/>
    <cellStyle name="Calculation 2 3 5 2 2 11" xfId="11837"/>
    <cellStyle name="Calculation 2 3 5 2 2 2" xfId="11838"/>
    <cellStyle name="Calculation 2 3 5 2 2 2 2" xfId="11839"/>
    <cellStyle name="Calculation 2 3 5 2 2 2 2 2" xfId="11840"/>
    <cellStyle name="Calculation 2 3 5 2 2 2 2 2 2" xfId="11841"/>
    <cellStyle name="Calculation 2 3 5 2 2 2 2 2 3" xfId="11842"/>
    <cellStyle name="Calculation 2 3 5 2 2 2 2 2 4" xfId="11843"/>
    <cellStyle name="Calculation 2 3 5 2 2 2 2 3" xfId="11844"/>
    <cellStyle name="Calculation 2 3 5 2 2 2 2 4" xfId="11845"/>
    <cellStyle name="Calculation 2 3 5 2 2 2 2 5" xfId="11846"/>
    <cellStyle name="Calculation 2 3 5 2 2 2 2 6" xfId="11847"/>
    <cellStyle name="Calculation 2 3 5 2 2 2 3" xfId="11848"/>
    <cellStyle name="Calculation 2 3 5 2 2 2 3 2" xfId="11849"/>
    <cellStyle name="Calculation 2 3 5 2 2 2 3 3" xfId="11850"/>
    <cellStyle name="Calculation 2 3 5 2 2 2 3 4" xfId="11851"/>
    <cellStyle name="Calculation 2 3 5 2 2 2 4" xfId="11852"/>
    <cellStyle name="Calculation 2 3 5 2 2 2 5" xfId="11853"/>
    <cellStyle name="Calculation 2 3 5 2 2 2 6" xfId="11854"/>
    <cellStyle name="Calculation 2 3 5 2 2 2 7" xfId="11855"/>
    <cellStyle name="Calculation 2 3 5 2 2 3" xfId="11856"/>
    <cellStyle name="Calculation 2 3 5 2 2 3 2" xfId="11857"/>
    <cellStyle name="Calculation 2 3 5 2 2 3 2 2" xfId="11858"/>
    <cellStyle name="Calculation 2 3 5 2 2 3 2 3" xfId="11859"/>
    <cellStyle name="Calculation 2 3 5 2 2 3 2 4" xfId="11860"/>
    <cellStyle name="Calculation 2 3 5 2 2 3 3" xfId="11861"/>
    <cellStyle name="Calculation 2 3 5 2 2 3 4" xfId="11862"/>
    <cellStyle name="Calculation 2 3 5 2 2 3 5" xfId="11863"/>
    <cellStyle name="Calculation 2 3 5 2 2 3 6" xfId="11864"/>
    <cellStyle name="Calculation 2 3 5 2 2 4" xfId="11865"/>
    <cellStyle name="Calculation 2 3 5 2 2 4 2" xfId="11866"/>
    <cellStyle name="Calculation 2 3 5 2 2 4 3" xfId="11867"/>
    <cellStyle name="Calculation 2 3 5 2 2 4 4" xfId="11868"/>
    <cellStyle name="Calculation 2 3 5 2 2 4 5" xfId="11869"/>
    <cellStyle name="Calculation 2 3 5 2 2 5" xfId="11870"/>
    <cellStyle name="Calculation 2 3 5 2 2 5 2" xfId="11871"/>
    <cellStyle name="Calculation 2 3 5 2 2 5 3" xfId="11872"/>
    <cellStyle name="Calculation 2 3 5 2 2 5 4" xfId="11873"/>
    <cellStyle name="Calculation 2 3 5 2 2 6" xfId="11874"/>
    <cellStyle name="Calculation 2 3 5 2 2 6 2" xfId="11875"/>
    <cellStyle name="Calculation 2 3 5 2 2 6 3" xfId="11876"/>
    <cellStyle name="Calculation 2 3 5 2 2 6 4" xfId="11877"/>
    <cellStyle name="Calculation 2 3 5 2 2 7" xfId="11878"/>
    <cellStyle name="Calculation 2 3 5 2 2 7 2" xfId="11879"/>
    <cellStyle name="Calculation 2 3 5 2 2 7 3" xfId="11880"/>
    <cellStyle name="Calculation 2 3 5 2 2 7 4" xfId="11881"/>
    <cellStyle name="Calculation 2 3 5 2 2 8" xfId="11882"/>
    <cellStyle name="Calculation 2 3 5 2 2 9" xfId="11883"/>
    <cellStyle name="Calculation 2 3 5 2 3" xfId="11884"/>
    <cellStyle name="Calculation 2 3 5 2 3 2" xfId="11885"/>
    <cellStyle name="Calculation 2 3 5 2 3 2 2" xfId="11886"/>
    <cellStyle name="Calculation 2 3 5 2 3 2 2 2" xfId="11887"/>
    <cellStyle name="Calculation 2 3 5 2 3 2 2 3" xfId="11888"/>
    <cellStyle name="Calculation 2 3 5 2 3 2 2 4" xfId="11889"/>
    <cellStyle name="Calculation 2 3 5 2 3 2 3" xfId="11890"/>
    <cellStyle name="Calculation 2 3 5 2 3 2 4" xfId="11891"/>
    <cellStyle name="Calculation 2 3 5 2 3 2 5" xfId="11892"/>
    <cellStyle name="Calculation 2 3 5 2 3 2 6" xfId="11893"/>
    <cellStyle name="Calculation 2 3 5 2 3 3" xfId="11894"/>
    <cellStyle name="Calculation 2 3 5 2 3 3 2" xfId="11895"/>
    <cellStyle name="Calculation 2 3 5 2 3 3 3" xfId="11896"/>
    <cellStyle name="Calculation 2 3 5 2 3 3 4" xfId="11897"/>
    <cellStyle name="Calculation 2 3 5 2 3 4" xfId="11898"/>
    <cellStyle name="Calculation 2 3 5 2 3 5" xfId="11899"/>
    <cellStyle name="Calculation 2 3 5 2 3 6" xfId="11900"/>
    <cellStyle name="Calculation 2 3 5 2 3 7" xfId="11901"/>
    <cellStyle name="Calculation 2 3 5 2 4" xfId="11902"/>
    <cellStyle name="Calculation 2 3 5 2 4 2" xfId="11903"/>
    <cellStyle name="Calculation 2 3 5 2 4 2 2" xfId="11904"/>
    <cellStyle name="Calculation 2 3 5 2 4 2 3" xfId="11905"/>
    <cellStyle name="Calculation 2 3 5 2 4 2 4" xfId="11906"/>
    <cellStyle name="Calculation 2 3 5 2 4 3" xfId="11907"/>
    <cellStyle name="Calculation 2 3 5 2 4 4" xfId="11908"/>
    <cellStyle name="Calculation 2 3 5 2 4 5" xfId="11909"/>
    <cellStyle name="Calculation 2 3 5 2 4 6" xfId="11910"/>
    <cellStyle name="Calculation 2 3 5 2 5" xfId="11911"/>
    <cellStyle name="Calculation 2 3 5 2 5 2" xfId="11912"/>
    <cellStyle name="Calculation 2 3 5 2 5 3" xfId="11913"/>
    <cellStyle name="Calculation 2 3 5 2 5 4" xfId="11914"/>
    <cellStyle name="Calculation 2 3 5 2 5 5" xfId="11915"/>
    <cellStyle name="Calculation 2 3 5 2 6" xfId="11916"/>
    <cellStyle name="Calculation 2 3 5 2 6 2" xfId="11917"/>
    <cellStyle name="Calculation 2 3 5 2 6 3" xfId="11918"/>
    <cellStyle name="Calculation 2 3 5 2 6 4" xfId="11919"/>
    <cellStyle name="Calculation 2 3 5 2 7" xfId="11920"/>
    <cellStyle name="Calculation 2 3 5 2 7 2" xfId="11921"/>
    <cellStyle name="Calculation 2 3 5 2 7 3" xfId="11922"/>
    <cellStyle name="Calculation 2 3 5 2 7 4" xfId="11923"/>
    <cellStyle name="Calculation 2 3 5 2 8" xfId="11924"/>
    <cellStyle name="Calculation 2 3 5 2 8 2" xfId="11925"/>
    <cellStyle name="Calculation 2 3 5 2 8 3" xfId="11926"/>
    <cellStyle name="Calculation 2 3 5 2 8 4" xfId="11927"/>
    <cellStyle name="Calculation 2 3 5 2 9" xfId="11928"/>
    <cellStyle name="Calculation 2 3 5 3" xfId="370"/>
    <cellStyle name="Calculation 2 3 5 3 10" xfId="11929"/>
    <cellStyle name="Calculation 2 3 5 3 11" xfId="11930"/>
    <cellStyle name="Calculation 2 3 5 3 2" xfId="11931"/>
    <cellStyle name="Calculation 2 3 5 3 2 2" xfId="11932"/>
    <cellStyle name="Calculation 2 3 5 3 2 2 2" xfId="11933"/>
    <cellStyle name="Calculation 2 3 5 3 2 2 2 2" xfId="11934"/>
    <cellStyle name="Calculation 2 3 5 3 2 2 2 3" xfId="11935"/>
    <cellStyle name="Calculation 2 3 5 3 2 2 2 4" xfId="11936"/>
    <cellStyle name="Calculation 2 3 5 3 2 2 3" xfId="11937"/>
    <cellStyle name="Calculation 2 3 5 3 2 2 4" xfId="11938"/>
    <cellStyle name="Calculation 2 3 5 3 2 2 5" xfId="11939"/>
    <cellStyle name="Calculation 2 3 5 3 2 2 6" xfId="11940"/>
    <cellStyle name="Calculation 2 3 5 3 2 3" xfId="11941"/>
    <cellStyle name="Calculation 2 3 5 3 2 3 2" xfId="11942"/>
    <cellStyle name="Calculation 2 3 5 3 2 3 3" xfId="11943"/>
    <cellStyle name="Calculation 2 3 5 3 2 3 4" xfId="11944"/>
    <cellStyle name="Calculation 2 3 5 3 2 4" xfId="11945"/>
    <cellStyle name="Calculation 2 3 5 3 2 5" xfId="11946"/>
    <cellStyle name="Calculation 2 3 5 3 2 6" xfId="11947"/>
    <cellStyle name="Calculation 2 3 5 3 2 7" xfId="11948"/>
    <cellStyle name="Calculation 2 3 5 3 3" xfId="11949"/>
    <cellStyle name="Calculation 2 3 5 3 3 2" xfId="11950"/>
    <cellStyle name="Calculation 2 3 5 3 3 2 2" xfId="11951"/>
    <cellStyle name="Calculation 2 3 5 3 3 2 3" xfId="11952"/>
    <cellStyle name="Calculation 2 3 5 3 3 2 4" xfId="11953"/>
    <cellStyle name="Calculation 2 3 5 3 3 3" xfId="11954"/>
    <cellStyle name="Calculation 2 3 5 3 3 4" xfId="11955"/>
    <cellStyle name="Calculation 2 3 5 3 3 5" xfId="11956"/>
    <cellStyle name="Calculation 2 3 5 3 3 6" xfId="11957"/>
    <cellStyle name="Calculation 2 3 5 3 4" xfId="11958"/>
    <cellStyle name="Calculation 2 3 5 3 4 2" xfId="11959"/>
    <cellStyle name="Calculation 2 3 5 3 4 3" xfId="11960"/>
    <cellStyle name="Calculation 2 3 5 3 4 4" xfId="11961"/>
    <cellStyle name="Calculation 2 3 5 3 4 5" xfId="11962"/>
    <cellStyle name="Calculation 2 3 5 3 5" xfId="11963"/>
    <cellStyle name="Calculation 2 3 5 3 5 2" xfId="11964"/>
    <cellStyle name="Calculation 2 3 5 3 5 3" xfId="11965"/>
    <cellStyle name="Calculation 2 3 5 3 5 4" xfId="11966"/>
    <cellStyle name="Calculation 2 3 5 3 6" xfId="11967"/>
    <cellStyle name="Calculation 2 3 5 3 6 2" xfId="11968"/>
    <cellStyle name="Calculation 2 3 5 3 6 3" xfId="11969"/>
    <cellStyle name="Calculation 2 3 5 3 6 4" xfId="11970"/>
    <cellStyle name="Calculation 2 3 5 3 7" xfId="11971"/>
    <cellStyle name="Calculation 2 3 5 3 7 2" xfId="11972"/>
    <cellStyle name="Calculation 2 3 5 3 7 3" xfId="11973"/>
    <cellStyle name="Calculation 2 3 5 3 7 4" xfId="11974"/>
    <cellStyle name="Calculation 2 3 5 3 8" xfId="11975"/>
    <cellStyle name="Calculation 2 3 5 3 9" xfId="11976"/>
    <cellStyle name="Calculation 2 3 5 4" xfId="11977"/>
    <cellStyle name="Calculation 2 3 5 4 2" xfId="11978"/>
    <cellStyle name="Calculation 2 3 5 4 2 2" xfId="11979"/>
    <cellStyle name="Calculation 2 3 5 4 2 2 2" xfId="11980"/>
    <cellStyle name="Calculation 2 3 5 4 2 2 3" xfId="11981"/>
    <cellStyle name="Calculation 2 3 5 4 2 2 4" xfId="11982"/>
    <cellStyle name="Calculation 2 3 5 4 2 3" xfId="11983"/>
    <cellStyle name="Calculation 2 3 5 4 2 4" xfId="11984"/>
    <cellStyle name="Calculation 2 3 5 4 2 5" xfId="11985"/>
    <cellStyle name="Calculation 2 3 5 4 2 6" xfId="11986"/>
    <cellStyle name="Calculation 2 3 5 4 3" xfId="11987"/>
    <cellStyle name="Calculation 2 3 5 4 3 2" xfId="11988"/>
    <cellStyle name="Calculation 2 3 5 4 3 3" xfId="11989"/>
    <cellStyle name="Calculation 2 3 5 4 3 4" xfId="11990"/>
    <cellStyle name="Calculation 2 3 5 4 4" xfId="11991"/>
    <cellStyle name="Calculation 2 3 5 4 5" xfId="11992"/>
    <cellStyle name="Calculation 2 3 5 4 6" xfId="11993"/>
    <cellStyle name="Calculation 2 3 5 4 7" xfId="11994"/>
    <cellStyle name="Calculation 2 3 5 5" xfId="11995"/>
    <cellStyle name="Calculation 2 3 5 5 2" xfId="11996"/>
    <cellStyle name="Calculation 2 3 5 5 2 2" xfId="11997"/>
    <cellStyle name="Calculation 2 3 5 5 2 3" xfId="11998"/>
    <cellStyle name="Calculation 2 3 5 5 2 4" xfId="11999"/>
    <cellStyle name="Calculation 2 3 5 5 3" xfId="12000"/>
    <cellStyle name="Calculation 2 3 5 5 4" xfId="12001"/>
    <cellStyle name="Calculation 2 3 5 5 5" xfId="12002"/>
    <cellStyle name="Calculation 2 3 5 5 6" xfId="12003"/>
    <cellStyle name="Calculation 2 3 5 6" xfId="12004"/>
    <cellStyle name="Calculation 2 3 5 6 2" xfId="12005"/>
    <cellStyle name="Calculation 2 3 5 6 3" xfId="12006"/>
    <cellStyle name="Calculation 2 3 5 6 4" xfId="12007"/>
    <cellStyle name="Calculation 2 3 5 6 5" xfId="12008"/>
    <cellStyle name="Calculation 2 3 5 7" xfId="12009"/>
    <cellStyle name="Calculation 2 3 5 7 2" xfId="12010"/>
    <cellStyle name="Calculation 2 3 5 7 3" xfId="12011"/>
    <cellStyle name="Calculation 2 3 5 7 4" xfId="12012"/>
    <cellStyle name="Calculation 2 3 5 8" xfId="12013"/>
    <cellStyle name="Calculation 2 3 5 8 2" xfId="12014"/>
    <cellStyle name="Calculation 2 3 5 8 3" xfId="12015"/>
    <cellStyle name="Calculation 2 3 5 8 4" xfId="12016"/>
    <cellStyle name="Calculation 2 3 5 9" xfId="12017"/>
    <cellStyle name="Calculation 2 3 5 9 2" xfId="12018"/>
    <cellStyle name="Calculation 2 3 5 9 3" xfId="12019"/>
    <cellStyle name="Calculation 2 3 5 9 4" xfId="12020"/>
    <cellStyle name="Calculation 2 3 6" xfId="371"/>
    <cellStyle name="Calculation 2 3 6 10" xfId="12021"/>
    <cellStyle name="Calculation 2 3 6 11" xfId="12022"/>
    <cellStyle name="Calculation 2 3 6 12" xfId="12023"/>
    <cellStyle name="Calculation 2 3 6 13" xfId="12024"/>
    <cellStyle name="Calculation 2 3 6 2" xfId="372"/>
    <cellStyle name="Calculation 2 3 6 2 10" xfId="12025"/>
    <cellStyle name="Calculation 2 3 6 2 11" xfId="12026"/>
    <cellStyle name="Calculation 2 3 6 2 2" xfId="12027"/>
    <cellStyle name="Calculation 2 3 6 2 2 2" xfId="12028"/>
    <cellStyle name="Calculation 2 3 6 2 2 2 2" xfId="12029"/>
    <cellStyle name="Calculation 2 3 6 2 2 2 2 2" xfId="12030"/>
    <cellStyle name="Calculation 2 3 6 2 2 2 2 3" xfId="12031"/>
    <cellStyle name="Calculation 2 3 6 2 2 2 2 4" xfId="12032"/>
    <cellStyle name="Calculation 2 3 6 2 2 2 3" xfId="12033"/>
    <cellStyle name="Calculation 2 3 6 2 2 2 4" xfId="12034"/>
    <cellStyle name="Calculation 2 3 6 2 2 2 5" xfId="12035"/>
    <cellStyle name="Calculation 2 3 6 2 2 2 6" xfId="12036"/>
    <cellStyle name="Calculation 2 3 6 2 2 3" xfId="12037"/>
    <cellStyle name="Calculation 2 3 6 2 2 3 2" xfId="12038"/>
    <cellStyle name="Calculation 2 3 6 2 2 3 3" xfId="12039"/>
    <cellStyle name="Calculation 2 3 6 2 2 3 4" xfId="12040"/>
    <cellStyle name="Calculation 2 3 6 2 2 4" xfId="12041"/>
    <cellStyle name="Calculation 2 3 6 2 2 5" xfId="12042"/>
    <cellStyle name="Calculation 2 3 6 2 2 6" xfId="12043"/>
    <cellStyle name="Calculation 2 3 6 2 2 7" xfId="12044"/>
    <cellStyle name="Calculation 2 3 6 2 3" xfId="12045"/>
    <cellStyle name="Calculation 2 3 6 2 3 2" xfId="12046"/>
    <cellStyle name="Calculation 2 3 6 2 3 2 2" xfId="12047"/>
    <cellStyle name="Calculation 2 3 6 2 3 2 3" xfId="12048"/>
    <cellStyle name="Calculation 2 3 6 2 3 2 4" xfId="12049"/>
    <cellStyle name="Calculation 2 3 6 2 3 3" xfId="12050"/>
    <cellStyle name="Calculation 2 3 6 2 3 4" xfId="12051"/>
    <cellStyle name="Calculation 2 3 6 2 3 5" xfId="12052"/>
    <cellStyle name="Calculation 2 3 6 2 3 6" xfId="12053"/>
    <cellStyle name="Calculation 2 3 6 2 4" xfId="12054"/>
    <cellStyle name="Calculation 2 3 6 2 4 2" xfId="12055"/>
    <cellStyle name="Calculation 2 3 6 2 4 3" xfId="12056"/>
    <cellStyle name="Calculation 2 3 6 2 4 4" xfId="12057"/>
    <cellStyle name="Calculation 2 3 6 2 4 5" xfId="12058"/>
    <cellStyle name="Calculation 2 3 6 2 5" xfId="12059"/>
    <cellStyle name="Calculation 2 3 6 2 5 2" xfId="12060"/>
    <cellStyle name="Calculation 2 3 6 2 5 3" xfId="12061"/>
    <cellStyle name="Calculation 2 3 6 2 5 4" xfId="12062"/>
    <cellStyle name="Calculation 2 3 6 2 6" xfId="12063"/>
    <cellStyle name="Calculation 2 3 6 2 6 2" xfId="12064"/>
    <cellStyle name="Calculation 2 3 6 2 6 3" xfId="12065"/>
    <cellStyle name="Calculation 2 3 6 2 6 4" xfId="12066"/>
    <cellStyle name="Calculation 2 3 6 2 7" xfId="12067"/>
    <cellStyle name="Calculation 2 3 6 2 7 2" xfId="12068"/>
    <cellStyle name="Calculation 2 3 6 2 7 3" xfId="12069"/>
    <cellStyle name="Calculation 2 3 6 2 7 4" xfId="12070"/>
    <cellStyle name="Calculation 2 3 6 2 8" xfId="12071"/>
    <cellStyle name="Calculation 2 3 6 2 9" xfId="12072"/>
    <cellStyle name="Calculation 2 3 6 3" xfId="373"/>
    <cellStyle name="Calculation 2 3 6 3 10" xfId="12073"/>
    <cellStyle name="Calculation 2 3 6 3 11" xfId="12074"/>
    <cellStyle name="Calculation 2 3 6 3 2" xfId="12075"/>
    <cellStyle name="Calculation 2 3 6 3 2 2" xfId="12076"/>
    <cellStyle name="Calculation 2 3 6 3 2 2 2" xfId="12077"/>
    <cellStyle name="Calculation 2 3 6 3 2 2 3" xfId="12078"/>
    <cellStyle name="Calculation 2 3 6 3 2 2 4" xfId="12079"/>
    <cellStyle name="Calculation 2 3 6 3 2 3" xfId="12080"/>
    <cellStyle name="Calculation 2 3 6 3 2 3 2" xfId="12081"/>
    <cellStyle name="Calculation 2 3 6 3 2 3 3" xfId="12082"/>
    <cellStyle name="Calculation 2 3 6 3 2 3 4" xfId="12083"/>
    <cellStyle name="Calculation 2 3 6 3 2 4" xfId="12084"/>
    <cellStyle name="Calculation 2 3 6 3 2 5" xfId="12085"/>
    <cellStyle name="Calculation 2 3 6 3 2 6" xfId="12086"/>
    <cellStyle name="Calculation 2 3 6 3 2 7" xfId="12087"/>
    <cellStyle name="Calculation 2 3 6 3 3" xfId="12088"/>
    <cellStyle name="Calculation 2 3 6 3 3 2" xfId="12089"/>
    <cellStyle name="Calculation 2 3 6 3 3 2 2" xfId="12090"/>
    <cellStyle name="Calculation 2 3 6 3 3 2 3" xfId="12091"/>
    <cellStyle name="Calculation 2 3 6 3 3 2 4" xfId="12092"/>
    <cellStyle name="Calculation 2 3 6 3 3 3" xfId="12093"/>
    <cellStyle name="Calculation 2 3 6 3 3 4" xfId="12094"/>
    <cellStyle name="Calculation 2 3 6 3 3 5" xfId="12095"/>
    <cellStyle name="Calculation 2 3 6 3 3 6" xfId="12096"/>
    <cellStyle name="Calculation 2 3 6 3 4" xfId="12097"/>
    <cellStyle name="Calculation 2 3 6 3 4 2" xfId="12098"/>
    <cellStyle name="Calculation 2 3 6 3 4 3" xfId="12099"/>
    <cellStyle name="Calculation 2 3 6 3 4 4" xfId="12100"/>
    <cellStyle name="Calculation 2 3 6 3 4 5" xfId="12101"/>
    <cellStyle name="Calculation 2 3 6 3 5" xfId="12102"/>
    <cellStyle name="Calculation 2 3 6 3 5 2" xfId="12103"/>
    <cellStyle name="Calculation 2 3 6 3 5 3" xfId="12104"/>
    <cellStyle name="Calculation 2 3 6 3 5 4" xfId="12105"/>
    <cellStyle name="Calculation 2 3 6 3 6" xfId="12106"/>
    <cellStyle name="Calculation 2 3 6 3 6 2" xfId="12107"/>
    <cellStyle name="Calculation 2 3 6 3 6 3" xfId="12108"/>
    <cellStyle name="Calculation 2 3 6 3 6 4" xfId="12109"/>
    <cellStyle name="Calculation 2 3 6 3 7" xfId="12110"/>
    <cellStyle name="Calculation 2 3 6 3 7 2" xfId="12111"/>
    <cellStyle name="Calculation 2 3 6 3 7 3" xfId="12112"/>
    <cellStyle name="Calculation 2 3 6 3 7 4" xfId="12113"/>
    <cellStyle name="Calculation 2 3 6 3 8" xfId="12114"/>
    <cellStyle name="Calculation 2 3 6 3 9" xfId="12115"/>
    <cellStyle name="Calculation 2 3 6 4" xfId="12116"/>
    <cellStyle name="Calculation 2 3 6 4 2" xfId="12117"/>
    <cellStyle name="Calculation 2 3 6 4 2 2" xfId="12118"/>
    <cellStyle name="Calculation 2 3 6 4 2 2 2" xfId="12119"/>
    <cellStyle name="Calculation 2 3 6 4 2 2 3" xfId="12120"/>
    <cellStyle name="Calculation 2 3 6 4 2 2 4" xfId="12121"/>
    <cellStyle name="Calculation 2 3 6 4 2 3" xfId="12122"/>
    <cellStyle name="Calculation 2 3 6 4 2 4" xfId="12123"/>
    <cellStyle name="Calculation 2 3 6 4 2 5" xfId="12124"/>
    <cellStyle name="Calculation 2 3 6 4 2 6" xfId="12125"/>
    <cellStyle name="Calculation 2 3 6 4 3" xfId="12126"/>
    <cellStyle name="Calculation 2 3 6 4 3 2" xfId="12127"/>
    <cellStyle name="Calculation 2 3 6 4 3 3" xfId="12128"/>
    <cellStyle name="Calculation 2 3 6 4 3 4" xfId="12129"/>
    <cellStyle name="Calculation 2 3 6 4 4" xfId="12130"/>
    <cellStyle name="Calculation 2 3 6 4 5" xfId="12131"/>
    <cellStyle name="Calculation 2 3 6 4 6" xfId="12132"/>
    <cellStyle name="Calculation 2 3 6 4 7" xfId="12133"/>
    <cellStyle name="Calculation 2 3 6 5" xfId="12134"/>
    <cellStyle name="Calculation 2 3 6 5 2" xfId="12135"/>
    <cellStyle name="Calculation 2 3 6 5 2 2" xfId="12136"/>
    <cellStyle name="Calculation 2 3 6 5 2 3" xfId="12137"/>
    <cellStyle name="Calculation 2 3 6 5 2 4" xfId="12138"/>
    <cellStyle name="Calculation 2 3 6 5 3" xfId="12139"/>
    <cellStyle name="Calculation 2 3 6 5 4" xfId="12140"/>
    <cellStyle name="Calculation 2 3 6 5 5" xfId="12141"/>
    <cellStyle name="Calculation 2 3 6 5 6" xfId="12142"/>
    <cellStyle name="Calculation 2 3 6 6" xfId="12143"/>
    <cellStyle name="Calculation 2 3 6 6 2" xfId="12144"/>
    <cellStyle name="Calculation 2 3 6 6 3" xfId="12145"/>
    <cellStyle name="Calculation 2 3 6 6 4" xfId="12146"/>
    <cellStyle name="Calculation 2 3 6 6 5" xfId="12147"/>
    <cellStyle name="Calculation 2 3 6 7" xfId="12148"/>
    <cellStyle name="Calculation 2 3 6 7 2" xfId="12149"/>
    <cellStyle name="Calculation 2 3 6 7 3" xfId="12150"/>
    <cellStyle name="Calculation 2 3 6 7 4" xfId="12151"/>
    <cellStyle name="Calculation 2 3 6 8" xfId="12152"/>
    <cellStyle name="Calculation 2 3 6 8 2" xfId="12153"/>
    <cellStyle name="Calculation 2 3 6 8 3" xfId="12154"/>
    <cellStyle name="Calculation 2 3 6 8 4" xfId="12155"/>
    <cellStyle name="Calculation 2 3 6 9" xfId="12156"/>
    <cellStyle name="Calculation 2 3 6 9 2" xfId="12157"/>
    <cellStyle name="Calculation 2 3 6 9 3" xfId="12158"/>
    <cellStyle name="Calculation 2 3 6 9 4" xfId="12159"/>
    <cellStyle name="Calculation 2 3 7" xfId="374"/>
    <cellStyle name="Calculation 2 3 7 10" xfId="12160"/>
    <cellStyle name="Calculation 2 3 7 11" xfId="12161"/>
    <cellStyle name="Calculation 2 3 7 12" xfId="12162"/>
    <cellStyle name="Calculation 2 3 7 2" xfId="375"/>
    <cellStyle name="Calculation 2 3 7 2 10" xfId="12163"/>
    <cellStyle name="Calculation 2 3 7 2 11" xfId="12164"/>
    <cellStyle name="Calculation 2 3 7 2 2" xfId="12165"/>
    <cellStyle name="Calculation 2 3 7 2 2 2" xfId="12166"/>
    <cellStyle name="Calculation 2 3 7 2 2 2 2" xfId="12167"/>
    <cellStyle name="Calculation 2 3 7 2 2 2 2 2" xfId="12168"/>
    <cellStyle name="Calculation 2 3 7 2 2 2 2 3" xfId="12169"/>
    <cellStyle name="Calculation 2 3 7 2 2 2 2 4" xfId="12170"/>
    <cellStyle name="Calculation 2 3 7 2 2 2 3" xfId="12171"/>
    <cellStyle name="Calculation 2 3 7 2 2 2 4" xfId="12172"/>
    <cellStyle name="Calculation 2 3 7 2 2 2 5" xfId="12173"/>
    <cellStyle name="Calculation 2 3 7 2 2 2 6" xfId="12174"/>
    <cellStyle name="Calculation 2 3 7 2 2 3" xfId="12175"/>
    <cellStyle name="Calculation 2 3 7 2 2 3 2" xfId="12176"/>
    <cellStyle name="Calculation 2 3 7 2 2 3 3" xfId="12177"/>
    <cellStyle name="Calculation 2 3 7 2 2 3 4" xfId="12178"/>
    <cellStyle name="Calculation 2 3 7 2 2 4" xfId="12179"/>
    <cellStyle name="Calculation 2 3 7 2 2 5" xfId="12180"/>
    <cellStyle name="Calculation 2 3 7 2 2 6" xfId="12181"/>
    <cellStyle name="Calculation 2 3 7 2 2 7" xfId="12182"/>
    <cellStyle name="Calculation 2 3 7 2 3" xfId="12183"/>
    <cellStyle name="Calculation 2 3 7 2 3 2" xfId="12184"/>
    <cellStyle name="Calculation 2 3 7 2 3 2 2" xfId="12185"/>
    <cellStyle name="Calculation 2 3 7 2 3 2 3" xfId="12186"/>
    <cellStyle name="Calculation 2 3 7 2 3 2 4" xfId="12187"/>
    <cellStyle name="Calculation 2 3 7 2 3 3" xfId="12188"/>
    <cellStyle name="Calculation 2 3 7 2 3 4" xfId="12189"/>
    <cellStyle name="Calculation 2 3 7 2 3 5" xfId="12190"/>
    <cellStyle name="Calculation 2 3 7 2 3 6" xfId="12191"/>
    <cellStyle name="Calculation 2 3 7 2 4" xfId="12192"/>
    <cellStyle name="Calculation 2 3 7 2 4 2" xfId="12193"/>
    <cellStyle name="Calculation 2 3 7 2 4 3" xfId="12194"/>
    <cellStyle name="Calculation 2 3 7 2 4 4" xfId="12195"/>
    <cellStyle name="Calculation 2 3 7 2 4 5" xfId="12196"/>
    <cellStyle name="Calculation 2 3 7 2 5" xfId="12197"/>
    <cellStyle name="Calculation 2 3 7 2 5 2" xfId="12198"/>
    <cellStyle name="Calculation 2 3 7 2 5 3" xfId="12199"/>
    <cellStyle name="Calculation 2 3 7 2 5 4" xfId="12200"/>
    <cellStyle name="Calculation 2 3 7 2 6" xfId="12201"/>
    <cellStyle name="Calculation 2 3 7 2 6 2" xfId="12202"/>
    <cellStyle name="Calculation 2 3 7 2 6 3" xfId="12203"/>
    <cellStyle name="Calculation 2 3 7 2 6 4" xfId="12204"/>
    <cellStyle name="Calculation 2 3 7 2 7" xfId="12205"/>
    <cellStyle name="Calculation 2 3 7 2 7 2" xfId="12206"/>
    <cellStyle name="Calculation 2 3 7 2 7 3" xfId="12207"/>
    <cellStyle name="Calculation 2 3 7 2 7 4" xfId="12208"/>
    <cellStyle name="Calculation 2 3 7 2 8" xfId="12209"/>
    <cellStyle name="Calculation 2 3 7 2 9" xfId="12210"/>
    <cellStyle name="Calculation 2 3 7 3" xfId="376"/>
    <cellStyle name="Calculation 2 3 7 3 2" xfId="12211"/>
    <cellStyle name="Calculation 2 3 7 3 2 2" xfId="12212"/>
    <cellStyle name="Calculation 2 3 7 3 2 2 2" xfId="12213"/>
    <cellStyle name="Calculation 2 3 7 3 2 2 3" xfId="12214"/>
    <cellStyle name="Calculation 2 3 7 3 2 2 4" xfId="12215"/>
    <cellStyle name="Calculation 2 3 7 3 2 3" xfId="12216"/>
    <cellStyle name="Calculation 2 3 7 3 2 4" xfId="12217"/>
    <cellStyle name="Calculation 2 3 7 3 2 5" xfId="12218"/>
    <cellStyle name="Calculation 2 3 7 3 2 6" xfId="12219"/>
    <cellStyle name="Calculation 2 3 7 3 3" xfId="12220"/>
    <cellStyle name="Calculation 2 3 7 3 3 2" xfId="12221"/>
    <cellStyle name="Calculation 2 3 7 3 3 3" xfId="12222"/>
    <cellStyle name="Calculation 2 3 7 3 3 4" xfId="12223"/>
    <cellStyle name="Calculation 2 3 7 3 4" xfId="12224"/>
    <cellStyle name="Calculation 2 3 7 3 5" xfId="12225"/>
    <cellStyle name="Calculation 2 3 7 3 6" xfId="12226"/>
    <cellStyle name="Calculation 2 3 7 3 7" xfId="12227"/>
    <cellStyle name="Calculation 2 3 7 4" xfId="12228"/>
    <cellStyle name="Calculation 2 3 7 4 2" xfId="12229"/>
    <cellStyle name="Calculation 2 3 7 4 2 2" xfId="12230"/>
    <cellStyle name="Calculation 2 3 7 4 2 3" xfId="12231"/>
    <cellStyle name="Calculation 2 3 7 4 2 4" xfId="12232"/>
    <cellStyle name="Calculation 2 3 7 4 3" xfId="12233"/>
    <cellStyle name="Calculation 2 3 7 4 4" xfId="12234"/>
    <cellStyle name="Calculation 2 3 7 4 5" xfId="12235"/>
    <cellStyle name="Calculation 2 3 7 4 6" xfId="12236"/>
    <cellStyle name="Calculation 2 3 7 5" xfId="12237"/>
    <cellStyle name="Calculation 2 3 7 5 2" xfId="12238"/>
    <cellStyle name="Calculation 2 3 7 5 3" xfId="12239"/>
    <cellStyle name="Calculation 2 3 7 5 4" xfId="12240"/>
    <cellStyle name="Calculation 2 3 7 5 5" xfId="12241"/>
    <cellStyle name="Calculation 2 3 7 6" xfId="12242"/>
    <cellStyle name="Calculation 2 3 7 6 2" xfId="12243"/>
    <cellStyle name="Calculation 2 3 7 6 3" xfId="12244"/>
    <cellStyle name="Calculation 2 3 7 6 4" xfId="12245"/>
    <cellStyle name="Calculation 2 3 7 7" xfId="12246"/>
    <cellStyle name="Calculation 2 3 7 7 2" xfId="12247"/>
    <cellStyle name="Calculation 2 3 7 7 3" xfId="12248"/>
    <cellStyle name="Calculation 2 3 7 7 4" xfId="12249"/>
    <cellStyle name="Calculation 2 3 7 8" xfId="12250"/>
    <cellStyle name="Calculation 2 3 7 8 2" xfId="12251"/>
    <cellStyle name="Calculation 2 3 7 8 3" xfId="12252"/>
    <cellStyle name="Calculation 2 3 7 8 4" xfId="12253"/>
    <cellStyle name="Calculation 2 3 7 9" xfId="12254"/>
    <cellStyle name="Calculation 2 3 8" xfId="377"/>
    <cellStyle name="Calculation 2 3 8 10" xfId="12255"/>
    <cellStyle name="Calculation 2 3 8 11" xfId="12256"/>
    <cellStyle name="Calculation 2 3 8 2" xfId="378"/>
    <cellStyle name="Calculation 2 3 8 2 2" xfId="12257"/>
    <cellStyle name="Calculation 2 3 8 2 2 2" xfId="12258"/>
    <cellStyle name="Calculation 2 3 8 2 2 2 2" xfId="12259"/>
    <cellStyle name="Calculation 2 3 8 2 2 2 3" xfId="12260"/>
    <cellStyle name="Calculation 2 3 8 2 2 2 4" xfId="12261"/>
    <cellStyle name="Calculation 2 3 8 2 2 3" xfId="12262"/>
    <cellStyle name="Calculation 2 3 8 2 2 4" xfId="12263"/>
    <cellStyle name="Calculation 2 3 8 2 2 5" xfId="12264"/>
    <cellStyle name="Calculation 2 3 8 2 2 6" xfId="12265"/>
    <cellStyle name="Calculation 2 3 8 2 3" xfId="12266"/>
    <cellStyle name="Calculation 2 3 8 2 3 2" xfId="12267"/>
    <cellStyle name="Calculation 2 3 8 2 3 3" xfId="12268"/>
    <cellStyle name="Calculation 2 3 8 2 3 4" xfId="12269"/>
    <cellStyle name="Calculation 2 3 8 2 4" xfId="12270"/>
    <cellStyle name="Calculation 2 3 8 2 5" xfId="12271"/>
    <cellStyle name="Calculation 2 3 8 2 6" xfId="12272"/>
    <cellStyle name="Calculation 2 3 8 2 7" xfId="12273"/>
    <cellStyle name="Calculation 2 3 8 3" xfId="379"/>
    <cellStyle name="Calculation 2 3 8 3 2" xfId="12274"/>
    <cellStyle name="Calculation 2 3 8 3 2 2" xfId="12275"/>
    <cellStyle name="Calculation 2 3 8 3 2 3" xfId="12276"/>
    <cellStyle name="Calculation 2 3 8 3 2 4" xfId="12277"/>
    <cellStyle name="Calculation 2 3 8 3 3" xfId="12278"/>
    <cellStyle name="Calculation 2 3 8 3 4" xfId="12279"/>
    <cellStyle name="Calculation 2 3 8 3 5" xfId="12280"/>
    <cellStyle name="Calculation 2 3 8 3 6" xfId="12281"/>
    <cellStyle name="Calculation 2 3 8 4" xfId="12282"/>
    <cellStyle name="Calculation 2 3 8 4 2" xfId="12283"/>
    <cellStyle name="Calculation 2 3 8 4 3" xfId="12284"/>
    <cellStyle name="Calculation 2 3 8 4 4" xfId="12285"/>
    <cellStyle name="Calculation 2 3 8 4 5" xfId="12286"/>
    <cellStyle name="Calculation 2 3 8 5" xfId="12287"/>
    <cellStyle name="Calculation 2 3 8 5 2" xfId="12288"/>
    <cellStyle name="Calculation 2 3 8 5 3" xfId="12289"/>
    <cellStyle name="Calculation 2 3 8 5 4" xfId="12290"/>
    <cellStyle name="Calculation 2 3 8 6" xfId="12291"/>
    <cellStyle name="Calculation 2 3 8 6 2" xfId="12292"/>
    <cellStyle name="Calculation 2 3 8 6 3" xfId="12293"/>
    <cellStyle name="Calculation 2 3 8 6 4" xfId="12294"/>
    <cellStyle name="Calculation 2 3 8 7" xfId="12295"/>
    <cellStyle name="Calculation 2 3 8 7 2" xfId="12296"/>
    <cellStyle name="Calculation 2 3 8 7 3" xfId="12297"/>
    <cellStyle name="Calculation 2 3 8 7 4" xfId="12298"/>
    <cellStyle name="Calculation 2 3 8 8" xfId="12299"/>
    <cellStyle name="Calculation 2 3 8 9" xfId="12300"/>
    <cellStyle name="Calculation 2 3 9" xfId="380"/>
    <cellStyle name="Calculation 2 3 9 10" xfId="12301"/>
    <cellStyle name="Calculation 2 3 9 2" xfId="381"/>
    <cellStyle name="Calculation 2 3 9 2 2" xfId="12302"/>
    <cellStyle name="Calculation 2 3 9 2 2 2" xfId="12303"/>
    <cellStyle name="Calculation 2 3 9 2 2 3" xfId="12304"/>
    <cellStyle name="Calculation 2 3 9 2 2 4" xfId="12305"/>
    <cellStyle name="Calculation 2 3 9 2 3" xfId="12306"/>
    <cellStyle name="Calculation 2 3 9 2 4" xfId="12307"/>
    <cellStyle name="Calculation 2 3 9 2 5" xfId="12308"/>
    <cellStyle name="Calculation 2 3 9 2 6" xfId="12309"/>
    <cellStyle name="Calculation 2 3 9 3" xfId="382"/>
    <cellStyle name="Calculation 2 3 9 3 2" xfId="12310"/>
    <cellStyle name="Calculation 2 3 9 3 3" xfId="12311"/>
    <cellStyle name="Calculation 2 3 9 3 4" xfId="12312"/>
    <cellStyle name="Calculation 2 3 9 4" xfId="12313"/>
    <cellStyle name="Calculation 2 3 9 4 2" xfId="12314"/>
    <cellStyle name="Calculation 2 3 9 4 3" xfId="12315"/>
    <cellStyle name="Calculation 2 3 9 4 4" xfId="12316"/>
    <cellStyle name="Calculation 2 3 9 5" xfId="12317"/>
    <cellStyle name="Calculation 2 3 9 5 2" xfId="12318"/>
    <cellStyle name="Calculation 2 3 9 5 3" xfId="12319"/>
    <cellStyle name="Calculation 2 3 9 5 4" xfId="12320"/>
    <cellStyle name="Calculation 2 3 9 6" xfId="12321"/>
    <cellStyle name="Calculation 2 3 9 6 2" xfId="12322"/>
    <cellStyle name="Calculation 2 3 9 6 3" xfId="12323"/>
    <cellStyle name="Calculation 2 3 9 6 4" xfId="12324"/>
    <cellStyle name="Calculation 2 3 9 7" xfId="12325"/>
    <cellStyle name="Calculation 2 3 9 8" xfId="12326"/>
    <cellStyle name="Calculation 2 3 9 9" xfId="12327"/>
    <cellStyle name="Calculation 2 30" xfId="12328"/>
    <cellStyle name="Calculation 2 31" xfId="12329"/>
    <cellStyle name="Calculation 2 32" xfId="12330"/>
    <cellStyle name="Calculation 2 33" xfId="12331"/>
    <cellStyle name="Calculation 2 34" xfId="12332"/>
    <cellStyle name="Calculation 2 35" xfId="12333"/>
    <cellStyle name="Calculation 2 36" xfId="12334"/>
    <cellStyle name="Calculation 2 37" xfId="12335"/>
    <cellStyle name="Calculation 2 38" xfId="12336"/>
    <cellStyle name="Calculation 2 39" xfId="12337"/>
    <cellStyle name="Calculation 2 4" xfId="133"/>
    <cellStyle name="Calculation 2 4 10" xfId="383"/>
    <cellStyle name="Calculation 2 4 10 2" xfId="384"/>
    <cellStyle name="Calculation 2 4 10 3" xfId="385"/>
    <cellStyle name="Calculation 2 4 10 4" xfId="12338"/>
    <cellStyle name="Calculation 2 4 11" xfId="386"/>
    <cellStyle name="Calculation 2 4 11 2" xfId="387"/>
    <cellStyle name="Calculation 2 4 11 3" xfId="388"/>
    <cellStyle name="Calculation 2 4 11 4" xfId="12339"/>
    <cellStyle name="Calculation 2 4 12" xfId="389"/>
    <cellStyle name="Calculation 2 4 12 2" xfId="390"/>
    <cellStyle name="Calculation 2 4 12 3" xfId="391"/>
    <cellStyle name="Calculation 2 4 12 4" xfId="12340"/>
    <cellStyle name="Calculation 2 4 13" xfId="392"/>
    <cellStyle name="Calculation 2 4 13 2" xfId="393"/>
    <cellStyle name="Calculation 2 4 13 3" xfId="394"/>
    <cellStyle name="Calculation 2 4 14" xfId="395"/>
    <cellStyle name="Calculation 2 4 15" xfId="396"/>
    <cellStyle name="Calculation 2 4 16" xfId="12341"/>
    <cellStyle name="Calculation 2 4 17" xfId="12342"/>
    <cellStyle name="Calculation 2 4 18" xfId="12343"/>
    <cellStyle name="Calculation 2 4 19" xfId="12344"/>
    <cellStyle name="Calculation 2 4 2" xfId="397"/>
    <cellStyle name="Calculation 2 4 2 10" xfId="12345"/>
    <cellStyle name="Calculation 2 4 2 11" xfId="12346"/>
    <cellStyle name="Calculation 2 4 2 12" xfId="12347"/>
    <cellStyle name="Calculation 2 4 2 2" xfId="398"/>
    <cellStyle name="Calculation 2 4 2 2 10" xfId="12348"/>
    <cellStyle name="Calculation 2 4 2 2 11" xfId="12349"/>
    <cellStyle name="Calculation 2 4 2 2 2" xfId="12350"/>
    <cellStyle name="Calculation 2 4 2 2 2 2" xfId="12351"/>
    <cellStyle name="Calculation 2 4 2 2 2 2 2" xfId="12352"/>
    <cellStyle name="Calculation 2 4 2 2 2 2 2 2" xfId="12353"/>
    <cellStyle name="Calculation 2 4 2 2 2 2 2 3" xfId="12354"/>
    <cellStyle name="Calculation 2 4 2 2 2 2 2 4" xfId="12355"/>
    <cellStyle name="Calculation 2 4 2 2 2 2 3" xfId="12356"/>
    <cellStyle name="Calculation 2 4 2 2 2 2 4" xfId="12357"/>
    <cellStyle name="Calculation 2 4 2 2 2 2 5" xfId="12358"/>
    <cellStyle name="Calculation 2 4 2 2 2 2 6" xfId="12359"/>
    <cellStyle name="Calculation 2 4 2 2 2 3" xfId="12360"/>
    <cellStyle name="Calculation 2 4 2 2 2 3 2" xfId="12361"/>
    <cellStyle name="Calculation 2 4 2 2 2 3 3" xfId="12362"/>
    <cellStyle name="Calculation 2 4 2 2 2 3 4" xfId="12363"/>
    <cellStyle name="Calculation 2 4 2 2 2 4" xfId="12364"/>
    <cellStyle name="Calculation 2 4 2 2 2 5" xfId="12365"/>
    <cellStyle name="Calculation 2 4 2 2 2 6" xfId="12366"/>
    <cellStyle name="Calculation 2 4 2 2 2 7" xfId="12367"/>
    <cellStyle name="Calculation 2 4 2 2 3" xfId="12368"/>
    <cellStyle name="Calculation 2 4 2 2 3 2" xfId="12369"/>
    <cellStyle name="Calculation 2 4 2 2 3 2 2" xfId="12370"/>
    <cellStyle name="Calculation 2 4 2 2 3 2 3" xfId="12371"/>
    <cellStyle name="Calculation 2 4 2 2 3 2 4" xfId="12372"/>
    <cellStyle name="Calculation 2 4 2 2 3 3" xfId="12373"/>
    <cellStyle name="Calculation 2 4 2 2 3 4" xfId="12374"/>
    <cellStyle name="Calculation 2 4 2 2 3 5" xfId="12375"/>
    <cellStyle name="Calculation 2 4 2 2 3 6" xfId="12376"/>
    <cellStyle name="Calculation 2 4 2 2 4" xfId="12377"/>
    <cellStyle name="Calculation 2 4 2 2 4 2" xfId="12378"/>
    <cellStyle name="Calculation 2 4 2 2 4 3" xfId="12379"/>
    <cellStyle name="Calculation 2 4 2 2 4 4" xfId="12380"/>
    <cellStyle name="Calculation 2 4 2 2 4 5" xfId="12381"/>
    <cellStyle name="Calculation 2 4 2 2 5" xfId="12382"/>
    <cellStyle name="Calculation 2 4 2 2 5 2" xfId="12383"/>
    <cellStyle name="Calculation 2 4 2 2 5 3" xfId="12384"/>
    <cellStyle name="Calculation 2 4 2 2 5 4" xfId="12385"/>
    <cellStyle name="Calculation 2 4 2 2 6" xfId="12386"/>
    <cellStyle name="Calculation 2 4 2 2 6 2" xfId="12387"/>
    <cellStyle name="Calculation 2 4 2 2 6 3" xfId="12388"/>
    <cellStyle name="Calculation 2 4 2 2 6 4" xfId="12389"/>
    <cellStyle name="Calculation 2 4 2 2 7" xfId="12390"/>
    <cellStyle name="Calculation 2 4 2 2 7 2" xfId="12391"/>
    <cellStyle name="Calculation 2 4 2 2 7 3" xfId="12392"/>
    <cellStyle name="Calculation 2 4 2 2 7 4" xfId="12393"/>
    <cellStyle name="Calculation 2 4 2 2 8" xfId="12394"/>
    <cellStyle name="Calculation 2 4 2 2 9" xfId="12395"/>
    <cellStyle name="Calculation 2 4 2 3" xfId="12396"/>
    <cellStyle name="Calculation 2 4 2 3 2" xfId="12397"/>
    <cellStyle name="Calculation 2 4 2 3 2 2" xfId="12398"/>
    <cellStyle name="Calculation 2 4 2 3 2 2 2" xfId="12399"/>
    <cellStyle name="Calculation 2 4 2 3 2 2 3" xfId="12400"/>
    <cellStyle name="Calculation 2 4 2 3 2 2 4" xfId="12401"/>
    <cellStyle name="Calculation 2 4 2 3 2 3" xfId="12402"/>
    <cellStyle name="Calculation 2 4 2 3 2 4" xfId="12403"/>
    <cellStyle name="Calculation 2 4 2 3 2 5" xfId="12404"/>
    <cellStyle name="Calculation 2 4 2 3 2 6" xfId="12405"/>
    <cellStyle name="Calculation 2 4 2 3 3" xfId="12406"/>
    <cellStyle name="Calculation 2 4 2 3 3 2" xfId="12407"/>
    <cellStyle name="Calculation 2 4 2 3 3 3" xfId="12408"/>
    <cellStyle name="Calculation 2 4 2 3 3 4" xfId="12409"/>
    <cellStyle name="Calculation 2 4 2 3 4" xfId="12410"/>
    <cellStyle name="Calculation 2 4 2 3 5" xfId="12411"/>
    <cellStyle name="Calculation 2 4 2 3 6" xfId="12412"/>
    <cellStyle name="Calculation 2 4 2 3 7" xfId="12413"/>
    <cellStyle name="Calculation 2 4 2 4" xfId="12414"/>
    <cellStyle name="Calculation 2 4 2 4 2" xfId="12415"/>
    <cellStyle name="Calculation 2 4 2 4 2 2" xfId="12416"/>
    <cellStyle name="Calculation 2 4 2 4 2 3" xfId="12417"/>
    <cellStyle name="Calculation 2 4 2 4 2 4" xfId="12418"/>
    <cellStyle name="Calculation 2 4 2 4 3" xfId="12419"/>
    <cellStyle name="Calculation 2 4 2 4 4" xfId="12420"/>
    <cellStyle name="Calculation 2 4 2 4 5" xfId="12421"/>
    <cellStyle name="Calculation 2 4 2 4 6" xfId="12422"/>
    <cellStyle name="Calculation 2 4 2 5" xfId="12423"/>
    <cellStyle name="Calculation 2 4 2 5 2" xfId="12424"/>
    <cellStyle name="Calculation 2 4 2 5 3" xfId="12425"/>
    <cellStyle name="Calculation 2 4 2 5 4" xfId="12426"/>
    <cellStyle name="Calculation 2 4 2 5 5" xfId="12427"/>
    <cellStyle name="Calculation 2 4 2 6" xfId="12428"/>
    <cellStyle name="Calculation 2 4 2 6 2" xfId="12429"/>
    <cellStyle name="Calculation 2 4 2 6 3" xfId="12430"/>
    <cellStyle name="Calculation 2 4 2 6 4" xfId="12431"/>
    <cellStyle name="Calculation 2 4 2 7" xfId="12432"/>
    <cellStyle name="Calculation 2 4 2 7 2" xfId="12433"/>
    <cellStyle name="Calculation 2 4 2 7 3" xfId="12434"/>
    <cellStyle name="Calculation 2 4 2 7 4" xfId="12435"/>
    <cellStyle name="Calculation 2 4 2 8" xfId="12436"/>
    <cellStyle name="Calculation 2 4 2 8 2" xfId="12437"/>
    <cellStyle name="Calculation 2 4 2 8 3" xfId="12438"/>
    <cellStyle name="Calculation 2 4 2 8 4" xfId="12439"/>
    <cellStyle name="Calculation 2 4 2 9" xfId="12440"/>
    <cellStyle name="Calculation 2 4 20" xfId="12441"/>
    <cellStyle name="Calculation 2 4 21" xfId="12442"/>
    <cellStyle name="Calculation 2 4 22" xfId="12443"/>
    <cellStyle name="Calculation 2 4 23" xfId="12444"/>
    <cellStyle name="Calculation 2 4 24" xfId="12445"/>
    <cellStyle name="Calculation 2 4 25" xfId="12446"/>
    <cellStyle name="Calculation 2 4 26" xfId="12447"/>
    <cellStyle name="Calculation 2 4 27" xfId="12448"/>
    <cellStyle name="Calculation 2 4 28" xfId="12449"/>
    <cellStyle name="Calculation 2 4 29" xfId="50216"/>
    <cellStyle name="Calculation 2 4 3" xfId="399"/>
    <cellStyle name="Calculation 2 4 3 10" xfId="12450"/>
    <cellStyle name="Calculation 2 4 3 11" xfId="12451"/>
    <cellStyle name="Calculation 2 4 3 2" xfId="400"/>
    <cellStyle name="Calculation 2 4 3 2 2" xfId="12452"/>
    <cellStyle name="Calculation 2 4 3 2 2 2" xfId="12453"/>
    <cellStyle name="Calculation 2 4 3 2 2 2 2" xfId="12454"/>
    <cellStyle name="Calculation 2 4 3 2 2 2 3" xfId="12455"/>
    <cellStyle name="Calculation 2 4 3 2 2 2 4" xfId="12456"/>
    <cellStyle name="Calculation 2 4 3 2 2 3" xfId="12457"/>
    <cellStyle name="Calculation 2 4 3 2 2 4" xfId="12458"/>
    <cellStyle name="Calculation 2 4 3 2 2 5" xfId="12459"/>
    <cellStyle name="Calculation 2 4 3 2 2 6" xfId="12460"/>
    <cellStyle name="Calculation 2 4 3 2 3" xfId="12461"/>
    <cellStyle name="Calculation 2 4 3 2 3 2" xfId="12462"/>
    <cellStyle name="Calculation 2 4 3 2 3 3" xfId="12463"/>
    <cellStyle name="Calculation 2 4 3 2 3 4" xfId="12464"/>
    <cellStyle name="Calculation 2 4 3 2 4" xfId="12465"/>
    <cellStyle name="Calculation 2 4 3 2 5" xfId="12466"/>
    <cellStyle name="Calculation 2 4 3 2 6" xfId="12467"/>
    <cellStyle name="Calculation 2 4 3 2 7" xfId="12468"/>
    <cellStyle name="Calculation 2 4 3 3" xfId="12469"/>
    <cellStyle name="Calculation 2 4 3 3 2" xfId="12470"/>
    <cellStyle name="Calculation 2 4 3 3 2 2" xfId="12471"/>
    <cellStyle name="Calculation 2 4 3 3 2 3" xfId="12472"/>
    <cellStyle name="Calculation 2 4 3 3 2 4" xfId="12473"/>
    <cellStyle name="Calculation 2 4 3 3 3" xfId="12474"/>
    <cellStyle name="Calculation 2 4 3 3 4" xfId="12475"/>
    <cellStyle name="Calculation 2 4 3 3 5" xfId="12476"/>
    <cellStyle name="Calculation 2 4 3 3 6" xfId="12477"/>
    <cellStyle name="Calculation 2 4 3 4" xfId="12478"/>
    <cellStyle name="Calculation 2 4 3 4 2" xfId="12479"/>
    <cellStyle name="Calculation 2 4 3 4 3" xfId="12480"/>
    <cellStyle name="Calculation 2 4 3 4 4" xfId="12481"/>
    <cellStyle name="Calculation 2 4 3 4 5" xfId="12482"/>
    <cellStyle name="Calculation 2 4 3 5" xfId="12483"/>
    <cellStyle name="Calculation 2 4 3 5 2" xfId="12484"/>
    <cellStyle name="Calculation 2 4 3 5 3" xfId="12485"/>
    <cellStyle name="Calculation 2 4 3 5 4" xfId="12486"/>
    <cellStyle name="Calculation 2 4 3 6" xfId="12487"/>
    <cellStyle name="Calculation 2 4 3 6 2" xfId="12488"/>
    <cellStyle name="Calculation 2 4 3 6 3" xfId="12489"/>
    <cellStyle name="Calculation 2 4 3 6 4" xfId="12490"/>
    <cellStyle name="Calculation 2 4 3 7" xfId="12491"/>
    <cellStyle name="Calculation 2 4 3 7 2" xfId="12492"/>
    <cellStyle name="Calculation 2 4 3 7 3" xfId="12493"/>
    <cellStyle name="Calculation 2 4 3 7 4" xfId="12494"/>
    <cellStyle name="Calculation 2 4 3 8" xfId="12495"/>
    <cellStyle name="Calculation 2 4 3 9" xfId="12496"/>
    <cellStyle name="Calculation 2 4 30" xfId="50217"/>
    <cellStyle name="Calculation 2 4 31" xfId="50218"/>
    <cellStyle name="Calculation 2 4 32" xfId="50219"/>
    <cellStyle name="Calculation 2 4 33" xfId="50220"/>
    <cellStyle name="Calculation 2 4 34" xfId="50221"/>
    <cellStyle name="Calculation 2 4 35" xfId="50222"/>
    <cellStyle name="Calculation 2 4 36" xfId="50223"/>
    <cellStyle name="Calculation 2 4 37" xfId="50224"/>
    <cellStyle name="Calculation 2 4 38" xfId="50225"/>
    <cellStyle name="Calculation 2 4 39" xfId="50226"/>
    <cellStyle name="Calculation 2 4 4" xfId="401"/>
    <cellStyle name="Calculation 2 4 4 2" xfId="402"/>
    <cellStyle name="Calculation 2 4 4 2 2" xfId="12497"/>
    <cellStyle name="Calculation 2 4 4 2 2 2" xfId="12498"/>
    <cellStyle name="Calculation 2 4 4 2 2 3" xfId="12499"/>
    <cellStyle name="Calculation 2 4 4 2 2 4" xfId="12500"/>
    <cellStyle name="Calculation 2 4 4 2 3" xfId="12501"/>
    <cellStyle name="Calculation 2 4 4 2 4" xfId="12502"/>
    <cellStyle name="Calculation 2 4 4 2 5" xfId="12503"/>
    <cellStyle name="Calculation 2 4 4 2 6" xfId="12504"/>
    <cellStyle name="Calculation 2 4 4 3" xfId="403"/>
    <cellStyle name="Calculation 2 4 4 3 2" xfId="12505"/>
    <cellStyle name="Calculation 2 4 4 3 3" xfId="12506"/>
    <cellStyle name="Calculation 2 4 4 3 4" xfId="12507"/>
    <cellStyle name="Calculation 2 4 4 4" xfId="12508"/>
    <cellStyle name="Calculation 2 4 4 5" xfId="12509"/>
    <cellStyle name="Calculation 2 4 4 6" xfId="12510"/>
    <cellStyle name="Calculation 2 4 4 7" xfId="12511"/>
    <cellStyle name="Calculation 2 4 40" xfId="50227"/>
    <cellStyle name="Calculation 2 4 5" xfId="404"/>
    <cellStyle name="Calculation 2 4 5 2" xfId="405"/>
    <cellStyle name="Calculation 2 4 5 2 2" xfId="12512"/>
    <cellStyle name="Calculation 2 4 5 2 3" xfId="12513"/>
    <cellStyle name="Calculation 2 4 5 2 4" xfId="12514"/>
    <cellStyle name="Calculation 2 4 5 3" xfId="406"/>
    <cellStyle name="Calculation 2 4 5 3 2" xfId="12515"/>
    <cellStyle name="Calculation 2 4 5 3 3" xfId="12516"/>
    <cellStyle name="Calculation 2 4 5 3 4" xfId="12517"/>
    <cellStyle name="Calculation 2 4 5 4" xfId="12518"/>
    <cellStyle name="Calculation 2 4 5 5" xfId="12519"/>
    <cellStyle name="Calculation 2 4 5 6" xfId="12520"/>
    <cellStyle name="Calculation 2 4 5 7" xfId="12521"/>
    <cellStyle name="Calculation 2 4 6" xfId="407"/>
    <cellStyle name="Calculation 2 4 6 2" xfId="408"/>
    <cellStyle name="Calculation 2 4 6 2 2" xfId="12522"/>
    <cellStyle name="Calculation 2 4 6 2 3" xfId="12523"/>
    <cellStyle name="Calculation 2 4 6 2 4" xfId="12524"/>
    <cellStyle name="Calculation 2 4 6 3" xfId="409"/>
    <cellStyle name="Calculation 2 4 6 3 2" xfId="12525"/>
    <cellStyle name="Calculation 2 4 6 3 3" xfId="12526"/>
    <cellStyle name="Calculation 2 4 6 3 4" xfId="12527"/>
    <cellStyle name="Calculation 2 4 6 4" xfId="12528"/>
    <cellStyle name="Calculation 2 4 6 5" xfId="12529"/>
    <cellStyle name="Calculation 2 4 6 6" xfId="12530"/>
    <cellStyle name="Calculation 2 4 6 7" xfId="12531"/>
    <cellStyle name="Calculation 2 4 7" xfId="410"/>
    <cellStyle name="Calculation 2 4 7 2" xfId="411"/>
    <cellStyle name="Calculation 2 4 7 2 2" xfId="12532"/>
    <cellStyle name="Calculation 2 4 7 2 3" xfId="12533"/>
    <cellStyle name="Calculation 2 4 7 2 4" xfId="12534"/>
    <cellStyle name="Calculation 2 4 7 3" xfId="412"/>
    <cellStyle name="Calculation 2 4 7 3 2" xfId="12535"/>
    <cellStyle name="Calculation 2 4 7 3 3" xfId="12536"/>
    <cellStyle name="Calculation 2 4 7 3 4" xfId="12537"/>
    <cellStyle name="Calculation 2 4 7 4" xfId="12538"/>
    <cellStyle name="Calculation 2 4 7 5" xfId="12539"/>
    <cellStyle name="Calculation 2 4 7 6" xfId="12540"/>
    <cellStyle name="Calculation 2 4 7 7" xfId="12541"/>
    <cellStyle name="Calculation 2 4 8" xfId="413"/>
    <cellStyle name="Calculation 2 4 8 2" xfId="414"/>
    <cellStyle name="Calculation 2 4 8 2 2" xfId="12542"/>
    <cellStyle name="Calculation 2 4 8 2 3" xfId="12543"/>
    <cellStyle name="Calculation 2 4 8 2 4" xfId="12544"/>
    <cellStyle name="Calculation 2 4 8 3" xfId="415"/>
    <cellStyle name="Calculation 2 4 8 4" xfId="12545"/>
    <cellStyle name="Calculation 2 4 8 5" xfId="12546"/>
    <cellStyle name="Calculation 2 4 8 6" xfId="12547"/>
    <cellStyle name="Calculation 2 4 9" xfId="416"/>
    <cellStyle name="Calculation 2 4 9 2" xfId="417"/>
    <cellStyle name="Calculation 2 4 9 3" xfId="418"/>
    <cellStyle name="Calculation 2 4 9 4" xfId="12548"/>
    <cellStyle name="Calculation 2 4 9 5" xfId="12549"/>
    <cellStyle name="Calculation 2 40" xfId="12550"/>
    <cellStyle name="Calculation 2 41" xfId="12551"/>
    <cellStyle name="Calculation 2 42" xfId="12552"/>
    <cellStyle name="Calculation 2 43" xfId="12553"/>
    <cellStyle name="Calculation 2 44" xfId="12554"/>
    <cellStyle name="Calculation 2 45" xfId="12555"/>
    <cellStyle name="Calculation 2 46" xfId="12556"/>
    <cellStyle name="Calculation 2 47" xfId="50228"/>
    <cellStyle name="Calculation 2 48" xfId="50229"/>
    <cellStyle name="Calculation 2 49" xfId="50230"/>
    <cellStyle name="Calculation 2 5" xfId="134"/>
    <cellStyle name="Calculation 2 5 10" xfId="12557"/>
    <cellStyle name="Calculation 2 5 10 2" xfId="12558"/>
    <cellStyle name="Calculation 2 5 10 3" xfId="12559"/>
    <cellStyle name="Calculation 2 5 10 4" xfId="12560"/>
    <cellStyle name="Calculation 2 5 11" xfId="12561"/>
    <cellStyle name="Calculation 2 5 11 2" xfId="12562"/>
    <cellStyle name="Calculation 2 5 11 3" xfId="12563"/>
    <cellStyle name="Calculation 2 5 11 4" xfId="12564"/>
    <cellStyle name="Calculation 2 5 12" xfId="12565"/>
    <cellStyle name="Calculation 2 5 12 2" xfId="12566"/>
    <cellStyle name="Calculation 2 5 12 3" xfId="12567"/>
    <cellStyle name="Calculation 2 5 12 4" xfId="12568"/>
    <cellStyle name="Calculation 2 5 13" xfId="12569"/>
    <cellStyle name="Calculation 2 5 14" xfId="12570"/>
    <cellStyle name="Calculation 2 5 15" xfId="12571"/>
    <cellStyle name="Calculation 2 5 16" xfId="12572"/>
    <cellStyle name="Calculation 2 5 17" xfId="12573"/>
    <cellStyle name="Calculation 2 5 18" xfId="12574"/>
    <cellStyle name="Calculation 2 5 19" xfId="12575"/>
    <cellStyle name="Calculation 2 5 2" xfId="419"/>
    <cellStyle name="Calculation 2 5 2 10" xfId="12576"/>
    <cellStyle name="Calculation 2 5 2 11" xfId="12577"/>
    <cellStyle name="Calculation 2 5 2 12" xfId="12578"/>
    <cellStyle name="Calculation 2 5 2 2" xfId="12579"/>
    <cellStyle name="Calculation 2 5 2 2 10" xfId="12580"/>
    <cellStyle name="Calculation 2 5 2 2 11" xfId="12581"/>
    <cellStyle name="Calculation 2 5 2 2 2" xfId="12582"/>
    <cellStyle name="Calculation 2 5 2 2 2 2" xfId="12583"/>
    <cellStyle name="Calculation 2 5 2 2 2 2 2" xfId="12584"/>
    <cellStyle name="Calculation 2 5 2 2 2 2 2 2" xfId="12585"/>
    <cellStyle name="Calculation 2 5 2 2 2 2 2 3" xfId="12586"/>
    <cellStyle name="Calculation 2 5 2 2 2 2 2 4" xfId="12587"/>
    <cellStyle name="Calculation 2 5 2 2 2 2 3" xfId="12588"/>
    <cellStyle name="Calculation 2 5 2 2 2 2 4" xfId="12589"/>
    <cellStyle name="Calculation 2 5 2 2 2 2 5" xfId="12590"/>
    <cellStyle name="Calculation 2 5 2 2 2 2 6" xfId="12591"/>
    <cellStyle name="Calculation 2 5 2 2 2 3" xfId="12592"/>
    <cellStyle name="Calculation 2 5 2 2 2 3 2" xfId="12593"/>
    <cellStyle name="Calculation 2 5 2 2 2 3 3" xfId="12594"/>
    <cellStyle name="Calculation 2 5 2 2 2 3 4" xfId="12595"/>
    <cellStyle name="Calculation 2 5 2 2 2 4" xfId="12596"/>
    <cellStyle name="Calculation 2 5 2 2 2 5" xfId="12597"/>
    <cellStyle name="Calculation 2 5 2 2 2 6" xfId="12598"/>
    <cellStyle name="Calculation 2 5 2 2 2 7" xfId="12599"/>
    <cellStyle name="Calculation 2 5 2 2 3" xfId="12600"/>
    <cellStyle name="Calculation 2 5 2 2 3 2" xfId="12601"/>
    <cellStyle name="Calculation 2 5 2 2 3 2 2" xfId="12602"/>
    <cellStyle name="Calculation 2 5 2 2 3 2 3" xfId="12603"/>
    <cellStyle name="Calculation 2 5 2 2 3 2 4" xfId="12604"/>
    <cellStyle name="Calculation 2 5 2 2 3 3" xfId="12605"/>
    <cellStyle name="Calculation 2 5 2 2 3 4" xfId="12606"/>
    <cellStyle name="Calculation 2 5 2 2 3 5" xfId="12607"/>
    <cellStyle name="Calculation 2 5 2 2 3 6" xfId="12608"/>
    <cellStyle name="Calculation 2 5 2 2 4" xfId="12609"/>
    <cellStyle name="Calculation 2 5 2 2 4 2" xfId="12610"/>
    <cellStyle name="Calculation 2 5 2 2 4 3" xfId="12611"/>
    <cellStyle name="Calculation 2 5 2 2 4 4" xfId="12612"/>
    <cellStyle name="Calculation 2 5 2 2 4 5" xfId="12613"/>
    <cellStyle name="Calculation 2 5 2 2 5" xfId="12614"/>
    <cellStyle name="Calculation 2 5 2 2 5 2" xfId="12615"/>
    <cellStyle name="Calculation 2 5 2 2 5 3" xfId="12616"/>
    <cellStyle name="Calculation 2 5 2 2 5 4" xfId="12617"/>
    <cellStyle name="Calculation 2 5 2 2 6" xfId="12618"/>
    <cellStyle name="Calculation 2 5 2 2 6 2" xfId="12619"/>
    <cellStyle name="Calculation 2 5 2 2 6 3" xfId="12620"/>
    <cellStyle name="Calculation 2 5 2 2 6 4" xfId="12621"/>
    <cellStyle name="Calculation 2 5 2 2 7" xfId="12622"/>
    <cellStyle name="Calculation 2 5 2 2 7 2" xfId="12623"/>
    <cellStyle name="Calculation 2 5 2 2 7 3" xfId="12624"/>
    <cellStyle name="Calculation 2 5 2 2 7 4" xfId="12625"/>
    <cellStyle name="Calculation 2 5 2 2 8" xfId="12626"/>
    <cellStyle name="Calculation 2 5 2 2 9" xfId="12627"/>
    <cellStyle name="Calculation 2 5 2 3" xfId="12628"/>
    <cellStyle name="Calculation 2 5 2 3 2" xfId="12629"/>
    <cellStyle name="Calculation 2 5 2 3 2 2" xfId="12630"/>
    <cellStyle name="Calculation 2 5 2 3 2 2 2" xfId="12631"/>
    <cellStyle name="Calculation 2 5 2 3 2 2 3" xfId="12632"/>
    <cellStyle name="Calculation 2 5 2 3 2 2 4" xfId="12633"/>
    <cellStyle name="Calculation 2 5 2 3 2 3" xfId="12634"/>
    <cellStyle name="Calculation 2 5 2 3 2 4" xfId="12635"/>
    <cellStyle name="Calculation 2 5 2 3 2 5" xfId="12636"/>
    <cellStyle name="Calculation 2 5 2 3 2 6" xfId="12637"/>
    <cellStyle name="Calculation 2 5 2 3 3" xfId="12638"/>
    <cellStyle name="Calculation 2 5 2 3 3 2" xfId="12639"/>
    <cellStyle name="Calculation 2 5 2 3 3 3" xfId="12640"/>
    <cellStyle name="Calculation 2 5 2 3 3 4" xfId="12641"/>
    <cellStyle name="Calculation 2 5 2 3 4" xfId="12642"/>
    <cellStyle name="Calculation 2 5 2 3 5" xfId="12643"/>
    <cellStyle name="Calculation 2 5 2 3 6" xfId="12644"/>
    <cellStyle name="Calculation 2 5 2 3 7" xfId="12645"/>
    <cellStyle name="Calculation 2 5 2 4" xfId="12646"/>
    <cellStyle name="Calculation 2 5 2 4 2" xfId="12647"/>
    <cellStyle name="Calculation 2 5 2 4 2 2" xfId="12648"/>
    <cellStyle name="Calculation 2 5 2 4 2 3" xfId="12649"/>
    <cellStyle name="Calculation 2 5 2 4 2 4" xfId="12650"/>
    <cellStyle name="Calculation 2 5 2 4 3" xfId="12651"/>
    <cellStyle name="Calculation 2 5 2 4 4" xfId="12652"/>
    <cellStyle name="Calculation 2 5 2 4 5" xfId="12653"/>
    <cellStyle name="Calculation 2 5 2 4 6" xfId="12654"/>
    <cellStyle name="Calculation 2 5 2 5" xfId="12655"/>
    <cellStyle name="Calculation 2 5 2 5 2" xfId="12656"/>
    <cellStyle name="Calculation 2 5 2 5 3" xfId="12657"/>
    <cellStyle name="Calculation 2 5 2 5 4" xfId="12658"/>
    <cellStyle name="Calculation 2 5 2 5 5" xfId="12659"/>
    <cellStyle name="Calculation 2 5 2 6" xfId="12660"/>
    <cellStyle name="Calculation 2 5 2 6 2" xfId="12661"/>
    <cellStyle name="Calculation 2 5 2 6 3" xfId="12662"/>
    <cellStyle name="Calculation 2 5 2 6 4" xfId="12663"/>
    <cellStyle name="Calculation 2 5 2 7" xfId="12664"/>
    <cellStyle name="Calculation 2 5 2 7 2" xfId="12665"/>
    <cellStyle name="Calculation 2 5 2 7 3" xfId="12666"/>
    <cellStyle name="Calculation 2 5 2 7 4" xfId="12667"/>
    <cellStyle name="Calculation 2 5 2 8" xfId="12668"/>
    <cellStyle name="Calculation 2 5 2 8 2" xfId="12669"/>
    <cellStyle name="Calculation 2 5 2 8 3" xfId="12670"/>
    <cellStyle name="Calculation 2 5 2 8 4" xfId="12671"/>
    <cellStyle name="Calculation 2 5 2 9" xfId="12672"/>
    <cellStyle name="Calculation 2 5 20" xfId="12673"/>
    <cellStyle name="Calculation 2 5 21" xfId="12674"/>
    <cellStyle name="Calculation 2 5 22" xfId="12675"/>
    <cellStyle name="Calculation 2 5 23" xfId="12676"/>
    <cellStyle name="Calculation 2 5 24" xfId="12677"/>
    <cellStyle name="Calculation 2 5 25" xfId="12678"/>
    <cellStyle name="Calculation 2 5 26" xfId="12679"/>
    <cellStyle name="Calculation 2 5 27" xfId="12680"/>
    <cellStyle name="Calculation 2 5 28" xfId="12681"/>
    <cellStyle name="Calculation 2 5 29" xfId="50231"/>
    <cellStyle name="Calculation 2 5 3" xfId="420"/>
    <cellStyle name="Calculation 2 5 3 10" xfId="12682"/>
    <cellStyle name="Calculation 2 5 3 11" xfId="12683"/>
    <cellStyle name="Calculation 2 5 3 2" xfId="12684"/>
    <cellStyle name="Calculation 2 5 3 2 2" xfId="12685"/>
    <cellStyle name="Calculation 2 5 3 2 2 2" xfId="12686"/>
    <cellStyle name="Calculation 2 5 3 2 2 2 2" xfId="12687"/>
    <cellStyle name="Calculation 2 5 3 2 2 2 3" xfId="12688"/>
    <cellStyle name="Calculation 2 5 3 2 2 2 4" xfId="12689"/>
    <cellStyle name="Calculation 2 5 3 2 2 3" xfId="12690"/>
    <cellStyle name="Calculation 2 5 3 2 2 4" xfId="12691"/>
    <cellStyle name="Calculation 2 5 3 2 2 5" xfId="12692"/>
    <cellStyle name="Calculation 2 5 3 2 2 6" xfId="12693"/>
    <cellStyle name="Calculation 2 5 3 2 3" xfId="12694"/>
    <cellStyle name="Calculation 2 5 3 2 3 2" xfId="12695"/>
    <cellStyle name="Calculation 2 5 3 2 3 3" xfId="12696"/>
    <cellStyle name="Calculation 2 5 3 2 3 4" xfId="12697"/>
    <cellStyle name="Calculation 2 5 3 2 4" xfId="12698"/>
    <cellStyle name="Calculation 2 5 3 2 5" xfId="12699"/>
    <cellStyle name="Calculation 2 5 3 2 6" xfId="12700"/>
    <cellStyle name="Calculation 2 5 3 2 7" xfId="12701"/>
    <cellStyle name="Calculation 2 5 3 3" xfId="12702"/>
    <cellStyle name="Calculation 2 5 3 3 2" xfId="12703"/>
    <cellStyle name="Calculation 2 5 3 3 2 2" xfId="12704"/>
    <cellStyle name="Calculation 2 5 3 3 2 3" xfId="12705"/>
    <cellStyle name="Calculation 2 5 3 3 2 4" xfId="12706"/>
    <cellStyle name="Calculation 2 5 3 3 3" xfId="12707"/>
    <cellStyle name="Calculation 2 5 3 3 4" xfId="12708"/>
    <cellStyle name="Calculation 2 5 3 3 5" xfId="12709"/>
    <cellStyle name="Calculation 2 5 3 3 6" xfId="12710"/>
    <cellStyle name="Calculation 2 5 3 4" xfId="12711"/>
    <cellStyle name="Calculation 2 5 3 4 2" xfId="12712"/>
    <cellStyle name="Calculation 2 5 3 4 3" xfId="12713"/>
    <cellStyle name="Calculation 2 5 3 4 4" xfId="12714"/>
    <cellStyle name="Calculation 2 5 3 4 5" xfId="12715"/>
    <cellStyle name="Calculation 2 5 3 5" xfId="12716"/>
    <cellStyle name="Calculation 2 5 3 5 2" xfId="12717"/>
    <cellStyle name="Calculation 2 5 3 5 3" xfId="12718"/>
    <cellStyle name="Calculation 2 5 3 5 4" xfId="12719"/>
    <cellStyle name="Calculation 2 5 3 6" xfId="12720"/>
    <cellStyle name="Calculation 2 5 3 6 2" xfId="12721"/>
    <cellStyle name="Calculation 2 5 3 6 3" xfId="12722"/>
    <cellStyle name="Calculation 2 5 3 6 4" xfId="12723"/>
    <cellStyle name="Calculation 2 5 3 7" xfId="12724"/>
    <cellStyle name="Calculation 2 5 3 7 2" xfId="12725"/>
    <cellStyle name="Calculation 2 5 3 7 3" xfId="12726"/>
    <cellStyle name="Calculation 2 5 3 7 4" xfId="12727"/>
    <cellStyle name="Calculation 2 5 3 8" xfId="12728"/>
    <cellStyle name="Calculation 2 5 3 9" xfId="12729"/>
    <cellStyle name="Calculation 2 5 30" xfId="50232"/>
    <cellStyle name="Calculation 2 5 31" xfId="50233"/>
    <cellStyle name="Calculation 2 5 32" xfId="50234"/>
    <cellStyle name="Calculation 2 5 33" xfId="50235"/>
    <cellStyle name="Calculation 2 5 34" xfId="50236"/>
    <cellStyle name="Calculation 2 5 35" xfId="50237"/>
    <cellStyle name="Calculation 2 5 36" xfId="50238"/>
    <cellStyle name="Calculation 2 5 37" xfId="50239"/>
    <cellStyle name="Calculation 2 5 38" xfId="50240"/>
    <cellStyle name="Calculation 2 5 39" xfId="50241"/>
    <cellStyle name="Calculation 2 5 4" xfId="12730"/>
    <cellStyle name="Calculation 2 5 4 2" xfId="12731"/>
    <cellStyle name="Calculation 2 5 4 2 2" xfId="12732"/>
    <cellStyle name="Calculation 2 5 4 2 2 2" xfId="12733"/>
    <cellStyle name="Calculation 2 5 4 2 2 3" xfId="12734"/>
    <cellStyle name="Calculation 2 5 4 2 2 4" xfId="12735"/>
    <cellStyle name="Calculation 2 5 4 2 3" xfId="12736"/>
    <cellStyle name="Calculation 2 5 4 2 4" xfId="12737"/>
    <cellStyle name="Calculation 2 5 4 2 5" xfId="12738"/>
    <cellStyle name="Calculation 2 5 4 2 6" xfId="12739"/>
    <cellStyle name="Calculation 2 5 4 3" xfId="12740"/>
    <cellStyle name="Calculation 2 5 4 3 2" xfId="12741"/>
    <cellStyle name="Calculation 2 5 4 3 3" xfId="12742"/>
    <cellStyle name="Calculation 2 5 4 3 4" xfId="12743"/>
    <cellStyle name="Calculation 2 5 4 4" xfId="12744"/>
    <cellStyle name="Calculation 2 5 4 5" xfId="12745"/>
    <cellStyle name="Calculation 2 5 4 6" xfId="12746"/>
    <cellStyle name="Calculation 2 5 4 7" xfId="12747"/>
    <cellStyle name="Calculation 2 5 40" xfId="50242"/>
    <cellStyle name="Calculation 2 5 5" xfId="12748"/>
    <cellStyle name="Calculation 2 5 5 2" xfId="12749"/>
    <cellStyle name="Calculation 2 5 5 2 2" xfId="12750"/>
    <cellStyle name="Calculation 2 5 5 2 3" xfId="12751"/>
    <cellStyle name="Calculation 2 5 5 2 4" xfId="12752"/>
    <cellStyle name="Calculation 2 5 5 3" xfId="12753"/>
    <cellStyle name="Calculation 2 5 5 3 2" xfId="12754"/>
    <cellStyle name="Calculation 2 5 5 3 3" xfId="12755"/>
    <cellStyle name="Calculation 2 5 5 3 4" xfId="12756"/>
    <cellStyle name="Calculation 2 5 5 4" xfId="12757"/>
    <cellStyle name="Calculation 2 5 5 5" xfId="12758"/>
    <cellStyle name="Calculation 2 5 5 6" xfId="12759"/>
    <cellStyle name="Calculation 2 5 5 7" xfId="12760"/>
    <cellStyle name="Calculation 2 5 6" xfId="12761"/>
    <cellStyle name="Calculation 2 5 6 2" xfId="12762"/>
    <cellStyle name="Calculation 2 5 6 2 2" xfId="12763"/>
    <cellStyle name="Calculation 2 5 6 2 3" xfId="12764"/>
    <cellStyle name="Calculation 2 5 6 2 4" xfId="12765"/>
    <cellStyle name="Calculation 2 5 6 3" xfId="12766"/>
    <cellStyle name="Calculation 2 5 6 3 2" xfId="12767"/>
    <cellStyle name="Calculation 2 5 6 3 3" xfId="12768"/>
    <cellStyle name="Calculation 2 5 6 3 4" xfId="12769"/>
    <cellStyle name="Calculation 2 5 6 4" xfId="12770"/>
    <cellStyle name="Calculation 2 5 6 5" xfId="12771"/>
    <cellStyle name="Calculation 2 5 6 6" xfId="12772"/>
    <cellStyle name="Calculation 2 5 6 7" xfId="12773"/>
    <cellStyle name="Calculation 2 5 7" xfId="12774"/>
    <cellStyle name="Calculation 2 5 7 2" xfId="12775"/>
    <cellStyle name="Calculation 2 5 7 2 2" xfId="12776"/>
    <cellStyle name="Calculation 2 5 7 2 3" xfId="12777"/>
    <cellStyle name="Calculation 2 5 7 2 4" xfId="12778"/>
    <cellStyle name="Calculation 2 5 7 3" xfId="12779"/>
    <cellStyle name="Calculation 2 5 7 3 2" xfId="12780"/>
    <cellStyle name="Calculation 2 5 7 3 3" xfId="12781"/>
    <cellStyle name="Calculation 2 5 7 3 4" xfId="12782"/>
    <cellStyle name="Calculation 2 5 7 4" xfId="12783"/>
    <cellStyle name="Calculation 2 5 7 5" xfId="12784"/>
    <cellStyle name="Calculation 2 5 7 6" xfId="12785"/>
    <cellStyle name="Calculation 2 5 7 7" xfId="12786"/>
    <cellStyle name="Calculation 2 5 8" xfId="12787"/>
    <cellStyle name="Calculation 2 5 8 2" xfId="12788"/>
    <cellStyle name="Calculation 2 5 8 2 2" xfId="12789"/>
    <cellStyle name="Calculation 2 5 8 2 3" xfId="12790"/>
    <cellStyle name="Calculation 2 5 8 2 4" xfId="12791"/>
    <cellStyle name="Calculation 2 5 8 3" xfId="12792"/>
    <cellStyle name="Calculation 2 5 8 4" xfId="12793"/>
    <cellStyle name="Calculation 2 5 8 5" xfId="12794"/>
    <cellStyle name="Calculation 2 5 8 6" xfId="12795"/>
    <cellStyle name="Calculation 2 5 9" xfId="12796"/>
    <cellStyle name="Calculation 2 5 9 2" xfId="12797"/>
    <cellStyle name="Calculation 2 5 9 3" xfId="12798"/>
    <cellStyle name="Calculation 2 5 9 4" xfId="12799"/>
    <cellStyle name="Calculation 2 5 9 5" xfId="12800"/>
    <cellStyle name="Calculation 2 50" xfId="50243"/>
    <cellStyle name="Calculation 2 51" xfId="50244"/>
    <cellStyle name="Calculation 2 52" xfId="50245"/>
    <cellStyle name="Calculation 2 53" xfId="50246"/>
    <cellStyle name="Calculation 2 54" xfId="50247"/>
    <cellStyle name="Calculation 2 55" xfId="50248"/>
    <cellStyle name="Calculation 2 56" xfId="50249"/>
    <cellStyle name="Calculation 2 57" xfId="50250"/>
    <cellStyle name="Calculation 2 58" xfId="50251"/>
    <cellStyle name="Calculation 2 59" xfId="50252"/>
    <cellStyle name="Calculation 2 6" xfId="421"/>
    <cellStyle name="Calculation 2 6 10" xfId="12801"/>
    <cellStyle name="Calculation 2 6 10 2" xfId="12802"/>
    <cellStyle name="Calculation 2 6 10 3" xfId="12803"/>
    <cellStyle name="Calculation 2 6 10 4" xfId="12804"/>
    <cellStyle name="Calculation 2 6 11" xfId="12805"/>
    <cellStyle name="Calculation 2 6 11 2" xfId="12806"/>
    <cellStyle name="Calculation 2 6 11 3" xfId="12807"/>
    <cellStyle name="Calculation 2 6 11 4" xfId="12808"/>
    <cellStyle name="Calculation 2 6 12" xfId="12809"/>
    <cellStyle name="Calculation 2 6 12 2" xfId="12810"/>
    <cellStyle name="Calculation 2 6 12 3" xfId="12811"/>
    <cellStyle name="Calculation 2 6 12 4" xfId="12812"/>
    <cellStyle name="Calculation 2 6 13" xfId="12813"/>
    <cellStyle name="Calculation 2 6 14" xfId="12814"/>
    <cellStyle name="Calculation 2 6 15" xfId="12815"/>
    <cellStyle name="Calculation 2 6 16" xfId="12816"/>
    <cellStyle name="Calculation 2 6 17" xfId="12817"/>
    <cellStyle name="Calculation 2 6 18" xfId="12818"/>
    <cellStyle name="Calculation 2 6 19" xfId="12819"/>
    <cellStyle name="Calculation 2 6 2" xfId="422"/>
    <cellStyle name="Calculation 2 6 2 10" xfId="12820"/>
    <cellStyle name="Calculation 2 6 2 11" xfId="12821"/>
    <cellStyle name="Calculation 2 6 2 12" xfId="12822"/>
    <cellStyle name="Calculation 2 6 2 2" xfId="12823"/>
    <cellStyle name="Calculation 2 6 2 2 10" xfId="12824"/>
    <cellStyle name="Calculation 2 6 2 2 11" xfId="12825"/>
    <cellStyle name="Calculation 2 6 2 2 2" xfId="12826"/>
    <cellStyle name="Calculation 2 6 2 2 2 2" xfId="12827"/>
    <cellStyle name="Calculation 2 6 2 2 2 2 2" xfId="12828"/>
    <cellStyle name="Calculation 2 6 2 2 2 2 2 2" xfId="12829"/>
    <cellStyle name="Calculation 2 6 2 2 2 2 2 3" xfId="12830"/>
    <cellStyle name="Calculation 2 6 2 2 2 2 2 4" xfId="12831"/>
    <cellStyle name="Calculation 2 6 2 2 2 2 3" xfId="12832"/>
    <cellStyle name="Calculation 2 6 2 2 2 2 4" xfId="12833"/>
    <cellStyle name="Calculation 2 6 2 2 2 2 5" xfId="12834"/>
    <cellStyle name="Calculation 2 6 2 2 2 2 6" xfId="12835"/>
    <cellStyle name="Calculation 2 6 2 2 2 3" xfId="12836"/>
    <cellStyle name="Calculation 2 6 2 2 2 3 2" xfId="12837"/>
    <cellStyle name="Calculation 2 6 2 2 2 3 3" xfId="12838"/>
    <cellStyle name="Calculation 2 6 2 2 2 3 4" xfId="12839"/>
    <cellStyle name="Calculation 2 6 2 2 2 4" xfId="12840"/>
    <cellStyle name="Calculation 2 6 2 2 2 5" xfId="12841"/>
    <cellStyle name="Calculation 2 6 2 2 2 6" xfId="12842"/>
    <cellStyle name="Calculation 2 6 2 2 2 7" xfId="12843"/>
    <cellStyle name="Calculation 2 6 2 2 3" xfId="12844"/>
    <cellStyle name="Calculation 2 6 2 2 3 2" xfId="12845"/>
    <cellStyle name="Calculation 2 6 2 2 3 2 2" xfId="12846"/>
    <cellStyle name="Calculation 2 6 2 2 3 2 3" xfId="12847"/>
    <cellStyle name="Calculation 2 6 2 2 3 2 4" xfId="12848"/>
    <cellStyle name="Calculation 2 6 2 2 3 3" xfId="12849"/>
    <cellStyle name="Calculation 2 6 2 2 3 4" xfId="12850"/>
    <cellStyle name="Calculation 2 6 2 2 3 5" xfId="12851"/>
    <cellStyle name="Calculation 2 6 2 2 3 6" xfId="12852"/>
    <cellStyle name="Calculation 2 6 2 2 4" xfId="12853"/>
    <cellStyle name="Calculation 2 6 2 2 4 2" xfId="12854"/>
    <cellStyle name="Calculation 2 6 2 2 4 3" xfId="12855"/>
    <cellStyle name="Calculation 2 6 2 2 4 4" xfId="12856"/>
    <cellStyle name="Calculation 2 6 2 2 4 5" xfId="12857"/>
    <cellStyle name="Calculation 2 6 2 2 5" xfId="12858"/>
    <cellStyle name="Calculation 2 6 2 2 5 2" xfId="12859"/>
    <cellStyle name="Calculation 2 6 2 2 5 3" xfId="12860"/>
    <cellStyle name="Calculation 2 6 2 2 5 4" xfId="12861"/>
    <cellStyle name="Calculation 2 6 2 2 6" xfId="12862"/>
    <cellStyle name="Calculation 2 6 2 2 6 2" xfId="12863"/>
    <cellStyle name="Calculation 2 6 2 2 6 3" xfId="12864"/>
    <cellStyle name="Calculation 2 6 2 2 6 4" xfId="12865"/>
    <cellStyle name="Calculation 2 6 2 2 7" xfId="12866"/>
    <cellStyle name="Calculation 2 6 2 2 7 2" xfId="12867"/>
    <cellStyle name="Calculation 2 6 2 2 7 3" xfId="12868"/>
    <cellStyle name="Calculation 2 6 2 2 7 4" xfId="12869"/>
    <cellStyle name="Calculation 2 6 2 2 8" xfId="12870"/>
    <cellStyle name="Calculation 2 6 2 2 9" xfId="12871"/>
    <cellStyle name="Calculation 2 6 2 3" xfId="12872"/>
    <cellStyle name="Calculation 2 6 2 3 2" xfId="12873"/>
    <cellStyle name="Calculation 2 6 2 3 2 2" xfId="12874"/>
    <cellStyle name="Calculation 2 6 2 3 2 2 2" xfId="12875"/>
    <cellStyle name="Calculation 2 6 2 3 2 2 3" xfId="12876"/>
    <cellStyle name="Calculation 2 6 2 3 2 2 4" xfId="12877"/>
    <cellStyle name="Calculation 2 6 2 3 2 3" xfId="12878"/>
    <cellStyle name="Calculation 2 6 2 3 2 4" xfId="12879"/>
    <cellStyle name="Calculation 2 6 2 3 2 5" xfId="12880"/>
    <cellStyle name="Calculation 2 6 2 3 2 6" xfId="12881"/>
    <cellStyle name="Calculation 2 6 2 3 3" xfId="12882"/>
    <cellStyle name="Calculation 2 6 2 3 3 2" xfId="12883"/>
    <cellStyle name="Calculation 2 6 2 3 3 3" xfId="12884"/>
    <cellStyle name="Calculation 2 6 2 3 3 4" xfId="12885"/>
    <cellStyle name="Calculation 2 6 2 3 4" xfId="12886"/>
    <cellStyle name="Calculation 2 6 2 3 5" xfId="12887"/>
    <cellStyle name="Calculation 2 6 2 3 6" xfId="12888"/>
    <cellStyle name="Calculation 2 6 2 3 7" xfId="12889"/>
    <cellStyle name="Calculation 2 6 2 4" xfId="12890"/>
    <cellStyle name="Calculation 2 6 2 4 2" xfId="12891"/>
    <cellStyle name="Calculation 2 6 2 4 2 2" xfId="12892"/>
    <cellStyle name="Calculation 2 6 2 4 2 3" xfId="12893"/>
    <cellStyle name="Calculation 2 6 2 4 2 4" xfId="12894"/>
    <cellStyle name="Calculation 2 6 2 4 3" xfId="12895"/>
    <cellStyle name="Calculation 2 6 2 4 4" xfId="12896"/>
    <cellStyle name="Calculation 2 6 2 4 5" xfId="12897"/>
    <cellStyle name="Calculation 2 6 2 4 6" xfId="12898"/>
    <cellStyle name="Calculation 2 6 2 5" xfId="12899"/>
    <cellStyle name="Calculation 2 6 2 5 2" xfId="12900"/>
    <cellStyle name="Calculation 2 6 2 5 3" xfId="12901"/>
    <cellStyle name="Calculation 2 6 2 5 4" xfId="12902"/>
    <cellStyle name="Calculation 2 6 2 5 5" xfId="12903"/>
    <cellStyle name="Calculation 2 6 2 6" xfId="12904"/>
    <cellStyle name="Calculation 2 6 2 6 2" xfId="12905"/>
    <cellStyle name="Calculation 2 6 2 6 3" xfId="12906"/>
    <cellStyle name="Calculation 2 6 2 6 4" xfId="12907"/>
    <cellStyle name="Calculation 2 6 2 7" xfId="12908"/>
    <cellStyle name="Calculation 2 6 2 7 2" xfId="12909"/>
    <cellStyle name="Calculation 2 6 2 7 3" xfId="12910"/>
    <cellStyle name="Calculation 2 6 2 7 4" xfId="12911"/>
    <cellStyle name="Calculation 2 6 2 8" xfId="12912"/>
    <cellStyle name="Calculation 2 6 2 8 2" xfId="12913"/>
    <cellStyle name="Calculation 2 6 2 8 3" xfId="12914"/>
    <cellStyle name="Calculation 2 6 2 8 4" xfId="12915"/>
    <cellStyle name="Calculation 2 6 2 9" xfId="12916"/>
    <cellStyle name="Calculation 2 6 20" xfId="12917"/>
    <cellStyle name="Calculation 2 6 21" xfId="12918"/>
    <cellStyle name="Calculation 2 6 22" xfId="12919"/>
    <cellStyle name="Calculation 2 6 23" xfId="12920"/>
    <cellStyle name="Calculation 2 6 24" xfId="12921"/>
    <cellStyle name="Calculation 2 6 25" xfId="12922"/>
    <cellStyle name="Calculation 2 6 26" xfId="12923"/>
    <cellStyle name="Calculation 2 6 27" xfId="12924"/>
    <cellStyle name="Calculation 2 6 28" xfId="12925"/>
    <cellStyle name="Calculation 2 6 29" xfId="50253"/>
    <cellStyle name="Calculation 2 6 3" xfId="12926"/>
    <cellStyle name="Calculation 2 6 3 10" xfId="12927"/>
    <cellStyle name="Calculation 2 6 3 11" xfId="12928"/>
    <cellStyle name="Calculation 2 6 3 2" xfId="12929"/>
    <cellStyle name="Calculation 2 6 3 2 2" xfId="12930"/>
    <cellStyle name="Calculation 2 6 3 2 2 2" xfId="12931"/>
    <cellStyle name="Calculation 2 6 3 2 2 2 2" xfId="12932"/>
    <cellStyle name="Calculation 2 6 3 2 2 2 3" xfId="12933"/>
    <cellStyle name="Calculation 2 6 3 2 2 2 4" xfId="12934"/>
    <cellStyle name="Calculation 2 6 3 2 2 3" xfId="12935"/>
    <cellStyle name="Calculation 2 6 3 2 2 4" xfId="12936"/>
    <cellStyle name="Calculation 2 6 3 2 2 5" xfId="12937"/>
    <cellStyle name="Calculation 2 6 3 2 2 6" xfId="12938"/>
    <cellStyle name="Calculation 2 6 3 2 3" xfId="12939"/>
    <cellStyle name="Calculation 2 6 3 2 3 2" xfId="12940"/>
    <cellStyle name="Calculation 2 6 3 2 3 3" xfId="12941"/>
    <cellStyle name="Calculation 2 6 3 2 3 4" xfId="12942"/>
    <cellStyle name="Calculation 2 6 3 2 4" xfId="12943"/>
    <cellStyle name="Calculation 2 6 3 2 5" xfId="12944"/>
    <cellStyle name="Calculation 2 6 3 2 6" xfId="12945"/>
    <cellStyle name="Calculation 2 6 3 2 7" xfId="12946"/>
    <cellStyle name="Calculation 2 6 3 3" xfId="12947"/>
    <cellStyle name="Calculation 2 6 3 3 2" xfId="12948"/>
    <cellStyle name="Calculation 2 6 3 3 2 2" xfId="12949"/>
    <cellStyle name="Calculation 2 6 3 3 2 3" xfId="12950"/>
    <cellStyle name="Calculation 2 6 3 3 2 4" xfId="12951"/>
    <cellStyle name="Calculation 2 6 3 3 3" xfId="12952"/>
    <cellStyle name="Calculation 2 6 3 3 4" xfId="12953"/>
    <cellStyle name="Calculation 2 6 3 3 5" xfId="12954"/>
    <cellStyle name="Calculation 2 6 3 3 6" xfId="12955"/>
    <cellStyle name="Calculation 2 6 3 4" xfId="12956"/>
    <cellStyle name="Calculation 2 6 3 4 2" xfId="12957"/>
    <cellStyle name="Calculation 2 6 3 4 3" xfId="12958"/>
    <cellStyle name="Calculation 2 6 3 4 4" xfId="12959"/>
    <cellStyle name="Calculation 2 6 3 4 5" xfId="12960"/>
    <cellStyle name="Calculation 2 6 3 5" xfId="12961"/>
    <cellStyle name="Calculation 2 6 3 5 2" xfId="12962"/>
    <cellStyle name="Calculation 2 6 3 5 3" xfId="12963"/>
    <cellStyle name="Calculation 2 6 3 5 4" xfId="12964"/>
    <cellStyle name="Calculation 2 6 3 6" xfId="12965"/>
    <cellStyle name="Calculation 2 6 3 6 2" xfId="12966"/>
    <cellStyle name="Calculation 2 6 3 6 3" xfId="12967"/>
    <cellStyle name="Calculation 2 6 3 6 4" xfId="12968"/>
    <cellStyle name="Calculation 2 6 3 7" xfId="12969"/>
    <cellStyle name="Calculation 2 6 3 7 2" xfId="12970"/>
    <cellStyle name="Calculation 2 6 3 7 3" xfId="12971"/>
    <cellStyle name="Calculation 2 6 3 7 4" xfId="12972"/>
    <cellStyle name="Calculation 2 6 3 8" xfId="12973"/>
    <cellStyle name="Calculation 2 6 3 9" xfId="12974"/>
    <cellStyle name="Calculation 2 6 30" xfId="50254"/>
    <cellStyle name="Calculation 2 6 31" xfId="50255"/>
    <cellStyle name="Calculation 2 6 32" xfId="50256"/>
    <cellStyle name="Calculation 2 6 33" xfId="50257"/>
    <cellStyle name="Calculation 2 6 34" xfId="50258"/>
    <cellStyle name="Calculation 2 6 35" xfId="50259"/>
    <cellStyle name="Calculation 2 6 36" xfId="50260"/>
    <cellStyle name="Calculation 2 6 37" xfId="50261"/>
    <cellStyle name="Calculation 2 6 38" xfId="50262"/>
    <cellStyle name="Calculation 2 6 39" xfId="50263"/>
    <cellStyle name="Calculation 2 6 4" xfId="12975"/>
    <cellStyle name="Calculation 2 6 4 2" xfId="12976"/>
    <cellStyle name="Calculation 2 6 4 2 2" xfId="12977"/>
    <cellStyle name="Calculation 2 6 4 2 2 2" xfId="12978"/>
    <cellStyle name="Calculation 2 6 4 2 2 3" xfId="12979"/>
    <cellStyle name="Calculation 2 6 4 2 2 4" xfId="12980"/>
    <cellStyle name="Calculation 2 6 4 2 3" xfId="12981"/>
    <cellStyle name="Calculation 2 6 4 2 4" xfId="12982"/>
    <cellStyle name="Calculation 2 6 4 2 5" xfId="12983"/>
    <cellStyle name="Calculation 2 6 4 2 6" xfId="12984"/>
    <cellStyle name="Calculation 2 6 4 3" xfId="12985"/>
    <cellStyle name="Calculation 2 6 4 3 2" xfId="12986"/>
    <cellStyle name="Calculation 2 6 4 3 3" xfId="12987"/>
    <cellStyle name="Calculation 2 6 4 3 4" xfId="12988"/>
    <cellStyle name="Calculation 2 6 4 4" xfId="12989"/>
    <cellStyle name="Calculation 2 6 4 5" xfId="12990"/>
    <cellStyle name="Calculation 2 6 4 6" xfId="12991"/>
    <cellStyle name="Calculation 2 6 4 7" xfId="12992"/>
    <cellStyle name="Calculation 2 6 40" xfId="50264"/>
    <cellStyle name="Calculation 2 6 5" xfId="12993"/>
    <cellStyle name="Calculation 2 6 5 2" xfId="12994"/>
    <cellStyle name="Calculation 2 6 5 2 2" xfId="12995"/>
    <cellStyle name="Calculation 2 6 5 2 3" xfId="12996"/>
    <cellStyle name="Calculation 2 6 5 2 4" xfId="12997"/>
    <cellStyle name="Calculation 2 6 5 3" xfId="12998"/>
    <cellStyle name="Calculation 2 6 5 3 2" xfId="12999"/>
    <cellStyle name="Calculation 2 6 5 3 3" xfId="13000"/>
    <cellStyle name="Calculation 2 6 5 3 4" xfId="13001"/>
    <cellStyle name="Calculation 2 6 5 4" xfId="13002"/>
    <cellStyle name="Calculation 2 6 5 5" xfId="13003"/>
    <cellStyle name="Calculation 2 6 5 6" xfId="13004"/>
    <cellStyle name="Calculation 2 6 5 7" xfId="13005"/>
    <cellStyle name="Calculation 2 6 6" xfId="13006"/>
    <cellStyle name="Calculation 2 6 6 2" xfId="13007"/>
    <cellStyle name="Calculation 2 6 6 2 2" xfId="13008"/>
    <cellStyle name="Calculation 2 6 6 2 3" xfId="13009"/>
    <cellStyle name="Calculation 2 6 6 2 4" xfId="13010"/>
    <cellStyle name="Calculation 2 6 6 3" xfId="13011"/>
    <cellStyle name="Calculation 2 6 6 3 2" xfId="13012"/>
    <cellStyle name="Calculation 2 6 6 3 3" xfId="13013"/>
    <cellStyle name="Calculation 2 6 6 3 4" xfId="13014"/>
    <cellStyle name="Calculation 2 6 6 4" xfId="13015"/>
    <cellStyle name="Calculation 2 6 6 5" xfId="13016"/>
    <cellStyle name="Calculation 2 6 6 6" xfId="13017"/>
    <cellStyle name="Calculation 2 6 6 7" xfId="13018"/>
    <cellStyle name="Calculation 2 6 7" xfId="13019"/>
    <cellStyle name="Calculation 2 6 7 2" xfId="13020"/>
    <cellStyle name="Calculation 2 6 7 2 2" xfId="13021"/>
    <cellStyle name="Calculation 2 6 7 2 3" xfId="13022"/>
    <cellStyle name="Calculation 2 6 7 2 4" xfId="13023"/>
    <cellStyle name="Calculation 2 6 7 3" xfId="13024"/>
    <cellStyle name="Calculation 2 6 7 3 2" xfId="13025"/>
    <cellStyle name="Calculation 2 6 7 3 3" xfId="13026"/>
    <cellStyle name="Calculation 2 6 7 3 4" xfId="13027"/>
    <cellStyle name="Calculation 2 6 7 4" xfId="13028"/>
    <cellStyle name="Calculation 2 6 7 5" xfId="13029"/>
    <cellStyle name="Calculation 2 6 7 6" xfId="13030"/>
    <cellStyle name="Calculation 2 6 7 7" xfId="13031"/>
    <cellStyle name="Calculation 2 6 8" xfId="13032"/>
    <cellStyle name="Calculation 2 6 8 2" xfId="13033"/>
    <cellStyle name="Calculation 2 6 8 2 2" xfId="13034"/>
    <cellStyle name="Calculation 2 6 8 2 3" xfId="13035"/>
    <cellStyle name="Calculation 2 6 8 2 4" xfId="13036"/>
    <cellStyle name="Calculation 2 6 8 3" xfId="13037"/>
    <cellStyle name="Calculation 2 6 8 4" xfId="13038"/>
    <cellStyle name="Calculation 2 6 8 5" xfId="13039"/>
    <cellStyle name="Calculation 2 6 8 6" xfId="13040"/>
    <cellStyle name="Calculation 2 6 9" xfId="13041"/>
    <cellStyle name="Calculation 2 6 9 2" xfId="13042"/>
    <cellStyle name="Calculation 2 6 9 3" xfId="13043"/>
    <cellStyle name="Calculation 2 6 9 4" xfId="13044"/>
    <cellStyle name="Calculation 2 6 9 5" xfId="13045"/>
    <cellStyle name="Calculation 2 60" xfId="50265"/>
    <cellStyle name="Calculation 2 61" xfId="50266"/>
    <cellStyle name="Calculation 2 62" xfId="50267"/>
    <cellStyle name="Calculation 2 7" xfId="423"/>
    <cellStyle name="Calculation 2 7 10" xfId="13046"/>
    <cellStyle name="Calculation 2 7 10 2" xfId="13047"/>
    <cellStyle name="Calculation 2 7 10 3" xfId="13048"/>
    <cellStyle name="Calculation 2 7 10 4" xfId="13049"/>
    <cellStyle name="Calculation 2 7 11" xfId="13050"/>
    <cellStyle name="Calculation 2 7 11 2" xfId="13051"/>
    <cellStyle name="Calculation 2 7 11 3" xfId="13052"/>
    <cellStyle name="Calculation 2 7 11 4" xfId="13053"/>
    <cellStyle name="Calculation 2 7 12" xfId="13054"/>
    <cellStyle name="Calculation 2 7 12 2" xfId="13055"/>
    <cellStyle name="Calculation 2 7 12 3" xfId="13056"/>
    <cellStyle name="Calculation 2 7 12 4" xfId="13057"/>
    <cellStyle name="Calculation 2 7 13" xfId="13058"/>
    <cellStyle name="Calculation 2 7 13 2" xfId="13059"/>
    <cellStyle name="Calculation 2 7 13 3" xfId="13060"/>
    <cellStyle name="Calculation 2 7 13 4" xfId="13061"/>
    <cellStyle name="Calculation 2 7 14" xfId="13062"/>
    <cellStyle name="Calculation 2 7 15" xfId="13063"/>
    <cellStyle name="Calculation 2 7 16" xfId="13064"/>
    <cellStyle name="Calculation 2 7 17" xfId="13065"/>
    <cellStyle name="Calculation 2 7 18" xfId="13066"/>
    <cellStyle name="Calculation 2 7 19" xfId="13067"/>
    <cellStyle name="Calculation 2 7 2" xfId="424"/>
    <cellStyle name="Calculation 2 7 2 10" xfId="13068"/>
    <cellStyle name="Calculation 2 7 2 11" xfId="13069"/>
    <cellStyle name="Calculation 2 7 2 12" xfId="13070"/>
    <cellStyle name="Calculation 2 7 2 2" xfId="13071"/>
    <cellStyle name="Calculation 2 7 2 2 10" xfId="13072"/>
    <cellStyle name="Calculation 2 7 2 2 11" xfId="13073"/>
    <cellStyle name="Calculation 2 7 2 2 2" xfId="13074"/>
    <cellStyle name="Calculation 2 7 2 2 2 2" xfId="13075"/>
    <cellStyle name="Calculation 2 7 2 2 2 2 2" xfId="13076"/>
    <cellStyle name="Calculation 2 7 2 2 2 2 2 2" xfId="13077"/>
    <cellStyle name="Calculation 2 7 2 2 2 2 2 3" xfId="13078"/>
    <cellStyle name="Calculation 2 7 2 2 2 2 2 4" xfId="13079"/>
    <cellStyle name="Calculation 2 7 2 2 2 2 3" xfId="13080"/>
    <cellStyle name="Calculation 2 7 2 2 2 2 4" xfId="13081"/>
    <cellStyle name="Calculation 2 7 2 2 2 2 5" xfId="13082"/>
    <cellStyle name="Calculation 2 7 2 2 2 2 6" xfId="13083"/>
    <cellStyle name="Calculation 2 7 2 2 2 3" xfId="13084"/>
    <cellStyle name="Calculation 2 7 2 2 2 3 2" xfId="13085"/>
    <cellStyle name="Calculation 2 7 2 2 2 3 3" xfId="13086"/>
    <cellStyle name="Calculation 2 7 2 2 2 3 4" xfId="13087"/>
    <cellStyle name="Calculation 2 7 2 2 2 4" xfId="13088"/>
    <cellStyle name="Calculation 2 7 2 2 2 5" xfId="13089"/>
    <cellStyle name="Calculation 2 7 2 2 2 6" xfId="13090"/>
    <cellStyle name="Calculation 2 7 2 2 2 7" xfId="13091"/>
    <cellStyle name="Calculation 2 7 2 2 3" xfId="13092"/>
    <cellStyle name="Calculation 2 7 2 2 3 2" xfId="13093"/>
    <cellStyle name="Calculation 2 7 2 2 3 2 2" xfId="13094"/>
    <cellStyle name="Calculation 2 7 2 2 3 2 3" xfId="13095"/>
    <cellStyle name="Calculation 2 7 2 2 3 2 4" xfId="13096"/>
    <cellStyle name="Calculation 2 7 2 2 3 3" xfId="13097"/>
    <cellStyle name="Calculation 2 7 2 2 3 4" xfId="13098"/>
    <cellStyle name="Calculation 2 7 2 2 3 5" xfId="13099"/>
    <cellStyle name="Calculation 2 7 2 2 3 6" xfId="13100"/>
    <cellStyle name="Calculation 2 7 2 2 4" xfId="13101"/>
    <cellStyle name="Calculation 2 7 2 2 4 2" xfId="13102"/>
    <cellStyle name="Calculation 2 7 2 2 4 3" xfId="13103"/>
    <cellStyle name="Calculation 2 7 2 2 4 4" xfId="13104"/>
    <cellStyle name="Calculation 2 7 2 2 4 5" xfId="13105"/>
    <cellStyle name="Calculation 2 7 2 2 5" xfId="13106"/>
    <cellStyle name="Calculation 2 7 2 2 5 2" xfId="13107"/>
    <cellStyle name="Calculation 2 7 2 2 5 3" xfId="13108"/>
    <cellStyle name="Calculation 2 7 2 2 5 4" xfId="13109"/>
    <cellStyle name="Calculation 2 7 2 2 6" xfId="13110"/>
    <cellStyle name="Calculation 2 7 2 2 6 2" xfId="13111"/>
    <cellStyle name="Calculation 2 7 2 2 6 3" xfId="13112"/>
    <cellStyle name="Calculation 2 7 2 2 6 4" xfId="13113"/>
    <cellStyle name="Calculation 2 7 2 2 7" xfId="13114"/>
    <cellStyle name="Calculation 2 7 2 2 7 2" xfId="13115"/>
    <cellStyle name="Calculation 2 7 2 2 7 3" xfId="13116"/>
    <cellStyle name="Calculation 2 7 2 2 7 4" xfId="13117"/>
    <cellStyle name="Calculation 2 7 2 2 8" xfId="13118"/>
    <cellStyle name="Calculation 2 7 2 2 9" xfId="13119"/>
    <cellStyle name="Calculation 2 7 2 3" xfId="13120"/>
    <cellStyle name="Calculation 2 7 2 3 2" xfId="13121"/>
    <cellStyle name="Calculation 2 7 2 3 2 2" xfId="13122"/>
    <cellStyle name="Calculation 2 7 2 3 2 2 2" xfId="13123"/>
    <cellStyle name="Calculation 2 7 2 3 2 2 3" xfId="13124"/>
    <cellStyle name="Calculation 2 7 2 3 2 2 4" xfId="13125"/>
    <cellStyle name="Calculation 2 7 2 3 2 3" xfId="13126"/>
    <cellStyle name="Calculation 2 7 2 3 2 4" xfId="13127"/>
    <cellStyle name="Calculation 2 7 2 3 2 5" xfId="13128"/>
    <cellStyle name="Calculation 2 7 2 3 2 6" xfId="13129"/>
    <cellStyle name="Calculation 2 7 2 3 3" xfId="13130"/>
    <cellStyle name="Calculation 2 7 2 3 3 2" xfId="13131"/>
    <cellStyle name="Calculation 2 7 2 3 3 3" xfId="13132"/>
    <cellStyle name="Calculation 2 7 2 3 3 4" xfId="13133"/>
    <cellStyle name="Calculation 2 7 2 3 4" xfId="13134"/>
    <cellStyle name="Calculation 2 7 2 3 5" xfId="13135"/>
    <cellStyle name="Calculation 2 7 2 3 6" xfId="13136"/>
    <cellStyle name="Calculation 2 7 2 3 7" xfId="13137"/>
    <cellStyle name="Calculation 2 7 2 4" xfId="13138"/>
    <cellStyle name="Calculation 2 7 2 4 2" xfId="13139"/>
    <cellStyle name="Calculation 2 7 2 4 2 2" xfId="13140"/>
    <cellStyle name="Calculation 2 7 2 4 2 3" xfId="13141"/>
    <cellStyle name="Calculation 2 7 2 4 2 4" xfId="13142"/>
    <cellStyle name="Calculation 2 7 2 4 3" xfId="13143"/>
    <cellStyle name="Calculation 2 7 2 4 4" xfId="13144"/>
    <cellStyle name="Calculation 2 7 2 4 5" xfId="13145"/>
    <cellStyle name="Calculation 2 7 2 4 6" xfId="13146"/>
    <cellStyle name="Calculation 2 7 2 5" xfId="13147"/>
    <cellStyle name="Calculation 2 7 2 5 2" xfId="13148"/>
    <cellStyle name="Calculation 2 7 2 5 3" xfId="13149"/>
    <cellStyle name="Calculation 2 7 2 5 4" xfId="13150"/>
    <cellStyle name="Calculation 2 7 2 5 5" xfId="13151"/>
    <cellStyle name="Calculation 2 7 2 6" xfId="13152"/>
    <cellStyle name="Calculation 2 7 2 6 2" xfId="13153"/>
    <cellStyle name="Calculation 2 7 2 6 3" xfId="13154"/>
    <cellStyle name="Calculation 2 7 2 6 4" xfId="13155"/>
    <cellStyle name="Calculation 2 7 2 7" xfId="13156"/>
    <cellStyle name="Calculation 2 7 2 7 2" xfId="13157"/>
    <cellStyle name="Calculation 2 7 2 7 3" xfId="13158"/>
    <cellStyle name="Calculation 2 7 2 7 4" xfId="13159"/>
    <cellStyle name="Calculation 2 7 2 8" xfId="13160"/>
    <cellStyle name="Calculation 2 7 2 8 2" xfId="13161"/>
    <cellStyle name="Calculation 2 7 2 8 3" xfId="13162"/>
    <cellStyle name="Calculation 2 7 2 8 4" xfId="13163"/>
    <cellStyle name="Calculation 2 7 2 9" xfId="13164"/>
    <cellStyle name="Calculation 2 7 20" xfId="13165"/>
    <cellStyle name="Calculation 2 7 21" xfId="13166"/>
    <cellStyle name="Calculation 2 7 22" xfId="13167"/>
    <cellStyle name="Calculation 2 7 23" xfId="13168"/>
    <cellStyle name="Calculation 2 7 24" xfId="13169"/>
    <cellStyle name="Calculation 2 7 25" xfId="13170"/>
    <cellStyle name="Calculation 2 7 26" xfId="13171"/>
    <cellStyle name="Calculation 2 7 27" xfId="13172"/>
    <cellStyle name="Calculation 2 7 28" xfId="13173"/>
    <cellStyle name="Calculation 2 7 29" xfId="13174"/>
    <cellStyle name="Calculation 2 7 3" xfId="13175"/>
    <cellStyle name="Calculation 2 7 3 10" xfId="13176"/>
    <cellStyle name="Calculation 2 7 3 11" xfId="13177"/>
    <cellStyle name="Calculation 2 7 3 2" xfId="13178"/>
    <cellStyle name="Calculation 2 7 3 2 2" xfId="13179"/>
    <cellStyle name="Calculation 2 7 3 2 2 2" xfId="13180"/>
    <cellStyle name="Calculation 2 7 3 2 2 2 2" xfId="13181"/>
    <cellStyle name="Calculation 2 7 3 2 2 2 3" xfId="13182"/>
    <cellStyle name="Calculation 2 7 3 2 2 2 4" xfId="13183"/>
    <cellStyle name="Calculation 2 7 3 2 2 3" xfId="13184"/>
    <cellStyle name="Calculation 2 7 3 2 2 4" xfId="13185"/>
    <cellStyle name="Calculation 2 7 3 2 2 5" xfId="13186"/>
    <cellStyle name="Calculation 2 7 3 2 2 6" xfId="13187"/>
    <cellStyle name="Calculation 2 7 3 2 3" xfId="13188"/>
    <cellStyle name="Calculation 2 7 3 2 3 2" xfId="13189"/>
    <cellStyle name="Calculation 2 7 3 2 3 3" xfId="13190"/>
    <cellStyle name="Calculation 2 7 3 2 3 4" xfId="13191"/>
    <cellStyle name="Calculation 2 7 3 2 4" xfId="13192"/>
    <cellStyle name="Calculation 2 7 3 2 5" xfId="13193"/>
    <cellStyle name="Calculation 2 7 3 2 6" xfId="13194"/>
    <cellStyle name="Calculation 2 7 3 2 7" xfId="13195"/>
    <cellStyle name="Calculation 2 7 3 3" xfId="13196"/>
    <cellStyle name="Calculation 2 7 3 3 2" xfId="13197"/>
    <cellStyle name="Calculation 2 7 3 3 2 2" xfId="13198"/>
    <cellStyle name="Calculation 2 7 3 3 2 3" xfId="13199"/>
    <cellStyle name="Calculation 2 7 3 3 2 4" xfId="13200"/>
    <cellStyle name="Calculation 2 7 3 3 3" xfId="13201"/>
    <cellStyle name="Calculation 2 7 3 3 4" xfId="13202"/>
    <cellStyle name="Calculation 2 7 3 3 5" xfId="13203"/>
    <cellStyle name="Calculation 2 7 3 3 6" xfId="13204"/>
    <cellStyle name="Calculation 2 7 3 4" xfId="13205"/>
    <cellStyle name="Calculation 2 7 3 4 2" xfId="13206"/>
    <cellStyle name="Calculation 2 7 3 4 3" xfId="13207"/>
    <cellStyle name="Calculation 2 7 3 4 4" xfId="13208"/>
    <cellStyle name="Calculation 2 7 3 4 5" xfId="13209"/>
    <cellStyle name="Calculation 2 7 3 5" xfId="13210"/>
    <cellStyle name="Calculation 2 7 3 5 2" xfId="13211"/>
    <cellStyle name="Calculation 2 7 3 5 3" xfId="13212"/>
    <cellStyle name="Calculation 2 7 3 5 4" xfId="13213"/>
    <cellStyle name="Calculation 2 7 3 6" xfId="13214"/>
    <cellStyle name="Calculation 2 7 3 6 2" xfId="13215"/>
    <cellStyle name="Calculation 2 7 3 6 3" xfId="13216"/>
    <cellStyle name="Calculation 2 7 3 6 4" xfId="13217"/>
    <cellStyle name="Calculation 2 7 3 7" xfId="13218"/>
    <cellStyle name="Calculation 2 7 3 7 2" xfId="13219"/>
    <cellStyle name="Calculation 2 7 3 7 3" xfId="13220"/>
    <cellStyle name="Calculation 2 7 3 7 4" xfId="13221"/>
    <cellStyle name="Calculation 2 7 3 8" xfId="13222"/>
    <cellStyle name="Calculation 2 7 3 9" xfId="13223"/>
    <cellStyle name="Calculation 2 7 30" xfId="50268"/>
    <cellStyle name="Calculation 2 7 31" xfId="50269"/>
    <cellStyle name="Calculation 2 7 32" xfId="50270"/>
    <cellStyle name="Calculation 2 7 33" xfId="50271"/>
    <cellStyle name="Calculation 2 7 34" xfId="50272"/>
    <cellStyle name="Calculation 2 7 35" xfId="50273"/>
    <cellStyle name="Calculation 2 7 36" xfId="50274"/>
    <cellStyle name="Calculation 2 7 37" xfId="50275"/>
    <cellStyle name="Calculation 2 7 38" xfId="50276"/>
    <cellStyle name="Calculation 2 7 39" xfId="50277"/>
    <cellStyle name="Calculation 2 7 4" xfId="13224"/>
    <cellStyle name="Calculation 2 7 4 2" xfId="13225"/>
    <cellStyle name="Calculation 2 7 4 2 2" xfId="13226"/>
    <cellStyle name="Calculation 2 7 4 2 2 2" xfId="13227"/>
    <cellStyle name="Calculation 2 7 4 2 2 3" xfId="13228"/>
    <cellStyle name="Calculation 2 7 4 2 2 4" xfId="13229"/>
    <cellStyle name="Calculation 2 7 4 2 3" xfId="13230"/>
    <cellStyle name="Calculation 2 7 4 2 4" xfId="13231"/>
    <cellStyle name="Calculation 2 7 4 2 5" xfId="13232"/>
    <cellStyle name="Calculation 2 7 4 2 6" xfId="13233"/>
    <cellStyle name="Calculation 2 7 4 3" xfId="13234"/>
    <cellStyle name="Calculation 2 7 4 3 2" xfId="13235"/>
    <cellStyle name="Calculation 2 7 4 3 3" xfId="13236"/>
    <cellStyle name="Calculation 2 7 4 3 4" xfId="13237"/>
    <cellStyle name="Calculation 2 7 4 4" xfId="13238"/>
    <cellStyle name="Calculation 2 7 4 5" xfId="13239"/>
    <cellStyle name="Calculation 2 7 4 6" xfId="13240"/>
    <cellStyle name="Calculation 2 7 4 7" xfId="13241"/>
    <cellStyle name="Calculation 2 7 40" xfId="50278"/>
    <cellStyle name="Calculation 2 7 5" xfId="13242"/>
    <cellStyle name="Calculation 2 7 5 2" xfId="13243"/>
    <cellStyle name="Calculation 2 7 5 2 2" xfId="13244"/>
    <cellStyle name="Calculation 2 7 5 2 3" xfId="13245"/>
    <cellStyle name="Calculation 2 7 5 2 4" xfId="13246"/>
    <cellStyle name="Calculation 2 7 5 3" xfId="13247"/>
    <cellStyle name="Calculation 2 7 5 3 2" xfId="13248"/>
    <cellStyle name="Calculation 2 7 5 3 3" xfId="13249"/>
    <cellStyle name="Calculation 2 7 5 3 4" xfId="13250"/>
    <cellStyle name="Calculation 2 7 5 4" xfId="13251"/>
    <cellStyle name="Calculation 2 7 5 5" xfId="13252"/>
    <cellStyle name="Calculation 2 7 5 6" xfId="13253"/>
    <cellStyle name="Calculation 2 7 5 7" xfId="13254"/>
    <cellStyle name="Calculation 2 7 6" xfId="13255"/>
    <cellStyle name="Calculation 2 7 6 2" xfId="13256"/>
    <cellStyle name="Calculation 2 7 6 2 2" xfId="13257"/>
    <cellStyle name="Calculation 2 7 6 2 3" xfId="13258"/>
    <cellStyle name="Calculation 2 7 6 2 4" xfId="13259"/>
    <cellStyle name="Calculation 2 7 6 3" xfId="13260"/>
    <cellStyle name="Calculation 2 7 6 3 2" xfId="13261"/>
    <cellStyle name="Calculation 2 7 6 3 3" xfId="13262"/>
    <cellStyle name="Calculation 2 7 6 3 4" xfId="13263"/>
    <cellStyle name="Calculation 2 7 6 4" xfId="13264"/>
    <cellStyle name="Calculation 2 7 6 5" xfId="13265"/>
    <cellStyle name="Calculation 2 7 6 6" xfId="13266"/>
    <cellStyle name="Calculation 2 7 6 7" xfId="13267"/>
    <cellStyle name="Calculation 2 7 7" xfId="13268"/>
    <cellStyle name="Calculation 2 7 7 2" xfId="13269"/>
    <cellStyle name="Calculation 2 7 7 2 2" xfId="13270"/>
    <cellStyle name="Calculation 2 7 7 2 3" xfId="13271"/>
    <cellStyle name="Calculation 2 7 7 2 4" xfId="13272"/>
    <cellStyle name="Calculation 2 7 7 3" xfId="13273"/>
    <cellStyle name="Calculation 2 7 7 3 2" xfId="13274"/>
    <cellStyle name="Calculation 2 7 7 3 3" xfId="13275"/>
    <cellStyle name="Calculation 2 7 7 3 4" xfId="13276"/>
    <cellStyle name="Calculation 2 7 7 4" xfId="13277"/>
    <cellStyle name="Calculation 2 7 7 5" xfId="13278"/>
    <cellStyle name="Calculation 2 7 7 6" xfId="13279"/>
    <cellStyle name="Calculation 2 7 7 7" xfId="13280"/>
    <cellStyle name="Calculation 2 7 8" xfId="13281"/>
    <cellStyle name="Calculation 2 7 8 2" xfId="13282"/>
    <cellStyle name="Calculation 2 7 8 2 2" xfId="13283"/>
    <cellStyle name="Calculation 2 7 8 2 3" xfId="13284"/>
    <cellStyle name="Calculation 2 7 8 2 4" xfId="13285"/>
    <cellStyle name="Calculation 2 7 8 3" xfId="13286"/>
    <cellStyle name="Calculation 2 7 8 4" xfId="13287"/>
    <cellStyle name="Calculation 2 7 8 5" xfId="13288"/>
    <cellStyle name="Calculation 2 7 8 6" xfId="13289"/>
    <cellStyle name="Calculation 2 7 9" xfId="13290"/>
    <cellStyle name="Calculation 2 7 9 2" xfId="13291"/>
    <cellStyle name="Calculation 2 7 9 3" xfId="13292"/>
    <cellStyle name="Calculation 2 7 9 4" xfId="13293"/>
    <cellStyle name="Calculation 2 7 9 5" xfId="13294"/>
    <cellStyle name="Calculation 2 8" xfId="425"/>
    <cellStyle name="Calculation 2 8 10" xfId="13295"/>
    <cellStyle name="Calculation 2 8 10 2" xfId="13296"/>
    <cellStyle name="Calculation 2 8 10 3" xfId="13297"/>
    <cellStyle name="Calculation 2 8 10 4" xfId="13298"/>
    <cellStyle name="Calculation 2 8 11" xfId="13299"/>
    <cellStyle name="Calculation 2 8 12" xfId="13300"/>
    <cellStyle name="Calculation 2 8 13" xfId="13301"/>
    <cellStyle name="Calculation 2 8 14" xfId="13302"/>
    <cellStyle name="Calculation 2 8 15" xfId="13303"/>
    <cellStyle name="Calculation 2 8 16" xfId="13304"/>
    <cellStyle name="Calculation 2 8 17" xfId="13305"/>
    <cellStyle name="Calculation 2 8 18" xfId="13306"/>
    <cellStyle name="Calculation 2 8 19" xfId="13307"/>
    <cellStyle name="Calculation 2 8 2" xfId="426"/>
    <cellStyle name="Calculation 2 8 2 10" xfId="13308"/>
    <cellStyle name="Calculation 2 8 2 11" xfId="13309"/>
    <cellStyle name="Calculation 2 8 2 2" xfId="13310"/>
    <cellStyle name="Calculation 2 8 2 2 2" xfId="13311"/>
    <cellStyle name="Calculation 2 8 2 2 2 2" xfId="13312"/>
    <cellStyle name="Calculation 2 8 2 2 2 2 2" xfId="13313"/>
    <cellStyle name="Calculation 2 8 2 2 2 2 3" xfId="13314"/>
    <cellStyle name="Calculation 2 8 2 2 2 2 4" xfId="13315"/>
    <cellStyle name="Calculation 2 8 2 2 2 3" xfId="13316"/>
    <cellStyle name="Calculation 2 8 2 2 2 4" xfId="13317"/>
    <cellStyle name="Calculation 2 8 2 2 2 5" xfId="13318"/>
    <cellStyle name="Calculation 2 8 2 2 2 6" xfId="13319"/>
    <cellStyle name="Calculation 2 8 2 2 3" xfId="13320"/>
    <cellStyle name="Calculation 2 8 2 2 3 2" xfId="13321"/>
    <cellStyle name="Calculation 2 8 2 2 3 3" xfId="13322"/>
    <cellStyle name="Calculation 2 8 2 2 3 4" xfId="13323"/>
    <cellStyle name="Calculation 2 8 2 2 4" xfId="13324"/>
    <cellStyle name="Calculation 2 8 2 2 5" xfId="13325"/>
    <cellStyle name="Calculation 2 8 2 2 6" xfId="13326"/>
    <cellStyle name="Calculation 2 8 2 2 7" xfId="13327"/>
    <cellStyle name="Calculation 2 8 2 3" xfId="13328"/>
    <cellStyle name="Calculation 2 8 2 3 2" xfId="13329"/>
    <cellStyle name="Calculation 2 8 2 3 2 2" xfId="13330"/>
    <cellStyle name="Calculation 2 8 2 3 2 3" xfId="13331"/>
    <cellStyle name="Calculation 2 8 2 3 2 4" xfId="13332"/>
    <cellStyle name="Calculation 2 8 2 3 3" xfId="13333"/>
    <cellStyle name="Calculation 2 8 2 3 4" xfId="13334"/>
    <cellStyle name="Calculation 2 8 2 3 5" xfId="13335"/>
    <cellStyle name="Calculation 2 8 2 3 6" xfId="13336"/>
    <cellStyle name="Calculation 2 8 2 4" xfId="13337"/>
    <cellStyle name="Calculation 2 8 2 4 2" xfId="13338"/>
    <cellStyle name="Calculation 2 8 2 4 3" xfId="13339"/>
    <cellStyle name="Calculation 2 8 2 4 4" xfId="13340"/>
    <cellStyle name="Calculation 2 8 2 4 5" xfId="13341"/>
    <cellStyle name="Calculation 2 8 2 5" xfId="13342"/>
    <cellStyle name="Calculation 2 8 2 5 2" xfId="13343"/>
    <cellStyle name="Calculation 2 8 2 5 3" xfId="13344"/>
    <cellStyle name="Calculation 2 8 2 5 4" xfId="13345"/>
    <cellStyle name="Calculation 2 8 2 6" xfId="13346"/>
    <cellStyle name="Calculation 2 8 2 6 2" xfId="13347"/>
    <cellStyle name="Calculation 2 8 2 6 3" xfId="13348"/>
    <cellStyle name="Calculation 2 8 2 6 4" xfId="13349"/>
    <cellStyle name="Calculation 2 8 2 7" xfId="13350"/>
    <cellStyle name="Calculation 2 8 2 7 2" xfId="13351"/>
    <cellStyle name="Calculation 2 8 2 7 3" xfId="13352"/>
    <cellStyle name="Calculation 2 8 2 7 4" xfId="13353"/>
    <cellStyle name="Calculation 2 8 2 8" xfId="13354"/>
    <cellStyle name="Calculation 2 8 2 9" xfId="13355"/>
    <cellStyle name="Calculation 2 8 20" xfId="13356"/>
    <cellStyle name="Calculation 2 8 21" xfId="13357"/>
    <cellStyle name="Calculation 2 8 22" xfId="13358"/>
    <cellStyle name="Calculation 2 8 23" xfId="13359"/>
    <cellStyle name="Calculation 2 8 24" xfId="13360"/>
    <cellStyle name="Calculation 2 8 25" xfId="13361"/>
    <cellStyle name="Calculation 2 8 26" xfId="13362"/>
    <cellStyle name="Calculation 2 8 27" xfId="50279"/>
    <cellStyle name="Calculation 2 8 28" xfId="50280"/>
    <cellStyle name="Calculation 2 8 29" xfId="50281"/>
    <cellStyle name="Calculation 2 8 3" xfId="427"/>
    <cellStyle name="Calculation 2 8 3 10" xfId="13363"/>
    <cellStyle name="Calculation 2 8 3 11" xfId="13364"/>
    <cellStyle name="Calculation 2 8 3 2" xfId="13365"/>
    <cellStyle name="Calculation 2 8 3 2 2" xfId="13366"/>
    <cellStyle name="Calculation 2 8 3 2 2 2" xfId="13367"/>
    <cellStyle name="Calculation 2 8 3 2 2 3" xfId="13368"/>
    <cellStyle name="Calculation 2 8 3 2 2 4" xfId="13369"/>
    <cellStyle name="Calculation 2 8 3 2 3" xfId="13370"/>
    <cellStyle name="Calculation 2 8 3 2 3 2" xfId="13371"/>
    <cellStyle name="Calculation 2 8 3 2 3 3" xfId="13372"/>
    <cellStyle name="Calculation 2 8 3 2 3 4" xfId="13373"/>
    <cellStyle name="Calculation 2 8 3 2 4" xfId="13374"/>
    <cellStyle name="Calculation 2 8 3 2 5" xfId="13375"/>
    <cellStyle name="Calculation 2 8 3 2 6" xfId="13376"/>
    <cellStyle name="Calculation 2 8 3 2 7" xfId="13377"/>
    <cellStyle name="Calculation 2 8 3 3" xfId="13378"/>
    <cellStyle name="Calculation 2 8 3 3 2" xfId="13379"/>
    <cellStyle name="Calculation 2 8 3 3 2 2" xfId="13380"/>
    <cellStyle name="Calculation 2 8 3 3 2 3" xfId="13381"/>
    <cellStyle name="Calculation 2 8 3 3 2 4" xfId="13382"/>
    <cellStyle name="Calculation 2 8 3 3 3" xfId="13383"/>
    <cellStyle name="Calculation 2 8 3 3 4" xfId="13384"/>
    <cellStyle name="Calculation 2 8 3 3 5" xfId="13385"/>
    <cellStyle name="Calculation 2 8 3 3 6" xfId="13386"/>
    <cellStyle name="Calculation 2 8 3 4" xfId="13387"/>
    <cellStyle name="Calculation 2 8 3 4 2" xfId="13388"/>
    <cellStyle name="Calculation 2 8 3 4 3" xfId="13389"/>
    <cellStyle name="Calculation 2 8 3 4 4" xfId="13390"/>
    <cellStyle name="Calculation 2 8 3 4 5" xfId="13391"/>
    <cellStyle name="Calculation 2 8 3 5" xfId="13392"/>
    <cellStyle name="Calculation 2 8 3 5 2" xfId="13393"/>
    <cellStyle name="Calculation 2 8 3 5 3" xfId="13394"/>
    <cellStyle name="Calculation 2 8 3 5 4" xfId="13395"/>
    <cellStyle name="Calculation 2 8 3 6" xfId="13396"/>
    <cellStyle name="Calculation 2 8 3 6 2" xfId="13397"/>
    <cellStyle name="Calculation 2 8 3 6 3" xfId="13398"/>
    <cellStyle name="Calculation 2 8 3 6 4" xfId="13399"/>
    <cellStyle name="Calculation 2 8 3 7" xfId="13400"/>
    <cellStyle name="Calculation 2 8 3 7 2" xfId="13401"/>
    <cellStyle name="Calculation 2 8 3 7 3" xfId="13402"/>
    <cellStyle name="Calculation 2 8 3 7 4" xfId="13403"/>
    <cellStyle name="Calculation 2 8 3 8" xfId="13404"/>
    <cellStyle name="Calculation 2 8 3 9" xfId="13405"/>
    <cellStyle name="Calculation 2 8 30" xfId="50282"/>
    <cellStyle name="Calculation 2 8 31" xfId="50283"/>
    <cellStyle name="Calculation 2 8 32" xfId="50284"/>
    <cellStyle name="Calculation 2 8 33" xfId="50285"/>
    <cellStyle name="Calculation 2 8 34" xfId="50286"/>
    <cellStyle name="Calculation 2 8 35" xfId="50287"/>
    <cellStyle name="Calculation 2 8 36" xfId="50288"/>
    <cellStyle name="Calculation 2 8 37" xfId="50289"/>
    <cellStyle name="Calculation 2 8 38" xfId="50290"/>
    <cellStyle name="Calculation 2 8 39" xfId="50291"/>
    <cellStyle name="Calculation 2 8 4" xfId="13406"/>
    <cellStyle name="Calculation 2 8 4 2" xfId="13407"/>
    <cellStyle name="Calculation 2 8 4 2 2" xfId="13408"/>
    <cellStyle name="Calculation 2 8 4 2 2 2" xfId="13409"/>
    <cellStyle name="Calculation 2 8 4 2 2 3" xfId="13410"/>
    <cellStyle name="Calculation 2 8 4 2 2 4" xfId="13411"/>
    <cellStyle name="Calculation 2 8 4 2 3" xfId="13412"/>
    <cellStyle name="Calculation 2 8 4 2 4" xfId="13413"/>
    <cellStyle name="Calculation 2 8 4 2 5" xfId="13414"/>
    <cellStyle name="Calculation 2 8 4 2 6" xfId="13415"/>
    <cellStyle name="Calculation 2 8 4 3" xfId="13416"/>
    <cellStyle name="Calculation 2 8 4 3 2" xfId="13417"/>
    <cellStyle name="Calculation 2 8 4 3 3" xfId="13418"/>
    <cellStyle name="Calculation 2 8 4 3 4" xfId="13419"/>
    <cellStyle name="Calculation 2 8 4 4" xfId="13420"/>
    <cellStyle name="Calculation 2 8 4 5" xfId="13421"/>
    <cellStyle name="Calculation 2 8 4 6" xfId="13422"/>
    <cellStyle name="Calculation 2 8 4 7" xfId="13423"/>
    <cellStyle name="Calculation 2 8 40" xfId="50292"/>
    <cellStyle name="Calculation 2 8 5" xfId="13424"/>
    <cellStyle name="Calculation 2 8 5 2" xfId="13425"/>
    <cellStyle name="Calculation 2 8 5 2 2" xfId="13426"/>
    <cellStyle name="Calculation 2 8 5 2 3" xfId="13427"/>
    <cellStyle name="Calculation 2 8 5 2 4" xfId="13428"/>
    <cellStyle name="Calculation 2 8 5 3" xfId="13429"/>
    <cellStyle name="Calculation 2 8 5 4" xfId="13430"/>
    <cellStyle name="Calculation 2 8 5 5" xfId="13431"/>
    <cellStyle name="Calculation 2 8 5 6" xfId="13432"/>
    <cellStyle name="Calculation 2 8 6" xfId="13433"/>
    <cellStyle name="Calculation 2 8 6 2" xfId="13434"/>
    <cellStyle name="Calculation 2 8 6 3" xfId="13435"/>
    <cellStyle name="Calculation 2 8 6 4" xfId="13436"/>
    <cellStyle name="Calculation 2 8 6 5" xfId="13437"/>
    <cellStyle name="Calculation 2 8 7" xfId="13438"/>
    <cellStyle name="Calculation 2 8 7 2" xfId="13439"/>
    <cellStyle name="Calculation 2 8 7 3" xfId="13440"/>
    <cellStyle name="Calculation 2 8 7 4" xfId="13441"/>
    <cellStyle name="Calculation 2 8 8" xfId="13442"/>
    <cellStyle name="Calculation 2 8 8 2" xfId="13443"/>
    <cellStyle name="Calculation 2 8 8 3" xfId="13444"/>
    <cellStyle name="Calculation 2 8 8 4" xfId="13445"/>
    <cellStyle name="Calculation 2 8 9" xfId="13446"/>
    <cellStyle name="Calculation 2 8 9 2" xfId="13447"/>
    <cellStyle name="Calculation 2 8 9 3" xfId="13448"/>
    <cellStyle name="Calculation 2 8 9 4" xfId="13449"/>
    <cellStyle name="Calculation 2 9" xfId="428"/>
    <cellStyle name="Calculation 2 9 10" xfId="13450"/>
    <cellStyle name="Calculation 2 9 11" xfId="13451"/>
    <cellStyle name="Calculation 2 9 12" xfId="13452"/>
    <cellStyle name="Calculation 2 9 13" xfId="13453"/>
    <cellStyle name="Calculation 2 9 14" xfId="13454"/>
    <cellStyle name="Calculation 2 9 15" xfId="13455"/>
    <cellStyle name="Calculation 2 9 16" xfId="13456"/>
    <cellStyle name="Calculation 2 9 17" xfId="13457"/>
    <cellStyle name="Calculation 2 9 18" xfId="13458"/>
    <cellStyle name="Calculation 2 9 19" xfId="13459"/>
    <cellStyle name="Calculation 2 9 2" xfId="429"/>
    <cellStyle name="Calculation 2 9 2 10" xfId="13460"/>
    <cellStyle name="Calculation 2 9 2 11" xfId="13461"/>
    <cellStyle name="Calculation 2 9 2 2" xfId="13462"/>
    <cellStyle name="Calculation 2 9 2 2 2" xfId="13463"/>
    <cellStyle name="Calculation 2 9 2 2 2 2" xfId="13464"/>
    <cellStyle name="Calculation 2 9 2 2 2 2 2" xfId="13465"/>
    <cellStyle name="Calculation 2 9 2 2 2 2 3" xfId="13466"/>
    <cellStyle name="Calculation 2 9 2 2 2 2 4" xfId="13467"/>
    <cellStyle name="Calculation 2 9 2 2 2 3" xfId="13468"/>
    <cellStyle name="Calculation 2 9 2 2 2 4" xfId="13469"/>
    <cellStyle name="Calculation 2 9 2 2 2 5" xfId="13470"/>
    <cellStyle name="Calculation 2 9 2 2 2 6" xfId="13471"/>
    <cellStyle name="Calculation 2 9 2 2 3" xfId="13472"/>
    <cellStyle name="Calculation 2 9 2 2 3 2" xfId="13473"/>
    <cellStyle name="Calculation 2 9 2 2 3 3" xfId="13474"/>
    <cellStyle name="Calculation 2 9 2 2 3 4" xfId="13475"/>
    <cellStyle name="Calculation 2 9 2 2 4" xfId="13476"/>
    <cellStyle name="Calculation 2 9 2 2 5" xfId="13477"/>
    <cellStyle name="Calculation 2 9 2 2 6" xfId="13478"/>
    <cellStyle name="Calculation 2 9 2 2 7" xfId="13479"/>
    <cellStyle name="Calculation 2 9 2 3" xfId="13480"/>
    <cellStyle name="Calculation 2 9 2 3 2" xfId="13481"/>
    <cellStyle name="Calculation 2 9 2 3 2 2" xfId="13482"/>
    <cellStyle name="Calculation 2 9 2 3 2 3" xfId="13483"/>
    <cellStyle name="Calculation 2 9 2 3 2 4" xfId="13484"/>
    <cellStyle name="Calculation 2 9 2 3 3" xfId="13485"/>
    <cellStyle name="Calculation 2 9 2 3 4" xfId="13486"/>
    <cellStyle name="Calculation 2 9 2 3 5" xfId="13487"/>
    <cellStyle name="Calculation 2 9 2 3 6" xfId="13488"/>
    <cellStyle name="Calculation 2 9 2 4" xfId="13489"/>
    <cellStyle name="Calculation 2 9 2 4 2" xfId="13490"/>
    <cellStyle name="Calculation 2 9 2 4 3" xfId="13491"/>
    <cellStyle name="Calculation 2 9 2 4 4" xfId="13492"/>
    <cellStyle name="Calculation 2 9 2 4 5" xfId="13493"/>
    <cellStyle name="Calculation 2 9 2 5" xfId="13494"/>
    <cellStyle name="Calculation 2 9 2 5 2" xfId="13495"/>
    <cellStyle name="Calculation 2 9 2 5 3" xfId="13496"/>
    <cellStyle name="Calculation 2 9 2 5 4" xfId="13497"/>
    <cellStyle name="Calculation 2 9 2 6" xfId="13498"/>
    <cellStyle name="Calculation 2 9 2 6 2" xfId="13499"/>
    <cellStyle name="Calculation 2 9 2 6 3" xfId="13500"/>
    <cellStyle name="Calculation 2 9 2 6 4" xfId="13501"/>
    <cellStyle name="Calculation 2 9 2 7" xfId="13502"/>
    <cellStyle name="Calculation 2 9 2 7 2" xfId="13503"/>
    <cellStyle name="Calculation 2 9 2 7 3" xfId="13504"/>
    <cellStyle name="Calculation 2 9 2 7 4" xfId="13505"/>
    <cellStyle name="Calculation 2 9 2 8" xfId="13506"/>
    <cellStyle name="Calculation 2 9 2 9" xfId="13507"/>
    <cellStyle name="Calculation 2 9 20" xfId="13508"/>
    <cellStyle name="Calculation 2 9 21" xfId="13509"/>
    <cellStyle name="Calculation 2 9 22" xfId="13510"/>
    <cellStyle name="Calculation 2 9 23" xfId="13511"/>
    <cellStyle name="Calculation 2 9 24" xfId="13512"/>
    <cellStyle name="Calculation 2 9 25" xfId="13513"/>
    <cellStyle name="Calculation 2 9 26" xfId="50293"/>
    <cellStyle name="Calculation 2 9 27" xfId="50294"/>
    <cellStyle name="Calculation 2 9 28" xfId="50295"/>
    <cellStyle name="Calculation 2 9 29" xfId="50296"/>
    <cellStyle name="Calculation 2 9 3" xfId="430"/>
    <cellStyle name="Calculation 2 9 3 2" xfId="13514"/>
    <cellStyle name="Calculation 2 9 3 2 2" xfId="13515"/>
    <cellStyle name="Calculation 2 9 3 2 2 2" xfId="13516"/>
    <cellStyle name="Calculation 2 9 3 2 2 3" xfId="13517"/>
    <cellStyle name="Calculation 2 9 3 2 2 4" xfId="13518"/>
    <cellStyle name="Calculation 2 9 3 2 3" xfId="13519"/>
    <cellStyle name="Calculation 2 9 3 2 4" xfId="13520"/>
    <cellStyle name="Calculation 2 9 3 2 5" xfId="13521"/>
    <cellStyle name="Calculation 2 9 3 2 6" xfId="13522"/>
    <cellStyle name="Calculation 2 9 3 3" xfId="13523"/>
    <cellStyle name="Calculation 2 9 3 3 2" xfId="13524"/>
    <cellStyle name="Calculation 2 9 3 3 3" xfId="13525"/>
    <cellStyle name="Calculation 2 9 3 3 4" xfId="13526"/>
    <cellStyle name="Calculation 2 9 3 4" xfId="13527"/>
    <cellStyle name="Calculation 2 9 3 5" xfId="13528"/>
    <cellStyle name="Calculation 2 9 3 6" xfId="13529"/>
    <cellStyle name="Calculation 2 9 3 7" xfId="13530"/>
    <cellStyle name="Calculation 2 9 30" xfId="50297"/>
    <cellStyle name="Calculation 2 9 31" xfId="50298"/>
    <cellStyle name="Calculation 2 9 32" xfId="50299"/>
    <cellStyle name="Calculation 2 9 33" xfId="50300"/>
    <cellStyle name="Calculation 2 9 34" xfId="50301"/>
    <cellStyle name="Calculation 2 9 35" xfId="50302"/>
    <cellStyle name="Calculation 2 9 36" xfId="50303"/>
    <cellStyle name="Calculation 2 9 37" xfId="50304"/>
    <cellStyle name="Calculation 2 9 38" xfId="50305"/>
    <cellStyle name="Calculation 2 9 39" xfId="50306"/>
    <cellStyle name="Calculation 2 9 4" xfId="13531"/>
    <cellStyle name="Calculation 2 9 4 2" xfId="13532"/>
    <cellStyle name="Calculation 2 9 4 2 2" xfId="13533"/>
    <cellStyle name="Calculation 2 9 4 2 3" xfId="13534"/>
    <cellStyle name="Calculation 2 9 4 2 4" xfId="13535"/>
    <cellStyle name="Calculation 2 9 4 3" xfId="13536"/>
    <cellStyle name="Calculation 2 9 4 4" xfId="13537"/>
    <cellStyle name="Calculation 2 9 4 5" xfId="13538"/>
    <cellStyle name="Calculation 2 9 4 6" xfId="13539"/>
    <cellStyle name="Calculation 2 9 40" xfId="50307"/>
    <cellStyle name="Calculation 2 9 5" xfId="13540"/>
    <cellStyle name="Calculation 2 9 5 2" xfId="13541"/>
    <cellStyle name="Calculation 2 9 5 3" xfId="13542"/>
    <cellStyle name="Calculation 2 9 5 4" xfId="13543"/>
    <cellStyle name="Calculation 2 9 5 5" xfId="13544"/>
    <cellStyle name="Calculation 2 9 5 6" xfId="50308"/>
    <cellStyle name="Calculation 2 9 6" xfId="13545"/>
    <cellStyle name="Calculation 2 9 6 2" xfId="13546"/>
    <cellStyle name="Calculation 2 9 6 3" xfId="13547"/>
    <cellStyle name="Calculation 2 9 6 4" xfId="13548"/>
    <cellStyle name="Calculation 2 9 7" xfId="13549"/>
    <cellStyle name="Calculation 2 9 7 2" xfId="13550"/>
    <cellStyle name="Calculation 2 9 7 3" xfId="13551"/>
    <cellStyle name="Calculation 2 9 7 4" xfId="13552"/>
    <cellStyle name="Calculation 2 9 8" xfId="13553"/>
    <cellStyle name="Calculation 2 9 8 2" xfId="13554"/>
    <cellStyle name="Calculation 2 9 8 3" xfId="13555"/>
    <cellStyle name="Calculation 2 9 8 4" xfId="13556"/>
    <cellStyle name="Calculation 2 9 9" xfId="13557"/>
    <cellStyle name="Calculation 2 9 9 2" xfId="13558"/>
    <cellStyle name="Calculation 2 9 9 3" xfId="13559"/>
    <cellStyle name="Calculation 2 9 9 4" xfId="13560"/>
    <cellStyle name="Calculation 2_~9868926" xfId="50309"/>
    <cellStyle name="Calculation 3" xfId="135"/>
    <cellStyle name="Calculation 3 2" xfId="136"/>
    <cellStyle name="Calculation 3 2 2" xfId="50310"/>
    <cellStyle name="Calculation 3 2 2 2" xfId="50311"/>
    <cellStyle name="Calculation 3 2 2 3" xfId="50312"/>
    <cellStyle name="Calculation 3 2 2 4" xfId="50313"/>
    <cellStyle name="Calculation 3 2 3" xfId="50314"/>
    <cellStyle name="Calculation 3 2 3 2" xfId="50315"/>
    <cellStyle name="Calculation 3 2 3 3" xfId="50316"/>
    <cellStyle name="Calculation 3 2 3 4" xfId="50317"/>
    <cellStyle name="Calculation 3 2 4" xfId="50318"/>
    <cellStyle name="Calculation 3 2 5" xfId="50319"/>
    <cellStyle name="Calculation 3 3" xfId="137"/>
    <cellStyle name="Calculation 3 4" xfId="50320"/>
    <cellStyle name="Calculation 3_~9868926" xfId="50321"/>
    <cellStyle name="Calculation 4" xfId="138"/>
    <cellStyle name="Calculation 4 2" xfId="50322"/>
    <cellStyle name="Calculation 4 2 2" xfId="50323"/>
    <cellStyle name="Calculation 4 2 3" xfId="50324"/>
    <cellStyle name="Calculation 4 2 4" xfId="50325"/>
    <cellStyle name="Calculation 4 3" xfId="50326"/>
    <cellStyle name="Calculation 4 3 2" xfId="50327"/>
    <cellStyle name="Calculation 4 3 3" xfId="50328"/>
    <cellStyle name="Calculation 4 3 4" xfId="50329"/>
    <cellStyle name="Calculation 4 4" xfId="50330"/>
    <cellStyle name="Calculation 4 5" xfId="50331"/>
    <cellStyle name="Calculation 4 6" xfId="50332"/>
    <cellStyle name="Calculation 4 7" xfId="50333"/>
    <cellStyle name="Calculation 5" xfId="139"/>
    <cellStyle name="Calculation 5 2" xfId="50334"/>
    <cellStyle name="Calculation 5 2 2" xfId="50335"/>
    <cellStyle name="Calculation 5 2 3" xfId="50336"/>
    <cellStyle name="Calculation 5 2 4" xfId="50337"/>
    <cellStyle name="Calculation 5 3" xfId="50338"/>
    <cellStyle name="Calculation 5 3 2" xfId="50339"/>
    <cellStyle name="Calculation 5 3 3" xfId="50340"/>
    <cellStyle name="Calculation 5 3 4" xfId="50341"/>
    <cellStyle name="Calculation 5 4" xfId="50342"/>
    <cellStyle name="Calculation 5 5" xfId="50343"/>
    <cellStyle name="Calculation 5 6" xfId="50344"/>
    <cellStyle name="Calculation 5 7" xfId="50345"/>
    <cellStyle name="Calculation 6" xfId="140"/>
    <cellStyle name="Calculation 6 2" xfId="50346"/>
    <cellStyle name="Calculation 6 2 2" xfId="50347"/>
    <cellStyle name="Calculation 6 2 3" xfId="50348"/>
    <cellStyle name="Calculation 6 2 4" xfId="50349"/>
    <cellStyle name="Calculation 6 3" xfId="50350"/>
    <cellStyle name="Calculation 6 3 2" xfId="50351"/>
    <cellStyle name="Calculation 6 3 3" xfId="50352"/>
    <cellStyle name="Calculation 6 3 4" xfId="50353"/>
    <cellStyle name="Calculation 6 4" xfId="50354"/>
    <cellStyle name="Calculation 6 5" xfId="50355"/>
    <cellStyle name="Calculation 6 6" xfId="50356"/>
    <cellStyle name="Calculation 6 7" xfId="50357"/>
    <cellStyle name="Calculation 7" xfId="50358"/>
    <cellStyle name="Calculation 7 2" xfId="50359"/>
    <cellStyle name="Calculation 7 2 2" xfId="50360"/>
    <cellStyle name="Calculation 7 2 3" xfId="50361"/>
    <cellStyle name="Calculation 7 2 4" xfId="50362"/>
    <cellStyle name="Calculation 7 3" xfId="50363"/>
    <cellStyle name="Calculation 7 3 2" xfId="50364"/>
    <cellStyle name="Calculation 7 3 3" xfId="50365"/>
    <cellStyle name="Calculation 7 3 4" xfId="50366"/>
    <cellStyle name="Calculation 7 4" xfId="50367"/>
    <cellStyle name="Calculation 7 5" xfId="50368"/>
    <cellStyle name="Calculation 7 6" xfId="50369"/>
    <cellStyle name="Calculation 7 7" xfId="50370"/>
    <cellStyle name="Calculation 8" xfId="50371"/>
    <cellStyle name="Calculation 8 2" xfId="50372"/>
    <cellStyle name="Calculation 8 2 2" xfId="50373"/>
    <cellStyle name="Calculation 8 2 3" xfId="50374"/>
    <cellStyle name="Calculation 8 2 4" xfId="50375"/>
    <cellStyle name="Calculation 8 3" xfId="50376"/>
    <cellStyle name="Calculation 8 3 2" xfId="50377"/>
    <cellStyle name="Calculation 8 3 3" xfId="50378"/>
    <cellStyle name="Calculation 8 3 4" xfId="50379"/>
    <cellStyle name="Calculation 8 4" xfId="50380"/>
    <cellStyle name="Calculation 8 5" xfId="50381"/>
    <cellStyle name="Calculation 8 6" xfId="50382"/>
    <cellStyle name="Calculation 8 7" xfId="50383"/>
    <cellStyle name="Calculation 9" xfId="50384"/>
    <cellStyle name="Calculation 9 2" xfId="50385"/>
    <cellStyle name="Calculation 9 2 2" xfId="50386"/>
    <cellStyle name="Calculation 9 2 3" xfId="50387"/>
    <cellStyle name="Calculation 9 2 4" xfId="50388"/>
    <cellStyle name="Calculation 9 3" xfId="50389"/>
    <cellStyle name="Calculation 9 3 2" xfId="50390"/>
    <cellStyle name="Calculation 9 3 3" xfId="50391"/>
    <cellStyle name="Calculation 9 3 4" xfId="50392"/>
    <cellStyle name="Calculation 9 4" xfId="50393"/>
    <cellStyle name="Calculation 9 5" xfId="50394"/>
    <cellStyle name="Calculation 9 6" xfId="50395"/>
    <cellStyle name="Calculation 9 7" xfId="50396"/>
    <cellStyle name="Carried" xfId="50397"/>
    <cellStyle name="Cash" xfId="50398"/>
    <cellStyle name="Cash 2" xfId="50399"/>
    <cellStyle name="Cash 2 2" xfId="50400"/>
    <cellStyle name="Cash 3" xfId="50401"/>
    <cellStyle name="Cat title white end" xfId="50402"/>
    <cellStyle name="CC_NUMBERS" xfId="50403"/>
    <cellStyle name="Cell" xfId="50404"/>
    <cellStyle name="Cell 2" xfId="50405"/>
    <cellStyle name="Cell Link" xfId="50406"/>
    <cellStyle name="Cell Link 2" xfId="50407"/>
    <cellStyle name="Cell Link 2 2" xfId="50408"/>
    <cellStyle name="Cell Link 3" xfId="50409"/>
    <cellStyle name="Cell Link." xfId="50410"/>
    <cellStyle name="Cellule liée" xfId="50411"/>
    <cellStyle name="Center" xfId="50412"/>
    <cellStyle name="Center 2" xfId="50413"/>
    <cellStyle name="Center Currency" xfId="50414"/>
    <cellStyle name="Center Currency 2" xfId="50415"/>
    <cellStyle name="Center Date" xfId="50416"/>
    <cellStyle name="Center Date 2" xfId="50417"/>
    <cellStyle name="Center Multiple" xfId="50418"/>
    <cellStyle name="Center Multiple 2" xfId="50419"/>
    <cellStyle name="Center Number" xfId="50420"/>
    <cellStyle name="Center Number 2" xfId="50421"/>
    <cellStyle name="Center Percentage" xfId="50422"/>
    <cellStyle name="Center Percentage 2" xfId="50423"/>
    <cellStyle name="Center Year" xfId="50424"/>
    <cellStyle name="Center Year 2" xfId="50425"/>
    <cellStyle name="Check Cell" xfId="30" builtinId="23" customBuiltin="1"/>
    <cellStyle name="Check Cell 10" xfId="50426"/>
    <cellStyle name="Check Cell 10 2" xfId="50427"/>
    <cellStyle name="Check Cell 2" xfId="141"/>
    <cellStyle name="Check Cell 2 2" xfId="13561"/>
    <cellStyle name="Check Cell 2 3" xfId="13562"/>
    <cellStyle name="Check Cell 2 4" xfId="50428"/>
    <cellStyle name="Check Cell 2_~9868926" xfId="50429"/>
    <cellStyle name="Check Cell 3" xfId="142"/>
    <cellStyle name="Check Cell 3 2" xfId="50430"/>
    <cellStyle name="Check Cell 3 3" xfId="50431"/>
    <cellStyle name="Check Cell 3 4" xfId="50432"/>
    <cellStyle name="Check Cell 3_~9868926" xfId="50433"/>
    <cellStyle name="Check Cell 4" xfId="13563"/>
    <cellStyle name="Check Cell 5" xfId="13564"/>
    <cellStyle name="Check Cell 5 2" xfId="50434"/>
    <cellStyle name="Check Cell 6" xfId="50435"/>
    <cellStyle name="Check Cell 6 2" xfId="50436"/>
    <cellStyle name="Check Cell 7" xfId="50437"/>
    <cellStyle name="Check Cell 7 2" xfId="50438"/>
    <cellStyle name="Check Cell 8" xfId="50439"/>
    <cellStyle name="Check Cell 8 2" xfId="50440"/>
    <cellStyle name="Check Cell 9" xfId="50441"/>
    <cellStyle name="Check Cell 9 2" xfId="50442"/>
    <cellStyle name="Co. Names" xfId="50443"/>
    <cellStyle name="Co. Names - Bold" xfId="50444"/>
    <cellStyle name="Co. Names - Bold 2" xfId="50445"/>
    <cellStyle name="Co. Names 10" xfId="50446"/>
    <cellStyle name="Co. Names 11" xfId="50447"/>
    <cellStyle name="Co. Names 2" xfId="50448"/>
    <cellStyle name="Co. Names 2 2" xfId="50449"/>
    <cellStyle name="Co. Names 3" xfId="50450"/>
    <cellStyle name="Co. Names 4" xfId="50451"/>
    <cellStyle name="Co. Names 5" xfId="50452"/>
    <cellStyle name="Co. Names 6" xfId="50453"/>
    <cellStyle name="Co. Names 7" xfId="50454"/>
    <cellStyle name="Co. Names 8" xfId="50455"/>
    <cellStyle name="Co. Names 9" xfId="50456"/>
    <cellStyle name="Co. Names_2011 10 Nov R&amp;O Register Reporting (Working Copy) Finance Final" xfId="50457"/>
    <cellStyle name="Code 2" xfId="50458"/>
    <cellStyle name="Code 2 2" xfId="50459"/>
    <cellStyle name="Code 2 3" xfId="50460"/>
    <cellStyle name="Code 2 4" xfId="50461"/>
    <cellStyle name="Code 2 5" xfId="50462"/>
    <cellStyle name="Code 6" xfId="50463"/>
    <cellStyle name="COL HEADINGS" xfId="50464"/>
    <cellStyle name="COL HEADINGS 2" xfId="50465"/>
    <cellStyle name="COL HEADINGS 2 2" xfId="50466"/>
    <cellStyle name="COL HEADINGS 2 2 2" xfId="50467"/>
    <cellStyle name="COL HEADINGS 2 2 3" xfId="50468"/>
    <cellStyle name="COL HEADINGS 2 2 4" xfId="50469"/>
    <cellStyle name="COL HEADINGS 2 3" xfId="50470"/>
    <cellStyle name="COL HEADINGS 2 3 2" xfId="50471"/>
    <cellStyle name="COL HEADINGS 2 4" xfId="50472"/>
    <cellStyle name="COL HEADINGS 2 5" xfId="50473"/>
    <cellStyle name="COL HEADINGS 3" xfId="50474"/>
    <cellStyle name="COL HEADINGS 3 2" xfId="50475"/>
    <cellStyle name="COL HEADINGS 3 3" xfId="50476"/>
    <cellStyle name="COL HEADINGS 3 4" xfId="50477"/>
    <cellStyle name="COL HEADINGS 4" xfId="50478"/>
    <cellStyle name="COL HEADINGS 4 2" xfId="50479"/>
    <cellStyle name="COL HEADINGS 5" xfId="50480"/>
    <cellStyle name="COL HEADINGS 6" xfId="50481"/>
    <cellStyle name="COL HEADINGS_~9868926" xfId="50482"/>
    <cellStyle name="Col title" xfId="50483"/>
    <cellStyle name="Col title &quot;years&quot; (eg 4 years)" xfId="50484"/>
    <cellStyle name="Col title dates (m-y)" xfId="50485"/>
    <cellStyle name="Col title multplie" xfId="50486"/>
    <cellStyle name="Col title percent" xfId="50487"/>
    <cellStyle name="Col title year(eg 2004)" xfId="50488"/>
    <cellStyle name="Col title_THWS Lion Cub Dk 3.8.09" xfId="50489"/>
    <cellStyle name="ColBlue" xfId="50490"/>
    <cellStyle name="ColGreen" xfId="50491"/>
    <cellStyle name="Collegamento ipertestuale" xfId="50492"/>
    <cellStyle name="Collegamento ipertestuale 2" xfId="50493"/>
    <cellStyle name="Collegamento ipertestuale visitato" xfId="50494"/>
    <cellStyle name="Collegamento ipertestuale visitato 2" xfId="50495"/>
    <cellStyle name="ColRed" xfId="50496"/>
    <cellStyle name="Column Heading" xfId="50497"/>
    <cellStyle name="Column Heading 2" xfId="50498"/>
    <cellStyle name="Column_Title" xfId="50499"/>
    <cellStyle name="Comma  - Style1" xfId="50500"/>
    <cellStyle name="Comma  - Style1 2" xfId="50501"/>
    <cellStyle name="Comma  - Style1 2 2" xfId="50502"/>
    <cellStyle name="Comma  - Style1 3" xfId="50503"/>
    <cellStyle name="Comma  - Style1 3 2" xfId="50504"/>
    <cellStyle name="Comma  - Style1 4" xfId="50505"/>
    <cellStyle name="Comma  - Style1 4 2" xfId="50506"/>
    <cellStyle name="Comma  - Style1 5" xfId="50507"/>
    <cellStyle name="Comma  - Style1 5 2" xfId="50508"/>
    <cellStyle name="Comma  - Style1 6" xfId="50509"/>
    <cellStyle name="Comma  - Style1 6 2" xfId="50510"/>
    <cellStyle name="Comma  - Style1 7" xfId="50511"/>
    <cellStyle name="Comma  - Style1_AffinPartner" xfId="50512"/>
    <cellStyle name="Comma  - Style2" xfId="50513"/>
    <cellStyle name="Comma  - Style2 2" xfId="50514"/>
    <cellStyle name="Comma  - Style2 2 2" xfId="50515"/>
    <cellStyle name="Comma  - Style2 3" xfId="50516"/>
    <cellStyle name="Comma  - Style2 3 2" xfId="50517"/>
    <cellStyle name="Comma  - Style2 4" xfId="50518"/>
    <cellStyle name="Comma  - Style2 4 2" xfId="50519"/>
    <cellStyle name="Comma  - Style2 5" xfId="50520"/>
    <cellStyle name="Comma  - Style2 5 2" xfId="50521"/>
    <cellStyle name="Comma  - Style2 6" xfId="50522"/>
    <cellStyle name="Comma  - Style2 6 2" xfId="50523"/>
    <cellStyle name="Comma  - Style2 7" xfId="50524"/>
    <cellStyle name="Comma  - Style2_AffinPartner" xfId="50525"/>
    <cellStyle name="Comma  - Style3" xfId="50526"/>
    <cellStyle name="Comma  - Style3 2" xfId="50527"/>
    <cellStyle name="Comma  - Style3 2 2" xfId="50528"/>
    <cellStyle name="Comma  - Style3 3" xfId="50529"/>
    <cellStyle name="Comma  - Style3 3 2" xfId="50530"/>
    <cellStyle name="Comma  - Style3 4" xfId="50531"/>
    <cellStyle name="Comma  - Style3 4 2" xfId="50532"/>
    <cellStyle name="Comma  - Style3 5" xfId="50533"/>
    <cellStyle name="Comma  - Style3 5 2" xfId="50534"/>
    <cellStyle name="Comma  - Style3 6" xfId="50535"/>
    <cellStyle name="Comma  - Style3 6 2" xfId="50536"/>
    <cellStyle name="Comma  - Style3 7" xfId="50537"/>
    <cellStyle name="Comma  - Style3_AffinPartner" xfId="50538"/>
    <cellStyle name="Comma  - Style4" xfId="50539"/>
    <cellStyle name="Comma  - Style4 2" xfId="50540"/>
    <cellStyle name="Comma  - Style4 2 2" xfId="50541"/>
    <cellStyle name="Comma  - Style4 3" xfId="50542"/>
    <cellStyle name="Comma  - Style4 3 2" xfId="50543"/>
    <cellStyle name="Comma  - Style4 4" xfId="50544"/>
    <cellStyle name="Comma  - Style4 4 2" xfId="50545"/>
    <cellStyle name="Comma  - Style4 5" xfId="50546"/>
    <cellStyle name="Comma  - Style4 5 2" xfId="50547"/>
    <cellStyle name="Comma  - Style4 6" xfId="50548"/>
    <cellStyle name="Comma  - Style4 6 2" xfId="50549"/>
    <cellStyle name="Comma  - Style4 7" xfId="50550"/>
    <cellStyle name="Comma  - Style4_AffinPartner" xfId="50551"/>
    <cellStyle name="Comma  - Style5" xfId="50552"/>
    <cellStyle name="Comma  - Style5 2" xfId="50553"/>
    <cellStyle name="Comma  - Style5 2 2" xfId="50554"/>
    <cellStyle name="Comma  - Style5 3" xfId="50555"/>
    <cellStyle name="Comma  - Style5 3 2" xfId="50556"/>
    <cellStyle name="Comma  - Style5 4" xfId="50557"/>
    <cellStyle name="Comma  - Style5 4 2" xfId="50558"/>
    <cellStyle name="Comma  - Style5 5" xfId="50559"/>
    <cellStyle name="Comma  - Style5 5 2" xfId="50560"/>
    <cellStyle name="Comma  - Style5 6" xfId="50561"/>
    <cellStyle name="Comma  - Style5 6 2" xfId="50562"/>
    <cellStyle name="Comma  - Style5 7" xfId="50563"/>
    <cellStyle name="Comma  - Style5_AffinPartner" xfId="50564"/>
    <cellStyle name="Comma  - Style6" xfId="50565"/>
    <cellStyle name="Comma  - Style6 2" xfId="50566"/>
    <cellStyle name="Comma  - Style6 2 2" xfId="50567"/>
    <cellStyle name="Comma  - Style6 3" xfId="50568"/>
    <cellStyle name="Comma  - Style6 3 2" xfId="50569"/>
    <cellStyle name="Comma  - Style6 4" xfId="50570"/>
    <cellStyle name="Comma  - Style6 4 2" xfId="50571"/>
    <cellStyle name="Comma  - Style6 5" xfId="50572"/>
    <cellStyle name="Comma  - Style6 5 2" xfId="50573"/>
    <cellStyle name="Comma  - Style6 6" xfId="50574"/>
    <cellStyle name="Comma  - Style6 6 2" xfId="50575"/>
    <cellStyle name="Comma  - Style6 7" xfId="50576"/>
    <cellStyle name="Comma  - Style6_AffinPartner" xfId="50577"/>
    <cellStyle name="Comma  - Style7" xfId="50578"/>
    <cellStyle name="Comma  - Style7 2" xfId="50579"/>
    <cellStyle name="Comma  - Style7 2 2" xfId="50580"/>
    <cellStyle name="Comma  - Style7 3" xfId="50581"/>
    <cellStyle name="Comma  - Style7 3 2" xfId="50582"/>
    <cellStyle name="Comma  - Style7 4" xfId="50583"/>
    <cellStyle name="Comma  - Style7 4 2" xfId="50584"/>
    <cellStyle name="Comma  - Style7 5" xfId="50585"/>
    <cellStyle name="Comma  - Style7 5 2" xfId="50586"/>
    <cellStyle name="Comma  - Style7 6" xfId="50587"/>
    <cellStyle name="Comma  - Style7 6 2" xfId="50588"/>
    <cellStyle name="Comma  - Style7 7" xfId="50589"/>
    <cellStyle name="Comma  - Style7_AffinPartner" xfId="50590"/>
    <cellStyle name="Comma  - Style8" xfId="50591"/>
    <cellStyle name="Comma  - Style8 2" xfId="50592"/>
    <cellStyle name="Comma  - Style8 2 2" xfId="50593"/>
    <cellStyle name="Comma  - Style8 3" xfId="50594"/>
    <cellStyle name="Comma  - Style8 3 2" xfId="50595"/>
    <cellStyle name="Comma  - Style8 4" xfId="50596"/>
    <cellStyle name="Comma  - Style8 4 2" xfId="50597"/>
    <cellStyle name="Comma  - Style8 5" xfId="50598"/>
    <cellStyle name="Comma  - Style8 5 2" xfId="50599"/>
    <cellStyle name="Comma  - Style8 6" xfId="50600"/>
    <cellStyle name="Comma  - Style8 6 2" xfId="50601"/>
    <cellStyle name="Comma  - Style8 7" xfId="50602"/>
    <cellStyle name="Comma  - Style8_AffinPartner" xfId="50603"/>
    <cellStyle name="Comma (1)" xfId="50604"/>
    <cellStyle name="Comma (2)" xfId="50605"/>
    <cellStyle name="Comma [00]" xfId="50606"/>
    <cellStyle name="Comma [00] 2" xfId="50607"/>
    <cellStyle name="Comma [1]" xfId="50608"/>
    <cellStyle name="Comma 0" xfId="50609"/>
    <cellStyle name="Comma 0*" xfId="50610"/>
    <cellStyle name="Comma 0_LBO Base" xfId="50611"/>
    <cellStyle name="Comma 1" xfId="50612"/>
    <cellStyle name="Comma 10" xfId="13565"/>
    <cellStyle name="Comma 10 10" xfId="50613"/>
    <cellStyle name="Comma 10 10 2" xfId="50614"/>
    <cellStyle name="Comma 10 11" xfId="50615"/>
    <cellStyle name="Comma 10 11 2" xfId="50616"/>
    <cellStyle name="Comma 10 12" xfId="50617"/>
    <cellStyle name="Comma 10 12 2" xfId="50618"/>
    <cellStyle name="Comma 10 13" xfId="50619"/>
    <cellStyle name="Comma 10 13 2" xfId="50620"/>
    <cellStyle name="Comma 10 14" xfId="50621"/>
    <cellStyle name="Comma 10 14 2" xfId="50622"/>
    <cellStyle name="Comma 10 15" xfId="50623"/>
    <cellStyle name="Comma 10 15 2" xfId="50624"/>
    <cellStyle name="Comma 10 16" xfId="50625"/>
    <cellStyle name="Comma 10 16 2" xfId="50626"/>
    <cellStyle name="Comma 10 17" xfId="50627"/>
    <cellStyle name="Comma 10 17 2" xfId="50628"/>
    <cellStyle name="Comma 10 18" xfId="50629"/>
    <cellStyle name="Comma 10 18 2" xfId="50630"/>
    <cellStyle name="Comma 10 19" xfId="50631"/>
    <cellStyle name="Comma 10 19 2" xfId="50632"/>
    <cellStyle name="Comma 10 2" xfId="50633"/>
    <cellStyle name="Comma 10 2 10" xfId="50634"/>
    <cellStyle name="Comma 10 2 10 2" xfId="50635"/>
    <cellStyle name="Comma 10 2 11" xfId="50636"/>
    <cellStyle name="Comma 10 2 11 2" xfId="50637"/>
    <cellStyle name="Comma 10 2 12" xfId="50638"/>
    <cellStyle name="Comma 10 2 12 2" xfId="50639"/>
    <cellStyle name="Comma 10 2 13" xfId="50640"/>
    <cellStyle name="Comma 10 2 2" xfId="50641"/>
    <cellStyle name="Comma 10 2 2 10" xfId="50642"/>
    <cellStyle name="Comma 10 2 2 10 2" xfId="50643"/>
    <cellStyle name="Comma 10 2 2 11" xfId="50644"/>
    <cellStyle name="Comma 10 2 2 11 2" xfId="50645"/>
    <cellStyle name="Comma 10 2 2 12" xfId="50646"/>
    <cellStyle name="Comma 10 2 2 12 2" xfId="50647"/>
    <cellStyle name="Comma 10 2 2 13" xfId="50648"/>
    <cellStyle name="Comma 10 2 2 2" xfId="50649"/>
    <cellStyle name="Comma 10 2 2 2 10" xfId="50650"/>
    <cellStyle name="Comma 10 2 2 2 10 2" xfId="50651"/>
    <cellStyle name="Comma 10 2 2 2 11" xfId="50652"/>
    <cellStyle name="Comma 10 2 2 2 11 2" xfId="50653"/>
    <cellStyle name="Comma 10 2 2 2 12" xfId="50654"/>
    <cellStyle name="Comma 10 2 2 2 2" xfId="50655"/>
    <cellStyle name="Comma 10 2 2 2 2 10" xfId="50656"/>
    <cellStyle name="Comma 10 2 2 2 2 10 2" xfId="50657"/>
    <cellStyle name="Comma 10 2 2 2 2 11" xfId="50658"/>
    <cellStyle name="Comma 10 2 2 2 2 11 2" xfId="50659"/>
    <cellStyle name="Comma 10 2 2 2 2 12" xfId="50660"/>
    <cellStyle name="Comma 10 2 2 2 2 2" xfId="50661"/>
    <cellStyle name="Comma 10 2 2 2 2 2 2" xfId="50662"/>
    <cellStyle name="Comma 10 2 2 2 2 2 2 2" xfId="50663"/>
    <cellStyle name="Comma 10 2 2 2 2 2 2 2 2" xfId="50664"/>
    <cellStyle name="Comma 10 2 2 2 2 2 2 3" xfId="50665"/>
    <cellStyle name="Comma 10 2 2 2 2 2 2 3 2" xfId="50666"/>
    <cellStyle name="Comma 10 2 2 2 2 2 2 4" xfId="50667"/>
    <cellStyle name="Comma 10 2 2 2 2 2 3" xfId="50668"/>
    <cellStyle name="Comma 10 2 2 2 2 2 3 2" xfId="50669"/>
    <cellStyle name="Comma 10 2 2 2 2 2 4" xfId="50670"/>
    <cellStyle name="Comma 10 2 2 2 2 2 4 2" xfId="50671"/>
    <cellStyle name="Comma 10 2 2 2 2 2 5" xfId="50672"/>
    <cellStyle name="Comma 10 2 2 2 2 3" xfId="50673"/>
    <cellStyle name="Comma 10 2 2 2 2 3 2" xfId="50674"/>
    <cellStyle name="Comma 10 2 2 2 2 4" xfId="50675"/>
    <cellStyle name="Comma 10 2 2 2 2 4 2" xfId="50676"/>
    <cellStyle name="Comma 10 2 2 2 2 5" xfId="50677"/>
    <cellStyle name="Comma 10 2 2 2 2 5 2" xfId="50678"/>
    <cellStyle name="Comma 10 2 2 2 2 6" xfId="50679"/>
    <cellStyle name="Comma 10 2 2 2 2 6 2" xfId="50680"/>
    <cellStyle name="Comma 10 2 2 2 2 7" xfId="50681"/>
    <cellStyle name="Comma 10 2 2 2 2 7 2" xfId="50682"/>
    <cellStyle name="Comma 10 2 2 2 2 8" xfId="50683"/>
    <cellStyle name="Comma 10 2 2 2 2 8 2" xfId="50684"/>
    <cellStyle name="Comma 10 2 2 2 2 9" xfId="50685"/>
    <cellStyle name="Comma 10 2 2 2 2 9 2" xfId="50686"/>
    <cellStyle name="Comma 10 2 2 2 3" xfId="50687"/>
    <cellStyle name="Comma 10 2 2 2 3 2" xfId="50688"/>
    <cellStyle name="Comma 10 2 2 2 3 2 2" xfId="50689"/>
    <cellStyle name="Comma 10 2 2 2 3 3" xfId="50690"/>
    <cellStyle name="Comma 10 2 2 2 3 3 2" xfId="50691"/>
    <cellStyle name="Comma 10 2 2 2 3 4" xfId="50692"/>
    <cellStyle name="Comma 10 2 2 2 4" xfId="50693"/>
    <cellStyle name="Comma 10 2 2 2 4 2" xfId="50694"/>
    <cellStyle name="Comma 10 2 2 2 5" xfId="50695"/>
    <cellStyle name="Comma 10 2 2 2 5 2" xfId="50696"/>
    <cellStyle name="Comma 10 2 2 2 6" xfId="50697"/>
    <cellStyle name="Comma 10 2 2 2 6 2" xfId="50698"/>
    <cellStyle name="Comma 10 2 2 2 7" xfId="50699"/>
    <cellStyle name="Comma 10 2 2 2 7 2" xfId="50700"/>
    <cellStyle name="Comma 10 2 2 2 8" xfId="50701"/>
    <cellStyle name="Comma 10 2 2 2 8 2" xfId="50702"/>
    <cellStyle name="Comma 10 2 2 2 9" xfId="50703"/>
    <cellStyle name="Comma 10 2 2 2 9 2" xfId="50704"/>
    <cellStyle name="Comma 10 2 2 3" xfId="50705"/>
    <cellStyle name="Comma 10 2 2 3 2" xfId="50706"/>
    <cellStyle name="Comma 10 2 2 3 2 2" xfId="50707"/>
    <cellStyle name="Comma 10 2 2 3 3" xfId="50708"/>
    <cellStyle name="Comma 10 2 2 3 3 2" xfId="50709"/>
    <cellStyle name="Comma 10 2 2 3 4" xfId="50710"/>
    <cellStyle name="Comma 10 2 2 4" xfId="50711"/>
    <cellStyle name="Comma 10 2 2 4 2" xfId="50712"/>
    <cellStyle name="Comma 10 2 2 5" xfId="50713"/>
    <cellStyle name="Comma 10 2 2 5 2" xfId="50714"/>
    <cellStyle name="Comma 10 2 2 6" xfId="50715"/>
    <cellStyle name="Comma 10 2 2 6 2" xfId="50716"/>
    <cellStyle name="Comma 10 2 2 7" xfId="50717"/>
    <cellStyle name="Comma 10 2 2 7 2" xfId="50718"/>
    <cellStyle name="Comma 10 2 2 8" xfId="50719"/>
    <cellStyle name="Comma 10 2 2 8 2" xfId="50720"/>
    <cellStyle name="Comma 10 2 2 9" xfId="50721"/>
    <cellStyle name="Comma 10 2 2 9 2" xfId="50722"/>
    <cellStyle name="Comma 10 2 3" xfId="50723"/>
    <cellStyle name="Comma 10 2 3 10" xfId="50724"/>
    <cellStyle name="Comma 10 2 3 10 2" xfId="50725"/>
    <cellStyle name="Comma 10 2 3 11" xfId="50726"/>
    <cellStyle name="Comma 10 2 3 2" xfId="50727"/>
    <cellStyle name="Comma 10 2 3 2 2" xfId="50728"/>
    <cellStyle name="Comma 10 2 3 2 2 2" xfId="50729"/>
    <cellStyle name="Comma 10 2 3 2 3" xfId="50730"/>
    <cellStyle name="Comma 10 2 3 2 3 2" xfId="50731"/>
    <cellStyle name="Comma 10 2 3 2 4" xfId="50732"/>
    <cellStyle name="Comma 10 2 3 3" xfId="50733"/>
    <cellStyle name="Comma 10 2 3 3 2" xfId="50734"/>
    <cellStyle name="Comma 10 2 3 4" xfId="50735"/>
    <cellStyle name="Comma 10 2 3 4 2" xfId="50736"/>
    <cellStyle name="Comma 10 2 3 5" xfId="50737"/>
    <cellStyle name="Comma 10 2 3 5 2" xfId="50738"/>
    <cellStyle name="Comma 10 2 3 6" xfId="50739"/>
    <cellStyle name="Comma 10 2 3 6 2" xfId="50740"/>
    <cellStyle name="Comma 10 2 3 7" xfId="50741"/>
    <cellStyle name="Comma 10 2 3 7 2" xfId="50742"/>
    <cellStyle name="Comma 10 2 3 8" xfId="50743"/>
    <cellStyle name="Comma 10 2 3 8 2" xfId="50744"/>
    <cellStyle name="Comma 10 2 3 9" xfId="50745"/>
    <cellStyle name="Comma 10 2 3 9 2" xfId="50746"/>
    <cellStyle name="Comma 10 2 4" xfId="50747"/>
    <cellStyle name="Comma 10 2 4 2" xfId="50748"/>
    <cellStyle name="Comma 10 2 4 2 2" xfId="50749"/>
    <cellStyle name="Comma 10 2 4 3" xfId="50750"/>
    <cellStyle name="Comma 10 2 4 3 2" xfId="50751"/>
    <cellStyle name="Comma 10 2 4 4" xfId="50752"/>
    <cellStyle name="Comma 10 2 5" xfId="50753"/>
    <cellStyle name="Comma 10 2 5 2" xfId="50754"/>
    <cellStyle name="Comma 10 2 6" xfId="50755"/>
    <cellStyle name="Comma 10 2 6 2" xfId="50756"/>
    <cellStyle name="Comma 10 2 7" xfId="50757"/>
    <cellStyle name="Comma 10 2 7 2" xfId="50758"/>
    <cellStyle name="Comma 10 2 8" xfId="50759"/>
    <cellStyle name="Comma 10 2 8 2" xfId="50760"/>
    <cellStyle name="Comma 10 2 9" xfId="50761"/>
    <cellStyle name="Comma 10 2 9 2" xfId="50762"/>
    <cellStyle name="Comma 10 20" xfId="50763"/>
    <cellStyle name="Comma 10 20 2" xfId="50764"/>
    <cellStyle name="Comma 10 21" xfId="50765"/>
    <cellStyle name="Comma 10 21 2" xfId="50766"/>
    <cellStyle name="Comma 10 22" xfId="50767"/>
    <cellStyle name="Comma 10 22 2" xfId="50768"/>
    <cellStyle name="Comma 10 23" xfId="50769"/>
    <cellStyle name="Comma 10 23 2" xfId="50770"/>
    <cellStyle name="Comma 10 24" xfId="50771"/>
    <cellStyle name="Comma 10 24 2" xfId="50772"/>
    <cellStyle name="Comma 10 25" xfId="50773"/>
    <cellStyle name="Comma 10 25 2" xfId="50774"/>
    <cellStyle name="Comma 10 26" xfId="50775"/>
    <cellStyle name="Comma 10 26 2" xfId="50776"/>
    <cellStyle name="Comma 10 27" xfId="50777"/>
    <cellStyle name="Comma 10 27 2" xfId="50778"/>
    <cellStyle name="Comma 10 28" xfId="50779"/>
    <cellStyle name="Comma 10 28 2" xfId="50780"/>
    <cellStyle name="Comma 10 29" xfId="50781"/>
    <cellStyle name="Comma 10 29 2" xfId="50782"/>
    <cellStyle name="Comma 10 3" xfId="50783"/>
    <cellStyle name="Comma 10 3 10" xfId="50784"/>
    <cellStyle name="Comma 10 3 10 2" xfId="50785"/>
    <cellStyle name="Comma 10 3 11" xfId="50786"/>
    <cellStyle name="Comma 10 3 2" xfId="50787"/>
    <cellStyle name="Comma 10 3 2 10" xfId="50788"/>
    <cellStyle name="Comma 10 3 2 10 2" xfId="50789"/>
    <cellStyle name="Comma 10 3 2 11" xfId="50790"/>
    <cellStyle name="Comma 10 3 2 2" xfId="50791"/>
    <cellStyle name="Comma 10 3 2 2 2" xfId="50792"/>
    <cellStyle name="Comma 10 3 2 2 2 2" xfId="50793"/>
    <cellStyle name="Comma 10 3 2 2 3" xfId="50794"/>
    <cellStyle name="Comma 10 3 2 2 3 2" xfId="50795"/>
    <cellStyle name="Comma 10 3 2 2 4" xfId="50796"/>
    <cellStyle name="Comma 10 3 2 3" xfId="50797"/>
    <cellStyle name="Comma 10 3 2 3 2" xfId="50798"/>
    <cellStyle name="Comma 10 3 2 4" xfId="50799"/>
    <cellStyle name="Comma 10 3 2 4 2" xfId="50800"/>
    <cellStyle name="Comma 10 3 2 5" xfId="50801"/>
    <cellStyle name="Comma 10 3 2 5 2" xfId="50802"/>
    <cellStyle name="Comma 10 3 2 6" xfId="50803"/>
    <cellStyle name="Comma 10 3 2 6 2" xfId="50804"/>
    <cellStyle name="Comma 10 3 2 7" xfId="50805"/>
    <cellStyle name="Comma 10 3 2 7 2" xfId="50806"/>
    <cellStyle name="Comma 10 3 2 8" xfId="50807"/>
    <cellStyle name="Comma 10 3 2 8 2" xfId="50808"/>
    <cellStyle name="Comma 10 3 2 9" xfId="50809"/>
    <cellStyle name="Comma 10 3 2 9 2" xfId="50810"/>
    <cellStyle name="Comma 10 3 3" xfId="50811"/>
    <cellStyle name="Comma 10 3 3 2" xfId="50812"/>
    <cellStyle name="Comma 10 3 3 2 2" xfId="50813"/>
    <cellStyle name="Comma 10 3 3 3" xfId="50814"/>
    <cellStyle name="Comma 10 3 3 3 2" xfId="50815"/>
    <cellStyle name="Comma 10 3 3 4" xfId="50816"/>
    <cellStyle name="Comma 10 3 4" xfId="50817"/>
    <cellStyle name="Comma 10 3 4 2" xfId="50818"/>
    <cellStyle name="Comma 10 3 5" xfId="50819"/>
    <cellStyle name="Comma 10 3 5 2" xfId="50820"/>
    <cellStyle name="Comma 10 3 6" xfId="50821"/>
    <cellStyle name="Comma 10 3 6 2" xfId="50822"/>
    <cellStyle name="Comma 10 3 7" xfId="50823"/>
    <cellStyle name="Comma 10 3 7 2" xfId="50824"/>
    <cellStyle name="Comma 10 3 8" xfId="50825"/>
    <cellStyle name="Comma 10 3 8 2" xfId="50826"/>
    <cellStyle name="Comma 10 3 9" xfId="50827"/>
    <cellStyle name="Comma 10 3 9 2" xfId="50828"/>
    <cellStyle name="Comma 10 30" xfId="50829"/>
    <cellStyle name="Comma 10 30 2" xfId="50830"/>
    <cellStyle name="Comma 10 31" xfId="50831"/>
    <cellStyle name="Comma 10 31 2" xfId="50832"/>
    <cellStyle name="Comma 10 32" xfId="50833"/>
    <cellStyle name="Comma 10 32 2" xfId="50834"/>
    <cellStyle name="Comma 10 33" xfId="50835"/>
    <cellStyle name="Comma 10 33 2" xfId="50836"/>
    <cellStyle name="Comma 10 34" xfId="50837"/>
    <cellStyle name="Comma 10 34 2" xfId="50838"/>
    <cellStyle name="Comma 10 35" xfId="50839"/>
    <cellStyle name="Comma 10 35 2" xfId="50840"/>
    <cellStyle name="Comma 10 36" xfId="50841"/>
    <cellStyle name="Comma 10 36 2" xfId="50842"/>
    <cellStyle name="Comma 10 37" xfId="50843"/>
    <cellStyle name="Comma 10 4" xfId="50844"/>
    <cellStyle name="Comma 10 4 2" xfId="50845"/>
    <cellStyle name="Comma 10 4 2 2" xfId="50846"/>
    <cellStyle name="Comma 10 4 3" xfId="50847"/>
    <cellStyle name="Comma 10 4 3 2" xfId="50848"/>
    <cellStyle name="Comma 10 4 4" xfId="50849"/>
    <cellStyle name="Comma 10 5" xfId="50850"/>
    <cellStyle name="Comma 10 5 2" xfId="50851"/>
    <cellStyle name="Comma 10 6" xfId="50852"/>
    <cellStyle name="Comma 10 6 2" xfId="50853"/>
    <cellStyle name="Comma 10 7" xfId="50854"/>
    <cellStyle name="Comma 10 7 2" xfId="50855"/>
    <cellStyle name="Comma 10 8" xfId="50856"/>
    <cellStyle name="Comma 10 8 2" xfId="50857"/>
    <cellStyle name="Comma 10 9" xfId="50858"/>
    <cellStyle name="Comma 10 9 2" xfId="50859"/>
    <cellStyle name="Comma 10_Sheet4" xfId="50860"/>
    <cellStyle name="Comma 11" xfId="50861"/>
    <cellStyle name="Comma 11 10" xfId="50862"/>
    <cellStyle name="Comma 11 10 2" xfId="50863"/>
    <cellStyle name="Comma 11 11" xfId="50864"/>
    <cellStyle name="Comma 11 11 2" xfId="50865"/>
    <cellStyle name="Comma 11 12" xfId="50866"/>
    <cellStyle name="Comma 11 12 2" xfId="50867"/>
    <cellStyle name="Comma 11 13" xfId="50868"/>
    <cellStyle name="Comma 11 13 2" xfId="50869"/>
    <cellStyle name="Comma 11 14" xfId="50870"/>
    <cellStyle name="Comma 11 14 2" xfId="50871"/>
    <cellStyle name="Comma 11 15" xfId="50872"/>
    <cellStyle name="Comma 11 15 2" xfId="50873"/>
    <cellStyle name="Comma 11 16" xfId="50874"/>
    <cellStyle name="Comma 11 16 2" xfId="50875"/>
    <cellStyle name="Comma 11 17" xfId="50876"/>
    <cellStyle name="Comma 11 17 2" xfId="50877"/>
    <cellStyle name="Comma 11 18" xfId="50878"/>
    <cellStyle name="Comma 11 18 2" xfId="50879"/>
    <cellStyle name="Comma 11 19" xfId="50880"/>
    <cellStyle name="Comma 11 19 2" xfId="50881"/>
    <cellStyle name="Comma 11 2" xfId="50882"/>
    <cellStyle name="Comma 11 2 10" xfId="50883"/>
    <cellStyle name="Comma 11 2 10 2" xfId="50884"/>
    <cellStyle name="Comma 11 2 11" xfId="50885"/>
    <cellStyle name="Comma 11 2 11 2" xfId="50886"/>
    <cellStyle name="Comma 11 2 12" xfId="50887"/>
    <cellStyle name="Comma 11 2 12 2" xfId="50888"/>
    <cellStyle name="Comma 11 2 13" xfId="50889"/>
    <cellStyle name="Comma 11 2 2" xfId="50890"/>
    <cellStyle name="Comma 11 2 2 10" xfId="50891"/>
    <cellStyle name="Comma 11 2 2 10 2" xfId="50892"/>
    <cellStyle name="Comma 11 2 2 11" xfId="50893"/>
    <cellStyle name="Comma 11 2 2 11 2" xfId="50894"/>
    <cellStyle name="Comma 11 2 2 12" xfId="50895"/>
    <cellStyle name="Comma 11 2 2 12 2" xfId="50896"/>
    <cellStyle name="Comma 11 2 2 13" xfId="50897"/>
    <cellStyle name="Comma 11 2 2 2" xfId="50898"/>
    <cellStyle name="Comma 11 2 2 2 10" xfId="50899"/>
    <cellStyle name="Comma 11 2 2 2 10 2" xfId="50900"/>
    <cellStyle name="Comma 11 2 2 2 11" xfId="50901"/>
    <cellStyle name="Comma 11 2 2 2 11 2" xfId="50902"/>
    <cellStyle name="Comma 11 2 2 2 12" xfId="50903"/>
    <cellStyle name="Comma 11 2 2 2 2" xfId="50904"/>
    <cellStyle name="Comma 11 2 2 2 2 10" xfId="50905"/>
    <cellStyle name="Comma 11 2 2 2 2 10 2" xfId="50906"/>
    <cellStyle name="Comma 11 2 2 2 2 11" xfId="50907"/>
    <cellStyle name="Comma 11 2 2 2 2 11 2" xfId="50908"/>
    <cellStyle name="Comma 11 2 2 2 2 12" xfId="50909"/>
    <cellStyle name="Comma 11 2 2 2 2 2" xfId="50910"/>
    <cellStyle name="Comma 11 2 2 2 2 2 2" xfId="50911"/>
    <cellStyle name="Comma 11 2 2 2 2 2 2 2" xfId="50912"/>
    <cellStyle name="Comma 11 2 2 2 2 2 2 2 2" xfId="50913"/>
    <cellStyle name="Comma 11 2 2 2 2 2 2 3" xfId="50914"/>
    <cellStyle name="Comma 11 2 2 2 2 2 2 3 2" xfId="50915"/>
    <cellStyle name="Comma 11 2 2 2 2 2 2 4" xfId="50916"/>
    <cellStyle name="Comma 11 2 2 2 2 2 3" xfId="50917"/>
    <cellStyle name="Comma 11 2 2 2 2 2 3 2" xfId="50918"/>
    <cellStyle name="Comma 11 2 2 2 2 2 4" xfId="50919"/>
    <cellStyle name="Comma 11 2 2 2 2 2 4 2" xfId="50920"/>
    <cellStyle name="Comma 11 2 2 2 2 2 5" xfId="50921"/>
    <cellStyle name="Comma 11 2 2 2 2 3" xfId="50922"/>
    <cellStyle name="Comma 11 2 2 2 2 3 2" xfId="50923"/>
    <cellStyle name="Comma 11 2 2 2 2 4" xfId="50924"/>
    <cellStyle name="Comma 11 2 2 2 2 4 2" xfId="50925"/>
    <cellStyle name="Comma 11 2 2 2 2 5" xfId="50926"/>
    <cellStyle name="Comma 11 2 2 2 2 5 2" xfId="50927"/>
    <cellStyle name="Comma 11 2 2 2 2 6" xfId="50928"/>
    <cellStyle name="Comma 11 2 2 2 2 6 2" xfId="50929"/>
    <cellStyle name="Comma 11 2 2 2 2 7" xfId="50930"/>
    <cellStyle name="Comma 11 2 2 2 2 7 2" xfId="50931"/>
    <cellStyle name="Comma 11 2 2 2 2 8" xfId="50932"/>
    <cellStyle name="Comma 11 2 2 2 2 8 2" xfId="50933"/>
    <cellStyle name="Comma 11 2 2 2 2 9" xfId="50934"/>
    <cellStyle name="Comma 11 2 2 2 2 9 2" xfId="50935"/>
    <cellStyle name="Comma 11 2 2 2 3" xfId="50936"/>
    <cellStyle name="Comma 11 2 2 2 3 2" xfId="50937"/>
    <cellStyle name="Comma 11 2 2 2 3 2 2" xfId="50938"/>
    <cellStyle name="Comma 11 2 2 2 3 3" xfId="50939"/>
    <cellStyle name="Comma 11 2 2 2 3 3 2" xfId="50940"/>
    <cellStyle name="Comma 11 2 2 2 3 4" xfId="50941"/>
    <cellStyle name="Comma 11 2 2 2 4" xfId="50942"/>
    <cellStyle name="Comma 11 2 2 2 4 2" xfId="50943"/>
    <cellStyle name="Comma 11 2 2 2 5" xfId="50944"/>
    <cellStyle name="Comma 11 2 2 2 5 2" xfId="50945"/>
    <cellStyle name="Comma 11 2 2 2 6" xfId="50946"/>
    <cellStyle name="Comma 11 2 2 2 6 2" xfId="50947"/>
    <cellStyle name="Comma 11 2 2 2 7" xfId="50948"/>
    <cellStyle name="Comma 11 2 2 2 7 2" xfId="50949"/>
    <cellStyle name="Comma 11 2 2 2 8" xfId="50950"/>
    <cellStyle name="Comma 11 2 2 2 8 2" xfId="50951"/>
    <cellStyle name="Comma 11 2 2 2 9" xfId="50952"/>
    <cellStyle name="Comma 11 2 2 2 9 2" xfId="50953"/>
    <cellStyle name="Comma 11 2 2 3" xfId="50954"/>
    <cellStyle name="Comma 11 2 2 3 2" xfId="50955"/>
    <cellStyle name="Comma 11 2 2 3 2 2" xfId="50956"/>
    <cellStyle name="Comma 11 2 2 3 3" xfId="50957"/>
    <cellStyle name="Comma 11 2 2 3 3 2" xfId="50958"/>
    <cellStyle name="Comma 11 2 2 3 4" xfId="50959"/>
    <cellStyle name="Comma 11 2 2 4" xfId="50960"/>
    <cellStyle name="Comma 11 2 2 4 2" xfId="50961"/>
    <cellStyle name="Comma 11 2 2 5" xfId="50962"/>
    <cellStyle name="Comma 11 2 2 5 2" xfId="50963"/>
    <cellStyle name="Comma 11 2 2 6" xfId="50964"/>
    <cellStyle name="Comma 11 2 2 6 2" xfId="50965"/>
    <cellStyle name="Comma 11 2 2 7" xfId="50966"/>
    <cellStyle name="Comma 11 2 2 7 2" xfId="50967"/>
    <cellStyle name="Comma 11 2 2 8" xfId="50968"/>
    <cellStyle name="Comma 11 2 2 8 2" xfId="50969"/>
    <cellStyle name="Comma 11 2 2 9" xfId="50970"/>
    <cellStyle name="Comma 11 2 2 9 2" xfId="50971"/>
    <cellStyle name="Comma 11 2 3" xfId="50972"/>
    <cellStyle name="Comma 11 2 3 10" xfId="50973"/>
    <cellStyle name="Comma 11 2 3 10 2" xfId="50974"/>
    <cellStyle name="Comma 11 2 3 11" xfId="50975"/>
    <cellStyle name="Comma 11 2 3 2" xfId="50976"/>
    <cellStyle name="Comma 11 2 3 2 2" xfId="50977"/>
    <cellStyle name="Comma 11 2 3 2 2 2" xfId="50978"/>
    <cellStyle name="Comma 11 2 3 2 3" xfId="50979"/>
    <cellStyle name="Comma 11 2 3 2 3 2" xfId="50980"/>
    <cellStyle name="Comma 11 2 3 2 4" xfId="50981"/>
    <cellStyle name="Comma 11 2 3 3" xfId="50982"/>
    <cellStyle name="Comma 11 2 3 3 2" xfId="50983"/>
    <cellStyle name="Comma 11 2 3 4" xfId="50984"/>
    <cellStyle name="Comma 11 2 3 4 2" xfId="50985"/>
    <cellStyle name="Comma 11 2 3 5" xfId="50986"/>
    <cellStyle name="Comma 11 2 3 5 2" xfId="50987"/>
    <cellStyle name="Comma 11 2 3 6" xfId="50988"/>
    <cellStyle name="Comma 11 2 3 6 2" xfId="50989"/>
    <cellStyle name="Comma 11 2 3 7" xfId="50990"/>
    <cellStyle name="Comma 11 2 3 7 2" xfId="50991"/>
    <cellStyle name="Comma 11 2 3 8" xfId="50992"/>
    <cellStyle name="Comma 11 2 3 8 2" xfId="50993"/>
    <cellStyle name="Comma 11 2 3 9" xfId="50994"/>
    <cellStyle name="Comma 11 2 3 9 2" xfId="50995"/>
    <cellStyle name="Comma 11 2 4" xfId="50996"/>
    <cellStyle name="Comma 11 2 4 2" xfId="50997"/>
    <cellStyle name="Comma 11 2 4 2 2" xfId="50998"/>
    <cellStyle name="Comma 11 2 4 3" xfId="50999"/>
    <cellStyle name="Comma 11 2 4 3 2" xfId="51000"/>
    <cellStyle name="Comma 11 2 4 4" xfId="51001"/>
    <cellStyle name="Comma 11 2 5" xfId="51002"/>
    <cellStyle name="Comma 11 2 5 2" xfId="51003"/>
    <cellStyle name="Comma 11 2 6" xfId="51004"/>
    <cellStyle name="Comma 11 2 6 2" xfId="51005"/>
    <cellStyle name="Comma 11 2 7" xfId="51006"/>
    <cellStyle name="Comma 11 2 7 2" xfId="51007"/>
    <cellStyle name="Comma 11 2 8" xfId="51008"/>
    <cellStyle name="Comma 11 2 8 2" xfId="51009"/>
    <cellStyle name="Comma 11 2 9" xfId="51010"/>
    <cellStyle name="Comma 11 2 9 2" xfId="51011"/>
    <cellStyle name="Comma 11 20" xfId="51012"/>
    <cellStyle name="Comma 11 20 2" xfId="51013"/>
    <cellStyle name="Comma 11 21" xfId="51014"/>
    <cellStyle name="Comma 11 21 2" xfId="51015"/>
    <cellStyle name="Comma 11 22" xfId="51016"/>
    <cellStyle name="Comma 11 22 2" xfId="51017"/>
    <cellStyle name="Comma 11 23" xfId="51018"/>
    <cellStyle name="Comma 11 23 2" xfId="51019"/>
    <cellStyle name="Comma 11 24" xfId="51020"/>
    <cellStyle name="Comma 11 24 2" xfId="51021"/>
    <cellStyle name="Comma 11 25" xfId="51022"/>
    <cellStyle name="Comma 11 25 2" xfId="51023"/>
    <cellStyle name="Comma 11 26" xfId="51024"/>
    <cellStyle name="Comma 11 26 2" xfId="51025"/>
    <cellStyle name="Comma 11 27" xfId="51026"/>
    <cellStyle name="Comma 11 27 2" xfId="51027"/>
    <cellStyle name="Comma 11 28" xfId="51028"/>
    <cellStyle name="Comma 11 28 2" xfId="51029"/>
    <cellStyle name="Comma 11 29" xfId="51030"/>
    <cellStyle name="Comma 11 29 2" xfId="51031"/>
    <cellStyle name="Comma 11 3" xfId="51032"/>
    <cellStyle name="Comma 11 3 10" xfId="51033"/>
    <cellStyle name="Comma 11 3 10 2" xfId="51034"/>
    <cellStyle name="Comma 11 3 11" xfId="51035"/>
    <cellStyle name="Comma 11 3 2" xfId="51036"/>
    <cellStyle name="Comma 11 3 2 10" xfId="51037"/>
    <cellStyle name="Comma 11 3 2 10 2" xfId="51038"/>
    <cellStyle name="Comma 11 3 2 11" xfId="51039"/>
    <cellStyle name="Comma 11 3 2 2" xfId="51040"/>
    <cellStyle name="Comma 11 3 2 2 2" xfId="51041"/>
    <cellStyle name="Comma 11 3 2 2 2 2" xfId="51042"/>
    <cellStyle name="Comma 11 3 2 2 3" xfId="51043"/>
    <cellStyle name="Comma 11 3 2 2 3 2" xfId="51044"/>
    <cellStyle name="Comma 11 3 2 2 4" xfId="51045"/>
    <cellStyle name="Comma 11 3 2 3" xfId="51046"/>
    <cellStyle name="Comma 11 3 2 3 2" xfId="51047"/>
    <cellStyle name="Comma 11 3 2 4" xfId="51048"/>
    <cellStyle name="Comma 11 3 2 4 2" xfId="51049"/>
    <cellStyle name="Comma 11 3 2 5" xfId="51050"/>
    <cellStyle name="Comma 11 3 2 5 2" xfId="51051"/>
    <cellStyle name="Comma 11 3 2 6" xfId="51052"/>
    <cellStyle name="Comma 11 3 2 6 2" xfId="51053"/>
    <cellStyle name="Comma 11 3 2 7" xfId="51054"/>
    <cellStyle name="Comma 11 3 2 7 2" xfId="51055"/>
    <cellStyle name="Comma 11 3 2 8" xfId="51056"/>
    <cellStyle name="Comma 11 3 2 8 2" xfId="51057"/>
    <cellStyle name="Comma 11 3 2 9" xfId="51058"/>
    <cellStyle name="Comma 11 3 2 9 2" xfId="51059"/>
    <cellStyle name="Comma 11 3 3" xfId="51060"/>
    <cellStyle name="Comma 11 3 3 2" xfId="51061"/>
    <cellStyle name="Comma 11 3 3 2 2" xfId="51062"/>
    <cellStyle name="Comma 11 3 3 3" xfId="51063"/>
    <cellStyle name="Comma 11 3 3 3 2" xfId="51064"/>
    <cellStyle name="Comma 11 3 3 4" xfId="51065"/>
    <cellStyle name="Comma 11 3 4" xfId="51066"/>
    <cellStyle name="Comma 11 3 4 2" xfId="51067"/>
    <cellStyle name="Comma 11 3 5" xfId="51068"/>
    <cellStyle name="Comma 11 3 5 2" xfId="51069"/>
    <cellStyle name="Comma 11 3 6" xfId="51070"/>
    <cellStyle name="Comma 11 3 6 2" xfId="51071"/>
    <cellStyle name="Comma 11 3 7" xfId="51072"/>
    <cellStyle name="Comma 11 3 7 2" xfId="51073"/>
    <cellStyle name="Comma 11 3 8" xfId="51074"/>
    <cellStyle name="Comma 11 3 8 2" xfId="51075"/>
    <cellStyle name="Comma 11 3 9" xfId="51076"/>
    <cellStyle name="Comma 11 3 9 2" xfId="51077"/>
    <cellStyle name="Comma 11 30" xfId="51078"/>
    <cellStyle name="Comma 11 30 2" xfId="51079"/>
    <cellStyle name="Comma 11 31" xfId="51080"/>
    <cellStyle name="Comma 11 31 2" xfId="51081"/>
    <cellStyle name="Comma 11 32" xfId="51082"/>
    <cellStyle name="Comma 11 32 2" xfId="51083"/>
    <cellStyle name="Comma 11 33" xfId="51084"/>
    <cellStyle name="Comma 11 33 2" xfId="51085"/>
    <cellStyle name="Comma 11 34" xfId="51086"/>
    <cellStyle name="Comma 11 34 2" xfId="51087"/>
    <cellStyle name="Comma 11 35" xfId="51088"/>
    <cellStyle name="Comma 11 35 2" xfId="51089"/>
    <cellStyle name="Comma 11 36" xfId="51090"/>
    <cellStyle name="Comma 11 36 2" xfId="51091"/>
    <cellStyle name="Comma 11 37" xfId="51092"/>
    <cellStyle name="Comma 11 4" xfId="51093"/>
    <cellStyle name="Comma 11 4 2" xfId="51094"/>
    <cellStyle name="Comma 11 4 2 2" xfId="51095"/>
    <cellStyle name="Comma 11 4 3" xfId="51096"/>
    <cellStyle name="Comma 11 4 3 2" xfId="51097"/>
    <cellStyle name="Comma 11 4 4" xfId="51098"/>
    <cellStyle name="Comma 11 5" xfId="51099"/>
    <cellStyle name="Comma 11 5 2" xfId="51100"/>
    <cellStyle name="Comma 11 6" xfId="51101"/>
    <cellStyle name="Comma 11 6 2" xfId="51102"/>
    <cellStyle name="Comma 11 7" xfId="51103"/>
    <cellStyle name="Comma 11 7 2" xfId="51104"/>
    <cellStyle name="Comma 11 8" xfId="51105"/>
    <cellStyle name="Comma 11 8 2" xfId="51106"/>
    <cellStyle name="Comma 11 9" xfId="51107"/>
    <cellStyle name="Comma 11 9 2" xfId="51108"/>
    <cellStyle name="Comma 11_Sheet4" xfId="51109"/>
    <cellStyle name="Comma 12" xfId="51110"/>
    <cellStyle name="Comma 12 10" xfId="51111"/>
    <cellStyle name="Comma 12 10 2" xfId="51112"/>
    <cellStyle name="Comma 12 11" xfId="51113"/>
    <cellStyle name="Comma 12 11 2" xfId="51114"/>
    <cellStyle name="Comma 12 12" xfId="51115"/>
    <cellStyle name="Comma 12 12 2" xfId="51116"/>
    <cellStyle name="Comma 12 13" xfId="51117"/>
    <cellStyle name="Comma 12 13 2" xfId="51118"/>
    <cellStyle name="Comma 12 14" xfId="51119"/>
    <cellStyle name="Comma 12 14 2" xfId="51120"/>
    <cellStyle name="Comma 12 15" xfId="51121"/>
    <cellStyle name="Comma 12 15 2" xfId="51122"/>
    <cellStyle name="Comma 12 16" xfId="51123"/>
    <cellStyle name="Comma 12 16 2" xfId="51124"/>
    <cellStyle name="Comma 12 17" xfId="51125"/>
    <cellStyle name="Comma 12 17 2" xfId="51126"/>
    <cellStyle name="Comma 12 18" xfId="51127"/>
    <cellStyle name="Comma 12 18 2" xfId="51128"/>
    <cellStyle name="Comma 12 19" xfId="51129"/>
    <cellStyle name="Comma 12 19 2" xfId="51130"/>
    <cellStyle name="Comma 12 2" xfId="51131"/>
    <cellStyle name="Comma 12 2 10" xfId="51132"/>
    <cellStyle name="Comma 12 2 10 2" xfId="51133"/>
    <cellStyle name="Comma 12 2 11" xfId="51134"/>
    <cellStyle name="Comma 12 2 11 2" xfId="51135"/>
    <cellStyle name="Comma 12 2 12" xfId="51136"/>
    <cellStyle name="Comma 12 2 12 2" xfId="51137"/>
    <cellStyle name="Comma 12 2 13" xfId="51138"/>
    <cellStyle name="Comma 12 2 2" xfId="51139"/>
    <cellStyle name="Comma 12 2 2 10" xfId="51140"/>
    <cellStyle name="Comma 12 2 2 10 2" xfId="51141"/>
    <cellStyle name="Comma 12 2 2 11" xfId="51142"/>
    <cellStyle name="Comma 12 2 2 11 2" xfId="51143"/>
    <cellStyle name="Comma 12 2 2 12" xfId="51144"/>
    <cellStyle name="Comma 12 2 2 12 2" xfId="51145"/>
    <cellStyle name="Comma 12 2 2 13" xfId="51146"/>
    <cellStyle name="Comma 12 2 2 2" xfId="51147"/>
    <cellStyle name="Comma 12 2 2 2 10" xfId="51148"/>
    <cellStyle name="Comma 12 2 2 2 10 2" xfId="51149"/>
    <cellStyle name="Comma 12 2 2 2 11" xfId="51150"/>
    <cellStyle name="Comma 12 2 2 2 11 2" xfId="51151"/>
    <cellStyle name="Comma 12 2 2 2 12" xfId="51152"/>
    <cellStyle name="Comma 12 2 2 2 2" xfId="51153"/>
    <cellStyle name="Comma 12 2 2 2 2 10" xfId="51154"/>
    <cellStyle name="Comma 12 2 2 2 2 10 2" xfId="51155"/>
    <cellStyle name="Comma 12 2 2 2 2 11" xfId="51156"/>
    <cellStyle name="Comma 12 2 2 2 2 11 2" xfId="51157"/>
    <cellStyle name="Comma 12 2 2 2 2 12" xfId="51158"/>
    <cellStyle name="Comma 12 2 2 2 2 2" xfId="51159"/>
    <cellStyle name="Comma 12 2 2 2 2 2 2" xfId="51160"/>
    <cellStyle name="Comma 12 2 2 2 2 2 2 2" xfId="51161"/>
    <cellStyle name="Comma 12 2 2 2 2 2 2 2 2" xfId="51162"/>
    <cellStyle name="Comma 12 2 2 2 2 2 2 3" xfId="51163"/>
    <cellStyle name="Comma 12 2 2 2 2 2 2 3 2" xfId="51164"/>
    <cellStyle name="Comma 12 2 2 2 2 2 2 4" xfId="51165"/>
    <cellStyle name="Comma 12 2 2 2 2 2 3" xfId="51166"/>
    <cellStyle name="Comma 12 2 2 2 2 2 3 2" xfId="51167"/>
    <cellStyle name="Comma 12 2 2 2 2 2 4" xfId="51168"/>
    <cellStyle name="Comma 12 2 2 2 2 2 4 2" xfId="51169"/>
    <cellStyle name="Comma 12 2 2 2 2 2 5" xfId="51170"/>
    <cellStyle name="Comma 12 2 2 2 2 3" xfId="51171"/>
    <cellStyle name="Comma 12 2 2 2 2 3 2" xfId="51172"/>
    <cellStyle name="Comma 12 2 2 2 2 4" xfId="51173"/>
    <cellStyle name="Comma 12 2 2 2 2 4 2" xfId="51174"/>
    <cellStyle name="Comma 12 2 2 2 2 5" xfId="51175"/>
    <cellStyle name="Comma 12 2 2 2 2 5 2" xfId="51176"/>
    <cellStyle name="Comma 12 2 2 2 2 6" xfId="51177"/>
    <cellStyle name="Comma 12 2 2 2 2 6 2" xfId="51178"/>
    <cellStyle name="Comma 12 2 2 2 2 7" xfId="51179"/>
    <cellStyle name="Comma 12 2 2 2 2 7 2" xfId="51180"/>
    <cellStyle name="Comma 12 2 2 2 2 8" xfId="51181"/>
    <cellStyle name="Comma 12 2 2 2 2 8 2" xfId="51182"/>
    <cellStyle name="Comma 12 2 2 2 2 9" xfId="51183"/>
    <cellStyle name="Comma 12 2 2 2 2 9 2" xfId="51184"/>
    <cellStyle name="Comma 12 2 2 2 3" xfId="51185"/>
    <cellStyle name="Comma 12 2 2 2 3 2" xfId="51186"/>
    <cellStyle name="Comma 12 2 2 2 3 2 2" xfId="51187"/>
    <cellStyle name="Comma 12 2 2 2 3 3" xfId="51188"/>
    <cellStyle name="Comma 12 2 2 2 3 3 2" xfId="51189"/>
    <cellStyle name="Comma 12 2 2 2 3 4" xfId="51190"/>
    <cellStyle name="Comma 12 2 2 2 4" xfId="51191"/>
    <cellStyle name="Comma 12 2 2 2 4 2" xfId="51192"/>
    <cellStyle name="Comma 12 2 2 2 5" xfId="51193"/>
    <cellStyle name="Comma 12 2 2 2 5 2" xfId="51194"/>
    <cellStyle name="Comma 12 2 2 2 6" xfId="51195"/>
    <cellStyle name="Comma 12 2 2 2 6 2" xfId="51196"/>
    <cellStyle name="Comma 12 2 2 2 7" xfId="51197"/>
    <cellStyle name="Comma 12 2 2 2 7 2" xfId="51198"/>
    <cellStyle name="Comma 12 2 2 2 8" xfId="51199"/>
    <cellStyle name="Comma 12 2 2 2 8 2" xfId="51200"/>
    <cellStyle name="Comma 12 2 2 2 9" xfId="51201"/>
    <cellStyle name="Comma 12 2 2 2 9 2" xfId="51202"/>
    <cellStyle name="Comma 12 2 2 3" xfId="51203"/>
    <cellStyle name="Comma 12 2 2 3 2" xfId="51204"/>
    <cellStyle name="Comma 12 2 2 3 2 2" xfId="51205"/>
    <cellStyle name="Comma 12 2 2 3 3" xfId="51206"/>
    <cellStyle name="Comma 12 2 2 3 3 2" xfId="51207"/>
    <cellStyle name="Comma 12 2 2 3 4" xfId="51208"/>
    <cellStyle name="Comma 12 2 2 4" xfId="51209"/>
    <cellStyle name="Comma 12 2 2 4 2" xfId="51210"/>
    <cellStyle name="Comma 12 2 2 5" xfId="51211"/>
    <cellStyle name="Comma 12 2 2 5 2" xfId="51212"/>
    <cellStyle name="Comma 12 2 2 6" xfId="51213"/>
    <cellStyle name="Comma 12 2 2 6 2" xfId="51214"/>
    <cellStyle name="Comma 12 2 2 7" xfId="51215"/>
    <cellStyle name="Comma 12 2 2 7 2" xfId="51216"/>
    <cellStyle name="Comma 12 2 2 8" xfId="51217"/>
    <cellStyle name="Comma 12 2 2 8 2" xfId="51218"/>
    <cellStyle name="Comma 12 2 2 9" xfId="51219"/>
    <cellStyle name="Comma 12 2 2 9 2" xfId="51220"/>
    <cellStyle name="Comma 12 2 3" xfId="51221"/>
    <cellStyle name="Comma 12 2 3 10" xfId="51222"/>
    <cellStyle name="Comma 12 2 3 10 2" xfId="51223"/>
    <cellStyle name="Comma 12 2 3 11" xfId="51224"/>
    <cellStyle name="Comma 12 2 3 2" xfId="51225"/>
    <cellStyle name="Comma 12 2 3 2 2" xfId="51226"/>
    <cellStyle name="Comma 12 2 3 2 2 2" xfId="51227"/>
    <cellStyle name="Comma 12 2 3 2 3" xfId="51228"/>
    <cellStyle name="Comma 12 2 3 2 3 2" xfId="51229"/>
    <cellStyle name="Comma 12 2 3 2 4" xfId="51230"/>
    <cellStyle name="Comma 12 2 3 3" xfId="51231"/>
    <cellStyle name="Comma 12 2 3 3 2" xfId="51232"/>
    <cellStyle name="Comma 12 2 3 4" xfId="51233"/>
    <cellStyle name="Comma 12 2 3 4 2" xfId="51234"/>
    <cellStyle name="Comma 12 2 3 5" xfId="51235"/>
    <cellStyle name="Comma 12 2 3 5 2" xfId="51236"/>
    <cellStyle name="Comma 12 2 3 6" xfId="51237"/>
    <cellStyle name="Comma 12 2 3 6 2" xfId="51238"/>
    <cellStyle name="Comma 12 2 3 7" xfId="51239"/>
    <cellStyle name="Comma 12 2 3 7 2" xfId="51240"/>
    <cellStyle name="Comma 12 2 3 8" xfId="51241"/>
    <cellStyle name="Comma 12 2 3 8 2" xfId="51242"/>
    <cellStyle name="Comma 12 2 3 9" xfId="51243"/>
    <cellStyle name="Comma 12 2 3 9 2" xfId="51244"/>
    <cellStyle name="Comma 12 2 4" xfId="51245"/>
    <cellStyle name="Comma 12 2 4 2" xfId="51246"/>
    <cellStyle name="Comma 12 2 4 2 2" xfId="51247"/>
    <cellStyle name="Comma 12 2 4 3" xfId="51248"/>
    <cellStyle name="Comma 12 2 4 3 2" xfId="51249"/>
    <cellStyle name="Comma 12 2 4 4" xfId="51250"/>
    <cellStyle name="Comma 12 2 5" xfId="51251"/>
    <cellStyle name="Comma 12 2 5 2" xfId="51252"/>
    <cellStyle name="Comma 12 2 6" xfId="51253"/>
    <cellStyle name="Comma 12 2 6 2" xfId="51254"/>
    <cellStyle name="Comma 12 2 7" xfId="51255"/>
    <cellStyle name="Comma 12 2 7 2" xfId="51256"/>
    <cellStyle name="Comma 12 2 8" xfId="51257"/>
    <cellStyle name="Comma 12 2 8 2" xfId="51258"/>
    <cellStyle name="Comma 12 2 9" xfId="51259"/>
    <cellStyle name="Comma 12 2 9 2" xfId="51260"/>
    <cellStyle name="Comma 12 20" xfId="51261"/>
    <cellStyle name="Comma 12 20 2" xfId="51262"/>
    <cellStyle name="Comma 12 21" xfId="51263"/>
    <cellStyle name="Comma 12 21 2" xfId="51264"/>
    <cellStyle name="Comma 12 22" xfId="51265"/>
    <cellStyle name="Comma 12 22 2" xfId="51266"/>
    <cellStyle name="Comma 12 23" xfId="51267"/>
    <cellStyle name="Comma 12 23 2" xfId="51268"/>
    <cellStyle name="Comma 12 24" xfId="51269"/>
    <cellStyle name="Comma 12 24 2" xfId="51270"/>
    <cellStyle name="Comma 12 25" xfId="51271"/>
    <cellStyle name="Comma 12 25 2" xfId="51272"/>
    <cellStyle name="Comma 12 26" xfId="51273"/>
    <cellStyle name="Comma 12 26 2" xfId="51274"/>
    <cellStyle name="Comma 12 27" xfId="51275"/>
    <cellStyle name="Comma 12 27 2" xfId="51276"/>
    <cellStyle name="Comma 12 28" xfId="51277"/>
    <cellStyle name="Comma 12 28 2" xfId="51278"/>
    <cellStyle name="Comma 12 29" xfId="51279"/>
    <cellStyle name="Comma 12 29 2" xfId="51280"/>
    <cellStyle name="Comma 12 3" xfId="51281"/>
    <cellStyle name="Comma 12 3 10" xfId="51282"/>
    <cellStyle name="Comma 12 3 10 2" xfId="51283"/>
    <cellStyle name="Comma 12 3 11" xfId="51284"/>
    <cellStyle name="Comma 12 3 2" xfId="51285"/>
    <cellStyle name="Comma 12 3 2 10" xfId="51286"/>
    <cellStyle name="Comma 12 3 2 10 2" xfId="51287"/>
    <cellStyle name="Comma 12 3 2 11" xfId="51288"/>
    <cellStyle name="Comma 12 3 2 2" xfId="51289"/>
    <cellStyle name="Comma 12 3 2 2 2" xfId="51290"/>
    <cellStyle name="Comma 12 3 2 2 2 2" xfId="51291"/>
    <cellStyle name="Comma 12 3 2 2 3" xfId="51292"/>
    <cellStyle name="Comma 12 3 2 2 3 2" xfId="51293"/>
    <cellStyle name="Comma 12 3 2 2 4" xfId="51294"/>
    <cellStyle name="Comma 12 3 2 3" xfId="51295"/>
    <cellStyle name="Comma 12 3 2 3 2" xfId="51296"/>
    <cellStyle name="Comma 12 3 2 4" xfId="51297"/>
    <cellStyle name="Comma 12 3 2 4 2" xfId="51298"/>
    <cellStyle name="Comma 12 3 2 5" xfId="51299"/>
    <cellStyle name="Comma 12 3 2 5 2" xfId="51300"/>
    <cellStyle name="Comma 12 3 2 6" xfId="51301"/>
    <cellStyle name="Comma 12 3 2 6 2" xfId="51302"/>
    <cellStyle name="Comma 12 3 2 7" xfId="51303"/>
    <cellStyle name="Comma 12 3 2 7 2" xfId="51304"/>
    <cellStyle name="Comma 12 3 2 8" xfId="51305"/>
    <cellStyle name="Comma 12 3 2 8 2" xfId="51306"/>
    <cellStyle name="Comma 12 3 2 9" xfId="51307"/>
    <cellStyle name="Comma 12 3 2 9 2" xfId="51308"/>
    <cellStyle name="Comma 12 3 3" xfId="51309"/>
    <cellStyle name="Comma 12 3 3 2" xfId="51310"/>
    <cellStyle name="Comma 12 3 3 2 2" xfId="51311"/>
    <cellStyle name="Comma 12 3 3 3" xfId="51312"/>
    <cellStyle name="Comma 12 3 3 3 2" xfId="51313"/>
    <cellStyle name="Comma 12 3 3 4" xfId="51314"/>
    <cellStyle name="Comma 12 3 4" xfId="51315"/>
    <cellStyle name="Comma 12 3 4 2" xfId="51316"/>
    <cellStyle name="Comma 12 3 5" xfId="51317"/>
    <cellStyle name="Comma 12 3 5 2" xfId="51318"/>
    <cellStyle name="Comma 12 3 6" xfId="51319"/>
    <cellStyle name="Comma 12 3 6 2" xfId="51320"/>
    <cellStyle name="Comma 12 3 7" xfId="51321"/>
    <cellStyle name="Comma 12 3 7 2" xfId="51322"/>
    <cellStyle name="Comma 12 3 8" xfId="51323"/>
    <cellStyle name="Comma 12 3 8 2" xfId="51324"/>
    <cellStyle name="Comma 12 3 9" xfId="51325"/>
    <cellStyle name="Comma 12 3 9 2" xfId="51326"/>
    <cellStyle name="Comma 12 30" xfId="51327"/>
    <cellStyle name="Comma 12 30 2" xfId="51328"/>
    <cellStyle name="Comma 12 31" xfId="51329"/>
    <cellStyle name="Comma 12 31 2" xfId="51330"/>
    <cellStyle name="Comma 12 32" xfId="51331"/>
    <cellStyle name="Comma 12 32 2" xfId="51332"/>
    <cellStyle name="Comma 12 33" xfId="51333"/>
    <cellStyle name="Comma 12 33 2" xfId="51334"/>
    <cellStyle name="Comma 12 34" xfId="51335"/>
    <cellStyle name="Comma 12 34 2" xfId="51336"/>
    <cellStyle name="Comma 12 35" xfId="51337"/>
    <cellStyle name="Comma 12 35 2" xfId="51338"/>
    <cellStyle name="Comma 12 36" xfId="51339"/>
    <cellStyle name="Comma 12 36 2" xfId="51340"/>
    <cellStyle name="Comma 12 37" xfId="51341"/>
    <cellStyle name="Comma 12 4" xfId="51342"/>
    <cellStyle name="Comma 12 4 2" xfId="51343"/>
    <cellStyle name="Comma 12 4 2 2" xfId="51344"/>
    <cellStyle name="Comma 12 4 3" xfId="51345"/>
    <cellStyle name="Comma 12 4 3 2" xfId="51346"/>
    <cellStyle name="Comma 12 4 4" xfId="51347"/>
    <cellStyle name="Comma 12 5" xfId="51348"/>
    <cellStyle name="Comma 12 5 2" xfId="51349"/>
    <cellStyle name="Comma 12 6" xfId="51350"/>
    <cellStyle name="Comma 12 6 2" xfId="51351"/>
    <cellStyle name="Comma 12 7" xfId="51352"/>
    <cellStyle name="Comma 12 7 2" xfId="51353"/>
    <cellStyle name="Comma 12 8" xfId="51354"/>
    <cellStyle name="Comma 12 8 2" xfId="51355"/>
    <cellStyle name="Comma 12 9" xfId="51356"/>
    <cellStyle name="Comma 12 9 2" xfId="51357"/>
    <cellStyle name="Comma 12_Sheet4" xfId="51358"/>
    <cellStyle name="Comma 13" xfId="51359"/>
    <cellStyle name="Comma 13 10" xfId="51360"/>
    <cellStyle name="Comma 13 10 2" xfId="51361"/>
    <cellStyle name="Comma 13 11" xfId="51362"/>
    <cellStyle name="Comma 13 11 2" xfId="51363"/>
    <cellStyle name="Comma 13 12" xfId="51364"/>
    <cellStyle name="Comma 13 12 2" xfId="51365"/>
    <cellStyle name="Comma 13 13" xfId="51366"/>
    <cellStyle name="Comma 13 13 2" xfId="51367"/>
    <cellStyle name="Comma 13 14" xfId="51368"/>
    <cellStyle name="Comma 13 14 2" xfId="51369"/>
    <cellStyle name="Comma 13 15" xfId="51370"/>
    <cellStyle name="Comma 13 15 2" xfId="51371"/>
    <cellStyle name="Comma 13 16" xfId="51372"/>
    <cellStyle name="Comma 13 16 2" xfId="51373"/>
    <cellStyle name="Comma 13 17" xfId="51374"/>
    <cellStyle name="Comma 13 17 2" xfId="51375"/>
    <cellStyle name="Comma 13 18" xfId="51376"/>
    <cellStyle name="Comma 13 18 2" xfId="51377"/>
    <cellStyle name="Comma 13 19" xfId="51378"/>
    <cellStyle name="Comma 13 19 2" xfId="51379"/>
    <cellStyle name="Comma 13 2" xfId="51380"/>
    <cellStyle name="Comma 13 2 10" xfId="51381"/>
    <cellStyle name="Comma 13 2 10 2" xfId="51382"/>
    <cellStyle name="Comma 13 2 11" xfId="51383"/>
    <cellStyle name="Comma 13 2 11 2" xfId="51384"/>
    <cellStyle name="Comma 13 2 12" xfId="51385"/>
    <cellStyle name="Comma 13 2 12 2" xfId="51386"/>
    <cellStyle name="Comma 13 2 13" xfId="51387"/>
    <cellStyle name="Comma 13 2 2" xfId="51388"/>
    <cellStyle name="Comma 13 2 2 10" xfId="51389"/>
    <cellStyle name="Comma 13 2 2 10 2" xfId="51390"/>
    <cellStyle name="Comma 13 2 2 11" xfId="51391"/>
    <cellStyle name="Comma 13 2 2 11 2" xfId="51392"/>
    <cellStyle name="Comma 13 2 2 12" xfId="51393"/>
    <cellStyle name="Comma 13 2 2 12 2" xfId="51394"/>
    <cellStyle name="Comma 13 2 2 13" xfId="51395"/>
    <cellStyle name="Comma 13 2 2 2" xfId="51396"/>
    <cellStyle name="Comma 13 2 2 2 10" xfId="51397"/>
    <cellStyle name="Comma 13 2 2 2 10 2" xfId="51398"/>
    <cellStyle name="Comma 13 2 2 2 11" xfId="51399"/>
    <cellStyle name="Comma 13 2 2 2 11 2" xfId="51400"/>
    <cellStyle name="Comma 13 2 2 2 12" xfId="51401"/>
    <cellStyle name="Comma 13 2 2 2 2" xfId="51402"/>
    <cellStyle name="Comma 13 2 2 2 2 10" xfId="51403"/>
    <cellStyle name="Comma 13 2 2 2 2 10 2" xfId="51404"/>
    <cellStyle name="Comma 13 2 2 2 2 11" xfId="51405"/>
    <cellStyle name="Comma 13 2 2 2 2 11 2" xfId="51406"/>
    <cellStyle name="Comma 13 2 2 2 2 12" xfId="51407"/>
    <cellStyle name="Comma 13 2 2 2 2 2" xfId="51408"/>
    <cellStyle name="Comma 13 2 2 2 2 2 2" xfId="51409"/>
    <cellStyle name="Comma 13 2 2 2 2 2 2 2" xfId="51410"/>
    <cellStyle name="Comma 13 2 2 2 2 2 2 2 2" xfId="51411"/>
    <cellStyle name="Comma 13 2 2 2 2 2 2 3" xfId="51412"/>
    <cellStyle name="Comma 13 2 2 2 2 2 2 3 2" xfId="51413"/>
    <cellStyle name="Comma 13 2 2 2 2 2 2 4" xfId="51414"/>
    <cellStyle name="Comma 13 2 2 2 2 2 3" xfId="51415"/>
    <cellStyle name="Comma 13 2 2 2 2 2 3 2" xfId="51416"/>
    <cellStyle name="Comma 13 2 2 2 2 2 4" xfId="51417"/>
    <cellStyle name="Comma 13 2 2 2 2 2 4 2" xfId="51418"/>
    <cellStyle name="Comma 13 2 2 2 2 2 5" xfId="51419"/>
    <cellStyle name="Comma 13 2 2 2 2 3" xfId="51420"/>
    <cellStyle name="Comma 13 2 2 2 2 3 2" xfId="51421"/>
    <cellStyle name="Comma 13 2 2 2 2 4" xfId="51422"/>
    <cellStyle name="Comma 13 2 2 2 2 4 2" xfId="51423"/>
    <cellStyle name="Comma 13 2 2 2 2 5" xfId="51424"/>
    <cellStyle name="Comma 13 2 2 2 2 5 2" xfId="51425"/>
    <cellStyle name="Comma 13 2 2 2 2 6" xfId="51426"/>
    <cellStyle name="Comma 13 2 2 2 2 6 2" xfId="51427"/>
    <cellStyle name="Comma 13 2 2 2 2 7" xfId="51428"/>
    <cellStyle name="Comma 13 2 2 2 2 7 2" xfId="51429"/>
    <cellStyle name="Comma 13 2 2 2 2 8" xfId="51430"/>
    <cellStyle name="Comma 13 2 2 2 2 8 2" xfId="51431"/>
    <cellStyle name="Comma 13 2 2 2 2 9" xfId="51432"/>
    <cellStyle name="Comma 13 2 2 2 2 9 2" xfId="51433"/>
    <cellStyle name="Comma 13 2 2 2 3" xfId="51434"/>
    <cellStyle name="Comma 13 2 2 2 3 2" xfId="51435"/>
    <cellStyle name="Comma 13 2 2 2 3 2 2" xfId="51436"/>
    <cellStyle name="Comma 13 2 2 2 3 3" xfId="51437"/>
    <cellStyle name="Comma 13 2 2 2 3 3 2" xfId="51438"/>
    <cellStyle name="Comma 13 2 2 2 3 4" xfId="51439"/>
    <cellStyle name="Comma 13 2 2 2 4" xfId="51440"/>
    <cellStyle name="Comma 13 2 2 2 4 2" xfId="51441"/>
    <cellStyle name="Comma 13 2 2 2 5" xfId="51442"/>
    <cellStyle name="Comma 13 2 2 2 5 2" xfId="51443"/>
    <cellStyle name="Comma 13 2 2 2 6" xfId="51444"/>
    <cellStyle name="Comma 13 2 2 2 6 2" xfId="51445"/>
    <cellStyle name="Comma 13 2 2 2 7" xfId="51446"/>
    <cellStyle name="Comma 13 2 2 2 7 2" xfId="51447"/>
    <cellStyle name="Comma 13 2 2 2 8" xfId="51448"/>
    <cellStyle name="Comma 13 2 2 2 8 2" xfId="51449"/>
    <cellStyle name="Comma 13 2 2 2 9" xfId="51450"/>
    <cellStyle name="Comma 13 2 2 2 9 2" xfId="51451"/>
    <cellStyle name="Comma 13 2 2 3" xfId="51452"/>
    <cellStyle name="Comma 13 2 2 3 2" xfId="51453"/>
    <cellStyle name="Comma 13 2 2 3 2 2" xfId="51454"/>
    <cellStyle name="Comma 13 2 2 3 3" xfId="51455"/>
    <cellStyle name="Comma 13 2 2 3 3 2" xfId="51456"/>
    <cellStyle name="Comma 13 2 2 3 4" xfId="51457"/>
    <cellStyle name="Comma 13 2 2 4" xfId="51458"/>
    <cellStyle name="Comma 13 2 2 4 2" xfId="51459"/>
    <cellStyle name="Comma 13 2 2 5" xfId="51460"/>
    <cellStyle name="Comma 13 2 2 5 2" xfId="51461"/>
    <cellStyle name="Comma 13 2 2 6" xfId="51462"/>
    <cellStyle name="Comma 13 2 2 6 2" xfId="51463"/>
    <cellStyle name="Comma 13 2 2 7" xfId="51464"/>
    <cellStyle name="Comma 13 2 2 7 2" xfId="51465"/>
    <cellStyle name="Comma 13 2 2 8" xfId="51466"/>
    <cellStyle name="Comma 13 2 2 8 2" xfId="51467"/>
    <cellStyle name="Comma 13 2 2 9" xfId="51468"/>
    <cellStyle name="Comma 13 2 2 9 2" xfId="51469"/>
    <cellStyle name="Comma 13 2 3" xfId="51470"/>
    <cellStyle name="Comma 13 2 3 10" xfId="51471"/>
    <cellStyle name="Comma 13 2 3 10 2" xfId="51472"/>
    <cellStyle name="Comma 13 2 3 11" xfId="51473"/>
    <cellStyle name="Comma 13 2 3 2" xfId="51474"/>
    <cellStyle name="Comma 13 2 3 2 2" xfId="51475"/>
    <cellStyle name="Comma 13 2 3 2 2 2" xfId="51476"/>
    <cellStyle name="Comma 13 2 3 2 3" xfId="51477"/>
    <cellStyle name="Comma 13 2 3 2 3 2" xfId="51478"/>
    <cellStyle name="Comma 13 2 3 2 4" xfId="51479"/>
    <cellStyle name="Comma 13 2 3 3" xfId="51480"/>
    <cellStyle name="Comma 13 2 3 3 2" xfId="51481"/>
    <cellStyle name="Comma 13 2 3 4" xfId="51482"/>
    <cellStyle name="Comma 13 2 3 4 2" xfId="51483"/>
    <cellStyle name="Comma 13 2 3 5" xfId="51484"/>
    <cellStyle name="Comma 13 2 3 5 2" xfId="51485"/>
    <cellStyle name="Comma 13 2 3 6" xfId="51486"/>
    <cellStyle name="Comma 13 2 3 6 2" xfId="51487"/>
    <cellStyle name="Comma 13 2 3 7" xfId="51488"/>
    <cellStyle name="Comma 13 2 3 7 2" xfId="51489"/>
    <cellStyle name="Comma 13 2 3 8" xfId="51490"/>
    <cellStyle name="Comma 13 2 3 8 2" xfId="51491"/>
    <cellStyle name="Comma 13 2 3 9" xfId="51492"/>
    <cellStyle name="Comma 13 2 3 9 2" xfId="51493"/>
    <cellStyle name="Comma 13 2 4" xfId="51494"/>
    <cellStyle name="Comma 13 2 4 2" xfId="51495"/>
    <cellStyle name="Comma 13 2 4 2 2" xfId="51496"/>
    <cellStyle name="Comma 13 2 4 3" xfId="51497"/>
    <cellStyle name="Comma 13 2 4 3 2" xfId="51498"/>
    <cellStyle name="Comma 13 2 4 4" xfId="51499"/>
    <cellStyle name="Comma 13 2 5" xfId="51500"/>
    <cellStyle name="Comma 13 2 5 2" xfId="51501"/>
    <cellStyle name="Comma 13 2 6" xfId="51502"/>
    <cellStyle name="Comma 13 2 6 2" xfId="51503"/>
    <cellStyle name="Comma 13 2 7" xfId="51504"/>
    <cellStyle name="Comma 13 2 7 2" xfId="51505"/>
    <cellStyle name="Comma 13 2 8" xfId="51506"/>
    <cellStyle name="Comma 13 2 8 2" xfId="51507"/>
    <cellStyle name="Comma 13 2 9" xfId="51508"/>
    <cellStyle name="Comma 13 2 9 2" xfId="51509"/>
    <cellStyle name="Comma 13 20" xfId="51510"/>
    <cellStyle name="Comma 13 20 2" xfId="51511"/>
    <cellStyle name="Comma 13 21" xfId="51512"/>
    <cellStyle name="Comma 13 21 2" xfId="51513"/>
    <cellStyle name="Comma 13 22" xfId="51514"/>
    <cellStyle name="Comma 13 22 2" xfId="51515"/>
    <cellStyle name="Comma 13 23" xfId="51516"/>
    <cellStyle name="Comma 13 23 2" xfId="51517"/>
    <cellStyle name="Comma 13 24" xfId="51518"/>
    <cellStyle name="Comma 13 24 2" xfId="51519"/>
    <cellStyle name="Comma 13 25" xfId="51520"/>
    <cellStyle name="Comma 13 25 2" xfId="51521"/>
    <cellStyle name="Comma 13 26" xfId="51522"/>
    <cellStyle name="Comma 13 26 2" xfId="51523"/>
    <cellStyle name="Comma 13 27" xfId="51524"/>
    <cellStyle name="Comma 13 27 2" xfId="51525"/>
    <cellStyle name="Comma 13 28" xfId="51526"/>
    <cellStyle name="Comma 13 28 2" xfId="51527"/>
    <cellStyle name="Comma 13 29" xfId="51528"/>
    <cellStyle name="Comma 13 29 2" xfId="51529"/>
    <cellStyle name="Comma 13 3" xfId="51530"/>
    <cellStyle name="Comma 13 3 10" xfId="51531"/>
    <cellStyle name="Comma 13 3 10 2" xfId="51532"/>
    <cellStyle name="Comma 13 3 11" xfId="51533"/>
    <cellStyle name="Comma 13 3 2" xfId="51534"/>
    <cellStyle name="Comma 13 3 2 10" xfId="51535"/>
    <cellStyle name="Comma 13 3 2 10 2" xfId="51536"/>
    <cellStyle name="Comma 13 3 2 11" xfId="51537"/>
    <cellStyle name="Comma 13 3 2 2" xfId="51538"/>
    <cellStyle name="Comma 13 3 2 2 2" xfId="51539"/>
    <cellStyle name="Comma 13 3 2 2 2 2" xfId="51540"/>
    <cellStyle name="Comma 13 3 2 2 3" xfId="51541"/>
    <cellStyle name="Comma 13 3 2 2 3 2" xfId="51542"/>
    <cellStyle name="Comma 13 3 2 2 4" xfId="51543"/>
    <cellStyle name="Comma 13 3 2 3" xfId="51544"/>
    <cellStyle name="Comma 13 3 2 3 2" xfId="51545"/>
    <cellStyle name="Comma 13 3 2 4" xfId="51546"/>
    <cellStyle name="Comma 13 3 2 4 2" xfId="51547"/>
    <cellStyle name="Comma 13 3 2 5" xfId="51548"/>
    <cellStyle name="Comma 13 3 2 5 2" xfId="51549"/>
    <cellStyle name="Comma 13 3 2 6" xfId="51550"/>
    <cellStyle name="Comma 13 3 2 6 2" xfId="51551"/>
    <cellStyle name="Comma 13 3 2 7" xfId="51552"/>
    <cellStyle name="Comma 13 3 2 7 2" xfId="51553"/>
    <cellStyle name="Comma 13 3 2 8" xfId="51554"/>
    <cellStyle name="Comma 13 3 2 8 2" xfId="51555"/>
    <cellStyle name="Comma 13 3 2 9" xfId="51556"/>
    <cellStyle name="Comma 13 3 2 9 2" xfId="51557"/>
    <cellStyle name="Comma 13 3 3" xfId="51558"/>
    <cellStyle name="Comma 13 3 3 2" xfId="51559"/>
    <cellStyle name="Comma 13 3 3 2 2" xfId="51560"/>
    <cellStyle name="Comma 13 3 3 3" xfId="51561"/>
    <cellStyle name="Comma 13 3 3 3 2" xfId="51562"/>
    <cellStyle name="Comma 13 3 3 4" xfId="51563"/>
    <cellStyle name="Comma 13 3 4" xfId="51564"/>
    <cellStyle name="Comma 13 3 4 2" xfId="51565"/>
    <cellStyle name="Comma 13 3 5" xfId="51566"/>
    <cellStyle name="Comma 13 3 5 2" xfId="51567"/>
    <cellStyle name="Comma 13 3 6" xfId="51568"/>
    <cellStyle name="Comma 13 3 6 2" xfId="51569"/>
    <cellStyle name="Comma 13 3 7" xfId="51570"/>
    <cellStyle name="Comma 13 3 7 2" xfId="51571"/>
    <cellStyle name="Comma 13 3 8" xfId="51572"/>
    <cellStyle name="Comma 13 3 8 2" xfId="51573"/>
    <cellStyle name="Comma 13 3 9" xfId="51574"/>
    <cellStyle name="Comma 13 3 9 2" xfId="51575"/>
    <cellStyle name="Comma 13 30" xfId="51576"/>
    <cellStyle name="Comma 13 30 2" xfId="51577"/>
    <cellStyle name="Comma 13 31" xfId="51578"/>
    <cellStyle name="Comma 13 31 2" xfId="51579"/>
    <cellStyle name="Comma 13 32" xfId="51580"/>
    <cellStyle name="Comma 13 32 2" xfId="51581"/>
    <cellStyle name="Comma 13 33" xfId="51582"/>
    <cellStyle name="Comma 13 33 2" xfId="51583"/>
    <cellStyle name="Comma 13 34" xfId="51584"/>
    <cellStyle name="Comma 13 34 2" xfId="51585"/>
    <cellStyle name="Comma 13 35" xfId="51586"/>
    <cellStyle name="Comma 13 35 2" xfId="51587"/>
    <cellStyle name="Comma 13 36" xfId="51588"/>
    <cellStyle name="Comma 13 36 2" xfId="51589"/>
    <cellStyle name="Comma 13 37" xfId="51590"/>
    <cellStyle name="Comma 13 4" xfId="51591"/>
    <cellStyle name="Comma 13 4 2" xfId="51592"/>
    <cellStyle name="Comma 13 4 2 2" xfId="51593"/>
    <cellStyle name="Comma 13 4 3" xfId="51594"/>
    <cellStyle name="Comma 13 4 3 2" xfId="51595"/>
    <cellStyle name="Comma 13 4 4" xfId="51596"/>
    <cellStyle name="Comma 13 5" xfId="51597"/>
    <cellStyle name="Comma 13 5 2" xfId="51598"/>
    <cellStyle name="Comma 13 6" xfId="51599"/>
    <cellStyle name="Comma 13 6 2" xfId="51600"/>
    <cellStyle name="Comma 13 7" xfId="51601"/>
    <cellStyle name="Comma 13 7 2" xfId="51602"/>
    <cellStyle name="Comma 13 8" xfId="51603"/>
    <cellStyle name="Comma 13 8 2" xfId="51604"/>
    <cellStyle name="Comma 13 9" xfId="51605"/>
    <cellStyle name="Comma 13 9 2" xfId="51606"/>
    <cellStyle name="Comma 13_Sheet4" xfId="51607"/>
    <cellStyle name="Comma 14" xfId="51608"/>
    <cellStyle name="Comma 14 10" xfId="51609"/>
    <cellStyle name="Comma 14 10 2" xfId="51610"/>
    <cellStyle name="Comma 14 11" xfId="51611"/>
    <cellStyle name="Comma 14 11 2" xfId="51612"/>
    <cellStyle name="Comma 14 12" xfId="51613"/>
    <cellStyle name="Comma 14 12 2" xfId="51614"/>
    <cellStyle name="Comma 14 13" xfId="51615"/>
    <cellStyle name="Comma 14 13 2" xfId="51616"/>
    <cellStyle name="Comma 14 14" xfId="51617"/>
    <cellStyle name="Comma 14 14 2" xfId="51618"/>
    <cellStyle name="Comma 14 15" xfId="51619"/>
    <cellStyle name="Comma 14 15 2" xfId="51620"/>
    <cellStyle name="Comma 14 16" xfId="51621"/>
    <cellStyle name="Comma 14 16 2" xfId="51622"/>
    <cellStyle name="Comma 14 17" xfId="51623"/>
    <cellStyle name="Comma 14 17 2" xfId="51624"/>
    <cellStyle name="Comma 14 18" xfId="51625"/>
    <cellStyle name="Comma 14 18 2" xfId="51626"/>
    <cellStyle name="Comma 14 19" xfId="51627"/>
    <cellStyle name="Comma 14 19 2" xfId="51628"/>
    <cellStyle name="Comma 14 2" xfId="51629"/>
    <cellStyle name="Comma 14 2 10" xfId="51630"/>
    <cellStyle name="Comma 14 2 10 2" xfId="51631"/>
    <cellStyle name="Comma 14 2 11" xfId="51632"/>
    <cellStyle name="Comma 14 2 11 2" xfId="51633"/>
    <cellStyle name="Comma 14 2 12" xfId="51634"/>
    <cellStyle name="Comma 14 2 12 2" xfId="51635"/>
    <cellStyle name="Comma 14 2 13" xfId="51636"/>
    <cellStyle name="Comma 14 2 2" xfId="51637"/>
    <cellStyle name="Comma 14 2 2 10" xfId="51638"/>
    <cellStyle name="Comma 14 2 2 10 2" xfId="51639"/>
    <cellStyle name="Comma 14 2 2 11" xfId="51640"/>
    <cellStyle name="Comma 14 2 2 11 2" xfId="51641"/>
    <cellStyle name="Comma 14 2 2 12" xfId="51642"/>
    <cellStyle name="Comma 14 2 2 12 2" xfId="51643"/>
    <cellStyle name="Comma 14 2 2 13" xfId="51644"/>
    <cellStyle name="Comma 14 2 2 2" xfId="51645"/>
    <cellStyle name="Comma 14 2 2 2 10" xfId="51646"/>
    <cellStyle name="Comma 14 2 2 2 10 2" xfId="51647"/>
    <cellStyle name="Comma 14 2 2 2 11" xfId="51648"/>
    <cellStyle name="Comma 14 2 2 2 11 2" xfId="51649"/>
    <cellStyle name="Comma 14 2 2 2 12" xfId="51650"/>
    <cellStyle name="Comma 14 2 2 2 2" xfId="51651"/>
    <cellStyle name="Comma 14 2 2 2 2 10" xfId="51652"/>
    <cellStyle name="Comma 14 2 2 2 2 10 2" xfId="51653"/>
    <cellStyle name="Comma 14 2 2 2 2 11" xfId="51654"/>
    <cellStyle name="Comma 14 2 2 2 2 11 2" xfId="51655"/>
    <cellStyle name="Comma 14 2 2 2 2 12" xfId="51656"/>
    <cellStyle name="Comma 14 2 2 2 2 2" xfId="51657"/>
    <cellStyle name="Comma 14 2 2 2 2 2 2" xfId="51658"/>
    <cellStyle name="Comma 14 2 2 2 2 2 2 2" xfId="51659"/>
    <cellStyle name="Comma 14 2 2 2 2 2 2 2 2" xfId="51660"/>
    <cellStyle name="Comma 14 2 2 2 2 2 2 3" xfId="51661"/>
    <cellStyle name="Comma 14 2 2 2 2 2 2 3 2" xfId="51662"/>
    <cellStyle name="Comma 14 2 2 2 2 2 2 4" xfId="51663"/>
    <cellStyle name="Comma 14 2 2 2 2 2 3" xfId="51664"/>
    <cellStyle name="Comma 14 2 2 2 2 2 3 2" xfId="51665"/>
    <cellStyle name="Comma 14 2 2 2 2 2 4" xfId="51666"/>
    <cellStyle name="Comma 14 2 2 2 2 2 4 2" xfId="51667"/>
    <cellStyle name="Comma 14 2 2 2 2 2 5" xfId="51668"/>
    <cellStyle name="Comma 14 2 2 2 2 3" xfId="51669"/>
    <cellStyle name="Comma 14 2 2 2 2 3 2" xfId="51670"/>
    <cellStyle name="Comma 14 2 2 2 2 4" xfId="51671"/>
    <cellStyle name="Comma 14 2 2 2 2 4 2" xfId="51672"/>
    <cellStyle name="Comma 14 2 2 2 2 5" xfId="51673"/>
    <cellStyle name="Comma 14 2 2 2 2 5 2" xfId="51674"/>
    <cellStyle name="Comma 14 2 2 2 2 6" xfId="51675"/>
    <cellStyle name="Comma 14 2 2 2 2 6 2" xfId="51676"/>
    <cellStyle name="Comma 14 2 2 2 2 7" xfId="51677"/>
    <cellStyle name="Comma 14 2 2 2 2 7 2" xfId="51678"/>
    <cellStyle name="Comma 14 2 2 2 2 8" xfId="51679"/>
    <cellStyle name="Comma 14 2 2 2 2 8 2" xfId="51680"/>
    <cellStyle name="Comma 14 2 2 2 2 9" xfId="51681"/>
    <cellStyle name="Comma 14 2 2 2 2 9 2" xfId="51682"/>
    <cellStyle name="Comma 14 2 2 2 3" xfId="51683"/>
    <cellStyle name="Comma 14 2 2 2 3 2" xfId="51684"/>
    <cellStyle name="Comma 14 2 2 2 3 2 2" xfId="51685"/>
    <cellStyle name="Comma 14 2 2 2 3 3" xfId="51686"/>
    <cellStyle name="Comma 14 2 2 2 3 3 2" xfId="51687"/>
    <cellStyle name="Comma 14 2 2 2 3 4" xfId="51688"/>
    <cellStyle name="Comma 14 2 2 2 4" xfId="51689"/>
    <cellStyle name="Comma 14 2 2 2 4 2" xfId="51690"/>
    <cellStyle name="Comma 14 2 2 2 5" xfId="51691"/>
    <cellStyle name="Comma 14 2 2 2 5 2" xfId="51692"/>
    <cellStyle name="Comma 14 2 2 2 6" xfId="51693"/>
    <cellStyle name="Comma 14 2 2 2 6 2" xfId="51694"/>
    <cellStyle name="Comma 14 2 2 2 7" xfId="51695"/>
    <cellStyle name="Comma 14 2 2 2 7 2" xfId="51696"/>
    <cellStyle name="Comma 14 2 2 2 8" xfId="51697"/>
    <cellStyle name="Comma 14 2 2 2 8 2" xfId="51698"/>
    <cellStyle name="Comma 14 2 2 2 9" xfId="51699"/>
    <cellStyle name="Comma 14 2 2 2 9 2" xfId="51700"/>
    <cellStyle name="Comma 14 2 2 3" xfId="51701"/>
    <cellStyle name="Comma 14 2 2 3 2" xfId="51702"/>
    <cellStyle name="Comma 14 2 2 3 2 2" xfId="51703"/>
    <cellStyle name="Comma 14 2 2 3 3" xfId="51704"/>
    <cellStyle name="Comma 14 2 2 3 3 2" xfId="51705"/>
    <cellStyle name="Comma 14 2 2 3 4" xfId="51706"/>
    <cellStyle name="Comma 14 2 2 4" xfId="51707"/>
    <cellStyle name="Comma 14 2 2 4 2" xfId="51708"/>
    <cellStyle name="Comma 14 2 2 5" xfId="51709"/>
    <cellStyle name="Comma 14 2 2 5 2" xfId="51710"/>
    <cellStyle name="Comma 14 2 2 6" xfId="51711"/>
    <cellStyle name="Comma 14 2 2 6 2" xfId="51712"/>
    <cellStyle name="Comma 14 2 2 7" xfId="51713"/>
    <cellStyle name="Comma 14 2 2 7 2" xfId="51714"/>
    <cellStyle name="Comma 14 2 2 8" xfId="51715"/>
    <cellStyle name="Comma 14 2 2 8 2" xfId="51716"/>
    <cellStyle name="Comma 14 2 2 9" xfId="51717"/>
    <cellStyle name="Comma 14 2 2 9 2" xfId="51718"/>
    <cellStyle name="Comma 14 2 3" xfId="51719"/>
    <cellStyle name="Comma 14 2 3 10" xfId="51720"/>
    <cellStyle name="Comma 14 2 3 10 2" xfId="51721"/>
    <cellStyle name="Comma 14 2 3 11" xfId="51722"/>
    <cellStyle name="Comma 14 2 3 2" xfId="51723"/>
    <cellStyle name="Comma 14 2 3 2 2" xfId="51724"/>
    <cellStyle name="Comma 14 2 3 2 2 2" xfId="51725"/>
    <cellStyle name="Comma 14 2 3 2 3" xfId="51726"/>
    <cellStyle name="Comma 14 2 3 2 3 2" xfId="51727"/>
    <cellStyle name="Comma 14 2 3 2 4" xfId="51728"/>
    <cellStyle name="Comma 14 2 3 3" xfId="51729"/>
    <cellStyle name="Comma 14 2 3 3 2" xfId="51730"/>
    <cellStyle name="Comma 14 2 3 4" xfId="51731"/>
    <cellStyle name="Comma 14 2 3 4 2" xfId="51732"/>
    <cellStyle name="Comma 14 2 3 5" xfId="51733"/>
    <cellStyle name="Comma 14 2 3 5 2" xfId="51734"/>
    <cellStyle name="Comma 14 2 3 6" xfId="51735"/>
    <cellStyle name="Comma 14 2 3 6 2" xfId="51736"/>
    <cellStyle name="Comma 14 2 3 7" xfId="51737"/>
    <cellStyle name="Comma 14 2 3 7 2" xfId="51738"/>
    <cellStyle name="Comma 14 2 3 8" xfId="51739"/>
    <cellStyle name="Comma 14 2 3 8 2" xfId="51740"/>
    <cellStyle name="Comma 14 2 3 9" xfId="51741"/>
    <cellStyle name="Comma 14 2 3 9 2" xfId="51742"/>
    <cellStyle name="Comma 14 2 4" xfId="51743"/>
    <cellStyle name="Comma 14 2 4 2" xfId="51744"/>
    <cellStyle name="Comma 14 2 4 2 2" xfId="51745"/>
    <cellStyle name="Comma 14 2 4 3" xfId="51746"/>
    <cellStyle name="Comma 14 2 4 3 2" xfId="51747"/>
    <cellStyle name="Comma 14 2 4 4" xfId="51748"/>
    <cellStyle name="Comma 14 2 5" xfId="51749"/>
    <cellStyle name="Comma 14 2 5 2" xfId="51750"/>
    <cellStyle name="Comma 14 2 6" xfId="51751"/>
    <cellStyle name="Comma 14 2 6 2" xfId="51752"/>
    <cellStyle name="Comma 14 2 7" xfId="51753"/>
    <cellStyle name="Comma 14 2 7 2" xfId="51754"/>
    <cellStyle name="Comma 14 2 8" xfId="51755"/>
    <cellStyle name="Comma 14 2 8 2" xfId="51756"/>
    <cellStyle name="Comma 14 2 9" xfId="51757"/>
    <cellStyle name="Comma 14 2 9 2" xfId="51758"/>
    <cellStyle name="Comma 14 20" xfId="51759"/>
    <cellStyle name="Comma 14 20 2" xfId="51760"/>
    <cellStyle name="Comma 14 21" xfId="51761"/>
    <cellStyle name="Comma 14 21 2" xfId="51762"/>
    <cellStyle name="Comma 14 22" xfId="51763"/>
    <cellStyle name="Comma 14 22 2" xfId="51764"/>
    <cellStyle name="Comma 14 23" xfId="51765"/>
    <cellStyle name="Comma 14 23 2" xfId="51766"/>
    <cellStyle name="Comma 14 24" xfId="51767"/>
    <cellStyle name="Comma 14 24 2" xfId="51768"/>
    <cellStyle name="Comma 14 25" xfId="51769"/>
    <cellStyle name="Comma 14 25 2" xfId="51770"/>
    <cellStyle name="Comma 14 26" xfId="51771"/>
    <cellStyle name="Comma 14 26 2" xfId="51772"/>
    <cellStyle name="Comma 14 27" xfId="51773"/>
    <cellStyle name="Comma 14 27 2" xfId="51774"/>
    <cellStyle name="Comma 14 28" xfId="51775"/>
    <cellStyle name="Comma 14 28 2" xfId="51776"/>
    <cellStyle name="Comma 14 29" xfId="51777"/>
    <cellStyle name="Comma 14 29 2" xfId="51778"/>
    <cellStyle name="Comma 14 3" xfId="51779"/>
    <cellStyle name="Comma 14 3 10" xfId="51780"/>
    <cellStyle name="Comma 14 3 10 2" xfId="51781"/>
    <cellStyle name="Comma 14 3 11" xfId="51782"/>
    <cellStyle name="Comma 14 3 2" xfId="51783"/>
    <cellStyle name="Comma 14 3 2 10" xfId="51784"/>
    <cellStyle name="Comma 14 3 2 10 2" xfId="51785"/>
    <cellStyle name="Comma 14 3 2 11" xfId="51786"/>
    <cellStyle name="Comma 14 3 2 2" xfId="51787"/>
    <cellStyle name="Comma 14 3 2 2 2" xfId="51788"/>
    <cellStyle name="Comma 14 3 2 2 2 2" xfId="51789"/>
    <cellStyle name="Comma 14 3 2 2 3" xfId="51790"/>
    <cellStyle name="Comma 14 3 2 2 3 2" xfId="51791"/>
    <cellStyle name="Comma 14 3 2 2 4" xfId="51792"/>
    <cellStyle name="Comma 14 3 2 3" xfId="51793"/>
    <cellStyle name="Comma 14 3 2 3 2" xfId="51794"/>
    <cellStyle name="Comma 14 3 2 4" xfId="51795"/>
    <cellStyle name="Comma 14 3 2 4 2" xfId="51796"/>
    <cellStyle name="Comma 14 3 2 5" xfId="51797"/>
    <cellStyle name="Comma 14 3 2 5 2" xfId="51798"/>
    <cellStyle name="Comma 14 3 2 6" xfId="51799"/>
    <cellStyle name="Comma 14 3 2 6 2" xfId="51800"/>
    <cellStyle name="Comma 14 3 2 7" xfId="51801"/>
    <cellStyle name="Comma 14 3 2 7 2" xfId="51802"/>
    <cellStyle name="Comma 14 3 2 8" xfId="51803"/>
    <cellStyle name="Comma 14 3 2 8 2" xfId="51804"/>
    <cellStyle name="Comma 14 3 2 9" xfId="51805"/>
    <cellStyle name="Comma 14 3 2 9 2" xfId="51806"/>
    <cellStyle name="Comma 14 3 3" xfId="51807"/>
    <cellStyle name="Comma 14 3 3 2" xfId="51808"/>
    <cellStyle name="Comma 14 3 3 2 2" xfId="51809"/>
    <cellStyle name="Comma 14 3 3 3" xfId="51810"/>
    <cellStyle name="Comma 14 3 3 3 2" xfId="51811"/>
    <cellStyle name="Comma 14 3 3 4" xfId="51812"/>
    <cellStyle name="Comma 14 3 4" xfId="51813"/>
    <cellStyle name="Comma 14 3 4 2" xfId="51814"/>
    <cellStyle name="Comma 14 3 5" xfId="51815"/>
    <cellStyle name="Comma 14 3 5 2" xfId="51816"/>
    <cellStyle name="Comma 14 3 6" xfId="51817"/>
    <cellStyle name="Comma 14 3 6 2" xfId="51818"/>
    <cellStyle name="Comma 14 3 7" xfId="51819"/>
    <cellStyle name="Comma 14 3 7 2" xfId="51820"/>
    <cellStyle name="Comma 14 3 8" xfId="51821"/>
    <cellStyle name="Comma 14 3 8 2" xfId="51822"/>
    <cellStyle name="Comma 14 3 9" xfId="51823"/>
    <cellStyle name="Comma 14 3 9 2" xfId="51824"/>
    <cellStyle name="Comma 14 30" xfId="51825"/>
    <cellStyle name="Comma 14 30 2" xfId="51826"/>
    <cellStyle name="Comma 14 31" xfId="51827"/>
    <cellStyle name="Comma 14 31 2" xfId="51828"/>
    <cellStyle name="Comma 14 32" xfId="51829"/>
    <cellStyle name="Comma 14 32 2" xfId="51830"/>
    <cellStyle name="Comma 14 33" xfId="51831"/>
    <cellStyle name="Comma 14 33 2" xfId="51832"/>
    <cellStyle name="Comma 14 34" xfId="51833"/>
    <cellStyle name="Comma 14 34 2" xfId="51834"/>
    <cellStyle name="Comma 14 35" xfId="51835"/>
    <cellStyle name="Comma 14 35 2" xfId="51836"/>
    <cellStyle name="Comma 14 36" xfId="51837"/>
    <cellStyle name="Comma 14 36 2" xfId="51838"/>
    <cellStyle name="Comma 14 37" xfId="51839"/>
    <cellStyle name="Comma 14 4" xfId="51840"/>
    <cellStyle name="Comma 14 4 2" xfId="51841"/>
    <cellStyle name="Comma 14 4 2 2" xfId="51842"/>
    <cellStyle name="Comma 14 4 3" xfId="51843"/>
    <cellStyle name="Comma 14 4 3 2" xfId="51844"/>
    <cellStyle name="Comma 14 4 4" xfId="51845"/>
    <cellStyle name="Comma 14 5" xfId="51846"/>
    <cellStyle name="Comma 14 5 2" xfId="51847"/>
    <cellStyle name="Comma 14 6" xfId="51848"/>
    <cellStyle name="Comma 14 6 2" xfId="51849"/>
    <cellStyle name="Comma 14 7" xfId="51850"/>
    <cellStyle name="Comma 14 7 2" xfId="51851"/>
    <cellStyle name="Comma 14 8" xfId="51852"/>
    <cellStyle name="Comma 14 8 2" xfId="51853"/>
    <cellStyle name="Comma 14 9" xfId="51854"/>
    <cellStyle name="Comma 14 9 2" xfId="51855"/>
    <cellStyle name="Comma 14_Sheet4" xfId="51856"/>
    <cellStyle name="Comma 15" xfId="51857"/>
    <cellStyle name="Comma 15 10" xfId="51858"/>
    <cellStyle name="Comma 15 10 2" xfId="51859"/>
    <cellStyle name="Comma 15 11" xfId="51860"/>
    <cellStyle name="Comma 15 11 2" xfId="51861"/>
    <cellStyle name="Comma 15 12" xfId="51862"/>
    <cellStyle name="Comma 15 12 2" xfId="51863"/>
    <cellStyle name="Comma 15 13" xfId="51864"/>
    <cellStyle name="Comma 15 13 2" xfId="51865"/>
    <cellStyle name="Comma 15 14" xfId="51866"/>
    <cellStyle name="Comma 15 14 2" xfId="51867"/>
    <cellStyle name="Comma 15 15" xfId="51868"/>
    <cellStyle name="Comma 15 15 2" xfId="51869"/>
    <cellStyle name="Comma 15 16" xfId="51870"/>
    <cellStyle name="Comma 15 16 2" xfId="51871"/>
    <cellStyle name="Comma 15 17" xfId="51872"/>
    <cellStyle name="Comma 15 17 2" xfId="51873"/>
    <cellStyle name="Comma 15 18" xfId="51874"/>
    <cellStyle name="Comma 15 18 2" xfId="51875"/>
    <cellStyle name="Comma 15 19" xfId="51876"/>
    <cellStyle name="Comma 15 19 2" xfId="51877"/>
    <cellStyle name="Comma 15 2" xfId="51878"/>
    <cellStyle name="Comma 15 2 10" xfId="51879"/>
    <cellStyle name="Comma 15 2 10 2" xfId="51880"/>
    <cellStyle name="Comma 15 2 11" xfId="51881"/>
    <cellStyle name="Comma 15 2 11 2" xfId="51882"/>
    <cellStyle name="Comma 15 2 12" xfId="51883"/>
    <cellStyle name="Comma 15 2 12 2" xfId="51884"/>
    <cellStyle name="Comma 15 2 13" xfId="51885"/>
    <cellStyle name="Comma 15 2 2" xfId="51886"/>
    <cellStyle name="Comma 15 2 2 10" xfId="51887"/>
    <cellStyle name="Comma 15 2 2 10 2" xfId="51888"/>
    <cellStyle name="Comma 15 2 2 11" xfId="51889"/>
    <cellStyle name="Comma 15 2 2 11 2" xfId="51890"/>
    <cellStyle name="Comma 15 2 2 12" xfId="51891"/>
    <cellStyle name="Comma 15 2 2 12 2" xfId="51892"/>
    <cellStyle name="Comma 15 2 2 13" xfId="51893"/>
    <cellStyle name="Comma 15 2 2 2" xfId="51894"/>
    <cellStyle name="Comma 15 2 2 2 10" xfId="51895"/>
    <cellStyle name="Comma 15 2 2 2 10 2" xfId="51896"/>
    <cellStyle name="Comma 15 2 2 2 11" xfId="51897"/>
    <cellStyle name="Comma 15 2 2 2 11 2" xfId="51898"/>
    <cellStyle name="Comma 15 2 2 2 12" xfId="51899"/>
    <cellStyle name="Comma 15 2 2 2 2" xfId="51900"/>
    <cellStyle name="Comma 15 2 2 2 2 10" xfId="51901"/>
    <cellStyle name="Comma 15 2 2 2 2 10 2" xfId="51902"/>
    <cellStyle name="Comma 15 2 2 2 2 11" xfId="51903"/>
    <cellStyle name="Comma 15 2 2 2 2 11 2" xfId="51904"/>
    <cellStyle name="Comma 15 2 2 2 2 12" xfId="51905"/>
    <cellStyle name="Comma 15 2 2 2 2 2" xfId="51906"/>
    <cellStyle name="Comma 15 2 2 2 2 2 2" xfId="51907"/>
    <cellStyle name="Comma 15 2 2 2 2 2 2 2" xfId="51908"/>
    <cellStyle name="Comma 15 2 2 2 2 2 2 2 2" xfId="51909"/>
    <cellStyle name="Comma 15 2 2 2 2 2 2 3" xfId="51910"/>
    <cellStyle name="Comma 15 2 2 2 2 2 2 3 2" xfId="51911"/>
    <cellStyle name="Comma 15 2 2 2 2 2 2 4" xfId="51912"/>
    <cellStyle name="Comma 15 2 2 2 2 2 3" xfId="51913"/>
    <cellStyle name="Comma 15 2 2 2 2 2 3 2" xfId="51914"/>
    <cellStyle name="Comma 15 2 2 2 2 2 4" xfId="51915"/>
    <cellStyle name="Comma 15 2 2 2 2 2 4 2" xfId="51916"/>
    <cellStyle name="Comma 15 2 2 2 2 2 5" xfId="51917"/>
    <cellStyle name="Comma 15 2 2 2 2 3" xfId="51918"/>
    <cellStyle name="Comma 15 2 2 2 2 3 2" xfId="51919"/>
    <cellStyle name="Comma 15 2 2 2 2 4" xfId="51920"/>
    <cellStyle name="Comma 15 2 2 2 2 4 2" xfId="51921"/>
    <cellStyle name="Comma 15 2 2 2 2 5" xfId="51922"/>
    <cellStyle name="Comma 15 2 2 2 2 5 2" xfId="51923"/>
    <cellStyle name="Comma 15 2 2 2 2 6" xfId="51924"/>
    <cellStyle name="Comma 15 2 2 2 2 6 2" xfId="51925"/>
    <cellStyle name="Comma 15 2 2 2 2 7" xfId="51926"/>
    <cellStyle name="Comma 15 2 2 2 2 7 2" xfId="51927"/>
    <cellStyle name="Comma 15 2 2 2 2 8" xfId="51928"/>
    <cellStyle name="Comma 15 2 2 2 2 8 2" xfId="51929"/>
    <cellStyle name="Comma 15 2 2 2 2 9" xfId="51930"/>
    <cellStyle name="Comma 15 2 2 2 2 9 2" xfId="51931"/>
    <cellStyle name="Comma 15 2 2 2 3" xfId="51932"/>
    <cellStyle name="Comma 15 2 2 2 3 2" xfId="51933"/>
    <cellStyle name="Comma 15 2 2 2 3 2 2" xfId="51934"/>
    <cellStyle name="Comma 15 2 2 2 3 3" xfId="51935"/>
    <cellStyle name="Comma 15 2 2 2 3 3 2" xfId="51936"/>
    <cellStyle name="Comma 15 2 2 2 3 4" xfId="51937"/>
    <cellStyle name="Comma 15 2 2 2 4" xfId="51938"/>
    <cellStyle name="Comma 15 2 2 2 4 2" xfId="51939"/>
    <cellStyle name="Comma 15 2 2 2 5" xfId="51940"/>
    <cellStyle name="Comma 15 2 2 2 5 2" xfId="51941"/>
    <cellStyle name="Comma 15 2 2 2 6" xfId="51942"/>
    <cellStyle name="Comma 15 2 2 2 6 2" xfId="51943"/>
    <cellStyle name="Comma 15 2 2 2 7" xfId="51944"/>
    <cellStyle name="Comma 15 2 2 2 7 2" xfId="51945"/>
    <cellStyle name="Comma 15 2 2 2 8" xfId="51946"/>
    <cellStyle name="Comma 15 2 2 2 8 2" xfId="51947"/>
    <cellStyle name="Comma 15 2 2 2 9" xfId="51948"/>
    <cellStyle name="Comma 15 2 2 2 9 2" xfId="51949"/>
    <cellStyle name="Comma 15 2 2 3" xfId="51950"/>
    <cellStyle name="Comma 15 2 2 3 2" xfId="51951"/>
    <cellStyle name="Comma 15 2 2 3 2 2" xfId="51952"/>
    <cellStyle name="Comma 15 2 2 3 3" xfId="51953"/>
    <cellStyle name="Comma 15 2 2 3 3 2" xfId="51954"/>
    <cellStyle name="Comma 15 2 2 3 4" xfId="51955"/>
    <cellStyle name="Comma 15 2 2 4" xfId="51956"/>
    <cellStyle name="Comma 15 2 2 4 2" xfId="51957"/>
    <cellStyle name="Comma 15 2 2 5" xfId="51958"/>
    <cellStyle name="Comma 15 2 2 5 2" xfId="51959"/>
    <cellStyle name="Comma 15 2 2 6" xfId="51960"/>
    <cellStyle name="Comma 15 2 2 6 2" xfId="51961"/>
    <cellStyle name="Comma 15 2 2 7" xfId="51962"/>
    <cellStyle name="Comma 15 2 2 7 2" xfId="51963"/>
    <cellStyle name="Comma 15 2 2 8" xfId="51964"/>
    <cellStyle name="Comma 15 2 2 8 2" xfId="51965"/>
    <cellStyle name="Comma 15 2 2 9" xfId="51966"/>
    <cellStyle name="Comma 15 2 2 9 2" xfId="51967"/>
    <cellStyle name="Comma 15 2 3" xfId="51968"/>
    <cellStyle name="Comma 15 2 3 10" xfId="51969"/>
    <cellStyle name="Comma 15 2 3 10 2" xfId="51970"/>
    <cellStyle name="Comma 15 2 3 11" xfId="51971"/>
    <cellStyle name="Comma 15 2 3 2" xfId="51972"/>
    <cellStyle name="Comma 15 2 3 2 2" xfId="51973"/>
    <cellStyle name="Comma 15 2 3 2 2 2" xfId="51974"/>
    <cellStyle name="Comma 15 2 3 2 3" xfId="51975"/>
    <cellStyle name="Comma 15 2 3 2 3 2" xfId="51976"/>
    <cellStyle name="Comma 15 2 3 2 4" xfId="51977"/>
    <cellStyle name="Comma 15 2 3 3" xfId="51978"/>
    <cellStyle name="Comma 15 2 3 3 2" xfId="51979"/>
    <cellStyle name="Comma 15 2 3 4" xfId="51980"/>
    <cellStyle name="Comma 15 2 3 4 2" xfId="51981"/>
    <cellStyle name="Comma 15 2 3 5" xfId="51982"/>
    <cellStyle name="Comma 15 2 3 5 2" xfId="51983"/>
    <cellStyle name="Comma 15 2 3 6" xfId="51984"/>
    <cellStyle name="Comma 15 2 3 6 2" xfId="51985"/>
    <cellStyle name="Comma 15 2 3 7" xfId="51986"/>
    <cellStyle name="Comma 15 2 3 7 2" xfId="51987"/>
    <cellStyle name="Comma 15 2 3 8" xfId="51988"/>
    <cellStyle name="Comma 15 2 3 8 2" xfId="51989"/>
    <cellStyle name="Comma 15 2 3 9" xfId="51990"/>
    <cellStyle name="Comma 15 2 3 9 2" xfId="51991"/>
    <cellStyle name="Comma 15 2 4" xfId="51992"/>
    <cellStyle name="Comma 15 2 4 2" xfId="51993"/>
    <cellStyle name="Comma 15 2 4 2 2" xfId="51994"/>
    <cellStyle name="Comma 15 2 4 3" xfId="51995"/>
    <cellStyle name="Comma 15 2 4 3 2" xfId="51996"/>
    <cellStyle name="Comma 15 2 4 4" xfId="51997"/>
    <cellStyle name="Comma 15 2 5" xfId="51998"/>
    <cellStyle name="Comma 15 2 5 2" xfId="51999"/>
    <cellStyle name="Comma 15 2 6" xfId="52000"/>
    <cellStyle name="Comma 15 2 6 2" xfId="52001"/>
    <cellStyle name="Comma 15 2 7" xfId="52002"/>
    <cellStyle name="Comma 15 2 7 2" xfId="52003"/>
    <cellStyle name="Comma 15 2 8" xfId="52004"/>
    <cellStyle name="Comma 15 2 8 2" xfId="52005"/>
    <cellStyle name="Comma 15 2 9" xfId="52006"/>
    <cellStyle name="Comma 15 2 9 2" xfId="52007"/>
    <cellStyle name="Comma 15 20" xfId="52008"/>
    <cellStyle name="Comma 15 20 2" xfId="52009"/>
    <cellStyle name="Comma 15 21" xfId="52010"/>
    <cellStyle name="Comma 15 21 2" xfId="52011"/>
    <cellStyle name="Comma 15 22" xfId="52012"/>
    <cellStyle name="Comma 15 22 2" xfId="52013"/>
    <cellStyle name="Comma 15 23" xfId="52014"/>
    <cellStyle name="Comma 15 23 2" xfId="52015"/>
    <cellStyle name="Comma 15 24" xfId="52016"/>
    <cellStyle name="Comma 15 24 2" xfId="52017"/>
    <cellStyle name="Comma 15 25" xfId="52018"/>
    <cellStyle name="Comma 15 25 2" xfId="52019"/>
    <cellStyle name="Comma 15 26" xfId="52020"/>
    <cellStyle name="Comma 15 26 2" xfId="52021"/>
    <cellStyle name="Comma 15 27" xfId="52022"/>
    <cellStyle name="Comma 15 27 2" xfId="52023"/>
    <cellStyle name="Comma 15 28" xfId="52024"/>
    <cellStyle name="Comma 15 28 2" xfId="52025"/>
    <cellStyle name="Comma 15 29" xfId="52026"/>
    <cellStyle name="Comma 15 29 2" xfId="52027"/>
    <cellStyle name="Comma 15 3" xfId="52028"/>
    <cellStyle name="Comma 15 3 10" xfId="52029"/>
    <cellStyle name="Comma 15 3 10 2" xfId="52030"/>
    <cellStyle name="Comma 15 3 11" xfId="52031"/>
    <cellStyle name="Comma 15 3 2" xfId="52032"/>
    <cellStyle name="Comma 15 3 2 10" xfId="52033"/>
    <cellStyle name="Comma 15 3 2 10 2" xfId="52034"/>
    <cellStyle name="Comma 15 3 2 11" xfId="52035"/>
    <cellStyle name="Comma 15 3 2 2" xfId="52036"/>
    <cellStyle name="Comma 15 3 2 2 2" xfId="52037"/>
    <cellStyle name="Comma 15 3 2 2 2 2" xfId="52038"/>
    <cellStyle name="Comma 15 3 2 2 3" xfId="52039"/>
    <cellStyle name="Comma 15 3 2 2 3 2" xfId="52040"/>
    <cellStyle name="Comma 15 3 2 2 4" xfId="52041"/>
    <cellStyle name="Comma 15 3 2 3" xfId="52042"/>
    <cellStyle name="Comma 15 3 2 3 2" xfId="52043"/>
    <cellStyle name="Comma 15 3 2 4" xfId="52044"/>
    <cellStyle name="Comma 15 3 2 4 2" xfId="52045"/>
    <cellStyle name="Comma 15 3 2 5" xfId="52046"/>
    <cellStyle name="Comma 15 3 2 5 2" xfId="52047"/>
    <cellStyle name="Comma 15 3 2 6" xfId="52048"/>
    <cellStyle name="Comma 15 3 2 6 2" xfId="52049"/>
    <cellStyle name="Comma 15 3 2 7" xfId="52050"/>
    <cellStyle name="Comma 15 3 2 7 2" xfId="52051"/>
    <cellStyle name="Comma 15 3 2 8" xfId="52052"/>
    <cellStyle name="Comma 15 3 2 8 2" xfId="52053"/>
    <cellStyle name="Comma 15 3 2 9" xfId="52054"/>
    <cellStyle name="Comma 15 3 2 9 2" xfId="52055"/>
    <cellStyle name="Comma 15 3 3" xfId="52056"/>
    <cellStyle name="Comma 15 3 3 2" xfId="52057"/>
    <cellStyle name="Comma 15 3 3 2 2" xfId="52058"/>
    <cellStyle name="Comma 15 3 3 3" xfId="52059"/>
    <cellStyle name="Comma 15 3 3 3 2" xfId="52060"/>
    <cellStyle name="Comma 15 3 3 4" xfId="52061"/>
    <cellStyle name="Comma 15 3 4" xfId="52062"/>
    <cellStyle name="Comma 15 3 4 2" xfId="52063"/>
    <cellStyle name="Comma 15 3 5" xfId="52064"/>
    <cellStyle name="Comma 15 3 5 2" xfId="52065"/>
    <cellStyle name="Comma 15 3 6" xfId="52066"/>
    <cellStyle name="Comma 15 3 6 2" xfId="52067"/>
    <cellStyle name="Comma 15 3 7" xfId="52068"/>
    <cellStyle name="Comma 15 3 7 2" xfId="52069"/>
    <cellStyle name="Comma 15 3 8" xfId="52070"/>
    <cellStyle name="Comma 15 3 8 2" xfId="52071"/>
    <cellStyle name="Comma 15 3 9" xfId="52072"/>
    <cellStyle name="Comma 15 3 9 2" xfId="52073"/>
    <cellStyle name="Comma 15 30" xfId="52074"/>
    <cellStyle name="Comma 15 30 2" xfId="52075"/>
    <cellStyle name="Comma 15 31" xfId="52076"/>
    <cellStyle name="Comma 15 31 2" xfId="52077"/>
    <cellStyle name="Comma 15 32" xfId="52078"/>
    <cellStyle name="Comma 15 32 2" xfId="52079"/>
    <cellStyle name="Comma 15 33" xfId="52080"/>
    <cellStyle name="Comma 15 33 2" xfId="52081"/>
    <cellStyle name="Comma 15 34" xfId="52082"/>
    <cellStyle name="Comma 15 34 2" xfId="52083"/>
    <cellStyle name="Comma 15 35" xfId="52084"/>
    <cellStyle name="Comma 15 35 2" xfId="52085"/>
    <cellStyle name="Comma 15 36" xfId="52086"/>
    <cellStyle name="Comma 15 36 2" xfId="52087"/>
    <cellStyle name="Comma 15 37" xfId="52088"/>
    <cellStyle name="Comma 15 4" xfId="52089"/>
    <cellStyle name="Comma 15 4 2" xfId="52090"/>
    <cellStyle name="Comma 15 4 2 2" xfId="52091"/>
    <cellStyle name="Comma 15 4 3" xfId="52092"/>
    <cellStyle name="Comma 15 4 3 2" xfId="52093"/>
    <cellStyle name="Comma 15 4 4" xfId="52094"/>
    <cellStyle name="Comma 15 5" xfId="52095"/>
    <cellStyle name="Comma 15 5 2" xfId="52096"/>
    <cellStyle name="Comma 15 6" xfId="52097"/>
    <cellStyle name="Comma 15 6 2" xfId="52098"/>
    <cellStyle name="Comma 15 7" xfId="52099"/>
    <cellStyle name="Comma 15 7 2" xfId="52100"/>
    <cellStyle name="Comma 15 8" xfId="52101"/>
    <cellStyle name="Comma 15 8 2" xfId="52102"/>
    <cellStyle name="Comma 15 9" xfId="52103"/>
    <cellStyle name="Comma 15 9 2" xfId="52104"/>
    <cellStyle name="Comma 15_Sheet4" xfId="52105"/>
    <cellStyle name="Comma 16" xfId="52106"/>
    <cellStyle name="Comma 16 10" xfId="52107"/>
    <cellStyle name="Comma 16 10 2" xfId="52108"/>
    <cellStyle name="Comma 16 11" xfId="52109"/>
    <cellStyle name="Comma 16 11 2" xfId="52110"/>
    <cellStyle name="Comma 16 12" xfId="52111"/>
    <cellStyle name="Comma 16 12 2" xfId="52112"/>
    <cellStyle name="Comma 16 13" xfId="52113"/>
    <cellStyle name="Comma 16 13 2" xfId="52114"/>
    <cellStyle name="Comma 16 14" xfId="52115"/>
    <cellStyle name="Comma 16 14 2" xfId="52116"/>
    <cellStyle name="Comma 16 15" xfId="52117"/>
    <cellStyle name="Comma 16 15 2" xfId="52118"/>
    <cellStyle name="Comma 16 16" xfId="52119"/>
    <cellStyle name="Comma 16 16 2" xfId="52120"/>
    <cellStyle name="Comma 16 17" xfId="52121"/>
    <cellStyle name="Comma 16 17 2" xfId="52122"/>
    <cellStyle name="Comma 16 18" xfId="52123"/>
    <cellStyle name="Comma 16 18 2" xfId="52124"/>
    <cellStyle name="Comma 16 19" xfId="52125"/>
    <cellStyle name="Comma 16 19 2" xfId="52126"/>
    <cellStyle name="Comma 16 2" xfId="52127"/>
    <cellStyle name="Comma 16 2 10" xfId="52128"/>
    <cellStyle name="Comma 16 2 10 2" xfId="52129"/>
    <cellStyle name="Comma 16 2 11" xfId="52130"/>
    <cellStyle name="Comma 16 2 11 2" xfId="52131"/>
    <cellStyle name="Comma 16 2 12" xfId="52132"/>
    <cellStyle name="Comma 16 2 12 2" xfId="52133"/>
    <cellStyle name="Comma 16 2 13" xfId="52134"/>
    <cellStyle name="Comma 16 2 2" xfId="52135"/>
    <cellStyle name="Comma 16 2 2 10" xfId="52136"/>
    <cellStyle name="Comma 16 2 2 10 2" xfId="52137"/>
    <cellStyle name="Comma 16 2 2 11" xfId="52138"/>
    <cellStyle name="Comma 16 2 2 11 2" xfId="52139"/>
    <cellStyle name="Comma 16 2 2 12" xfId="52140"/>
    <cellStyle name="Comma 16 2 2 12 2" xfId="52141"/>
    <cellStyle name="Comma 16 2 2 13" xfId="52142"/>
    <cellStyle name="Comma 16 2 2 2" xfId="52143"/>
    <cellStyle name="Comma 16 2 2 2 10" xfId="52144"/>
    <cellStyle name="Comma 16 2 2 2 10 2" xfId="52145"/>
    <cellStyle name="Comma 16 2 2 2 11" xfId="52146"/>
    <cellStyle name="Comma 16 2 2 2 11 2" xfId="52147"/>
    <cellStyle name="Comma 16 2 2 2 12" xfId="52148"/>
    <cellStyle name="Comma 16 2 2 2 2" xfId="52149"/>
    <cellStyle name="Comma 16 2 2 2 2 10" xfId="52150"/>
    <cellStyle name="Comma 16 2 2 2 2 10 2" xfId="52151"/>
    <cellStyle name="Comma 16 2 2 2 2 11" xfId="52152"/>
    <cellStyle name="Comma 16 2 2 2 2 11 2" xfId="52153"/>
    <cellStyle name="Comma 16 2 2 2 2 12" xfId="52154"/>
    <cellStyle name="Comma 16 2 2 2 2 2" xfId="52155"/>
    <cellStyle name="Comma 16 2 2 2 2 2 2" xfId="52156"/>
    <cellStyle name="Comma 16 2 2 2 2 2 2 2" xfId="52157"/>
    <cellStyle name="Comma 16 2 2 2 2 2 2 2 2" xfId="52158"/>
    <cellStyle name="Comma 16 2 2 2 2 2 2 3" xfId="52159"/>
    <cellStyle name="Comma 16 2 2 2 2 2 2 3 2" xfId="52160"/>
    <cellStyle name="Comma 16 2 2 2 2 2 2 4" xfId="52161"/>
    <cellStyle name="Comma 16 2 2 2 2 2 3" xfId="52162"/>
    <cellStyle name="Comma 16 2 2 2 2 2 3 2" xfId="52163"/>
    <cellStyle name="Comma 16 2 2 2 2 2 4" xfId="52164"/>
    <cellStyle name="Comma 16 2 2 2 2 2 4 2" xfId="52165"/>
    <cellStyle name="Comma 16 2 2 2 2 2 5" xfId="52166"/>
    <cellStyle name="Comma 16 2 2 2 2 3" xfId="52167"/>
    <cellStyle name="Comma 16 2 2 2 2 3 2" xfId="52168"/>
    <cellStyle name="Comma 16 2 2 2 2 4" xfId="52169"/>
    <cellStyle name="Comma 16 2 2 2 2 4 2" xfId="52170"/>
    <cellStyle name="Comma 16 2 2 2 2 5" xfId="52171"/>
    <cellStyle name="Comma 16 2 2 2 2 5 2" xfId="52172"/>
    <cellStyle name="Comma 16 2 2 2 2 6" xfId="52173"/>
    <cellStyle name="Comma 16 2 2 2 2 6 2" xfId="52174"/>
    <cellStyle name="Comma 16 2 2 2 2 7" xfId="52175"/>
    <cellStyle name="Comma 16 2 2 2 2 7 2" xfId="52176"/>
    <cellStyle name="Comma 16 2 2 2 2 8" xfId="52177"/>
    <cellStyle name="Comma 16 2 2 2 2 8 2" xfId="52178"/>
    <cellStyle name="Comma 16 2 2 2 2 9" xfId="52179"/>
    <cellStyle name="Comma 16 2 2 2 2 9 2" xfId="52180"/>
    <cellStyle name="Comma 16 2 2 2 3" xfId="52181"/>
    <cellStyle name="Comma 16 2 2 2 3 2" xfId="52182"/>
    <cellStyle name="Comma 16 2 2 2 3 2 2" xfId="52183"/>
    <cellStyle name="Comma 16 2 2 2 3 3" xfId="52184"/>
    <cellStyle name="Comma 16 2 2 2 3 3 2" xfId="52185"/>
    <cellStyle name="Comma 16 2 2 2 3 4" xfId="52186"/>
    <cellStyle name="Comma 16 2 2 2 4" xfId="52187"/>
    <cellStyle name="Comma 16 2 2 2 4 2" xfId="52188"/>
    <cellStyle name="Comma 16 2 2 2 5" xfId="52189"/>
    <cellStyle name="Comma 16 2 2 2 5 2" xfId="52190"/>
    <cellStyle name="Comma 16 2 2 2 6" xfId="52191"/>
    <cellStyle name="Comma 16 2 2 2 6 2" xfId="52192"/>
    <cellStyle name="Comma 16 2 2 2 7" xfId="52193"/>
    <cellStyle name="Comma 16 2 2 2 7 2" xfId="52194"/>
    <cellStyle name="Comma 16 2 2 2 8" xfId="52195"/>
    <cellStyle name="Comma 16 2 2 2 8 2" xfId="52196"/>
    <cellStyle name="Comma 16 2 2 2 9" xfId="52197"/>
    <cellStyle name="Comma 16 2 2 2 9 2" xfId="52198"/>
    <cellStyle name="Comma 16 2 2 3" xfId="52199"/>
    <cellStyle name="Comma 16 2 2 3 2" xfId="52200"/>
    <cellStyle name="Comma 16 2 2 3 2 2" xfId="52201"/>
    <cellStyle name="Comma 16 2 2 3 3" xfId="52202"/>
    <cellStyle name="Comma 16 2 2 3 3 2" xfId="52203"/>
    <cellStyle name="Comma 16 2 2 3 4" xfId="52204"/>
    <cellStyle name="Comma 16 2 2 4" xfId="52205"/>
    <cellStyle name="Comma 16 2 2 4 2" xfId="52206"/>
    <cellStyle name="Comma 16 2 2 5" xfId="52207"/>
    <cellStyle name="Comma 16 2 2 5 2" xfId="52208"/>
    <cellStyle name="Comma 16 2 2 6" xfId="52209"/>
    <cellStyle name="Comma 16 2 2 6 2" xfId="52210"/>
    <cellStyle name="Comma 16 2 2 7" xfId="52211"/>
    <cellStyle name="Comma 16 2 2 7 2" xfId="52212"/>
    <cellStyle name="Comma 16 2 2 8" xfId="52213"/>
    <cellStyle name="Comma 16 2 2 8 2" xfId="52214"/>
    <cellStyle name="Comma 16 2 2 9" xfId="52215"/>
    <cellStyle name="Comma 16 2 2 9 2" xfId="52216"/>
    <cellStyle name="Comma 16 2 3" xfId="52217"/>
    <cellStyle name="Comma 16 2 3 10" xfId="52218"/>
    <cellStyle name="Comma 16 2 3 10 2" xfId="52219"/>
    <cellStyle name="Comma 16 2 3 11" xfId="52220"/>
    <cellStyle name="Comma 16 2 3 2" xfId="52221"/>
    <cellStyle name="Comma 16 2 3 2 2" xfId="52222"/>
    <cellStyle name="Comma 16 2 3 2 2 2" xfId="52223"/>
    <cellStyle name="Comma 16 2 3 2 3" xfId="52224"/>
    <cellStyle name="Comma 16 2 3 2 3 2" xfId="52225"/>
    <cellStyle name="Comma 16 2 3 2 4" xfId="52226"/>
    <cellStyle name="Comma 16 2 3 3" xfId="52227"/>
    <cellStyle name="Comma 16 2 3 3 2" xfId="52228"/>
    <cellStyle name="Comma 16 2 3 4" xfId="52229"/>
    <cellStyle name="Comma 16 2 3 4 2" xfId="52230"/>
    <cellStyle name="Comma 16 2 3 5" xfId="52231"/>
    <cellStyle name="Comma 16 2 3 5 2" xfId="52232"/>
    <cellStyle name="Comma 16 2 3 6" xfId="52233"/>
    <cellStyle name="Comma 16 2 3 6 2" xfId="52234"/>
    <cellStyle name="Comma 16 2 3 7" xfId="52235"/>
    <cellStyle name="Comma 16 2 3 7 2" xfId="52236"/>
    <cellStyle name="Comma 16 2 3 8" xfId="52237"/>
    <cellStyle name="Comma 16 2 3 8 2" xfId="52238"/>
    <cellStyle name="Comma 16 2 3 9" xfId="52239"/>
    <cellStyle name="Comma 16 2 3 9 2" xfId="52240"/>
    <cellStyle name="Comma 16 2 4" xfId="52241"/>
    <cellStyle name="Comma 16 2 4 2" xfId="52242"/>
    <cellStyle name="Comma 16 2 4 2 2" xfId="52243"/>
    <cellStyle name="Comma 16 2 4 3" xfId="52244"/>
    <cellStyle name="Comma 16 2 4 3 2" xfId="52245"/>
    <cellStyle name="Comma 16 2 4 4" xfId="52246"/>
    <cellStyle name="Comma 16 2 5" xfId="52247"/>
    <cellStyle name="Comma 16 2 5 2" xfId="52248"/>
    <cellStyle name="Comma 16 2 6" xfId="52249"/>
    <cellStyle name="Comma 16 2 6 2" xfId="52250"/>
    <cellStyle name="Comma 16 2 7" xfId="52251"/>
    <cellStyle name="Comma 16 2 7 2" xfId="52252"/>
    <cellStyle name="Comma 16 2 8" xfId="52253"/>
    <cellStyle name="Comma 16 2 8 2" xfId="52254"/>
    <cellStyle name="Comma 16 2 9" xfId="52255"/>
    <cellStyle name="Comma 16 2 9 2" xfId="52256"/>
    <cellStyle name="Comma 16 20" xfId="52257"/>
    <cellStyle name="Comma 16 20 2" xfId="52258"/>
    <cellStyle name="Comma 16 21" xfId="52259"/>
    <cellStyle name="Comma 16 21 2" xfId="52260"/>
    <cellStyle name="Comma 16 22" xfId="52261"/>
    <cellStyle name="Comma 16 22 2" xfId="52262"/>
    <cellStyle name="Comma 16 23" xfId="52263"/>
    <cellStyle name="Comma 16 23 2" xfId="52264"/>
    <cellStyle name="Comma 16 24" xfId="52265"/>
    <cellStyle name="Comma 16 24 2" xfId="52266"/>
    <cellStyle name="Comma 16 25" xfId="52267"/>
    <cellStyle name="Comma 16 25 2" xfId="52268"/>
    <cellStyle name="Comma 16 26" xfId="52269"/>
    <cellStyle name="Comma 16 26 2" xfId="52270"/>
    <cellStyle name="Comma 16 27" xfId="52271"/>
    <cellStyle name="Comma 16 27 2" xfId="52272"/>
    <cellStyle name="Comma 16 28" xfId="52273"/>
    <cellStyle name="Comma 16 28 2" xfId="52274"/>
    <cellStyle name="Comma 16 29" xfId="52275"/>
    <cellStyle name="Comma 16 29 2" xfId="52276"/>
    <cellStyle name="Comma 16 3" xfId="52277"/>
    <cellStyle name="Comma 16 3 10" xfId="52278"/>
    <cellStyle name="Comma 16 3 10 2" xfId="52279"/>
    <cellStyle name="Comma 16 3 11" xfId="52280"/>
    <cellStyle name="Comma 16 3 2" xfId="52281"/>
    <cellStyle name="Comma 16 3 2 10" xfId="52282"/>
    <cellStyle name="Comma 16 3 2 10 2" xfId="52283"/>
    <cellStyle name="Comma 16 3 2 11" xfId="52284"/>
    <cellStyle name="Comma 16 3 2 2" xfId="52285"/>
    <cellStyle name="Comma 16 3 2 2 2" xfId="52286"/>
    <cellStyle name="Comma 16 3 2 2 2 2" xfId="52287"/>
    <cellStyle name="Comma 16 3 2 2 3" xfId="52288"/>
    <cellStyle name="Comma 16 3 2 2 3 2" xfId="52289"/>
    <cellStyle name="Comma 16 3 2 2 4" xfId="52290"/>
    <cellStyle name="Comma 16 3 2 3" xfId="52291"/>
    <cellStyle name="Comma 16 3 2 3 2" xfId="52292"/>
    <cellStyle name="Comma 16 3 2 4" xfId="52293"/>
    <cellStyle name="Comma 16 3 2 4 2" xfId="52294"/>
    <cellStyle name="Comma 16 3 2 5" xfId="52295"/>
    <cellStyle name="Comma 16 3 2 5 2" xfId="52296"/>
    <cellStyle name="Comma 16 3 2 6" xfId="52297"/>
    <cellStyle name="Comma 16 3 2 6 2" xfId="52298"/>
    <cellStyle name="Comma 16 3 2 7" xfId="52299"/>
    <cellStyle name="Comma 16 3 2 7 2" xfId="52300"/>
    <cellStyle name="Comma 16 3 2 8" xfId="52301"/>
    <cellStyle name="Comma 16 3 2 8 2" xfId="52302"/>
    <cellStyle name="Comma 16 3 2 9" xfId="52303"/>
    <cellStyle name="Comma 16 3 2 9 2" xfId="52304"/>
    <cellStyle name="Comma 16 3 3" xfId="52305"/>
    <cellStyle name="Comma 16 3 3 2" xfId="52306"/>
    <cellStyle name="Comma 16 3 3 2 2" xfId="52307"/>
    <cellStyle name="Comma 16 3 3 3" xfId="52308"/>
    <cellStyle name="Comma 16 3 3 3 2" xfId="52309"/>
    <cellStyle name="Comma 16 3 3 4" xfId="52310"/>
    <cellStyle name="Comma 16 3 4" xfId="52311"/>
    <cellStyle name="Comma 16 3 4 2" xfId="52312"/>
    <cellStyle name="Comma 16 3 5" xfId="52313"/>
    <cellStyle name="Comma 16 3 5 2" xfId="52314"/>
    <cellStyle name="Comma 16 3 6" xfId="52315"/>
    <cellStyle name="Comma 16 3 6 2" xfId="52316"/>
    <cellStyle name="Comma 16 3 7" xfId="52317"/>
    <cellStyle name="Comma 16 3 7 2" xfId="52318"/>
    <cellStyle name="Comma 16 3 8" xfId="52319"/>
    <cellStyle name="Comma 16 3 8 2" xfId="52320"/>
    <cellStyle name="Comma 16 3 9" xfId="52321"/>
    <cellStyle name="Comma 16 3 9 2" xfId="52322"/>
    <cellStyle name="Comma 16 30" xfId="52323"/>
    <cellStyle name="Comma 16 30 2" xfId="52324"/>
    <cellStyle name="Comma 16 31" xfId="52325"/>
    <cellStyle name="Comma 16 31 2" xfId="52326"/>
    <cellStyle name="Comma 16 32" xfId="52327"/>
    <cellStyle name="Comma 16 32 2" xfId="52328"/>
    <cellStyle name="Comma 16 33" xfId="52329"/>
    <cellStyle name="Comma 16 33 2" xfId="52330"/>
    <cellStyle name="Comma 16 34" xfId="52331"/>
    <cellStyle name="Comma 16 34 2" xfId="52332"/>
    <cellStyle name="Comma 16 35" xfId="52333"/>
    <cellStyle name="Comma 16 35 2" xfId="52334"/>
    <cellStyle name="Comma 16 36" xfId="52335"/>
    <cellStyle name="Comma 16 36 2" xfId="52336"/>
    <cellStyle name="Comma 16 37" xfId="52337"/>
    <cellStyle name="Comma 16 4" xfId="52338"/>
    <cellStyle name="Comma 16 4 2" xfId="52339"/>
    <cellStyle name="Comma 16 4 2 2" xfId="52340"/>
    <cellStyle name="Comma 16 4 3" xfId="52341"/>
    <cellStyle name="Comma 16 4 3 2" xfId="52342"/>
    <cellStyle name="Comma 16 4 4" xfId="52343"/>
    <cellStyle name="Comma 16 5" xfId="52344"/>
    <cellStyle name="Comma 16 5 2" xfId="52345"/>
    <cellStyle name="Comma 16 6" xfId="52346"/>
    <cellStyle name="Comma 16 6 2" xfId="52347"/>
    <cellStyle name="Comma 16 7" xfId="52348"/>
    <cellStyle name="Comma 16 7 2" xfId="52349"/>
    <cellStyle name="Comma 16 8" xfId="52350"/>
    <cellStyle name="Comma 16 8 2" xfId="52351"/>
    <cellStyle name="Comma 16 9" xfId="52352"/>
    <cellStyle name="Comma 16 9 2" xfId="52353"/>
    <cellStyle name="Comma 16_Sheet4" xfId="52354"/>
    <cellStyle name="Comma 17" xfId="52355"/>
    <cellStyle name="Comma 17 10" xfId="52356"/>
    <cellStyle name="Comma 17 10 2" xfId="52357"/>
    <cellStyle name="Comma 17 11" xfId="52358"/>
    <cellStyle name="Comma 17 11 2" xfId="52359"/>
    <cellStyle name="Comma 17 12" xfId="52360"/>
    <cellStyle name="Comma 17 12 2" xfId="52361"/>
    <cellStyle name="Comma 17 13" xfId="52362"/>
    <cellStyle name="Comma 17 13 2" xfId="52363"/>
    <cellStyle name="Comma 17 14" xfId="52364"/>
    <cellStyle name="Comma 17 14 2" xfId="52365"/>
    <cellStyle name="Comma 17 15" xfId="52366"/>
    <cellStyle name="Comma 17 15 2" xfId="52367"/>
    <cellStyle name="Comma 17 16" xfId="52368"/>
    <cellStyle name="Comma 17 16 2" xfId="52369"/>
    <cellStyle name="Comma 17 17" xfId="52370"/>
    <cellStyle name="Comma 17 17 2" xfId="52371"/>
    <cellStyle name="Comma 17 18" xfId="52372"/>
    <cellStyle name="Comma 17 18 2" xfId="52373"/>
    <cellStyle name="Comma 17 19" xfId="52374"/>
    <cellStyle name="Comma 17 19 2" xfId="52375"/>
    <cellStyle name="Comma 17 2" xfId="52376"/>
    <cellStyle name="Comma 17 2 10" xfId="52377"/>
    <cellStyle name="Comma 17 2 10 2" xfId="52378"/>
    <cellStyle name="Comma 17 2 11" xfId="52379"/>
    <cellStyle name="Comma 17 2 11 2" xfId="52380"/>
    <cellStyle name="Comma 17 2 12" xfId="52381"/>
    <cellStyle name="Comma 17 2 12 2" xfId="52382"/>
    <cellStyle name="Comma 17 2 13" xfId="52383"/>
    <cellStyle name="Comma 17 2 2" xfId="52384"/>
    <cellStyle name="Comma 17 2 2 10" xfId="52385"/>
    <cellStyle name="Comma 17 2 2 10 2" xfId="52386"/>
    <cellStyle name="Comma 17 2 2 11" xfId="52387"/>
    <cellStyle name="Comma 17 2 2 11 2" xfId="52388"/>
    <cellStyle name="Comma 17 2 2 12" xfId="52389"/>
    <cellStyle name="Comma 17 2 2 12 2" xfId="52390"/>
    <cellStyle name="Comma 17 2 2 13" xfId="52391"/>
    <cellStyle name="Comma 17 2 2 2" xfId="52392"/>
    <cellStyle name="Comma 17 2 2 2 10" xfId="52393"/>
    <cellStyle name="Comma 17 2 2 2 10 2" xfId="52394"/>
    <cellStyle name="Comma 17 2 2 2 11" xfId="52395"/>
    <cellStyle name="Comma 17 2 2 2 11 2" xfId="52396"/>
    <cellStyle name="Comma 17 2 2 2 12" xfId="52397"/>
    <cellStyle name="Comma 17 2 2 2 2" xfId="52398"/>
    <cellStyle name="Comma 17 2 2 2 2 10" xfId="52399"/>
    <cellStyle name="Comma 17 2 2 2 2 10 2" xfId="52400"/>
    <cellStyle name="Comma 17 2 2 2 2 11" xfId="52401"/>
    <cellStyle name="Comma 17 2 2 2 2 11 2" xfId="52402"/>
    <cellStyle name="Comma 17 2 2 2 2 12" xfId="52403"/>
    <cellStyle name="Comma 17 2 2 2 2 2" xfId="52404"/>
    <cellStyle name="Comma 17 2 2 2 2 2 2" xfId="52405"/>
    <cellStyle name="Comma 17 2 2 2 2 2 2 2" xfId="52406"/>
    <cellStyle name="Comma 17 2 2 2 2 2 2 2 2" xfId="52407"/>
    <cellStyle name="Comma 17 2 2 2 2 2 2 3" xfId="52408"/>
    <cellStyle name="Comma 17 2 2 2 2 2 2 3 2" xfId="52409"/>
    <cellStyle name="Comma 17 2 2 2 2 2 2 4" xfId="52410"/>
    <cellStyle name="Comma 17 2 2 2 2 2 3" xfId="52411"/>
    <cellStyle name="Comma 17 2 2 2 2 2 3 2" xfId="52412"/>
    <cellStyle name="Comma 17 2 2 2 2 2 4" xfId="52413"/>
    <cellStyle name="Comma 17 2 2 2 2 2 4 2" xfId="52414"/>
    <cellStyle name="Comma 17 2 2 2 2 2 5" xfId="52415"/>
    <cellStyle name="Comma 17 2 2 2 2 3" xfId="52416"/>
    <cellStyle name="Comma 17 2 2 2 2 3 2" xfId="52417"/>
    <cellStyle name="Comma 17 2 2 2 2 4" xfId="52418"/>
    <cellStyle name="Comma 17 2 2 2 2 4 2" xfId="52419"/>
    <cellStyle name="Comma 17 2 2 2 2 5" xfId="52420"/>
    <cellStyle name="Comma 17 2 2 2 2 5 2" xfId="52421"/>
    <cellStyle name="Comma 17 2 2 2 2 6" xfId="52422"/>
    <cellStyle name="Comma 17 2 2 2 2 6 2" xfId="52423"/>
    <cellStyle name="Comma 17 2 2 2 2 7" xfId="52424"/>
    <cellStyle name="Comma 17 2 2 2 2 7 2" xfId="52425"/>
    <cellStyle name="Comma 17 2 2 2 2 8" xfId="52426"/>
    <cellStyle name="Comma 17 2 2 2 2 8 2" xfId="52427"/>
    <cellStyle name="Comma 17 2 2 2 2 9" xfId="52428"/>
    <cellStyle name="Comma 17 2 2 2 2 9 2" xfId="52429"/>
    <cellStyle name="Comma 17 2 2 2 3" xfId="52430"/>
    <cellStyle name="Comma 17 2 2 2 3 2" xfId="52431"/>
    <cellStyle name="Comma 17 2 2 2 3 2 2" xfId="52432"/>
    <cellStyle name="Comma 17 2 2 2 3 3" xfId="52433"/>
    <cellStyle name="Comma 17 2 2 2 3 3 2" xfId="52434"/>
    <cellStyle name="Comma 17 2 2 2 3 4" xfId="52435"/>
    <cellStyle name="Comma 17 2 2 2 4" xfId="52436"/>
    <cellStyle name="Comma 17 2 2 2 4 2" xfId="52437"/>
    <cellStyle name="Comma 17 2 2 2 5" xfId="52438"/>
    <cellStyle name="Comma 17 2 2 2 5 2" xfId="52439"/>
    <cellStyle name="Comma 17 2 2 2 6" xfId="52440"/>
    <cellStyle name="Comma 17 2 2 2 6 2" xfId="52441"/>
    <cellStyle name="Comma 17 2 2 2 7" xfId="52442"/>
    <cellStyle name="Comma 17 2 2 2 7 2" xfId="52443"/>
    <cellStyle name="Comma 17 2 2 2 8" xfId="52444"/>
    <cellStyle name="Comma 17 2 2 2 8 2" xfId="52445"/>
    <cellStyle name="Comma 17 2 2 2 9" xfId="52446"/>
    <cellStyle name="Comma 17 2 2 2 9 2" xfId="52447"/>
    <cellStyle name="Comma 17 2 2 3" xfId="52448"/>
    <cellStyle name="Comma 17 2 2 3 2" xfId="52449"/>
    <cellStyle name="Comma 17 2 2 3 2 2" xfId="52450"/>
    <cellStyle name="Comma 17 2 2 3 3" xfId="52451"/>
    <cellStyle name="Comma 17 2 2 3 3 2" xfId="52452"/>
    <cellStyle name="Comma 17 2 2 3 4" xfId="52453"/>
    <cellStyle name="Comma 17 2 2 4" xfId="52454"/>
    <cellStyle name="Comma 17 2 2 4 2" xfId="52455"/>
    <cellStyle name="Comma 17 2 2 5" xfId="52456"/>
    <cellStyle name="Comma 17 2 2 5 2" xfId="52457"/>
    <cellStyle name="Comma 17 2 2 6" xfId="52458"/>
    <cellStyle name="Comma 17 2 2 6 2" xfId="52459"/>
    <cellStyle name="Comma 17 2 2 7" xfId="52460"/>
    <cellStyle name="Comma 17 2 2 7 2" xfId="52461"/>
    <cellStyle name="Comma 17 2 2 8" xfId="52462"/>
    <cellStyle name="Comma 17 2 2 8 2" xfId="52463"/>
    <cellStyle name="Comma 17 2 2 9" xfId="52464"/>
    <cellStyle name="Comma 17 2 2 9 2" xfId="52465"/>
    <cellStyle name="Comma 17 2 3" xfId="52466"/>
    <cellStyle name="Comma 17 2 3 10" xfId="52467"/>
    <cellStyle name="Comma 17 2 3 10 2" xfId="52468"/>
    <cellStyle name="Comma 17 2 3 11" xfId="52469"/>
    <cellStyle name="Comma 17 2 3 2" xfId="52470"/>
    <cellStyle name="Comma 17 2 3 2 2" xfId="52471"/>
    <cellStyle name="Comma 17 2 3 2 2 2" xfId="52472"/>
    <cellStyle name="Comma 17 2 3 2 3" xfId="52473"/>
    <cellStyle name="Comma 17 2 3 2 3 2" xfId="52474"/>
    <cellStyle name="Comma 17 2 3 2 4" xfId="52475"/>
    <cellStyle name="Comma 17 2 3 3" xfId="52476"/>
    <cellStyle name="Comma 17 2 3 3 2" xfId="52477"/>
    <cellStyle name="Comma 17 2 3 4" xfId="52478"/>
    <cellStyle name="Comma 17 2 3 4 2" xfId="52479"/>
    <cellStyle name="Comma 17 2 3 5" xfId="52480"/>
    <cellStyle name="Comma 17 2 3 5 2" xfId="52481"/>
    <cellStyle name="Comma 17 2 3 6" xfId="52482"/>
    <cellStyle name="Comma 17 2 3 6 2" xfId="52483"/>
    <cellStyle name="Comma 17 2 3 7" xfId="52484"/>
    <cellStyle name="Comma 17 2 3 7 2" xfId="52485"/>
    <cellStyle name="Comma 17 2 3 8" xfId="52486"/>
    <cellStyle name="Comma 17 2 3 8 2" xfId="52487"/>
    <cellStyle name="Comma 17 2 3 9" xfId="52488"/>
    <cellStyle name="Comma 17 2 3 9 2" xfId="52489"/>
    <cellStyle name="Comma 17 2 4" xfId="52490"/>
    <cellStyle name="Comma 17 2 4 2" xfId="52491"/>
    <cellStyle name="Comma 17 2 4 2 2" xfId="52492"/>
    <cellStyle name="Comma 17 2 4 3" xfId="52493"/>
    <cellStyle name="Comma 17 2 4 3 2" xfId="52494"/>
    <cellStyle name="Comma 17 2 4 4" xfId="52495"/>
    <cellStyle name="Comma 17 2 5" xfId="52496"/>
    <cellStyle name="Comma 17 2 5 2" xfId="52497"/>
    <cellStyle name="Comma 17 2 6" xfId="52498"/>
    <cellStyle name="Comma 17 2 6 2" xfId="52499"/>
    <cellStyle name="Comma 17 2 7" xfId="52500"/>
    <cellStyle name="Comma 17 2 7 2" xfId="52501"/>
    <cellStyle name="Comma 17 2 8" xfId="52502"/>
    <cellStyle name="Comma 17 2 8 2" xfId="52503"/>
    <cellStyle name="Comma 17 2 9" xfId="52504"/>
    <cellStyle name="Comma 17 2 9 2" xfId="52505"/>
    <cellStyle name="Comma 17 20" xfId="52506"/>
    <cellStyle name="Comma 17 20 2" xfId="52507"/>
    <cellStyle name="Comma 17 21" xfId="52508"/>
    <cellStyle name="Comma 17 21 2" xfId="52509"/>
    <cellStyle name="Comma 17 22" xfId="52510"/>
    <cellStyle name="Comma 17 22 2" xfId="52511"/>
    <cellStyle name="Comma 17 23" xfId="52512"/>
    <cellStyle name="Comma 17 23 2" xfId="52513"/>
    <cellStyle name="Comma 17 24" xfId="52514"/>
    <cellStyle name="Comma 17 24 2" xfId="52515"/>
    <cellStyle name="Comma 17 25" xfId="52516"/>
    <cellStyle name="Comma 17 25 2" xfId="52517"/>
    <cellStyle name="Comma 17 26" xfId="52518"/>
    <cellStyle name="Comma 17 26 2" xfId="52519"/>
    <cellStyle name="Comma 17 27" xfId="52520"/>
    <cellStyle name="Comma 17 27 2" xfId="52521"/>
    <cellStyle name="Comma 17 28" xfId="52522"/>
    <cellStyle name="Comma 17 28 2" xfId="52523"/>
    <cellStyle name="Comma 17 29" xfId="52524"/>
    <cellStyle name="Comma 17 29 2" xfId="52525"/>
    <cellStyle name="Comma 17 3" xfId="52526"/>
    <cellStyle name="Comma 17 3 10" xfId="52527"/>
    <cellStyle name="Comma 17 3 10 2" xfId="52528"/>
    <cellStyle name="Comma 17 3 11" xfId="52529"/>
    <cellStyle name="Comma 17 3 2" xfId="52530"/>
    <cellStyle name="Comma 17 3 2 10" xfId="52531"/>
    <cellStyle name="Comma 17 3 2 10 2" xfId="52532"/>
    <cellStyle name="Comma 17 3 2 11" xfId="52533"/>
    <cellStyle name="Comma 17 3 2 2" xfId="52534"/>
    <cellStyle name="Comma 17 3 2 2 2" xfId="52535"/>
    <cellStyle name="Comma 17 3 2 2 2 2" xfId="52536"/>
    <cellStyle name="Comma 17 3 2 2 3" xfId="52537"/>
    <cellStyle name="Comma 17 3 2 2 3 2" xfId="52538"/>
    <cellStyle name="Comma 17 3 2 2 4" xfId="52539"/>
    <cellStyle name="Comma 17 3 2 3" xfId="52540"/>
    <cellStyle name="Comma 17 3 2 3 2" xfId="52541"/>
    <cellStyle name="Comma 17 3 2 4" xfId="52542"/>
    <cellStyle name="Comma 17 3 2 4 2" xfId="52543"/>
    <cellStyle name="Comma 17 3 2 5" xfId="52544"/>
    <cellStyle name="Comma 17 3 2 5 2" xfId="52545"/>
    <cellStyle name="Comma 17 3 2 6" xfId="52546"/>
    <cellStyle name="Comma 17 3 2 6 2" xfId="52547"/>
    <cellStyle name="Comma 17 3 2 7" xfId="52548"/>
    <cellStyle name="Comma 17 3 2 7 2" xfId="52549"/>
    <cellStyle name="Comma 17 3 2 8" xfId="52550"/>
    <cellStyle name="Comma 17 3 2 8 2" xfId="52551"/>
    <cellStyle name="Comma 17 3 2 9" xfId="52552"/>
    <cellStyle name="Comma 17 3 2 9 2" xfId="52553"/>
    <cellStyle name="Comma 17 3 3" xfId="52554"/>
    <cellStyle name="Comma 17 3 3 2" xfId="52555"/>
    <cellStyle name="Comma 17 3 3 2 2" xfId="52556"/>
    <cellStyle name="Comma 17 3 3 3" xfId="52557"/>
    <cellStyle name="Comma 17 3 3 3 2" xfId="52558"/>
    <cellStyle name="Comma 17 3 3 4" xfId="52559"/>
    <cellStyle name="Comma 17 3 4" xfId="52560"/>
    <cellStyle name="Comma 17 3 4 2" xfId="52561"/>
    <cellStyle name="Comma 17 3 5" xfId="52562"/>
    <cellStyle name="Comma 17 3 5 2" xfId="52563"/>
    <cellStyle name="Comma 17 3 6" xfId="52564"/>
    <cellStyle name="Comma 17 3 6 2" xfId="52565"/>
    <cellStyle name="Comma 17 3 7" xfId="52566"/>
    <cellStyle name="Comma 17 3 7 2" xfId="52567"/>
    <cellStyle name="Comma 17 3 8" xfId="52568"/>
    <cellStyle name="Comma 17 3 8 2" xfId="52569"/>
    <cellStyle name="Comma 17 3 9" xfId="52570"/>
    <cellStyle name="Comma 17 3 9 2" xfId="52571"/>
    <cellStyle name="Comma 17 30" xfId="52572"/>
    <cellStyle name="Comma 17 30 2" xfId="52573"/>
    <cellStyle name="Comma 17 31" xfId="52574"/>
    <cellStyle name="Comma 17 31 2" xfId="52575"/>
    <cellStyle name="Comma 17 32" xfId="52576"/>
    <cellStyle name="Comma 17 32 2" xfId="52577"/>
    <cellStyle name="Comma 17 33" xfId="52578"/>
    <cellStyle name="Comma 17 33 2" xfId="52579"/>
    <cellStyle name="Comma 17 34" xfId="52580"/>
    <cellStyle name="Comma 17 34 2" xfId="52581"/>
    <cellStyle name="Comma 17 35" xfId="52582"/>
    <cellStyle name="Comma 17 35 2" xfId="52583"/>
    <cellStyle name="Comma 17 36" xfId="52584"/>
    <cellStyle name="Comma 17 36 2" xfId="52585"/>
    <cellStyle name="Comma 17 37" xfId="52586"/>
    <cellStyle name="Comma 17 4" xfId="52587"/>
    <cellStyle name="Comma 17 4 2" xfId="52588"/>
    <cellStyle name="Comma 17 4 2 2" xfId="52589"/>
    <cellStyle name="Comma 17 4 3" xfId="52590"/>
    <cellStyle name="Comma 17 4 3 2" xfId="52591"/>
    <cellStyle name="Comma 17 4 4" xfId="52592"/>
    <cellStyle name="Comma 17 5" xfId="52593"/>
    <cellStyle name="Comma 17 5 2" xfId="52594"/>
    <cellStyle name="Comma 17 6" xfId="52595"/>
    <cellStyle name="Comma 17 6 2" xfId="52596"/>
    <cellStyle name="Comma 17 7" xfId="52597"/>
    <cellStyle name="Comma 17 7 2" xfId="52598"/>
    <cellStyle name="Comma 17 8" xfId="52599"/>
    <cellStyle name="Comma 17 8 2" xfId="52600"/>
    <cellStyle name="Comma 17 9" xfId="52601"/>
    <cellStyle name="Comma 17 9 2" xfId="52602"/>
    <cellStyle name="Comma 17_Sheet4" xfId="52603"/>
    <cellStyle name="Comma 18" xfId="52604"/>
    <cellStyle name="Comma 18 10" xfId="52605"/>
    <cellStyle name="Comma 18 10 2" xfId="52606"/>
    <cellStyle name="Comma 18 11" xfId="52607"/>
    <cellStyle name="Comma 18 11 2" xfId="52608"/>
    <cellStyle name="Comma 18 12" xfId="52609"/>
    <cellStyle name="Comma 18 12 2" xfId="52610"/>
    <cellStyle name="Comma 18 13" xfId="52611"/>
    <cellStyle name="Comma 18 13 2" xfId="52612"/>
    <cellStyle name="Comma 18 14" xfId="52613"/>
    <cellStyle name="Comma 18 14 2" xfId="52614"/>
    <cellStyle name="Comma 18 15" xfId="52615"/>
    <cellStyle name="Comma 18 15 2" xfId="52616"/>
    <cellStyle name="Comma 18 16" xfId="52617"/>
    <cellStyle name="Comma 18 16 2" xfId="52618"/>
    <cellStyle name="Comma 18 17" xfId="52619"/>
    <cellStyle name="Comma 18 17 2" xfId="52620"/>
    <cellStyle name="Comma 18 18" xfId="52621"/>
    <cellStyle name="Comma 18 18 2" xfId="52622"/>
    <cellStyle name="Comma 18 19" xfId="52623"/>
    <cellStyle name="Comma 18 19 2" xfId="52624"/>
    <cellStyle name="Comma 18 2" xfId="52625"/>
    <cellStyle name="Comma 18 2 10" xfId="52626"/>
    <cellStyle name="Comma 18 2 10 2" xfId="52627"/>
    <cellStyle name="Comma 18 2 11" xfId="52628"/>
    <cellStyle name="Comma 18 2 11 2" xfId="52629"/>
    <cellStyle name="Comma 18 2 12" xfId="52630"/>
    <cellStyle name="Comma 18 2 12 2" xfId="52631"/>
    <cellStyle name="Comma 18 2 2" xfId="52632"/>
    <cellStyle name="Comma 18 2 2 10" xfId="52633"/>
    <cellStyle name="Comma 18 2 2 10 2" xfId="52634"/>
    <cellStyle name="Comma 18 2 2 11" xfId="52635"/>
    <cellStyle name="Comma 18 2 2 11 2" xfId="52636"/>
    <cellStyle name="Comma 18 2 2 12" xfId="52637"/>
    <cellStyle name="Comma 18 2 2 12 2" xfId="52638"/>
    <cellStyle name="Comma 18 2 2 2" xfId="52639"/>
    <cellStyle name="Comma 18 2 2 2 10" xfId="52640"/>
    <cellStyle name="Comma 18 2 2 2 10 2" xfId="52641"/>
    <cellStyle name="Comma 18 2 2 2 11" xfId="52642"/>
    <cellStyle name="Comma 18 2 2 2 11 2" xfId="52643"/>
    <cellStyle name="Comma 18 2 2 2 12" xfId="52644"/>
    <cellStyle name="Comma 18 2 2 2 2" xfId="52645"/>
    <cellStyle name="Comma 18 2 2 2 2 10" xfId="52646"/>
    <cellStyle name="Comma 18 2 2 2 2 10 2" xfId="52647"/>
    <cellStyle name="Comma 18 2 2 2 2 11" xfId="52648"/>
    <cellStyle name="Comma 18 2 2 2 2 11 2" xfId="52649"/>
    <cellStyle name="Comma 18 2 2 2 2 12" xfId="52650"/>
    <cellStyle name="Comma 18 2 2 2 2 2" xfId="52651"/>
    <cellStyle name="Comma 18 2 2 2 2 2 2" xfId="52652"/>
    <cellStyle name="Comma 18 2 2 2 2 2 2 2" xfId="52653"/>
    <cellStyle name="Comma 18 2 2 2 2 2 2 2 2" xfId="52654"/>
    <cellStyle name="Comma 18 2 2 2 2 2 2 3" xfId="52655"/>
    <cellStyle name="Comma 18 2 2 2 2 2 2 3 2" xfId="52656"/>
    <cellStyle name="Comma 18 2 2 2 2 2 2 4" xfId="52657"/>
    <cellStyle name="Comma 18 2 2 2 2 2 3" xfId="52658"/>
    <cellStyle name="Comma 18 2 2 2 2 2 3 2" xfId="52659"/>
    <cellStyle name="Comma 18 2 2 2 2 2 4" xfId="52660"/>
    <cellStyle name="Comma 18 2 2 2 2 2 4 2" xfId="52661"/>
    <cellStyle name="Comma 18 2 2 2 2 2 5" xfId="52662"/>
    <cellStyle name="Comma 18 2 2 2 2 3" xfId="52663"/>
    <cellStyle name="Comma 18 2 2 2 2 3 2" xfId="52664"/>
    <cellStyle name="Comma 18 2 2 2 2 4" xfId="52665"/>
    <cellStyle name="Comma 18 2 2 2 2 4 2" xfId="52666"/>
    <cellStyle name="Comma 18 2 2 2 2 5" xfId="52667"/>
    <cellStyle name="Comma 18 2 2 2 2 5 2" xfId="52668"/>
    <cellStyle name="Comma 18 2 2 2 2 6" xfId="52669"/>
    <cellStyle name="Comma 18 2 2 2 2 6 2" xfId="52670"/>
    <cellStyle name="Comma 18 2 2 2 2 7" xfId="52671"/>
    <cellStyle name="Comma 18 2 2 2 2 7 2" xfId="52672"/>
    <cellStyle name="Comma 18 2 2 2 2 8" xfId="52673"/>
    <cellStyle name="Comma 18 2 2 2 2 8 2" xfId="52674"/>
    <cellStyle name="Comma 18 2 2 2 2 9" xfId="52675"/>
    <cellStyle name="Comma 18 2 2 2 2 9 2" xfId="52676"/>
    <cellStyle name="Comma 18 2 2 2 3" xfId="52677"/>
    <cellStyle name="Comma 18 2 2 2 3 2" xfId="52678"/>
    <cellStyle name="Comma 18 2 2 2 3 2 2" xfId="52679"/>
    <cellStyle name="Comma 18 2 2 2 3 3" xfId="52680"/>
    <cellStyle name="Comma 18 2 2 2 3 3 2" xfId="52681"/>
    <cellStyle name="Comma 18 2 2 2 3 4" xfId="52682"/>
    <cellStyle name="Comma 18 2 2 2 4" xfId="52683"/>
    <cellStyle name="Comma 18 2 2 2 4 2" xfId="52684"/>
    <cellStyle name="Comma 18 2 2 2 5" xfId="52685"/>
    <cellStyle name="Comma 18 2 2 2 5 2" xfId="52686"/>
    <cellStyle name="Comma 18 2 2 2 6" xfId="52687"/>
    <cellStyle name="Comma 18 2 2 2 6 2" xfId="52688"/>
    <cellStyle name="Comma 18 2 2 2 7" xfId="52689"/>
    <cellStyle name="Comma 18 2 2 2 7 2" xfId="52690"/>
    <cellStyle name="Comma 18 2 2 2 8" xfId="52691"/>
    <cellStyle name="Comma 18 2 2 2 8 2" xfId="52692"/>
    <cellStyle name="Comma 18 2 2 2 9" xfId="52693"/>
    <cellStyle name="Comma 18 2 2 2 9 2" xfId="52694"/>
    <cellStyle name="Comma 18 2 2 3" xfId="52695"/>
    <cellStyle name="Comma 18 2 3" xfId="52696"/>
    <cellStyle name="Comma 18 3" xfId="52697"/>
    <cellStyle name="Comma 19" xfId="52698"/>
    <cellStyle name="Comma 19 2" xfId="52699"/>
    <cellStyle name="Comma 19 2 2" xfId="52700"/>
    <cellStyle name="Comma 19 3" xfId="52701"/>
    <cellStyle name="Comma 2" xfId="55"/>
    <cellStyle name="Comma 2 10" xfId="13566"/>
    <cellStyle name="Comma 2 11" xfId="13567"/>
    <cellStyle name="Comma 2 12" xfId="13568"/>
    <cellStyle name="Comma 2 12 2" xfId="13569"/>
    <cellStyle name="Comma 2 2" xfId="290"/>
    <cellStyle name="Comma 2 2 2" xfId="13570"/>
    <cellStyle name="Comma 2 2 2 2" xfId="52702"/>
    <cellStyle name="Comma 2 2 3" xfId="52703"/>
    <cellStyle name="Comma 2 2 4" xfId="52704"/>
    <cellStyle name="Comma 2 3" xfId="13571"/>
    <cellStyle name="Comma 2 3 2" xfId="13572"/>
    <cellStyle name="Comma 2 3 2 2" xfId="13573"/>
    <cellStyle name="Comma 2 3 2 3" xfId="13574"/>
    <cellStyle name="Comma 2 4" xfId="13575"/>
    <cellStyle name="Comma 2 4 2" xfId="13576"/>
    <cellStyle name="Comma 2 5" xfId="13577"/>
    <cellStyle name="Comma 2 6" xfId="13578"/>
    <cellStyle name="Comma 2 7" xfId="13579"/>
    <cellStyle name="Comma 2 8" xfId="13580"/>
    <cellStyle name="Comma 2 9" xfId="13581"/>
    <cellStyle name="Comma 2*" xfId="52705"/>
    <cellStyle name="Comma 2_LBO Base" xfId="52706"/>
    <cellStyle name="Comma 20" xfId="52707"/>
    <cellStyle name="Comma 20 2" xfId="52708"/>
    <cellStyle name="Comma 20 2 2" xfId="52709"/>
    <cellStyle name="Comma 20 3" xfId="52710"/>
    <cellStyle name="Comma 20 4" xfId="52711"/>
    <cellStyle name="Comma 21" xfId="52712"/>
    <cellStyle name="Comma 21 2" xfId="52713"/>
    <cellStyle name="Comma 21 2 2" xfId="52714"/>
    <cellStyle name="Comma 21 3" xfId="52715"/>
    <cellStyle name="Comma 22" xfId="52716"/>
    <cellStyle name="Comma 22 2" xfId="52717"/>
    <cellStyle name="Comma 22 3" xfId="52718"/>
    <cellStyle name="Comma 23" xfId="52719"/>
    <cellStyle name="Comma 23 2" xfId="52720"/>
    <cellStyle name="Comma 24" xfId="52721"/>
    <cellStyle name="Comma 25" xfId="52722"/>
    <cellStyle name="Comma 26" xfId="52723"/>
    <cellStyle name="Comma 27" xfId="52724"/>
    <cellStyle name="Comma 27 2" xfId="52725"/>
    <cellStyle name="Comma 28" xfId="52726"/>
    <cellStyle name="Comma 28 2" xfId="52727"/>
    <cellStyle name="Comma 29" xfId="52728"/>
    <cellStyle name="Comma 29 2" xfId="52729"/>
    <cellStyle name="Comma 3" xfId="61"/>
    <cellStyle name="Comma 3 2" xfId="65"/>
    <cellStyle name="Comma 3 2 2" xfId="13582"/>
    <cellStyle name="Comma 3 2 2 2" xfId="13583"/>
    <cellStyle name="Comma 3 2 3" xfId="13584"/>
    <cellStyle name="Comma 3 2 4" xfId="13585"/>
    <cellStyle name="Comma 3 3" xfId="13586"/>
    <cellStyle name="Comma 3 3 2" xfId="13587"/>
    <cellStyle name="Comma 3 4" xfId="13588"/>
    <cellStyle name="Comma 3 4 2" xfId="13589"/>
    <cellStyle name="Comma 3 5" xfId="52730"/>
    <cellStyle name="Comma 3*" xfId="52731"/>
    <cellStyle name="Comma 30" xfId="52732"/>
    <cellStyle name="Comma 30 2" xfId="52733"/>
    <cellStyle name="Comma 31" xfId="52734"/>
    <cellStyle name="Comma 32" xfId="52735"/>
    <cellStyle name="Comma 32 2" xfId="52736"/>
    <cellStyle name="Comma 33" xfId="52737"/>
    <cellStyle name="Comma 34" xfId="52738"/>
    <cellStyle name="Comma 35" xfId="52739"/>
    <cellStyle name="Comma 36" xfId="52740"/>
    <cellStyle name="Comma 37" xfId="52741"/>
    <cellStyle name="Comma 4" xfId="143"/>
    <cellStyle name="Comma 4 2" xfId="13590"/>
    <cellStyle name="Comma 4 2 10" xfId="52742"/>
    <cellStyle name="Comma 4 2 11" xfId="52743"/>
    <cellStyle name="Comma 4 2 12" xfId="52744"/>
    <cellStyle name="Comma 4 2 13" xfId="52745"/>
    <cellStyle name="Comma 4 2 14" xfId="52746"/>
    <cellStyle name="Comma 4 2 15" xfId="52747"/>
    <cellStyle name="Comma 4 2 16" xfId="52748"/>
    <cellStyle name="Comma 4 2 17" xfId="52749"/>
    <cellStyle name="Comma 4 2 18" xfId="52750"/>
    <cellStyle name="Comma 4 2 19" xfId="52751"/>
    <cellStyle name="Comma 4 2 2" xfId="13591"/>
    <cellStyle name="Comma 4 2 20" xfId="52752"/>
    <cellStyle name="Comma 4 2 21" xfId="52753"/>
    <cellStyle name="Comma 4 2 22" xfId="52754"/>
    <cellStyle name="Comma 4 2 23" xfId="52755"/>
    <cellStyle name="Comma 4 2 24" xfId="52756"/>
    <cellStyle name="Comma 4 2 25" xfId="52757"/>
    <cellStyle name="Comma 4 2 26" xfId="52758"/>
    <cellStyle name="Comma 4 2 27" xfId="52759"/>
    <cellStyle name="Comma 4 2 28" xfId="52760"/>
    <cellStyle name="Comma 4 2 29" xfId="52761"/>
    <cellStyle name="Comma 4 2 3" xfId="13592"/>
    <cellStyle name="Comma 4 2 30" xfId="52762"/>
    <cellStyle name="Comma 4 2 4" xfId="52763"/>
    <cellStyle name="Comma 4 2 5" xfId="52764"/>
    <cellStyle name="Comma 4 2 6" xfId="52765"/>
    <cellStyle name="Comma 4 2 7" xfId="52766"/>
    <cellStyle name="Comma 4 2 8" xfId="52767"/>
    <cellStyle name="Comma 4 2 9" xfId="52768"/>
    <cellStyle name="Comma 4 3" xfId="13593"/>
    <cellStyle name="Comma 4 3 10" xfId="52769"/>
    <cellStyle name="Comma 4 3 2" xfId="13594"/>
    <cellStyle name="Comma 4 3 3" xfId="52770"/>
    <cellStyle name="Comma 4 3 4" xfId="52771"/>
    <cellStyle name="Comma 4 3 5" xfId="52772"/>
    <cellStyle name="Comma 4 3 6" xfId="52773"/>
    <cellStyle name="Comma 4 3 7" xfId="52774"/>
    <cellStyle name="Comma 4 3 8" xfId="52775"/>
    <cellStyle name="Comma 4 3 9" xfId="52776"/>
    <cellStyle name="Comma 4 4" xfId="52777"/>
    <cellStyle name="Comma 4 4 2" xfId="52778"/>
    <cellStyle name="Comma 4 4 3" xfId="52779"/>
    <cellStyle name="Comma 4 4 4" xfId="52780"/>
    <cellStyle name="Comma 4 4 5" xfId="52781"/>
    <cellStyle name="Comma 4 4 6" xfId="52782"/>
    <cellStyle name="Comma 4 4 7" xfId="52783"/>
    <cellStyle name="Comma 4 4 8" xfId="52784"/>
    <cellStyle name="Comma 4 4 9" xfId="52785"/>
    <cellStyle name="Comma 4 5" xfId="52786"/>
    <cellStyle name="Comma 5" xfId="144"/>
    <cellStyle name="Comma 5 2" xfId="145"/>
    <cellStyle name="Comma 5 2 2" xfId="13595"/>
    <cellStyle name="Comma 5 2 3" xfId="13596"/>
    <cellStyle name="Comma 5 2 4" xfId="13597"/>
    <cellStyle name="Comma 5 3" xfId="13598"/>
    <cellStyle name="Comma 5 3 2" xfId="13599"/>
    <cellStyle name="Comma 5 3 3" xfId="13600"/>
    <cellStyle name="Comma 5 4" xfId="13601"/>
    <cellStyle name="Comma 6" xfId="146"/>
    <cellStyle name="Comma 6 2" xfId="13602"/>
    <cellStyle name="Comma 6 2 2" xfId="13603"/>
    <cellStyle name="Comma 6 2 2 2" xfId="13604"/>
    <cellStyle name="Comma 6 2 2 3" xfId="52787"/>
    <cellStyle name="Comma 6 2 2 4" xfId="52788"/>
    <cellStyle name="Comma 6 2 2 5" xfId="52789"/>
    <cellStyle name="Comma 6 2 2 6" xfId="52790"/>
    <cellStyle name="Comma 6 2 2 7" xfId="52791"/>
    <cellStyle name="Comma 6 2 2 8" xfId="52792"/>
    <cellStyle name="Comma 6 2 2 9" xfId="52793"/>
    <cellStyle name="Comma 6 2 3" xfId="13605"/>
    <cellStyle name="Comma 6 2 3 2" xfId="52794"/>
    <cellStyle name="Comma 6 2 3 3" xfId="52795"/>
    <cellStyle name="Comma 6 2 3 4" xfId="52796"/>
    <cellStyle name="Comma 6 2 3 5" xfId="52797"/>
    <cellStyle name="Comma 6 2 3 6" xfId="52798"/>
    <cellStyle name="Comma 6 2 3 7" xfId="52799"/>
    <cellStyle name="Comma 6 2 3 8" xfId="52800"/>
    <cellStyle name="Comma 6 2 3 9" xfId="52801"/>
    <cellStyle name="Comma 6 2 4" xfId="13606"/>
    <cellStyle name="Comma 6 3" xfId="13607"/>
    <cellStyle name="Comma 6 3 2" xfId="13608"/>
    <cellStyle name="Comma 6 3 2 2" xfId="13609"/>
    <cellStyle name="Comma 6 3 3" xfId="13610"/>
    <cellStyle name="Comma 6 4" xfId="13611"/>
    <cellStyle name="Comma 6 4 2" xfId="13612"/>
    <cellStyle name="Comma 6 5" xfId="13613"/>
    <cellStyle name="Comma 6 6" xfId="13614"/>
    <cellStyle name="Comma 6 7" xfId="13615"/>
    <cellStyle name="Comma 6 8" xfId="13616"/>
    <cellStyle name="Comma 6 9" xfId="13617"/>
    <cellStyle name="Comma 7" xfId="13618"/>
    <cellStyle name="Comma 7 2" xfId="13619"/>
    <cellStyle name="Comma 7 2 2" xfId="13620"/>
    <cellStyle name="Comma 7 3" xfId="13621"/>
    <cellStyle name="Comma 7 4" xfId="13622"/>
    <cellStyle name="Comma 7 5" xfId="13623"/>
    <cellStyle name="Comma 7 6" xfId="13624"/>
    <cellStyle name="Comma 8" xfId="13625"/>
    <cellStyle name="Comma 8 2" xfId="13626"/>
    <cellStyle name="Comma 8 2 2" xfId="52802"/>
    <cellStyle name="Comma 8 3" xfId="52803"/>
    <cellStyle name="Comma 9" xfId="13627"/>
    <cellStyle name="Comma 9 2" xfId="52804"/>
    <cellStyle name="Comma 9 2 2" xfId="52805"/>
    <cellStyle name="Comma 9 3" xfId="52806"/>
    <cellStyle name="Comma*" xfId="52807"/>
    <cellStyle name="Comma0" xfId="52808"/>
    <cellStyle name="Comma0 - Style1" xfId="52809"/>
    <cellStyle name="Comma0 - Style1 2" xfId="52810"/>
    <cellStyle name="Comma0 2" xfId="52811"/>
    <cellStyle name="Comma0 3" xfId="52812"/>
    <cellStyle name="Comma0 4" xfId="52813"/>
    <cellStyle name="Comma0 5" xfId="52814"/>
    <cellStyle name="Comma0 6" xfId="52815"/>
    <cellStyle name="Comma0_Hyperlink Macro" xfId="52816"/>
    <cellStyle name="CommaɟGCPM premium skills" xfId="52817"/>
    <cellStyle name="Commentaire" xfId="52818"/>
    <cellStyle name="COMPS" xfId="52819"/>
    <cellStyle name="COMPS 2" xfId="52820"/>
    <cellStyle name="COMPS 3" xfId="52821"/>
    <cellStyle name="COMPS 4" xfId="52822"/>
    <cellStyle name="COMPS 5" xfId="52823"/>
    <cellStyle name="COMPS 6" xfId="52824"/>
    <cellStyle name="Contrib_nPlode" xfId="52825"/>
    <cellStyle name="Copied" xfId="52826"/>
    <cellStyle name="Copied 2" xfId="52827"/>
    <cellStyle name="Copied 2 2" xfId="52828"/>
    <cellStyle name="Copied 3" xfId="52829"/>
    <cellStyle name="COST1" xfId="52830"/>
    <cellStyle name="COST1 2" xfId="52831"/>
    <cellStyle name="Cover" xfId="52832"/>
    <cellStyle name="Cover Date" xfId="52833"/>
    <cellStyle name="Cover presentation title" xfId="52834"/>
    <cellStyle name="Cover Subtitle" xfId="52835"/>
    <cellStyle name="Cover Title" xfId="52836"/>
    <cellStyle name="Curreî™y [0]_SEXH8_SEXH9" xfId="52837"/>
    <cellStyle name="Currency (0)" xfId="52838"/>
    <cellStyle name="Currency (2)" xfId="52839"/>
    <cellStyle name="Currency [$0]" xfId="52840"/>
    <cellStyle name="Currency [$0] 2" xfId="52841"/>
    <cellStyle name="Currency [$0] 2 2" xfId="52842"/>
    <cellStyle name="Currency [$0] 3" xfId="52843"/>
    <cellStyle name="Currency [$0] 3 2" xfId="52844"/>
    <cellStyle name="Currency [$0] 4" xfId="52845"/>
    <cellStyle name="Currency [$0] 4 2" xfId="52846"/>
    <cellStyle name="Currency [$0] 5" xfId="52847"/>
    <cellStyle name="Currency [$0] 5 2" xfId="52848"/>
    <cellStyle name="Currency [$0] 6" xfId="52849"/>
    <cellStyle name="Currency [$0] 6 2" xfId="52850"/>
    <cellStyle name="Currency [$0] 7" xfId="52851"/>
    <cellStyle name="Currency [£0]" xfId="52852"/>
    <cellStyle name="Currency [£0] 2" xfId="52853"/>
    <cellStyle name="Currency [0]b" xfId="52854"/>
    <cellStyle name="Currency [00]" xfId="52855"/>
    <cellStyle name="Currency [00] 2" xfId="52856"/>
    <cellStyle name="Currency [1]" xfId="52857"/>
    <cellStyle name="Currency [2]" xfId="52858"/>
    <cellStyle name="Currency [2] 10" xfId="52859"/>
    <cellStyle name="Currency [2] 2" xfId="52860"/>
    <cellStyle name="Currency [2] 2 2" xfId="52861"/>
    <cellStyle name="Currency [2] 2 2 2" xfId="52862"/>
    <cellStyle name="Currency [2] 2 2 3" xfId="52863"/>
    <cellStyle name="Currency [2] 2 2 4" xfId="52864"/>
    <cellStyle name="Currency [2] 2 3" xfId="52865"/>
    <cellStyle name="Currency [2] 2 3 2" xfId="52866"/>
    <cellStyle name="Currency [2] 2 3 3" xfId="52867"/>
    <cellStyle name="Currency [2] 2 3 4" xfId="52868"/>
    <cellStyle name="Currency [2] 2 4" xfId="52869"/>
    <cellStyle name="Currency [2] 2 5" xfId="52870"/>
    <cellStyle name="Currency [2] 2 6" xfId="52871"/>
    <cellStyle name="Currency [2] 2 7" xfId="52872"/>
    <cellStyle name="Currency [2] 2 8" xfId="52873"/>
    <cellStyle name="Currency [2] 3" xfId="52874"/>
    <cellStyle name="Currency [2] 3 2" xfId="52875"/>
    <cellStyle name="Currency [2] 3 2 2" xfId="52876"/>
    <cellStyle name="Currency [2] 3 2 3" xfId="52877"/>
    <cellStyle name="Currency [2] 3 2 4" xfId="52878"/>
    <cellStyle name="Currency [2] 3 3" xfId="52879"/>
    <cellStyle name="Currency [2] 3 3 2" xfId="52880"/>
    <cellStyle name="Currency [2] 3 3 3" xfId="52881"/>
    <cellStyle name="Currency [2] 3 3 4" xfId="52882"/>
    <cellStyle name="Currency [2] 3 4" xfId="52883"/>
    <cellStyle name="Currency [2] 3 5" xfId="52884"/>
    <cellStyle name="Currency [2] 3 6" xfId="52885"/>
    <cellStyle name="Currency [2] 4" xfId="52886"/>
    <cellStyle name="Currency [2] 4 2" xfId="52887"/>
    <cellStyle name="Currency [2] 4 3" xfId="52888"/>
    <cellStyle name="Currency [2] 4 4" xfId="52889"/>
    <cellStyle name="Currency [2] 5" xfId="52890"/>
    <cellStyle name="Currency [2] 5 2" xfId="52891"/>
    <cellStyle name="Currency [2] 5 3" xfId="52892"/>
    <cellStyle name="Currency [2] 5 4" xfId="52893"/>
    <cellStyle name="Currency [2] 6" xfId="52894"/>
    <cellStyle name="Currency [2] 7" xfId="52895"/>
    <cellStyle name="Currency [2] 8" xfId="52896"/>
    <cellStyle name="Currency [2] 9" xfId="52897"/>
    <cellStyle name="Currency [2]_~9868926" xfId="52898"/>
    <cellStyle name="Currency 0" xfId="52899"/>
    <cellStyle name="Currency 10" xfId="52900"/>
    <cellStyle name="Currency 10 2" xfId="52901"/>
    <cellStyle name="Currency 11" xfId="52902"/>
    <cellStyle name="Currency 11 2" xfId="52903"/>
    <cellStyle name="Currency 12" xfId="52904"/>
    <cellStyle name="Currency 12 2" xfId="52905"/>
    <cellStyle name="Currency 13" xfId="52906"/>
    <cellStyle name="Currency 13 2" xfId="52907"/>
    <cellStyle name="Currency 14" xfId="52908"/>
    <cellStyle name="Currency 15" xfId="52909"/>
    <cellStyle name="Currency 15 2" xfId="52910"/>
    <cellStyle name="Currency 16" xfId="52911"/>
    <cellStyle name="Currency 16 2" xfId="52912"/>
    <cellStyle name="Currency 17" xfId="52913"/>
    <cellStyle name="Currency 17 2" xfId="52914"/>
    <cellStyle name="Currency 2" xfId="13628"/>
    <cellStyle name="Currency 2 10" xfId="52915"/>
    <cellStyle name="Currency 2 11" xfId="52916"/>
    <cellStyle name="Currency 2 12" xfId="52917"/>
    <cellStyle name="Currency 2 13" xfId="52918"/>
    <cellStyle name="Currency 2 14" xfId="52919"/>
    <cellStyle name="Currency 2 15" xfId="52920"/>
    <cellStyle name="Currency 2 16" xfId="52921"/>
    <cellStyle name="Currency 2 17" xfId="52922"/>
    <cellStyle name="Currency 2 18" xfId="52923"/>
    <cellStyle name="Currency 2 19" xfId="52924"/>
    <cellStyle name="Currency 2 2" xfId="13629"/>
    <cellStyle name="Currency 2 2 2" xfId="52925"/>
    <cellStyle name="Currency 2 20" xfId="52926"/>
    <cellStyle name="Currency 2 21" xfId="52927"/>
    <cellStyle name="Currency 2 22" xfId="52928"/>
    <cellStyle name="Currency 2 23" xfId="52929"/>
    <cellStyle name="Currency 2 24" xfId="52930"/>
    <cellStyle name="Currency 2 25" xfId="52931"/>
    <cellStyle name="Currency 2 26" xfId="52932"/>
    <cellStyle name="Currency 2 27" xfId="52933"/>
    <cellStyle name="Currency 2 28" xfId="52934"/>
    <cellStyle name="Currency 2 29" xfId="52935"/>
    <cellStyle name="Currency 2 3" xfId="52936"/>
    <cellStyle name="Currency 2 3 2" xfId="52937"/>
    <cellStyle name="Currency 2 30" xfId="52938"/>
    <cellStyle name="Currency 2 4" xfId="52939"/>
    <cellStyle name="Currency 2 5" xfId="52940"/>
    <cellStyle name="Currency 2 6" xfId="52941"/>
    <cellStyle name="Currency 2 7" xfId="52942"/>
    <cellStyle name="Currency 2 8" xfId="52943"/>
    <cellStyle name="Currency 2 9" xfId="52944"/>
    <cellStyle name="Currency 2*" xfId="52945"/>
    <cellStyle name="Currency 2_Financing Model" xfId="52946"/>
    <cellStyle name="Currency 3" xfId="52947"/>
    <cellStyle name="Currency 3 2" xfId="52948"/>
    <cellStyle name="Currency 3*" xfId="52949"/>
    <cellStyle name="Currency 4" xfId="52950"/>
    <cellStyle name="Currency 5" xfId="52951"/>
    <cellStyle name="Currency 5 2" xfId="52952"/>
    <cellStyle name="Currency 6" xfId="52953"/>
    <cellStyle name="Currency 6 2" xfId="52954"/>
    <cellStyle name="Currency 7" xfId="52955"/>
    <cellStyle name="Currency 7 2" xfId="52956"/>
    <cellStyle name="Currency 8" xfId="52957"/>
    <cellStyle name="Currency 8 2" xfId="52958"/>
    <cellStyle name="Currency 9" xfId="52959"/>
    <cellStyle name="Currency 9 2" xfId="52960"/>
    <cellStyle name="Currency Euro" xfId="52961"/>
    <cellStyle name="Currency Euro 2" xfId="52962"/>
    <cellStyle name="Currency Euro 2 2" xfId="52963"/>
    <cellStyle name="Currency Euro 3" xfId="52964"/>
    <cellStyle name="Currency Euro 3 2" xfId="52965"/>
    <cellStyle name="Currency Euro 4" xfId="52966"/>
    <cellStyle name="Currency Euro 4 2" xfId="52967"/>
    <cellStyle name="Currency Euro 5" xfId="52968"/>
    <cellStyle name="Currency Euro 5 2" xfId="52969"/>
    <cellStyle name="Currency Euro 6" xfId="52970"/>
    <cellStyle name="Currency Euro 6 2" xfId="52971"/>
    <cellStyle name="Currency Euro 7" xfId="52972"/>
    <cellStyle name="Currency Pound" xfId="52973"/>
    <cellStyle name="Currency Pound 2" xfId="52974"/>
    <cellStyle name="Currency Pound 2 2" xfId="52975"/>
    <cellStyle name="Currency Pound 3" xfId="52976"/>
    <cellStyle name="Currency Pound 3 2" xfId="52977"/>
    <cellStyle name="Currency Pound 4" xfId="52978"/>
    <cellStyle name="Currency Pound 4 2" xfId="52979"/>
    <cellStyle name="Currency Pound 5" xfId="52980"/>
    <cellStyle name="Currency Pound 5 2" xfId="52981"/>
    <cellStyle name="Currency Pound 6" xfId="52982"/>
    <cellStyle name="Currency Pound 6 2" xfId="52983"/>
    <cellStyle name="Currency Pound 7" xfId="52984"/>
    <cellStyle name="currency(2)" xfId="52985"/>
    <cellStyle name="Currency*" xfId="52986"/>
    <cellStyle name="Currency." xfId="52987"/>
    <cellStyle name="Currency0" xfId="52988"/>
    <cellStyle name="Currency0 2" xfId="52989"/>
    <cellStyle name="CurrencyHideZero" xfId="52990"/>
    <cellStyle name="CurrencyHideZero 2" xfId="52991"/>
    <cellStyle name="Custom" xfId="52992"/>
    <cellStyle name="d" xfId="52993"/>
    <cellStyle name="Dårlig" xfId="52994"/>
    <cellStyle name="Dårlig 2" xfId="52995"/>
    <cellStyle name="Dash" xfId="52996"/>
    <cellStyle name="Dash 2" xfId="52997"/>
    <cellStyle name="data" xfId="52998"/>
    <cellStyle name="data 2" xfId="52999"/>
    <cellStyle name="Data Entry" xfId="53000"/>
    <cellStyle name="DATA_ENT" xfId="53001"/>
    <cellStyle name="Date" xfId="53002"/>
    <cellStyle name="date [dd mmm]" xfId="53003"/>
    <cellStyle name="date [dd mmm] 2" xfId="53004"/>
    <cellStyle name="date [dd mmm] 2 2" xfId="53005"/>
    <cellStyle name="date [dd mmm] 3" xfId="53006"/>
    <cellStyle name="date [dd mmm] 3 2" xfId="53007"/>
    <cellStyle name="date [dd mmm] 4" xfId="53008"/>
    <cellStyle name="date [dd mmm] 4 2" xfId="53009"/>
    <cellStyle name="date [dd mmm] 5" xfId="53010"/>
    <cellStyle name="date [dd mmm] 5 2" xfId="53011"/>
    <cellStyle name="date [dd mmm] 6" xfId="53012"/>
    <cellStyle name="date [dd mmm] 6 2" xfId="53013"/>
    <cellStyle name="date [dd mmm] 7" xfId="53014"/>
    <cellStyle name="date [mmm yyyy]" xfId="53015"/>
    <cellStyle name="date [mmm yyyy] 2" xfId="53016"/>
    <cellStyle name="date [mmm yyyy] 2 2" xfId="53017"/>
    <cellStyle name="date [mmm yyyy] 3" xfId="53018"/>
    <cellStyle name="date [mmm yyyy] 3 2" xfId="53019"/>
    <cellStyle name="date [mmm yyyy] 4" xfId="53020"/>
    <cellStyle name="date [mmm yyyy] 4 2" xfId="53021"/>
    <cellStyle name="date [mmm yyyy] 5" xfId="53022"/>
    <cellStyle name="date [mmm yyyy] 5 2" xfId="53023"/>
    <cellStyle name="date [mmm yyyy] 6" xfId="53024"/>
    <cellStyle name="date [mmm yyyy] 6 2" xfId="53025"/>
    <cellStyle name="date [mmm yyyy] 7" xfId="53026"/>
    <cellStyle name="Date [mmm-yyyy]" xfId="53027"/>
    <cellStyle name="Date [mmm-yyyy] 2" xfId="53028"/>
    <cellStyle name="Date [mmm-yyyy] 2 2" xfId="53029"/>
    <cellStyle name="Date [mmm-yyyy] 2 3" xfId="53030"/>
    <cellStyle name="Date [mmm-yyyy] 2 4" xfId="53031"/>
    <cellStyle name="Date [mmm-yyyy] 3" xfId="53032"/>
    <cellStyle name="Date [mmm-yyyy] 3 2" xfId="53033"/>
    <cellStyle name="Date [mmm-yyyy] 4" xfId="53034"/>
    <cellStyle name="Date [mmm-yyyy]_~9868926" xfId="53035"/>
    <cellStyle name="Date Aligned" xfId="53036"/>
    <cellStyle name="Date Aligned*" xfId="53037"/>
    <cellStyle name="Date Aligned_LBO Base" xfId="53038"/>
    <cellStyle name="Date Short" xfId="53039"/>
    <cellStyle name="Date." xfId="53040"/>
    <cellStyle name="date_161021_12" xfId="53041"/>
    <cellStyle name="Dates" xfId="53042"/>
    <cellStyle name="Dave" xfId="53043"/>
    <cellStyle name="Dave 2" xfId="53044"/>
    <cellStyle name="Dave 2 2" xfId="53045"/>
    <cellStyle name="Dave 2 3" xfId="53046"/>
    <cellStyle name="Dave 2 4" xfId="53047"/>
    <cellStyle name="Dave 2 5" xfId="53048"/>
    <cellStyle name="Dave 2 6" xfId="53049"/>
    <cellStyle name="Dave 2 7" xfId="53050"/>
    <cellStyle name="Dave 2 8" xfId="53051"/>
    <cellStyle name="Dave 2 9" xfId="53052"/>
    <cellStyle name="Dave 2_IBP - COPI Uplift at Investment Area Level 01Feb12" xfId="53053"/>
    <cellStyle name="Dave 3" xfId="53054"/>
    <cellStyle name="Dave 3 2" xfId="53055"/>
    <cellStyle name="Dave 3 3" xfId="53056"/>
    <cellStyle name="Dave 3 4" xfId="53057"/>
    <cellStyle name="Dave 3 5" xfId="53058"/>
    <cellStyle name="Dave 3 6" xfId="53059"/>
    <cellStyle name="Dave 3 7" xfId="53060"/>
    <cellStyle name="Dave 3 8" xfId="53061"/>
    <cellStyle name="Dave 3 9" xfId="53062"/>
    <cellStyle name="Dave 3_IBP - COPI Uplift at Investment Area Level 01Feb12" xfId="53063"/>
    <cellStyle name="Dave 4" xfId="53064"/>
    <cellStyle name="Dave 5" xfId="53065"/>
    <cellStyle name="Dave 6" xfId="53066"/>
    <cellStyle name="Dave_AffinPartner" xfId="53067"/>
    <cellStyle name="Day" xfId="53068"/>
    <cellStyle name="Day 2" xfId="53069"/>
    <cellStyle name="days" xfId="53070"/>
    <cellStyle name="days 2" xfId="53071"/>
    <cellStyle name="days 2 2" xfId="53072"/>
    <cellStyle name="days 3" xfId="53073"/>
    <cellStyle name="days 3 2" xfId="53074"/>
    <cellStyle name="days 4" xfId="53075"/>
    <cellStyle name="days 4 2" xfId="53076"/>
    <cellStyle name="days 5" xfId="53077"/>
    <cellStyle name="days 5 2" xfId="53078"/>
    <cellStyle name="days 6" xfId="53079"/>
    <cellStyle name="days 6 2" xfId="53080"/>
    <cellStyle name="days 7" xfId="53081"/>
    <cellStyle name="days 7 2" xfId="53082"/>
    <cellStyle name="days 8" xfId="53083"/>
    <cellStyle name="DecBold" xfId="53084"/>
    <cellStyle name="DecBold 2" xfId="53085"/>
    <cellStyle name="decimal [4]" xfId="53086"/>
    <cellStyle name="decimal [4] 2" xfId="53087"/>
    <cellStyle name="decimal [4] 2 2" xfId="53088"/>
    <cellStyle name="decimal [4] 3" xfId="53089"/>
    <cellStyle name="Decimal_1dp" xfId="53090"/>
    <cellStyle name="DELTA" xfId="53091"/>
    <cellStyle name="DESC" xfId="53092"/>
    <cellStyle name="Dezimal [0]_Compiling Utility Macros" xfId="53093"/>
    <cellStyle name="Dezimal [2]" xfId="53094"/>
    <cellStyle name="Dezimal_Compiling Utility Macros" xfId="53095"/>
    <cellStyle name="Dims" xfId="53096"/>
    <cellStyle name="Disabled" xfId="53097"/>
    <cellStyle name="Dollars" xfId="53098"/>
    <cellStyle name="Dotted Line" xfId="53099"/>
    <cellStyle name="DOWNFOOT" xfId="53100"/>
    <cellStyle name="DOWNFOOT 2" xfId="53101"/>
    <cellStyle name="DOWNFOOT 2 2" xfId="53102"/>
    <cellStyle name="DOWNFOOT 2 3" xfId="53103"/>
    <cellStyle name="DOWNFOOT 2 4" xfId="53104"/>
    <cellStyle name="DOWNFOOT 3" xfId="53105"/>
    <cellStyle name="DOWNFOOT 3 2" xfId="53106"/>
    <cellStyle name="DOWNFOOT 3 3" xfId="53107"/>
    <cellStyle name="DOWNFOOT 3 4" xfId="53108"/>
    <cellStyle name="DOWNFOOT 4" xfId="53109"/>
    <cellStyle name="DOWNFOOT 5" xfId="53110"/>
    <cellStyle name="DOWNFOOT 6" xfId="53111"/>
    <cellStyle name="DOWNFOOT 7" xfId="53112"/>
    <cellStyle name="Efficio_Table" xfId="53113"/>
    <cellStyle name="Emphasis 1" xfId="53114"/>
    <cellStyle name="Emphasis 1 2" xfId="53115"/>
    <cellStyle name="Emphasis 2" xfId="53116"/>
    <cellStyle name="Emphasis 2 2" xfId="53117"/>
    <cellStyle name="Emphasis 3" xfId="53118"/>
    <cellStyle name="Emphasis 3 2" xfId="53119"/>
    <cellStyle name="End of Sheet" xfId="53120"/>
    <cellStyle name="Enter Currency (0)" xfId="53121"/>
    <cellStyle name="Enter Currency (0) 2" xfId="53122"/>
    <cellStyle name="Enter Currency (2)" xfId="53123"/>
    <cellStyle name="Enter Currency (2) 2" xfId="53124"/>
    <cellStyle name="Enter Units (0)" xfId="53125"/>
    <cellStyle name="Enter Units (0) 2" xfId="53126"/>
    <cellStyle name="Enter Units (1)" xfId="53127"/>
    <cellStyle name="Enter Units (1) 2" xfId="53128"/>
    <cellStyle name="Enter Units (2)" xfId="53129"/>
    <cellStyle name="Enter Units (2) 2" xfId="53130"/>
    <cellStyle name="Entered" xfId="53131"/>
    <cellStyle name="Entered 2" xfId="53132"/>
    <cellStyle name="Entered 2 2" xfId="53133"/>
    <cellStyle name="Entered 3" xfId="53134"/>
    <cellStyle name="Entrée" xfId="53135"/>
    <cellStyle name="EPS" xfId="53136"/>
    <cellStyle name="Euro" xfId="13630"/>
    <cellStyle name="Euro 2" xfId="53137"/>
    <cellStyle name="Euro 2 10" xfId="53138"/>
    <cellStyle name="Euro 2 11" xfId="53139"/>
    <cellStyle name="Euro 2 2" xfId="53140"/>
    <cellStyle name="Euro 2 3" xfId="53141"/>
    <cellStyle name="Euro 2 4" xfId="53142"/>
    <cellStyle name="Euro 2 5" xfId="53143"/>
    <cellStyle name="Euro 2 6" xfId="53144"/>
    <cellStyle name="Euro 2 7" xfId="53145"/>
    <cellStyle name="Euro 2 8" xfId="53146"/>
    <cellStyle name="Euro 2 9" xfId="53147"/>
    <cellStyle name="Euro 3" xfId="53148"/>
    <cellStyle name="Euro 3 10" xfId="53149"/>
    <cellStyle name="Euro 3 2" xfId="53150"/>
    <cellStyle name="Euro 3 3" xfId="53151"/>
    <cellStyle name="Euro 3 4" xfId="53152"/>
    <cellStyle name="Euro 3 5" xfId="53153"/>
    <cellStyle name="Euro 3 6" xfId="53154"/>
    <cellStyle name="Euro 3 7" xfId="53155"/>
    <cellStyle name="Euro 3 8" xfId="53156"/>
    <cellStyle name="Euro 3 9" xfId="53157"/>
    <cellStyle name="Euro 4" xfId="53158"/>
    <cellStyle name="Euro 4 2" xfId="53159"/>
    <cellStyle name="Euro 5" xfId="53160"/>
    <cellStyle name="Euro 5 2" xfId="53161"/>
    <cellStyle name="Euro 6" xfId="53162"/>
    <cellStyle name="Euro 6 2" xfId="53163"/>
    <cellStyle name="Euro 7" xfId="53164"/>
    <cellStyle name="Euro_~7661871" xfId="53165"/>
    <cellStyle name="Explanatory Text" xfId="31" builtinId="53" customBuiltin="1"/>
    <cellStyle name="Explanatory Text 10" xfId="53166"/>
    <cellStyle name="Explanatory Text 10 2" xfId="53167"/>
    <cellStyle name="Explanatory Text 2" xfId="147"/>
    <cellStyle name="Explanatory Text 2 2" xfId="53168"/>
    <cellStyle name="Explanatory Text 2 3" xfId="53169"/>
    <cellStyle name="Explanatory Text 2 4" xfId="53170"/>
    <cellStyle name="Explanatory Text 3" xfId="148"/>
    <cellStyle name="Explanatory Text 3 2" xfId="53171"/>
    <cellStyle name="Explanatory Text 3 3" xfId="53172"/>
    <cellStyle name="Explanatory Text 3 4" xfId="53173"/>
    <cellStyle name="Explanatory Text 4" xfId="13631"/>
    <cellStyle name="Explanatory Text 5" xfId="13632"/>
    <cellStyle name="Explanatory Text 5 2" xfId="53174"/>
    <cellStyle name="Explanatory Text 6" xfId="53175"/>
    <cellStyle name="Explanatory Text 6 2" xfId="53176"/>
    <cellStyle name="Explanatory Text 7" xfId="53177"/>
    <cellStyle name="Explanatory Text 7 2" xfId="53178"/>
    <cellStyle name="Explanatory Text 8" xfId="53179"/>
    <cellStyle name="Explanatory Text 8 2" xfId="53180"/>
    <cellStyle name="Explanatory Text 9" xfId="53181"/>
    <cellStyle name="Explanatory Text 9 2" xfId="53182"/>
    <cellStyle name="EXTp&amp;l_%" xfId="53183"/>
    <cellStyle name="Fecha" xfId="53184"/>
    <cellStyle name="Fecha 2" xfId="53185"/>
    <cellStyle name="Fees" xfId="53186"/>
    <cellStyle name="Fijo" xfId="53187"/>
    <cellStyle name="Fixed" xfId="53188"/>
    <cellStyle name="Fixed 2" xfId="53189"/>
    <cellStyle name="FMVNumber" xfId="53190"/>
    <cellStyle name="Footer SBILogo1" xfId="53191"/>
    <cellStyle name="Footer SBILogo2" xfId="53192"/>
    <cellStyle name="Footnote" xfId="53193"/>
    <cellStyle name="Footnote Reference" xfId="53194"/>
    <cellStyle name="Footnote_LBO" xfId="53195"/>
    <cellStyle name="Footnotes" xfId="53196"/>
    <cellStyle name="Footnotes 2" xfId="53197"/>
    <cellStyle name="Footnotes 2 2" xfId="53198"/>
    <cellStyle name="Footnotes 3" xfId="53199"/>
    <cellStyle name="Forecast Cell Column Heading" xfId="53200"/>
    <cellStyle name="Forecast Cell Column Heading 2" xfId="53201"/>
    <cellStyle name="Forklarende tekst" xfId="53202"/>
    <cellStyle name="Forklarende tekst 2" xfId="53203"/>
    <cellStyle name="Fountain Col Header" xfId="149"/>
    <cellStyle name="Fountain Error" xfId="150"/>
    <cellStyle name="Fountain Error 2" xfId="53204"/>
    <cellStyle name="Fountain Input" xfId="151"/>
    <cellStyle name="Fountain Input 10" xfId="431"/>
    <cellStyle name="Fountain Input 10 10" xfId="13633"/>
    <cellStyle name="Fountain Input 10 11" xfId="13634"/>
    <cellStyle name="Fountain Input 10 12" xfId="13635"/>
    <cellStyle name="Fountain Input 10 2" xfId="432"/>
    <cellStyle name="Fountain Input 10 3" xfId="13636"/>
    <cellStyle name="Fountain Input 10 4" xfId="13637"/>
    <cellStyle name="Fountain Input 10 5" xfId="13638"/>
    <cellStyle name="Fountain Input 10 6" xfId="13639"/>
    <cellStyle name="Fountain Input 10 7" xfId="13640"/>
    <cellStyle name="Fountain Input 10 8" xfId="13641"/>
    <cellStyle name="Fountain Input 10 9" xfId="13642"/>
    <cellStyle name="Fountain Input 11" xfId="433"/>
    <cellStyle name="Fountain Input 11 10" xfId="13643"/>
    <cellStyle name="Fountain Input 11 11" xfId="13644"/>
    <cellStyle name="Fountain Input 11 12" xfId="13645"/>
    <cellStyle name="Fountain Input 11 2" xfId="434"/>
    <cellStyle name="Fountain Input 11 3" xfId="13646"/>
    <cellStyle name="Fountain Input 11 4" xfId="13647"/>
    <cellStyle name="Fountain Input 11 5" xfId="13648"/>
    <cellStyle name="Fountain Input 11 6" xfId="13649"/>
    <cellStyle name="Fountain Input 11 7" xfId="13650"/>
    <cellStyle name="Fountain Input 11 8" xfId="13651"/>
    <cellStyle name="Fountain Input 11 9" xfId="13652"/>
    <cellStyle name="Fountain Input 12" xfId="435"/>
    <cellStyle name="Fountain Input 12 10" xfId="13653"/>
    <cellStyle name="Fountain Input 12 11" xfId="13654"/>
    <cellStyle name="Fountain Input 12 12" xfId="13655"/>
    <cellStyle name="Fountain Input 12 2" xfId="436"/>
    <cellStyle name="Fountain Input 12 3" xfId="13656"/>
    <cellStyle name="Fountain Input 12 4" xfId="13657"/>
    <cellStyle name="Fountain Input 12 5" xfId="13658"/>
    <cellStyle name="Fountain Input 12 6" xfId="13659"/>
    <cellStyle name="Fountain Input 12 7" xfId="13660"/>
    <cellStyle name="Fountain Input 12 8" xfId="13661"/>
    <cellStyle name="Fountain Input 12 9" xfId="13662"/>
    <cellStyle name="Fountain Input 13" xfId="437"/>
    <cellStyle name="Fountain Input 13 10" xfId="13663"/>
    <cellStyle name="Fountain Input 13 11" xfId="13664"/>
    <cellStyle name="Fountain Input 13 12" xfId="13665"/>
    <cellStyle name="Fountain Input 13 2" xfId="438"/>
    <cellStyle name="Fountain Input 13 3" xfId="13666"/>
    <cellStyle name="Fountain Input 13 4" xfId="13667"/>
    <cellStyle name="Fountain Input 13 5" xfId="13668"/>
    <cellStyle name="Fountain Input 13 6" xfId="13669"/>
    <cellStyle name="Fountain Input 13 7" xfId="13670"/>
    <cellStyle name="Fountain Input 13 8" xfId="13671"/>
    <cellStyle name="Fountain Input 13 9" xfId="13672"/>
    <cellStyle name="Fountain Input 14" xfId="439"/>
    <cellStyle name="Fountain Input 14 10" xfId="13673"/>
    <cellStyle name="Fountain Input 14 11" xfId="13674"/>
    <cellStyle name="Fountain Input 14 2" xfId="440"/>
    <cellStyle name="Fountain Input 14 3" xfId="13675"/>
    <cellStyle name="Fountain Input 14 4" xfId="13676"/>
    <cellStyle name="Fountain Input 14 5" xfId="13677"/>
    <cellStyle name="Fountain Input 14 6" xfId="13678"/>
    <cellStyle name="Fountain Input 14 7" xfId="13679"/>
    <cellStyle name="Fountain Input 14 8" xfId="13680"/>
    <cellStyle name="Fountain Input 14 9" xfId="13681"/>
    <cellStyle name="Fountain Input 15" xfId="441"/>
    <cellStyle name="Fountain Input 15 10" xfId="13682"/>
    <cellStyle name="Fountain Input 15 11" xfId="13683"/>
    <cellStyle name="Fountain Input 15 2" xfId="442"/>
    <cellStyle name="Fountain Input 15 3" xfId="13684"/>
    <cellStyle name="Fountain Input 15 4" xfId="13685"/>
    <cellStyle name="Fountain Input 15 5" xfId="13686"/>
    <cellStyle name="Fountain Input 15 6" xfId="13687"/>
    <cellStyle name="Fountain Input 15 7" xfId="13688"/>
    <cellStyle name="Fountain Input 15 8" xfId="13689"/>
    <cellStyle name="Fountain Input 15 9" xfId="13690"/>
    <cellStyle name="Fountain Input 16" xfId="443"/>
    <cellStyle name="Fountain Input 16 10" xfId="13691"/>
    <cellStyle name="Fountain Input 16 11" xfId="13692"/>
    <cellStyle name="Fountain Input 16 2" xfId="13693"/>
    <cellStyle name="Fountain Input 16 3" xfId="13694"/>
    <cellStyle name="Fountain Input 16 4" xfId="13695"/>
    <cellStyle name="Fountain Input 16 5" xfId="13696"/>
    <cellStyle name="Fountain Input 16 6" xfId="13697"/>
    <cellStyle name="Fountain Input 16 7" xfId="13698"/>
    <cellStyle name="Fountain Input 16 8" xfId="13699"/>
    <cellStyle name="Fountain Input 16 9" xfId="13700"/>
    <cellStyle name="Fountain Input 17" xfId="444"/>
    <cellStyle name="Fountain Input 17 10" xfId="13701"/>
    <cellStyle name="Fountain Input 17 11" xfId="13702"/>
    <cellStyle name="Fountain Input 17 2" xfId="13703"/>
    <cellStyle name="Fountain Input 17 3" xfId="13704"/>
    <cellStyle name="Fountain Input 17 4" xfId="13705"/>
    <cellStyle name="Fountain Input 17 5" xfId="13706"/>
    <cellStyle name="Fountain Input 17 6" xfId="13707"/>
    <cellStyle name="Fountain Input 17 7" xfId="13708"/>
    <cellStyle name="Fountain Input 17 8" xfId="13709"/>
    <cellStyle name="Fountain Input 17 9" xfId="13710"/>
    <cellStyle name="Fountain Input 18" xfId="13711"/>
    <cellStyle name="Fountain Input 18 10" xfId="13712"/>
    <cellStyle name="Fountain Input 18 11" xfId="13713"/>
    <cellStyle name="Fountain Input 18 2" xfId="13714"/>
    <cellStyle name="Fountain Input 18 3" xfId="13715"/>
    <cellStyle name="Fountain Input 18 4" xfId="13716"/>
    <cellStyle name="Fountain Input 18 5" xfId="13717"/>
    <cellStyle name="Fountain Input 18 6" xfId="13718"/>
    <cellStyle name="Fountain Input 18 7" xfId="13719"/>
    <cellStyle name="Fountain Input 18 8" xfId="13720"/>
    <cellStyle name="Fountain Input 18 9" xfId="13721"/>
    <cellStyle name="Fountain Input 19" xfId="13722"/>
    <cellStyle name="Fountain Input 19 10" xfId="13723"/>
    <cellStyle name="Fountain Input 19 11" xfId="13724"/>
    <cellStyle name="Fountain Input 19 2" xfId="13725"/>
    <cellStyle name="Fountain Input 19 3" xfId="13726"/>
    <cellStyle name="Fountain Input 19 4" xfId="13727"/>
    <cellStyle name="Fountain Input 19 5" xfId="13728"/>
    <cellStyle name="Fountain Input 19 6" xfId="13729"/>
    <cellStyle name="Fountain Input 19 7" xfId="13730"/>
    <cellStyle name="Fountain Input 19 8" xfId="13731"/>
    <cellStyle name="Fountain Input 19 9" xfId="13732"/>
    <cellStyle name="Fountain Input 2" xfId="445"/>
    <cellStyle name="Fountain Input 2 10" xfId="446"/>
    <cellStyle name="Fountain Input 2 10 2" xfId="447"/>
    <cellStyle name="Fountain Input 2 11" xfId="448"/>
    <cellStyle name="Fountain Input 2 11 2" xfId="449"/>
    <cellStyle name="Fountain Input 2 12" xfId="450"/>
    <cellStyle name="Fountain Input 2 12 2" xfId="451"/>
    <cellStyle name="Fountain Input 2 13" xfId="452"/>
    <cellStyle name="Fountain Input 2 13 2" xfId="453"/>
    <cellStyle name="Fountain Input 2 14" xfId="454"/>
    <cellStyle name="Fountain Input 2 15" xfId="53205"/>
    <cellStyle name="Fountain Input 2 16" xfId="53206"/>
    <cellStyle name="Fountain Input 2 17" xfId="53207"/>
    <cellStyle name="Fountain Input 2 18" xfId="53208"/>
    <cellStyle name="Fountain Input 2 19" xfId="53209"/>
    <cellStyle name="Fountain Input 2 2" xfId="455"/>
    <cellStyle name="Fountain Input 2 2 2" xfId="456"/>
    <cellStyle name="Fountain Input 2 2 3" xfId="457"/>
    <cellStyle name="Fountain Input 2 2 4" xfId="53210"/>
    <cellStyle name="Fountain Input 2 2 5" xfId="53211"/>
    <cellStyle name="Fountain Input 2 2 6" xfId="53212"/>
    <cellStyle name="Fountain Input 2 20" xfId="53213"/>
    <cellStyle name="Fountain Input 2 21" xfId="53214"/>
    <cellStyle name="Fountain Input 2 22" xfId="53215"/>
    <cellStyle name="Fountain Input 2 23" xfId="53216"/>
    <cellStyle name="Fountain Input 2 24" xfId="53217"/>
    <cellStyle name="Fountain Input 2 25" xfId="53218"/>
    <cellStyle name="Fountain Input 2 26" xfId="53219"/>
    <cellStyle name="Fountain Input 2 27" xfId="53220"/>
    <cellStyle name="Fountain Input 2 28" xfId="53221"/>
    <cellStyle name="Fountain Input 2 29" xfId="53222"/>
    <cellStyle name="Fountain Input 2 3" xfId="458"/>
    <cellStyle name="Fountain Input 2 3 2" xfId="459"/>
    <cellStyle name="Fountain Input 2 3 3" xfId="53223"/>
    <cellStyle name="Fountain Input 2 3 4" xfId="53224"/>
    <cellStyle name="Fountain Input 2 3 5" xfId="53225"/>
    <cellStyle name="Fountain Input 2 3 6" xfId="53226"/>
    <cellStyle name="Fountain Input 2 30" xfId="53227"/>
    <cellStyle name="Fountain Input 2 31" xfId="53228"/>
    <cellStyle name="Fountain Input 2 32" xfId="53229"/>
    <cellStyle name="Fountain Input 2 33" xfId="53230"/>
    <cellStyle name="Fountain Input 2 34" xfId="53231"/>
    <cellStyle name="Fountain Input 2 35" xfId="53232"/>
    <cellStyle name="Fountain Input 2 36" xfId="53233"/>
    <cellStyle name="Fountain Input 2 37" xfId="53234"/>
    <cellStyle name="Fountain Input 2 38" xfId="53235"/>
    <cellStyle name="Fountain Input 2 39" xfId="53236"/>
    <cellStyle name="Fountain Input 2 4" xfId="460"/>
    <cellStyle name="Fountain Input 2 4 2" xfId="461"/>
    <cellStyle name="Fountain Input 2 4 3" xfId="53237"/>
    <cellStyle name="Fountain Input 2 4 4" xfId="53238"/>
    <cellStyle name="Fountain Input 2 4 5" xfId="53239"/>
    <cellStyle name="Fountain Input 2 4 6" xfId="53240"/>
    <cellStyle name="Fountain Input 2 40" xfId="53241"/>
    <cellStyle name="Fountain Input 2 5" xfId="462"/>
    <cellStyle name="Fountain Input 2 5 2" xfId="463"/>
    <cellStyle name="Fountain Input 2 5 3" xfId="53242"/>
    <cellStyle name="Fountain Input 2 5 4" xfId="53243"/>
    <cellStyle name="Fountain Input 2 5 5" xfId="53244"/>
    <cellStyle name="Fountain Input 2 5 6" xfId="53245"/>
    <cellStyle name="Fountain Input 2 6" xfId="464"/>
    <cellStyle name="Fountain Input 2 6 2" xfId="465"/>
    <cellStyle name="Fountain Input 2 7" xfId="466"/>
    <cellStyle name="Fountain Input 2 7 2" xfId="467"/>
    <cellStyle name="Fountain Input 2 8" xfId="468"/>
    <cellStyle name="Fountain Input 2 8 2" xfId="469"/>
    <cellStyle name="Fountain Input 2 9" xfId="470"/>
    <cellStyle name="Fountain Input 2 9 2" xfId="471"/>
    <cellStyle name="Fountain Input 20" xfId="13733"/>
    <cellStyle name="Fountain Input 20 10" xfId="13734"/>
    <cellStyle name="Fountain Input 20 11" xfId="13735"/>
    <cellStyle name="Fountain Input 20 2" xfId="13736"/>
    <cellStyle name="Fountain Input 20 3" xfId="13737"/>
    <cellStyle name="Fountain Input 20 4" xfId="13738"/>
    <cellStyle name="Fountain Input 20 5" xfId="13739"/>
    <cellStyle name="Fountain Input 20 6" xfId="13740"/>
    <cellStyle name="Fountain Input 20 7" xfId="13741"/>
    <cellStyle name="Fountain Input 20 8" xfId="13742"/>
    <cellStyle name="Fountain Input 20 9" xfId="13743"/>
    <cellStyle name="Fountain Input 21" xfId="13744"/>
    <cellStyle name="Fountain Input 21 10" xfId="13745"/>
    <cellStyle name="Fountain Input 21 11" xfId="13746"/>
    <cellStyle name="Fountain Input 21 2" xfId="13747"/>
    <cellStyle name="Fountain Input 21 3" xfId="13748"/>
    <cellStyle name="Fountain Input 21 4" xfId="13749"/>
    <cellStyle name="Fountain Input 21 5" xfId="13750"/>
    <cellStyle name="Fountain Input 21 6" xfId="13751"/>
    <cellStyle name="Fountain Input 21 7" xfId="13752"/>
    <cellStyle name="Fountain Input 21 8" xfId="13753"/>
    <cellStyle name="Fountain Input 21 9" xfId="13754"/>
    <cellStyle name="Fountain Input 22" xfId="13755"/>
    <cellStyle name="Fountain Input 22 10" xfId="13756"/>
    <cellStyle name="Fountain Input 22 11" xfId="13757"/>
    <cellStyle name="Fountain Input 22 2" xfId="13758"/>
    <cellStyle name="Fountain Input 22 3" xfId="13759"/>
    <cellStyle name="Fountain Input 22 4" xfId="13760"/>
    <cellStyle name="Fountain Input 22 5" xfId="13761"/>
    <cellStyle name="Fountain Input 22 6" xfId="13762"/>
    <cellStyle name="Fountain Input 22 7" xfId="13763"/>
    <cellStyle name="Fountain Input 22 8" xfId="13764"/>
    <cellStyle name="Fountain Input 22 9" xfId="13765"/>
    <cellStyle name="Fountain Input 23" xfId="13766"/>
    <cellStyle name="Fountain Input 23 10" xfId="13767"/>
    <cellStyle name="Fountain Input 23 11" xfId="13768"/>
    <cellStyle name="Fountain Input 23 2" xfId="13769"/>
    <cellStyle name="Fountain Input 23 3" xfId="13770"/>
    <cellStyle name="Fountain Input 23 4" xfId="13771"/>
    <cellStyle name="Fountain Input 23 5" xfId="13772"/>
    <cellStyle name="Fountain Input 23 6" xfId="13773"/>
    <cellStyle name="Fountain Input 23 7" xfId="13774"/>
    <cellStyle name="Fountain Input 23 8" xfId="13775"/>
    <cellStyle name="Fountain Input 23 9" xfId="13776"/>
    <cellStyle name="Fountain Input 24" xfId="13777"/>
    <cellStyle name="Fountain Input 24 10" xfId="13778"/>
    <cellStyle name="Fountain Input 24 11" xfId="13779"/>
    <cellStyle name="Fountain Input 24 2" xfId="13780"/>
    <cellStyle name="Fountain Input 24 3" xfId="13781"/>
    <cellStyle name="Fountain Input 24 4" xfId="13782"/>
    <cellStyle name="Fountain Input 24 5" xfId="13783"/>
    <cellStyle name="Fountain Input 24 6" xfId="13784"/>
    <cellStyle name="Fountain Input 24 7" xfId="13785"/>
    <cellStyle name="Fountain Input 24 8" xfId="13786"/>
    <cellStyle name="Fountain Input 24 9" xfId="13787"/>
    <cellStyle name="Fountain Input 25" xfId="13788"/>
    <cellStyle name="Fountain Input 25 10" xfId="13789"/>
    <cellStyle name="Fountain Input 25 11" xfId="13790"/>
    <cellStyle name="Fountain Input 25 2" xfId="13791"/>
    <cellStyle name="Fountain Input 25 3" xfId="13792"/>
    <cellStyle name="Fountain Input 25 4" xfId="13793"/>
    <cellStyle name="Fountain Input 25 5" xfId="13794"/>
    <cellStyle name="Fountain Input 25 6" xfId="13795"/>
    <cellStyle name="Fountain Input 25 7" xfId="13796"/>
    <cellStyle name="Fountain Input 25 8" xfId="13797"/>
    <cellStyle name="Fountain Input 25 9" xfId="13798"/>
    <cellStyle name="Fountain Input 26" xfId="13799"/>
    <cellStyle name="Fountain Input 26 10" xfId="13800"/>
    <cellStyle name="Fountain Input 26 11" xfId="13801"/>
    <cellStyle name="Fountain Input 26 2" xfId="13802"/>
    <cellStyle name="Fountain Input 26 3" xfId="13803"/>
    <cellStyle name="Fountain Input 26 4" xfId="13804"/>
    <cellStyle name="Fountain Input 26 5" xfId="13805"/>
    <cellStyle name="Fountain Input 26 6" xfId="13806"/>
    <cellStyle name="Fountain Input 26 7" xfId="13807"/>
    <cellStyle name="Fountain Input 26 8" xfId="13808"/>
    <cellStyle name="Fountain Input 26 9" xfId="13809"/>
    <cellStyle name="Fountain Input 27" xfId="13810"/>
    <cellStyle name="Fountain Input 27 10" xfId="13811"/>
    <cellStyle name="Fountain Input 27 11" xfId="13812"/>
    <cellStyle name="Fountain Input 27 2" xfId="13813"/>
    <cellStyle name="Fountain Input 27 3" xfId="13814"/>
    <cellStyle name="Fountain Input 27 4" xfId="13815"/>
    <cellStyle name="Fountain Input 27 5" xfId="13816"/>
    <cellStyle name="Fountain Input 27 6" xfId="13817"/>
    <cellStyle name="Fountain Input 27 7" xfId="13818"/>
    <cellStyle name="Fountain Input 27 8" xfId="13819"/>
    <cellStyle name="Fountain Input 27 9" xfId="13820"/>
    <cellStyle name="Fountain Input 28" xfId="13821"/>
    <cellStyle name="Fountain Input 28 10" xfId="13822"/>
    <cellStyle name="Fountain Input 28 11" xfId="13823"/>
    <cellStyle name="Fountain Input 28 2" xfId="13824"/>
    <cellStyle name="Fountain Input 28 3" xfId="13825"/>
    <cellStyle name="Fountain Input 28 4" xfId="13826"/>
    <cellStyle name="Fountain Input 28 5" xfId="13827"/>
    <cellStyle name="Fountain Input 28 6" xfId="13828"/>
    <cellStyle name="Fountain Input 28 7" xfId="13829"/>
    <cellStyle name="Fountain Input 28 8" xfId="13830"/>
    <cellStyle name="Fountain Input 28 9" xfId="13831"/>
    <cellStyle name="Fountain Input 29" xfId="13832"/>
    <cellStyle name="Fountain Input 3" xfId="472"/>
    <cellStyle name="Fountain Input 3 10" xfId="13833"/>
    <cellStyle name="Fountain Input 3 11" xfId="13834"/>
    <cellStyle name="Fountain Input 3 12" xfId="13835"/>
    <cellStyle name="Fountain Input 3 13" xfId="13836"/>
    <cellStyle name="Fountain Input 3 14" xfId="53246"/>
    <cellStyle name="Fountain Input 3 15" xfId="53247"/>
    <cellStyle name="Fountain Input 3 16" xfId="53248"/>
    <cellStyle name="Fountain Input 3 17" xfId="53249"/>
    <cellStyle name="Fountain Input 3 18" xfId="53250"/>
    <cellStyle name="Fountain Input 3 19" xfId="53251"/>
    <cellStyle name="Fountain Input 3 2" xfId="473"/>
    <cellStyle name="Fountain Input 3 2 2" xfId="53252"/>
    <cellStyle name="Fountain Input 3 2 3" xfId="53253"/>
    <cellStyle name="Fountain Input 3 2 4" xfId="53254"/>
    <cellStyle name="Fountain Input 3 2 5" xfId="53255"/>
    <cellStyle name="Fountain Input 3 2 6" xfId="53256"/>
    <cellStyle name="Fountain Input 3 20" xfId="53257"/>
    <cellStyle name="Fountain Input 3 21" xfId="53258"/>
    <cellStyle name="Fountain Input 3 22" xfId="53259"/>
    <cellStyle name="Fountain Input 3 23" xfId="53260"/>
    <cellStyle name="Fountain Input 3 24" xfId="53261"/>
    <cellStyle name="Fountain Input 3 25" xfId="53262"/>
    <cellStyle name="Fountain Input 3 26" xfId="53263"/>
    <cellStyle name="Fountain Input 3 27" xfId="53264"/>
    <cellStyle name="Fountain Input 3 28" xfId="53265"/>
    <cellStyle name="Fountain Input 3 29" xfId="53266"/>
    <cellStyle name="Fountain Input 3 3" xfId="474"/>
    <cellStyle name="Fountain Input 3 3 2" xfId="53267"/>
    <cellStyle name="Fountain Input 3 3 3" xfId="53268"/>
    <cellStyle name="Fountain Input 3 3 4" xfId="53269"/>
    <cellStyle name="Fountain Input 3 3 5" xfId="53270"/>
    <cellStyle name="Fountain Input 3 3 6" xfId="53271"/>
    <cellStyle name="Fountain Input 3 30" xfId="53272"/>
    <cellStyle name="Fountain Input 3 31" xfId="53273"/>
    <cellStyle name="Fountain Input 3 32" xfId="53274"/>
    <cellStyle name="Fountain Input 3 33" xfId="53275"/>
    <cellStyle name="Fountain Input 3 34" xfId="53276"/>
    <cellStyle name="Fountain Input 3 35" xfId="53277"/>
    <cellStyle name="Fountain Input 3 36" xfId="53278"/>
    <cellStyle name="Fountain Input 3 37" xfId="53279"/>
    <cellStyle name="Fountain Input 3 38" xfId="53280"/>
    <cellStyle name="Fountain Input 3 39" xfId="53281"/>
    <cellStyle name="Fountain Input 3 4" xfId="13837"/>
    <cellStyle name="Fountain Input 3 4 2" xfId="53282"/>
    <cellStyle name="Fountain Input 3 4 3" xfId="53283"/>
    <cellStyle name="Fountain Input 3 4 4" xfId="53284"/>
    <cellStyle name="Fountain Input 3 4 5" xfId="53285"/>
    <cellStyle name="Fountain Input 3 4 6" xfId="53286"/>
    <cellStyle name="Fountain Input 3 40" xfId="53287"/>
    <cellStyle name="Fountain Input 3 5" xfId="13838"/>
    <cellStyle name="Fountain Input 3 5 2" xfId="53288"/>
    <cellStyle name="Fountain Input 3 5 3" xfId="53289"/>
    <cellStyle name="Fountain Input 3 5 4" xfId="53290"/>
    <cellStyle name="Fountain Input 3 5 5" xfId="53291"/>
    <cellStyle name="Fountain Input 3 5 6" xfId="53292"/>
    <cellStyle name="Fountain Input 3 6" xfId="13839"/>
    <cellStyle name="Fountain Input 3 7" xfId="13840"/>
    <cellStyle name="Fountain Input 3 8" xfId="13841"/>
    <cellStyle name="Fountain Input 3 9" xfId="13842"/>
    <cellStyle name="Fountain Input 30" xfId="13843"/>
    <cellStyle name="Fountain Input 31" xfId="13844"/>
    <cellStyle name="Fountain Input 4" xfId="475"/>
    <cellStyle name="Fountain Input 4 10" xfId="13845"/>
    <cellStyle name="Fountain Input 4 11" xfId="13846"/>
    <cellStyle name="Fountain Input 4 12" xfId="13847"/>
    <cellStyle name="Fountain Input 4 13" xfId="13848"/>
    <cellStyle name="Fountain Input 4 14" xfId="53293"/>
    <cellStyle name="Fountain Input 4 15" xfId="53294"/>
    <cellStyle name="Fountain Input 4 16" xfId="53295"/>
    <cellStyle name="Fountain Input 4 17" xfId="53296"/>
    <cellStyle name="Fountain Input 4 18" xfId="53297"/>
    <cellStyle name="Fountain Input 4 19" xfId="53298"/>
    <cellStyle name="Fountain Input 4 2" xfId="476"/>
    <cellStyle name="Fountain Input 4 2 2" xfId="53299"/>
    <cellStyle name="Fountain Input 4 2 3" xfId="53300"/>
    <cellStyle name="Fountain Input 4 2 4" xfId="53301"/>
    <cellStyle name="Fountain Input 4 2 5" xfId="53302"/>
    <cellStyle name="Fountain Input 4 2 6" xfId="53303"/>
    <cellStyle name="Fountain Input 4 20" xfId="53304"/>
    <cellStyle name="Fountain Input 4 21" xfId="53305"/>
    <cellStyle name="Fountain Input 4 22" xfId="53306"/>
    <cellStyle name="Fountain Input 4 23" xfId="53307"/>
    <cellStyle name="Fountain Input 4 24" xfId="53308"/>
    <cellStyle name="Fountain Input 4 25" xfId="53309"/>
    <cellStyle name="Fountain Input 4 26" xfId="53310"/>
    <cellStyle name="Fountain Input 4 27" xfId="53311"/>
    <cellStyle name="Fountain Input 4 28" xfId="53312"/>
    <cellStyle name="Fountain Input 4 29" xfId="53313"/>
    <cellStyle name="Fountain Input 4 3" xfId="477"/>
    <cellStyle name="Fountain Input 4 3 2" xfId="53314"/>
    <cellStyle name="Fountain Input 4 3 3" xfId="53315"/>
    <cellStyle name="Fountain Input 4 3 4" xfId="53316"/>
    <cellStyle name="Fountain Input 4 3 5" xfId="53317"/>
    <cellStyle name="Fountain Input 4 3 6" xfId="53318"/>
    <cellStyle name="Fountain Input 4 30" xfId="53319"/>
    <cellStyle name="Fountain Input 4 31" xfId="53320"/>
    <cellStyle name="Fountain Input 4 32" xfId="53321"/>
    <cellStyle name="Fountain Input 4 33" xfId="53322"/>
    <cellStyle name="Fountain Input 4 34" xfId="53323"/>
    <cellStyle name="Fountain Input 4 35" xfId="53324"/>
    <cellStyle name="Fountain Input 4 36" xfId="53325"/>
    <cellStyle name="Fountain Input 4 37" xfId="53326"/>
    <cellStyle name="Fountain Input 4 38" xfId="53327"/>
    <cellStyle name="Fountain Input 4 39" xfId="53328"/>
    <cellStyle name="Fountain Input 4 4" xfId="13849"/>
    <cellStyle name="Fountain Input 4 4 2" xfId="53329"/>
    <cellStyle name="Fountain Input 4 4 3" xfId="53330"/>
    <cellStyle name="Fountain Input 4 4 4" xfId="53331"/>
    <cellStyle name="Fountain Input 4 4 5" xfId="53332"/>
    <cellStyle name="Fountain Input 4 4 6" xfId="53333"/>
    <cellStyle name="Fountain Input 4 40" xfId="53334"/>
    <cellStyle name="Fountain Input 4 5" xfId="13850"/>
    <cellStyle name="Fountain Input 4 5 2" xfId="53335"/>
    <cellStyle name="Fountain Input 4 5 3" xfId="53336"/>
    <cellStyle name="Fountain Input 4 5 4" xfId="53337"/>
    <cellStyle name="Fountain Input 4 5 5" xfId="53338"/>
    <cellStyle name="Fountain Input 4 5 6" xfId="53339"/>
    <cellStyle name="Fountain Input 4 6" xfId="13851"/>
    <cellStyle name="Fountain Input 4 7" xfId="13852"/>
    <cellStyle name="Fountain Input 4 8" xfId="13853"/>
    <cellStyle name="Fountain Input 4 9" xfId="13854"/>
    <cellStyle name="Fountain Input 5" xfId="478"/>
    <cellStyle name="Fountain Input 5 10" xfId="13855"/>
    <cellStyle name="Fountain Input 5 11" xfId="13856"/>
    <cellStyle name="Fountain Input 5 12" xfId="13857"/>
    <cellStyle name="Fountain Input 5 13" xfId="13858"/>
    <cellStyle name="Fountain Input 5 14" xfId="53340"/>
    <cellStyle name="Fountain Input 5 15" xfId="53341"/>
    <cellStyle name="Fountain Input 5 16" xfId="53342"/>
    <cellStyle name="Fountain Input 5 17" xfId="53343"/>
    <cellStyle name="Fountain Input 5 18" xfId="53344"/>
    <cellStyle name="Fountain Input 5 19" xfId="53345"/>
    <cellStyle name="Fountain Input 5 2" xfId="479"/>
    <cellStyle name="Fountain Input 5 2 2" xfId="53346"/>
    <cellStyle name="Fountain Input 5 2 3" xfId="53347"/>
    <cellStyle name="Fountain Input 5 2 4" xfId="53348"/>
    <cellStyle name="Fountain Input 5 2 5" xfId="53349"/>
    <cellStyle name="Fountain Input 5 2 6" xfId="53350"/>
    <cellStyle name="Fountain Input 5 20" xfId="53351"/>
    <cellStyle name="Fountain Input 5 21" xfId="53352"/>
    <cellStyle name="Fountain Input 5 22" xfId="53353"/>
    <cellStyle name="Fountain Input 5 23" xfId="53354"/>
    <cellStyle name="Fountain Input 5 24" xfId="53355"/>
    <cellStyle name="Fountain Input 5 25" xfId="53356"/>
    <cellStyle name="Fountain Input 5 26" xfId="53357"/>
    <cellStyle name="Fountain Input 5 27" xfId="53358"/>
    <cellStyle name="Fountain Input 5 28" xfId="53359"/>
    <cellStyle name="Fountain Input 5 29" xfId="53360"/>
    <cellStyle name="Fountain Input 5 3" xfId="13859"/>
    <cellStyle name="Fountain Input 5 3 2" xfId="53361"/>
    <cellStyle name="Fountain Input 5 3 3" xfId="53362"/>
    <cellStyle name="Fountain Input 5 3 4" xfId="53363"/>
    <cellStyle name="Fountain Input 5 3 5" xfId="53364"/>
    <cellStyle name="Fountain Input 5 3 6" xfId="53365"/>
    <cellStyle name="Fountain Input 5 30" xfId="53366"/>
    <cellStyle name="Fountain Input 5 31" xfId="53367"/>
    <cellStyle name="Fountain Input 5 32" xfId="53368"/>
    <cellStyle name="Fountain Input 5 33" xfId="53369"/>
    <cellStyle name="Fountain Input 5 34" xfId="53370"/>
    <cellStyle name="Fountain Input 5 35" xfId="53371"/>
    <cellStyle name="Fountain Input 5 36" xfId="53372"/>
    <cellStyle name="Fountain Input 5 37" xfId="53373"/>
    <cellStyle name="Fountain Input 5 38" xfId="53374"/>
    <cellStyle name="Fountain Input 5 39" xfId="53375"/>
    <cellStyle name="Fountain Input 5 4" xfId="13860"/>
    <cellStyle name="Fountain Input 5 4 2" xfId="53376"/>
    <cellStyle name="Fountain Input 5 4 3" xfId="53377"/>
    <cellStyle name="Fountain Input 5 4 4" xfId="53378"/>
    <cellStyle name="Fountain Input 5 4 5" xfId="53379"/>
    <cellStyle name="Fountain Input 5 4 6" xfId="53380"/>
    <cellStyle name="Fountain Input 5 40" xfId="53381"/>
    <cellStyle name="Fountain Input 5 5" xfId="13861"/>
    <cellStyle name="Fountain Input 5 5 2" xfId="53382"/>
    <cellStyle name="Fountain Input 5 5 3" xfId="53383"/>
    <cellStyle name="Fountain Input 5 5 4" xfId="53384"/>
    <cellStyle name="Fountain Input 5 5 5" xfId="53385"/>
    <cellStyle name="Fountain Input 5 5 6" xfId="53386"/>
    <cellStyle name="Fountain Input 5 6" xfId="13862"/>
    <cellStyle name="Fountain Input 5 7" xfId="13863"/>
    <cellStyle name="Fountain Input 5 8" xfId="13864"/>
    <cellStyle name="Fountain Input 5 9" xfId="13865"/>
    <cellStyle name="Fountain Input 6" xfId="480"/>
    <cellStyle name="Fountain Input 6 10" xfId="13866"/>
    <cellStyle name="Fountain Input 6 11" xfId="13867"/>
    <cellStyle name="Fountain Input 6 12" xfId="13868"/>
    <cellStyle name="Fountain Input 6 13" xfId="13869"/>
    <cellStyle name="Fountain Input 6 14" xfId="53387"/>
    <cellStyle name="Fountain Input 6 15" xfId="53388"/>
    <cellStyle name="Fountain Input 6 16" xfId="53389"/>
    <cellStyle name="Fountain Input 6 17" xfId="53390"/>
    <cellStyle name="Fountain Input 6 18" xfId="53391"/>
    <cellStyle name="Fountain Input 6 19" xfId="53392"/>
    <cellStyle name="Fountain Input 6 2" xfId="481"/>
    <cellStyle name="Fountain Input 6 2 2" xfId="53393"/>
    <cellStyle name="Fountain Input 6 2 3" xfId="53394"/>
    <cellStyle name="Fountain Input 6 2 4" xfId="53395"/>
    <cellStyle name="Fountain Input 6 2 5" xfId="53396"/>
    <cellStyle name="Fountain Input 6 2 6" xfId="53397"/>
    <cellStyle name="Fountain Input 6 20" xfId="53398"/>
    <cellStyle name="Fountain Input 6 21" xfId="53399"/>
    <cellStyle name="Fountain Input 6 22" xfId="53400"/>
    <cellStyle name="Fountain Input 6 23" xfId="53401"/>
    <cellStyle name="Fountain Input 6 24" xfId="53402"/>
    <cellStyle name="Fountain Input 6 25" xfId="53403"/>
    <cellStyle name="Fountain Input 6 26" xfId="53404"/>
    <cellStyle name="Fountain Input 6 27" xfId="53405"/>
    <cellStyle name="Fountain Input 6 28" xfId="53406"/>
    <cellStyle name="Fountain Input 6 29" xfId="53407"/>
    <cellStyle name="Fountain Input 6 3" xfId="13870"/>
    <cellStyle name="Fountain Input 6 3 2" xfId="53408"/>
    <cellStyle name="Fountain Input 6 3 3" xfId="53409"/>
    <cellStyle name="Fountain Input 6 3 4" xfId="53410"/>
    <cellStyle name="Fountain Input 6 3 5" xfId="53411"/>
    <cellStyle name="Fountain Input 6 3 6" xfId="53412"/>
    <cellStyle name="Fountain Input 6 30" xfId="53413"/>
    <cellStyle name="Fountain Input 6 31" xfId="53414"/>
    <cellStyle name="Fountain Input 6 32" xfId="53415"/>
    <cellStyle name="Fountain Input 6 33" xfId="53416"/>
    <cellStyle name="Fountain Input 6 34" xfId="53417"/>
    <cellStyle name="Fountain Input 6 35" xfId="53418"/>
    <cellStyle name="Fountain Input 6 36" xfId="53419"/>
    <cellStyle name="Fountain Input 6 37" xfId="53420"/>
    <cellStyle name="Fountain Input 6 38" xfId="53421"/>
    <cellStyle name="Fountain Input 6 39" xfId="53422"/>
    <cellStyle name="Fountain Input 6 4" xfId="13871"/>
    <cellStyle name="Fountain Input 6 4 2" xfId="53423"/>
    <cellStyle name="Fountain Input 6 4 3" xfId="53424"/>
    <cellStyle name="Fountain Input 6 4 4" xfId="53425"/>
    <cellStyle name="Fountain Input 6 4 5" xfId="53426"/>
    <cellStyle name="Fountain Input 6 4 6" xfId="53427"/>
    <cellStyle name="Fountain Input 6 40" xfId="53428"/>
    <cellStyle name="Fountain Input 6 5" xfId="13872"/>
    <cellStyle name="Fountain Input 6 5 2" xfId="53429"/>
    <cellStyle name="Fountain Input 6 5 3" xfId="53430"/>
    <cellStyle name="Fountain Input 6 5 4" xfId="53431"/>
    <cellStyle name="Fountain Input 6 5 5" xfId="53432"/>
    <cellStyle name="Fountain Input 6 5 6" xfId="53433"/>
    <cellStyle name="Fountain Input 6 6" xfId="13873"/>
    <cellStyle name="Fountain Input 6 7" xfId="13874"/>
    <cellStyle name="Fountain Input 6 8" xfId="13875"/>
    <cellStyle name="Fountain Input 6 9" xfId="13876"/>
    <cellStyle name="Fountain Input 7" xfId="482"/>
    <cellStyle name="Fountain Input 7 10" xfId="13877"/>
    <cellStyle name="Fountain Input 7 11" xfId="13878"/>
    <cellStyle name="Fountain Input 7 12" xfId="13879"/>
    <cellStyle name="Fountain Input 7 13" xfId="13880"/>
    <cellStyle name="Fountain Input 7 14" xfId="53434"/>
    <cellStyle name="Fountain Input 7 15" xfId="53435"/>
    <cellStyle name="Fountain Input 7 16" xfId="53436"/>
    <cellStyle name="Fountain Input 7 17" xfId="53437"/>
    <cellStyle name="Fountain Input 7 18" xfId="53438"/>
    <cellStyle name="Fountain Input 7 19" xfId="53439"/>
    <cellStyle name="Fountain Input 7 2" xfId="483"/>
    <cellStyle name="Fountain Input 7 2 2" xfId="53440"/>
    <cellStyle name="Fountain Input 7 2 3" xfId="53441"/>
    <cellStyle name="Fountain Input 7 2 4" xfId="53442"/>
    <cellStyle name="Fountain Input 7 2 5" xfId="53443"/>
    <cellStyle name="Fountain Input 7 2 6" xfId="53444"/>
    <cellStyle name="Fountain Input 7 20" xfId="53445"/>
    <cellStyle name="Fountain Input 7 21" xfId="53446"/>
    <cellStyle name="Fountain Input 7 22" xfId="53447"/>
    <cellStyle name="Fountain Input 7 23" xfId="53448"/>
    <cellStyle name="Fountain Input 7 24" xfId="53449"/>
    <cellStyle name="Fountain Input 7 25" xfId="53450"/>
    <cellStyle name="Fountain Input 7 26" xfId="53451"/>
    <cellStyle name="Fountain Input 7 27" xfId="53452"/>
    <cellStyle name="Fountain Input 7 28" xfId="53453"/>
    <cellStyle name="Fountain Input 7 29" xfId="53454"/>
    <cellStyle name="Fountain Input 7 3" xfId="13881"/>
    <cellStyle name="Fountain Input 7 3 2" xfId="53455"/>
    <cellStyle name="Fountain Input 7 3 3" xfId="53456"/>
    <cellStyle name="Fountain Input 7 3 4" xfId="53457"/>
    <cellStyle name="Fountain Input 7 3 5" xfId="53458"/>
    <cellStyle name="Fountain Input 7 3 6" xfId="53459"/>
    <cellStyle name="Fountain Input 7 30" xfId="53460"/>
    <cellStyle name="Fountain Input 7 31" xfId="53461"/>
    <cellStyle name="Fountain Input 7 32" xfId="53462"/>
    <cellStyle name="Fountain Input 7 33" xfId="53463"/>
    <cellStyle name="Fountain Input 7 34" xfId="53464"/>
    <cellStyle name="Fountain Input 7 35" xfId="53465"/>
    <cellStyle name="Fountain Input 7 36" xfId="53466"/>
    <cellStyle name="Fountain Input 7 37" xfId="53467"/>
    <cellStyle name="Fountain Input 7 38" xfId="53468"/>
    <cellStyle name="Fountain Input 7 39" xfId="53469"/>
    <cellStyle name="Fountain Input 7 4" xfId="13882"/>
    <cellStyle name="Fountain Input 7 4 2" xfId="53470"/>
    <cellStyle name="Fountain Input 7 4 3" xfId="53471"/>
    <cellStyle name="Fountain Input 7 4 4" xfId="53472"/>
    <cellStyle name="Fountain Input 7 4 5" xfId="53473"/>
    <cellStyle name="Fountain Input 7 4 6" xfId="53474"/>
    <cellStyle name="Fountain Input 7 40" xfId="53475"/>
    <cellStyle name="Fountain Input 7 5" xfId="13883"/>
    <cellStyle name="Fountain Input 7 5 2" xfId="53476"/>
    <cellStyle name="Fountain Input 7 5 3" xfId="53477"/>
    <cellStyle name="Fountain Input 7 5 4" xfId="53478"/>
    <cellStyle name="Fountain Input 7 5 5" xfId="53479"/>
    <cellStyle name="Fountain Input 7 5 6" xfId="53480"/>
    <cellStyle name="Fountain Input 7 6" xfId="13884"/>
    <cellStyle name="Fountain Input 7 7" xfId="13885"/>
    <cellStyle name="Fountain Input 7 8" xfId="13886"/>
    <cellStyle name="Fountain Input 7 9" xfId="13887"/>
    <cellStyle name="Fountain Input 8" xfId="484"/>
    <cellStyle name="Fountain Input 8 10" xfId="13888"/>
    <cellStyle name="Fountain Input 8 11" xfId="13889"/>
    <cellStyle name="Fountain Input 8 12" xfId="13890"/>
    <cellStyle name="Fountain Input 8 13" xfId="53481"/>
    <cellStyle name="Fountain Input 8 14" xfId="53482"/>
    <cellStyle name="Fountain Input 8 15" xfId="53483"/>
    <cellStyle name="Fountain Input 8 16" xfId="53484"/>
    <cellStyle name="Fountain Input 8 17" xfId="53485"/>
    <cellStyle name="Fountain Input 8 18" xfId="53486"/>
    <cellStyle name="Fountain Input 8 19" xfId="53487"/>
    <cellStyle name="Fountain Input 8 2" xfId="485"/>
    <cellStyle name="Fountain Input 8 2 2" xfId="53488"/>
    <cellStyle name="Fountain Input 8 2 3" xfId="53489"/>
    <cellStyle name="Fountain Input 8 2 4" xfId="53490"/>
    <cellStyle name="Fountain Input 8 2 5" xfId="53491"/>
    <cellStyle name="Fountain Input 8 2 6" xfId="53492"/>
    <cellStyle name="Fountain Input 8 20" xfId="53493"/>
    <cellStyle name="Fountain Input 8 21" xfId="53494"/>
    <cellStyle name="Fountain Input 8 22" xfId="53495"/>
    <cellStyle name="Fountain Input 8 23" xfId="53496"/>
    <cellStyle name="Fountain Input 8 24" xfId="53497"/>
    <cellStyle name="Fountain Input 8 25" xfId="53498"/>
    <cellStyle name="Fountain Input 8 26" xfId="53499"/>
    <cellStyle name="Fountain Input 8 27" xfId="53500"/>
    <cellStyle name="Fountain Input 8 28" xfId="53501"/>
    <cellStyle name="Fountain Input 8 29" xfId="53502"/>
    <cellStyle name="Fountain Input 8 3" xfId="13891"/>
    <cellStyle name="Fountain Input 8 3 2" xfId="53503"/>
    <cellStyle name="Fountain Input 8 3 3" xfId="53504"/>
    <cellStyle name="Fountain Input 8 3 4" xfId="53505"/>
    <cellStyle name="Fountain Input 8 3 5" xfId="53506"/>
    <cellStyle name="Fountain Input 8 3 6" xfId="53507"/>
    <cellStyle name="Fountain Input 8 30" xfId="53508"/>
    <cellStyle name="Fountain Input 8 31" xfId="53509"/>
    <cellStyle name="Fountain Input 8 32" xfId="53510"/>
    <cellStyle name="Fountain Input 8 33" xfId="53511"/>
    <cellStyle name="Fountain Input 8 34" xfId="53512"/>
    <cellStyle name="Fountain Input 8 35" xfId="53513"/>
    <cellStyle name="Fountain Input 8 36" xfId="53514"/>
    <cellStyle name="Fountain Input 8 37" xfId="53515"/>
    <cellStyle name="Fountain Input 8 38" xfId="53516"/>
    <cellStyle name="Fountain Input 8 39" xfId="53517"/>
    <cellStyle name="Fountain Input 8 4" xfId="13892"/>
    <cellStyle name="Fountain Input 8 4 2" xfId="53518"/>
    <cellStyle name="Fountain Input 8 4 3" xfId="53519"/>
    <cellStyle name="Fountain Input 8 4 4" xfId="53520"/>
    <cellStyle name="Fountain Input 8 4 5" xfId="53521"/>
    <cellStyle name="Fountain Input 8 4 6" xfId="53522"/>
    <cellStyle name="Fountain Input 8 40" xfId="53523"/>
    <cellStyle name="Fountain Input 8 5" xfId="13893"/>
    <cellStyle name="Fountain Input 8 5 2" xfId="53524"/>
    <cellStyle name="Fountain Input 8 5 3" xfId="53525"/>
    <cellStyle name="Fountain Input 8 5 4" xfId="53526"/>
    <cellStyle name="Fountain Input 8 5 5" xfId="53527"/>
    <cellStyle name="Fountain Input 8 5 6" xfId="53528"/>
    <cellStyle name="Fountain Input 8 6" xfId="13894"/>
    <cellStyle name="Fountain Input 8 7" xfId="13895"/>
    <cellStyle name="Fountain Input 8 8" xfId="13896"/>
    <cellStyle name="Fountain Input 8 9" xfId="13897"/>
    <cellStyle name="Fountain Input 9" xfId="486"/>
    <cellStyle name="Fountain Input 9 10" xfId="13898"/>
    <cellStyle name="Fountain Input 9 11" xfId="13899"/>
    <cellStyle name="Fountain Input 9 12" xfId="13900"/>
    <cellStyle name="Fountain Input 9 2" xfId="487"/>
    <cellStyle name="Fountain Input 9 3" xfId="13901"/>
    <cellStyle name="Fountain Input 9 4" xfId="13902"/>
    <cellStyle name="Fountain Input 9 5" xfId="13903"/>
    <cellStyle name="Fountain Input 9 6" xfId="13904"/>
    <cellStyle name="Fountain Input 9 7" xfId="13905"/>
    <cellStyle name="Fountain Input 9 8" xfId="13906"/>
    <cellStyle name="Fountain Input 9 9" xfId="13907"/>
    <cellStyle name="Fountain Table Header" xfId="152"/>
    <cellStyle name="Fountain Text" xfId="153"/>
    <cellStyle name="Fountain Text 2" xfId="53529"/>
    <cellStyle name="fred" xfId="53530"/>
    <cellStyle name="fred 2" xfId="53531"/>
    <cellStyle name="Fred%" xfId="53532"/>
    <cellStyle name="Fred% 2" xfId="53533"/>
    <cellStyle name="Fred% 2 2" xfId="53534"/>
    <cellStyle name="Fred% 3" xfId="53535"/>
    <cellStyle name="Fred% 3 2" xfId="53536"/>
    <cellStyle name="Fred% 4" xfId="53537"/>
    <cellStyle name="Fred% 4 2" xfId="53538"/>
    <cellStyle name="Fred% 5" xfId="53539"/>
    <cellStyle name="Fred% 5 2" xfId="53540"/>
    <cellStyle name="Fred% 6" xfId="53541"/>
    <cellStyle name="Fred% 6 2" xfId="53542"/>
    <cellStyle name="Fred% 7" xfId="53543"/>
    <cellStyle name="Frm" xfId="53544"/>
    <cellStyle name="Frm 2" xfId="53545"/>
    <cellStyle name="Frm 3" xfId="53546"/>
    <cellStyle name="General" xfId="53547"/>
    <cellStyle name="General 2" xfId="53548"/>
    <cellStyle name="General 3" xfId="53549"/>
    <cellStyle name="General 4" xfId="53550"/>
    <cellStyle name="General 5" xfId="53551"/>
    <cellStyle name="General 6" xfId="53552"/>
    <cellStyle name="General 7" xfId="53553"/>
    <cellStyle name="General_AffinPartner" xfId="53554"/>
    <cellStyle name="God" xfId="53555"/>
    <cellStyle name="God 2" xfId="53556"/>
    <cellStyle name="Good" xfId="32" builtinId="26" customBuiltin="1"/>
    <cellStyle name="Good 10" xfId="53557"/>
    <cellStyle name="Good 10 2" xfId="53558"/>
    <cellStyle name="Good 2" xfId="154"/>
    <cellStyle name="Good 2 2" xfId="53559"/>
    <cellStyle name="Good 2 3" xfId="53560"/>
    <cellStyle name="Good 2 4" xfId="53561"/>
    <cellStyle name="Good 3" xfId="155"/>
    <cellStyle name="Good 3 2" xfId="53562"/>
    <cellStyle name="Good 3 3" xfId="53563"/>
    <cellStyle name="Good 3 4" xfId="53564"/>
    <cellStyle name="Good 4" xfId="288"/>
    <cellStyle name="Good 5" xfId="13908"/>
    <cellStyle name="Good 5 2" xfId="53565"/>
    <cellStyle name="Good 6" xfId="53566"/>
    <cellStyle name="Good 6 2" xfId="53567"/>
    <cellStyle name="Good 7" xfId="53568"/>
    <cellStyle name="Good 7 2" xfId="53569"/>
    <cellStyle name="Good 8" xfId="53570"/>
    <cellStyle name="Good 8 2" xfId="53571"/>
    <cellStyle name="Good 9" xfId="53572"/>
    <cellStyle name="Good 9 2" xfId="53573"/>
    <cellStyle name="gray" xfId="53574"/>
    <cellStyle name="Grey" xfId="53575"/>
    <cellStyle name="Grey 2" xfId="53576"/>
    <cellStyle name="Hard Percent" xfId="53577"/>
    <cellStyle name="HDCOUNT" xfId="53578"/>
    <cellStyle name="Header" xfId="33"/>
    <cellStyle name="Header 2" xfId="53579"/>
    <cellStyle name="Header Draft Stamp" xfId="53580"/>
    <cellStyle name="Header_Land Sales  Capex AMP4_AMP5" xfId="53581"/>
    <cellStyle name="Header1" xfId="53582"/>
    <cellStyle name="Header1 2" xfId="53583"/>
    <cellStyle name="Header1 3" xfId="53584"/>
    <cellStyle name="Header1_~9868926" xfId="53585"/>
    <cellStyle name="Header2" xfId="53586"/>
    <cellStyle name="Header2 2" xfId="53587"/>
    <cellStyle name="Header2 2 2" xfId="53588"/>
    <cellStyle name="Header2 2 3" xfId="53589"/>
    <cellStyle name="Header2 2 4" xfId="53590"/>
    <cellStyle name="Header2 2 5" xfId="53591"/>
    <cellStyle name="Header2 2 6" xfId="53592"/>
    <cellStyle name="Header2 3" xfId="53593"/>
    <cellStyle name="Header2 3 2" xfId="53594"/>
    <cellStyle name="Header2 3 3" xfId="53595"/>
    <cellStyle name="Header2 3 4" xfId="53596"/>
    <cellStyle name="Header2 4" xfId="53597"/>
    <cellStyle name="Header2 5" xfId="53598"/>
    <cellStyle name="Header2 6" xfId="53599"/>
    <cellStyle name="Header2 7" xfId="53600"/>
    <cellStyle name="Header2 8" xfId="53601"/>
    <cellStyle name="Header2_~9868926" xfId="53602"/>
    <cellStyle name="Header3rdlevel" xfId="34"/>
    <cellStyle name="Header3rdlevel 2" xfId="270"/>
    <cellStyle name="Header3rdlevel 2 2" xfId="13909"/>
    <cellStyle name="Header3rdlevel 2 3" xfId="53603"/>
    <cellStyle name="Header3rdlevel 2 4" xfId="53604"/>
    <cellStyle name="Header3rdlevel 2 5" xfId="53605"/>
    <cellStyle name="Header3rdlevel 2 6" xfId="53606"/>
    <cellStyle name="Header3rdlevel 2 7" xfId="53607"/>
    <cellStyle name="Header3rdlevel 2 8" xfId="53608"/>
    <cellStyle name="Header3rdlevel 2 9" xfId="53609"/>
    <cellStyle name="Header3rdlevel 2_IBP - COPI Uplift at Investment Area Level 01Feb12" xfId="53610"/>
    <cellStyle name="Header3rdlevel 3" xfId="13910"/>
    <cellStyle name="Header3rdlevel 3 2" xfId="53611"/>
    <cellStyle name="Header3rdlevel 3 3" xfId="53612"/>
    <cellStyle name="Header3rdlevel 3 4" xfId="53613"/>
    <cellStyle name="Header3rdlevel 3 5" xfId="53614"/>
    <cellStyle name="Header3rdlevel 3 6" xfId="53615"/>
    <cellStyle name="Header3rdlevel 3 7" xfId="53616"/>
    <cellStyle name="Header3rdlevel 3 8" xfId="53617"/>
    <cellStyle name="Header3rdlevel 3 9" xfId="53618"/>
    <cellStyle name="Header3rdlevel 3_IBP - COPI Uplift at Investment Area Level 01Feb12" xfId="53619"/>
    <cellStyle name="Header3rdlevel 4" xfId="53620"/>
    <cellStyle name="Header3rdlevel 4 2" xfId="53621"/>
    <cellStyle name="Header3rdlevel 5" xfId="53622"/>
    <cellStyle name="Header3rdlevel 5 2" xfId="53623"/>
    <cellStyle name="Header3rdlevel 6" xfId="53624"/>
    <cellStyle name="Header3rdlevel 6 2" xfId="53625"/>
    <cellStyle name="Header3rdlevel_2012 04 April R&amp;O Register IC Reporting" xfId="53626"/>
    <cellStyle name="headers" xfId="53627"/>
    <cellStyle name="headers 2" xfId="53628"/>
    <cellStyle name="Heading" xfId="13911"/>
    <cellStyle name="Heading 1" xfId="35" builtinId="16" customBuiltin="1"/>
    <cellStyle name="Heading 1 10" xfId="53629"/>
    <cellStyle name="Heading 1 10 2" xfId="53630"/>
    <cellStyle name="Heading 1 11" xfId="53631"/>
    <cellStyle name="Heading 1 11 2" xfId="53632"/>
    <cellStyle name="Heading 1 2" xfId="156"/>
    <cellStyle name="Heading 1 2 2" xfId="13912"/>
    <cellStyle name="Heading 1 2 3" xfId="13913"/>
    <cellStyle name="Heading 1 2 4" xfId="13914"/>
    <cellStyle name="Heading 1 2 5" xfId="53633"/>
    <cellStyle name="Heading 1 2_~9868926" xfId="53634"/>
    <cellStyle name="Heading 1 3" xfId="157"/>
    <cellStyle name="Heading 1 3 2" xfId="13915"/>
    <cellStyle name="Heading 1 3 3" xfId="53635"/>
    <cellStyle name="Heading 1 3 4" xfId="53636"/>
    <cellStyle name="Heading 1 3_~9868926" xfId="53637"/>
    <cellStyle name="Heading 1 4" xfId="13916"/>
    <cellStyle name="Heading 1 5" xfId="13917"/>
    <cellStyle name="Heading 1 5 2" xfId="53638"/>
    <cellStyle name="Heading 1 6" xfId="53639"/>
    <cellStyle name="Heading 1 6 2" xfId="53640"/>
    <cellStyle name="Heading 1 7" xfId="53641"/>
    <cellStyle name="Heading 1 7 2" xfId="53642"/>
    <cellStyle name="Heading 1 8" xfId="53643"/>
    <cellStyle name="Heading 1 8 2" xfId="53644"/>
    <cellStyle name="Heading 1 9" xfId="53645"/>
    <cellStyle name="Heading 1 9 2" xfId="53646"/>
    <cellStyle name="Heading 1 Above" xfId="53647"/>
    <cellStyle name="Heading 1." xfId="53648"/>
    <cellStyle name="Heading 1+" xfId="53649"/>
    <cellStyle name="Heading 10" xfId="13918"/>
    <cellStyle name="Heading 10 2" xfId="13919"/>
    <cellStyle name="Heading 10 2 2" xfId="13920"/>
    <cellStyle name="Heading 10 3" xfId="13921"/>
    <cellStyle name="Heading 10 4" xfId="13922"/>
    <cellStyle name="Heading 11" xfId="13923"/>
    <cellStyle name="Heading 11 2" xfId="13924"/>
    <cellStyle name="Heading 11 2 2" xfId="13925"/>
    <cellStyle name="Heading 11 3" xfId="13926"/>
    <cellStyle name="Heading 11 4" xfId="13927"/>
    <cellStyle name="Heading 12" xfId="13928"/>
    <cellStyle name="Heading 12 2" xfId="13929"/>
    <cellStyle name="Heading 13" xfId="13930"/>
    <cellStyle name="Heading 14" xfId="13931"/>
    <cellStyle name="Heading 2" xfId="36" builtinId="17" customBuiltin="1"/>
    <cellStyle name="Heading 2 10" xfId="53650"/>
    <cellStyle name="Heading 2 10 2" xfId="53651"/>
    <cellStyle name="Heading 2 11" xfId="53652"/>
    <cellStyle name="Heading 2 11 2" xfId="53653"/>
    <cellStyle name="Heading 2 2" xfId="158"/>
    <cellStyle name="Heading 2 2 2" xfId="13932"/>
    <cellStyle name="Heading 2 2 2 2" xfId="53654"/>
    <cellStyle name="Heading 2 2 3" xfId="13933"/>
    <cellStyle name="Heading 2 2 4" xfId="13934"/>
    <cellStyle name="Heading 2 2_~9868926" xfId="53655"/>
    <cellStyle name="Heading 2 3" xfId="159"/>
    <cellStyle name="Heading 2 3 2" xfId="13935"/>
    <cellStyle name="Heading 2 3 3" xfId="53656"/>
    <cellStyle name="Heading 2 3 4" xfId="53657"/>
    <cellStyle name="Heading 2 3_~9868926" xfId="53658"/>
    <cellStyle name="Heading 2 4" xfId="13936"/>
    <cellStyle name="Heading 2 5" xfId="13937"/>
    <cellStyle name="Heading 2 5 2" xfId="53659"/>
    <cellStyle name="Heading 2 6" xfId="53660"/>
    <cellStyle name="Heading 2 6 2" xfId="53661"/>
    <cellStyle name="Heading 2 7" xfId="53662"/>
    <cellStyle name="Heading 2 7 2" xfId="53663"/>
    <cellStyle name="Heading 2 8" xfId="53664"/>
    <cellStyle name="Heading 2 8 2" xfId="53665"/>
    <cellStyle name="Heading 2 9" xfId="53666"/>
    <cellStyle name="Heading 2 9 2" xfId="53667"/>
    <cellStyle name="Heading 2 Below" xfId="53668"/>
    <cellStyle name="Heading 2." xfId="53669"/>
    <cellStyle name="Heading 2+" xfId="53670"/>
    <cellStyle name="Heading 3" xfId="37" builtinId="18" customBuiltin="1"/>
    <cellStyle name="Heading 3 10" xfId="53671"/>
    <cellStyle name="Heading 3 10 2" xfId="53672"/>
    <cellStyle name="Heading 3 2" xfId="160"/>
    <cellStyle name="Heading 3 2 2" xfId="161"/>
    <cellStyle name="Heading 3 2 3" xfId="13938"/>
    <cellStyle name="Heading 3 2 4" xfId="13939"/>
    <cellStyle name="Heading 3 2 5" xfId="53673"/>
    <cellStyle name="Heading 3 2_IBP by Inv Area" xfId="53674"/>
    <cellStyle name="Heading 3 3" xfId="162"/>
    <cellStyle name="Heading 3 3 2" xfId="13940"/>
    <cellStyle name="Heading 3 3 3" xfId="53675"/>
    <cellStyle name="Heading 3 3 4" xfId="53676"/>
    <cellStyle name="Heading 3 3_~9868926" xfId="53677"/>
    <cellStyle name="Heading 3 4" xfId="163"/>
    <cellStyle name="Heading 3 5" xfId="13941"/>
    <cellStyle name="Heading 3 5 2" xfId="53678"/>
    <cellStyle name="Heading 3 6" xfId="53679"/>
    <cellStyle name="Heading 3 6 2" xfId="53680"/>
    <cellStyle name="Heading 3 7" xfId="53681"/>
    <cellStyle name="Heading 3 7 2" xfId="53682"/>
    <cellStyle name="Heading 3 8" xfId="53683"/>
    <cellStyle name="Heading 3 8 2" xfId="53684"/>
    <cellStyle name="Heading 3 9" xfId="53685"/>
    <cellStyle name="Heading 3 9 2" xfId="53686"/>
    <cellStyle name="Heading 3." xfId="53687"/>
    <cellStyle name="Heading 3+" xfId="53688"/>
    <cellStyle name="Heading 4" xfId="38" builtinId="19" customBuiltin="1"/>
    <cellStyle name="Heading 4 10" xfId="53689"/>
    <cellStyle name="Heading 4 10 2" xfId="53690"/>
    <cellStyle name="Heading 4 2" xfId="164"/>
    <cellStyle name="Heading 4 2 2" xfId="13942"/>
    <cellStyle name="Heading 4 2 3" xfId="13943"/>
    <cellStyle name="Heading 4 2 4" xfId="53691"/>
    <cellStyle name="Heading 4 3" xfId="165"/>
    <cellStyle name="Heading 4 3 2" xfId="53692"/>
    <cellStyle name="Heading 4 3 3" xfId="53693"/>
    <cellStyle name="Heading 4 3 4" xfId="53694"/>
    <cellStyle name="Heading 4 4" xfId="13944"/>
    <cellStyle name="Heading 4 4 2" xfId="53695"/>
    <cellStyle name="Heading 4 5" xfId="13945"/>
    <cellStyle name="Heading 4 5 2" xfId="53696"/>
    <cellStyle name="Heading 4 6" xfId="53697"/>
    <cellStyle name="Heading 4 6 2" xfId="53698"/>
    <cellStyle name="Heading 4 7" xfId="53699"/>
    <cellStyle name="Heading 4 7 2" xfId="53700"/>
    <cellStyle name="Heading 4 8" xfId="53701"/>
    <cellStyle name="Heading 4 8 2" xfId="53702"/>
    <cellStyle name="Heading 4 9" xfId="53703"/>
    <cellStyle name="Heading 4 9 2" xfId="53704"/>
    <cellStyle name="Heading 4." xfId="53705"/>
    <cellStyle name="Heading 5" xfId="13946"/>
    <cellStyle name="Heading 5 10" xfId="13947"/>
    <cellStyle name="Heading 5 2" xfId="13948"/>
    <cellStyle name="Heading 5 2 2" xfId="13949"/>
    <cellStyle name="Heading 5 2 2 2" xfId="13950"/>
    <cellStyle name="Heading 5 2 2 2 2" xfId="13951"/>
    <cellStyle name="Heading 5 2 2 2 2 2" xfId="13952"/>
    <cellStyle name="Heading 5 2 2 2 3" xfId="13953"/>
    <cellStyle name="Heading 5 2 2 2 4" xfId="13954"/>
    <cellStyle name="Heading 5 2 2 3" xfId="13955"/>
    <cellStyle name="Heading 5 2 2 3 2" xfId="13956"/>
    <cellStyle name="Heading 5 2 2 3 2 2" xfId="13957"/>
    <cellStyle name="Heading 5 2 2 3 3" xfId="13958"/>
    <cellStyle name="Heading 5 2 2 3 4" xfId="13959"/>
    <cellStyle name="Heading 5 2 2 4" xfId="13960"/>
    <cellStyle name="Heading 5 2 2 4 2" xfId="13961"/>
    <cellStyle name="Heading 5 2 2 5" xfId="13962"/>
    <cellStyle name="Heading 5 2 2 6" xfId="13963"/>
    <cellStyle name="Heading 5 2 2 7" xfId="13964"/>
    <cellStyle name="Heading 5 2 3" xfId="13965"/>
    <cellStyle name="Heading 5 2 3 2" xfId="13966"/>
    <cellStyle name="Heading 5 2 3 2 2" xfId="13967"/>
    <cellStyle name="Heading 5 2 3 2 2 2" xfId="13968"/>
    <cellStyle name="Heading 5 2 3 2 3" xfId="13969"/>
    <cellStyle name="Heading 5 2 3 2 4" xfId="13970"/>
    <cellStyle name="Heading 5 2 3 3" xfId="13971"/>
    <cellStyle name="Heading 5 2 3 3 2" xfId="13972"/>
    <cellStyle name="Heading 5 2 3 4" xfId="13973"/>
    <cellStyle name="Heading 5 2 3 5" xfId="13974"/>
    <cellStyle name="Heading 5 2 4" xfId="13975"/>
    <cellStyle name="Heading 5 2 4 2" xfId="13976"/>
    <cellStyle name="Heading 5 2 4 2 2" xfId="13977"/>
    <cellStyle name="Heading 5 2 4 3" xfId="13978"/>
    <cellStyle name="Heading 5 2 4 4" xfId="13979"/>
    <cellStyle name="Heading 5 2 4 5" xfId="13980"/>
    <cellStyle name="Heading 5 2 5" xfId="13981"/>
    <cellStyle name="Heading 5 2 5 2" xfId="13982"/>
    <cellStyle name="Heading 5 2 5 2 2" xfId="13983"/>
    <cellStyle name="Heading 5 2 5 3" xfId="13984"/>
    <cellStyle name="Heading 5 2 5 4" xfId="13985"/>
    <cellStyle name="Heading 5 2 6" xfId="13986"/>
    <cellStyle name="Heading 5 2 6 2" xfId="13987"/>
    <cellStyle name="Heading 5 2 6 2 2" xfId="13988"/>
    <cellStyle name="Heading 5 2 6 3" xfId="13989"/>
    <cellStyle name="Heading 5 2 6 4" xfId="13990"/>
    <cellStyle name="Heading 5 2 7" xfId="13991"/>
    <cellStyle name="Heading 5 2 7 2" xfId="13992"/>
    <cellStyle name="Heading 5 2 8" xfId="13993"/>
    <cellStyle name="Heading 5 2 9" xfId="13994"/>
    <cellStyle name="Heading 5 3" xfId="13995"/>
    <cellStyle name="Heading 5 3 2" xfId="13996"/>
    <cellStyle name="Heading 5 3 2 2" xfId="13997"/>
    <cellStyle name="Heading 5 3 2 2 2" xfId="13998"/>
    <cellStyle name="Heading 5 3 2 3" xfId="13999"/>
    <cellStyle name="Heading 5 3 2 4" xfId="14000"/>
    <cellStyle name="Heading 5 3 3" xfId="14001"/>
    <cellStyle name="Heading 5 3 3 2" xfId="14002"/>
    <cellStyle name="Heading 5 3 3 2 2" xfId="14003"/>
    <cellStyle name="Heading 5 3 3 3" xfId="14004"/>
    <cellStyle name="Heading 5 3 3 4" xfId="14005"/>
    <cellStyle name="Heading 5 3 4" xfId="14006"/>
    <cellStyle name="Heading 5 3 4 2" xfId="14007"/>
    <cellStyle name="Heading 5 3 5" xfId="14008"/>
    <cellStyle name="Heading 5 3 6" xfId="14009"/>
    <cellStyle name="Heading 5 3 7" xfId="14010"/>
    <cellStyle name="Heading 5 4" xfId="14011"/>
    <cellStyle name="Heading 5 4 2" xfId="14012"/>
    <cellStyle name="Heading 5 4 2 2" xfId="14013"/>
    <cellStyle name="Heading 5 4 2 2 2" xfId="14014"/>
    <cellStyle name="Heading 5 4 2 3" xfId="14015"/>
    <cellStyle name="Heading 5 4 2 4" xfId="14016"/>
    <cellStyle name="Heading 5 4 3" xfId="14017"/>
    <cellStyle name="Heading 5 4 3 2" xfId="14018"/>
    <cellStyle name="Heading 5 4 4" xfId="14019"/>
    <cellStyle name="Heading 5 4 5" xfId="14020"/>
    <cellStyle name="Heading 5 5" xfId="14021"/>
    <cellStyle name="Heading 5 5 2" xfId="14022"/>
    <cellStyle name="Heading 5 5 2 2" xfId="14023"/>
    <cellStyle name="Heading 5 5 3" xfId="14024"/>
    <cellStyle name="Heading 5 5 4" xfId="14025"/>
    <cellStyle name="Heading 5 5 5" xfId="14026"/>
    <cellStyle name="Heading 5 6" xfId="14027"/>
    <cellStyle name="Heading 5 6 2" xfId="14028"/>
    <cellStyle name="Heading 5 6 2 2" xfId="14029"/>
    <cellStyle name="Heading 5 6 3" xfId="14030"/>
    <cellStyle name="Heading 5 6 4" xfId="14031"/>
    <cellStyle name="Heading 5 7" xfId="14032"/>
    <cellStyle name="Heading 5 7 2" xfId="14033"/>
    <cellStyle name="Heading 5 7 2 2" xfId="14034"/>
    <cellStyle name="Heading 5 7 3" xfId="14035"/>
    <cellStyle name="Heading 5 7 4" xfId="14036"/>
    <cellStyle name="Heading 5 8" xfId="14037"/>
    <cellStyle name="Heading 5 8 2" xfId="14038"/>
    <cellStyle name="Heading 5 9" xfId="14039"/>
    <cellStyle name="Heading 6" xfId="14040"/>
    <cellStyle name="Heading 6 2" xfId="14041"/>
    <cellStyle name="Heading 6 2 2" xfId="14042"/>
    <cellStyle name="Heading 6 2 2 2" xfId="14043"/>
    <cellStyle name="Heading 6 2 2 2 2" xfId="14044"/>
    <cellStyle name="Heading 6 2 2 3" xfId="14045"/>
    <cellStyle name="Heading 6 2 2 4" xfId="14046"/>
    <cellStyle name="Heading 6 2 3" xfId="14047"/>
    <cellStyle name="Heading 6 2 3 2" xfId="14048"/>
    <cellStyle name="Heading 6 2 3 2 2" xfId="14049"/>
    <cellStyle name="Heading 6 2 3 3" xfId="14050"/>
    <cellStyle name="Heading 6 2 3 4" xfId="14051"/>
    <cellStyle name="Heading 6 2 4" xfId="14052"/>
    <cellStyle name="Heading 6 2 4 2" xfId="14053"/>
    <cellStyle name="Heading 6 2 5" xfId="14054"/>
    <cellStyle name="Heading 6 2 6" xfId="14055"/>
    <cellStyle name="Heading 6 2 7" xfId="14056"/>
    <cellStyle name="Heading 6 3" xfId="14057"/>
    <cellStyle name="Heading 6 3 2" xfId="14058"/>
    <cellStyle name="Heading 6 3 2 2" xfId="14059"/>
    <cellStyle name="Heading 6 3 2 2 2" xfId="14060"/>
    <cellStyle name="Heading 6 3 2 3" xfId="14061"/>
    <cellStyle name="Heading 6 3 2 4" xfId="14062"/>
    <cellStyle name="Heading 6 3 3" xfId="14063"/>
    <cellStyle name="Heading 6 3 3 2" xfId="14064"/>
    <cellStyle name="Heading 6 3 4" xfId="14065"/>
    <cellStyle name="Heading 6 3 5" xfId="14066"/>
    <cellStyle name="Heading 6 4" xfId="14067"/>
    <cellStyle name="Heading 6 4 2" xfId="14068"/>
    <cellStyle name="Heading 6 4 2 2" xfId="14069"/>
    <cellStyle name="Heading 6 4 3" xfId="14070"/>
    <cellStyle name="Heading 6 4 4" xfId="14071"/>
    <cellStyle name="Heading 6 4 5" xfId="14072"/>
    <cellStyle name="Heading 6 5" xfId="14073"/>
    <cellStyle name="Heading 6 5 2" xfId="14074"/>
    <cellStyle name="Heading 6 5 2 2" xfId="14075"/>
    <cellStyle name="Heading 6 5 3" xfId="14076"/>
    <cellStyle name="Heading 6 5 4" xfId="14077"/>
    <cellStyle name="Heading 6 6" xfId="14078"/>
    <cellStyle name="Heading 6 6 2" xfId="14079"/>
    <cellStyle name="Heading 6 6 2 2" xfId="14080"/>
    <cellStyle name="Heading 6 6 3" xfId="14081"/>
    <cellStyle name="Heading 6 6 4" xfId="14082"/>
    <cellStyle name="Heading 6 7" xfId="14083"/>
    <cellStyle name="Heading 6 7 2" xfId="14084"/>
    <cellStyle name="Heading 6 8" xfId="14085"/>
    <cellStyle name="Heading 6 9" xfId="14086"/>
    <cellStyle name="Heading 7" xfId="14087"/>
    <cellStyle name="Heading 7 2" xfId="14088"/>
    <cellStyle name="Heading 7 2 2" xfId="14089"/>
    <cellStyle name="Heading 7 2 2 2" xfId="14090"/>
    <cellStyle name="Heading 7 2 3" xfId="14091"/>
    <cellStyle name="Heading 7 2 4" xfId="14092"/>
    <cellStyle name="Heading 7 3" xfId="14093"/>
    <cellStyle name="Heading 7 3 2" xfId="14094"/>
    <cellStyle name="Heading 7 3 2 2" xfId="14095"/>
    <cellStyle name="Heading 7 3 3" xfId="14096"/>
    <cellStyle name="Heading 7 3 4" xfId="14097"/>
    <cellStyle name="Heading 7 4" xfId="14098"/>
    <cellStyle name="Heading 7 4 2" xfId="14099"/>
    <cellStyle name="Heading 7 5" xfId="14100"/>
    <cellStyle name="Heading 7 6" xfId="14101"/>
    <cellStyle name="Heading 7 7" xfId="14102"/>
    <cellStyle name="Heading 8" xfId="14103"/>
    <cellStyle name="Heading 8 2" xfId="14104"/>
    <cellStyle name="Heading 8 2 2" xfId="14105"/>
    <cellStyle name="Heading 8 2 2 2" xfId="14106"/>
    <cellStyle name="Heading 8 2 3" xfId="14107"/>
    <cellStyle name="Heading 8 2 4" xfId="14108"/>
    <cellStyle name="Heading 8 3" xfId="14109"/>
    <cellStyle name="Heading 8 3 2" xfId="14110"/>
    <cellStyle name="Heading 8 4" xfId="14111"/>
    <cellStyle name="Heading 8 5" xfId="14112"/>
    <cellStyle name="Heading 9" xfId="14113"/>
    <cellStyle name="Heading 9 2" xfId="14114"/>
    <cellStyle name="Heading 9 2 2" xfId="14115"/>
    <cellStyle name="Heading 9 3" xfId="14116"/>
    <cellStyle name="Heading 9 4" xfId="14117"/>
    <cellStyle name="Heading 9 5" xfId="14118"/>
    <cellStyle name="Heading bar" xfId="53706"/>
    <cellStyle name="Heading page" xfId="53707"/>
    <cellStyle name="Heading1" xfId="53708"/>
    <cellStyle name="Heading1 2" xfId="53709"/>
    <cellStyle name="Heading2" xfId="53710"/>
    <cellStyle name="Heading2 2" xfId="53711"/>
    <cellStyle name="Heading3" xfId="53712"/>
    <cellStyle name="Heading3 2" xfId="53713"/>
    <cellStyle name="Heading3 3" xfId="53714"/>
    <cellStyle name="Heading4" xfId="53715"/>
    <cellStyle name="Heading4 2" xfId="53716"/>
    <cellStyle name="Headings" xfId="53717"/>
    <cellStyle name="Headings 2" xfId="53718"/>
    <cellStyle name="Headings 3" xfId="53719"/>
    <cellStyle name="Headings 4" xfId="53720"/>
    <cellStyle name="Headings 5" xfId="53721"/>
    <cellStyle name="Headings 6" xfId="53722"/>
    <cellStyle name="Headings_~9868926" xfId="53723"/>
    <cellStyle name="HEADINGSTOP" xfId="53724"/>
    <cellStyle name="HEADINGSTOP 2" xfId="53725"/>
    <cellStyle name="Headline1" xfId="53726"/>
    <cellStyle name="Headline1 2" xfId="53727"/>
    <cellStyle name="Headline3" xfId="53728"/>
    <cellStyle name="Headline3 2" xfId="53729"/>
    <cellStyle name="Hidden" xfId="53730"/>
    <cellStyle name="highlight" xfId="53731"/>
    <cellStyle name="Hyperlink" xfId="57" builtinId="8"/>
    <cellStyle name="Hyperlink 2" xfId="54"/>
    <cellStyle name="Hyperlink 2 2" xfId="14119"/>
    <cellStyle name="Hyperlink 2 3" xfId="14120"/>
    <cellStyle name="Hyperlink 2 3 2" xfId="14121"/>
    <cellStyle name="Hyperlink 3" xfId="166"/>
    <cellStyle name="Hyperlink 3 2" xfId="14122"/>
    <cellStyle name="Hyperlink 3 3" xfId="14123"/>
    <cellStyle name="Hyperlink 3 3 2" xfId="14124"/>
    <cellStyle name="Hyperlink 3 4" xfId="14125"/>
    <cellStyle name="Hyperlink 3 5" xfId="14126"/>
    <cellStyle name="Hyperlink 3 6" xfId="14127"/>
    <cellStyle name="Hyperlink 4" xfId="167"/>
    <cellStyle name="Hyperlink 5" xfId="168"/>
    <cellStyle name="Hyperlink 6" xfId="262"/>
    <cellStyle name="Hyperlink Arrow" xfId="53732"/>
    <cellStyle name="Hyperlink Arrow 2" xfId="53733"/>
    <cellStyle name="Hyperlink Arrow." xfId="53734"/>
    <cellStyle name="Hyperlink Check." xfId="53735"/>
    <cellStyle name="Hyperlink Text" xfId="53736"/>
    <cellStyle name="Hyperlink Text 2" xfId="53737"/>
    <cellStyle name="Hyperlink Text." xfId="53738"/>
    <cellStyle name="Hyperlink TOC 1." xfId="53739"/>
    <cellStyle name="Hyperlink TOC 2." xfId="53740"/>
    <cellStyle name="Hyperlink TOC 3." xfId="53741"/>
    <cellStyle name="Hyperlink TOC 4." xfId="53742"/>
    <cellStyle name="Identisch" xfId="53743"/>
    <cellStyle name="Identisch 2" xfId="53744"/>
    <cellStyle name="in 1.000" xfId="53745"/>
    <cellStyle name="in TSD" xfId="53746"/>
    <cellStyle name="Indefinido" xfId="53747"/>
    <cellStyle name="Indefinido 2" xfId="53748"/>
    <cellStyle name="indicatorname" xfId="53749"/>
    <cellStyle name="indicatorname 2" xfId="53750"/>
    <cellStyle name="Inndata" xfId="53751"/>
    <cellStyle name="Inndata 2" xfId="53752"/>
    <cellStyle name="Inndata 2 2" xfId="53753"/>
    <cellStyle name="Inndata 2 3" xfId="53754"/>
    <cellStyle name="Inndata 2 4" xfId="53755"/>
    <cellStyle name="Inndata 3" xfId="53756"/>
    <cellStyle name="Inndata 3 2" xfId="53757"/>
    <cellStyle name="Inndata 3 3" xfId="53758"/>
    <cellStyle name="Inndata 3 4" xfId="53759"/>
    <cellStyle name="Inndata 4" xfId="53760"/>
    <cellStyle name="Inndata 5" xfId="53761"/>
    <cellStyle name="Inndata 6" xfId="53762"/>
    <cellStyle name="Inndata 7" xfId="53763"/>
    <cellStyle name="Input" xfId="39" builtinId="20" customBuiltin="1"/>
    <cellStyle name="Input [yellow]" xfId="53764"/>
    <cellStyle name="Input [yellow] 2" xfId="53765"/>
    <cellStyle name="Input [yellow] 2 2" xfId="53766"/>
    <cellStyle name="Input [yellow] 2 3" xfId="53767"/>
    <cellStyle name="Input [yellow] 2 4" xfId="53768"/>
    <cellStyle name="Input [yellow] 2 5" xfId="53769"/>
    <cellStyle name="Input [yellow] 2 6" xfId="53770"/>
    <cellStyle name="Input [yellow] 3" xfId="53771"/>
    <cellStyle name="Input [yellow] 4" xfId="53772"/>
    <cellStyle name="Input [yellow] 5" xfId="53773"/>
    <cellStyle name="Input [yellow] 6" xfId="53774"/>
    <cellStyle name="Input [yellow] 7" xfId="53775"/>
    <cellStyle name="Input 10" xfId="53776"/>
    <cellStyle name="Input 10 2" xfId="53777"/>
    <cellStyle name="Input 10 2 2" xfId="53778"/>
    <cellStyle name="Input 10 2 3" xfId="53779"/>
    <cellStyle name="Input 10 2 4" xfId="53780"/>
    <cellStyle name="Input 10 3" xfId="53781"/>
    <cellStyle name="Input 10 3 2" xfId="53782"/>
    <cellStyle name="Input 10 3 3" xfId="53783"/>
    <cellStyle name="Input 10 3 4" xfId="53784"/>
    <cellStyle name="Input 10 4" xfId="53785"/>
    <cellStyle name="Input 10 5" xfId="53786"/>
    <cellStyle name="Input 10 6" xfId="53787"/>
    <cellStyle name="Input 10 7" xfId="53788"/>
    <cellStyle name="Input 11" xfId="53789"/>
    <cellStyle name="Input 11 Bold" xfId="53790"/>
    <cellStyle name="Input 11 Bold 2" xfId="53791"/>
    <cellStyle name="Input 12" xfId="53792"/>
    <cellStyle name="Input 13" xfId="53793"/>
    <cellStyle name="Input 14" xfId="53794"/>
    <cellStyle name="Input 15" xfId="53795"/>
    <cellStyle name="Input 16" xfId="53796"/>
    <cellStyle name="Input 17" xfId="53797"/>
    <cellStyle name="Input 18" xfId="53798"/>
    <cellStyle name="Input 19" xfId="53799"/>
    <cellStyle name="Input 2" xfId="169"/>
    <cellStyle name="Input 2 - Developer" xfId="53800"/>
    <cellStyle name="Input 2 10" xfId="488"/>
    <cellStyle name="Input 2 10 10" xfId="14128"/>
    <cellStyle name="Input 2 10 11" xfId="14129"/>
    <cellStyle name="Input 2 10 12" xfId="14130"/>
    <cellStyle name="Input 2 10 13" xfId="14131"/>
    <cellStyle name="Input 2 10 14" xfId="14132"/>
    <cellStyle name="Input 2 10 15" xfId="14133"/>
    <cellStyle name="Input 2 10 16" xfId="14134"/>
    <cellStyle name="Input 2 10 17" xfId="14135"/>
    <cellStyle name="Input 2 10 18" xfId="14136"/>
    <cellStyle name="Input 2 10 19" xfId="14137"/>
    <cellStyle name="Input 2 10 2" xfId="489"/>
    <cellStyle name="Input 2 10 2 2" xfId="14138"/>
    <cellStyle name="Input 2 10 2 2 2" xfId="14139"/>
    <cellStyle name="Input 2 10 2 2 2 2" xfId="14140"/>
    <cellStyle name="Input 2 10 2 2 2 3" xfId="14141"/>
    <cellStyle name="Input 2 10 2 2 2 4" xfId="14142"/>
    <cellStyle name="Input 2 10 2 2 3" xfId="14143"/>
    <cellStyle name="Input 2 10 2 2 4" xfId="14144"/>
    <cellStyle name="Input 2 10 2 2 5" xfId="14145"/>
    <cellStyle name="Input 2 10 2 2 6" xfId="14146"/>
    <cellStyle name="Input 2 10 2 3" xfId="14147"/>
    <cellStyle name="Input 2 10 2 3 2" xfId="14148"/>
    <cellStyle name="Input 2 10 2 3 3" xfId="14149"/>
    <cellStyle name="Input 2 10 2 3 4" xfId="14150"/>
    <cellStyle name="Input 2 10 2 4" xfId="14151"/>
    <cellStyle name="Input 2 10 2 5" xfId="14152"/>
    <cellStyle name="Input 2 10 2 6" xfId="14153"/>
    <cellStyle name="Input 2 10 2 7" xfId="14154"/>
    <cellStyle name="Input 2 10 20" xfId="14155"/>
    <cellStyle name="Input 2 10 21" xfId="14156"/>
    <cellStyle name="Input 2 10 22" xfId="14157"/>
    <cellStyle name="Input 2 10 23" xfId="14158"/>
    <cellStyle name="Input 2 10 24" xfId="14159"/>
    <cellStyle name="Input 2 10 3" xfId="490"/>
    <cellStyle name="Input 2 10 3 2" xfId="14160"/>
    <cellStyle name="Input 2 10 3 2 2" xfId="14161"/>
    <cellStyle name="Input 2 10 3 2 3" xfId="14162"/>
    <cellStyle name="Input 2 10 3 2 4" xfId="14163"/>
    <cellStyle name="Input 2 10 3 3" xfId="14164"/>
    <cellStyle name="Input 2 10 3 4" xfId="14165"/>
    <cellStyle name="Input 2 10 3 5" xfId="14166"/>
    <cellStyle name="Input 2 10 3 6" xfId="14167"/>
    <cellStyle name="Input 2 10 4" xfId="14168"/>
    <cellStyle name="Input 2 10 4 2" xfId="14169"/>
    <cellStyle name="Input 2 10 4 3" xfId="14170"/>
    <cellStyle name="Input 2 10 4 4" xfId="14171"/>
    <cellStyle name="Input 2 10 4 5" xfId="14172"/>
    <cellStyle name="Input 2 10 5" xfId="14173"/>
    <cellStyle name="Input 2 10 5 2" xfId="14174"/>
    <cellStyle name="Input 2 10 5 3" xfId="14175"/>
    <cellStyle name="Input 2 10 5 4" xfId="14176"/>
    <cellStyle name="Input 2 10 6" xfId="14177"/>
    <cellStyle name="Input 2 10 6 2" xfId="14178"/>
    <cellStyle name="Input 2 10 6 3" xfId="14179"/>
    <cellStyle name="Input 2 10 6 4" xfId="14180"/>
    <cellStyle name="Input 2 10 7" xfId="14181"/>
    <cellStyle name="Input 2 10 7 2" xfId="14182"/>
    <cellStyle name="Input 2 10 7 3" xfId="14183"/>
    <cellStyle name="Input 2 10 7 4" xfId="14184"/>
    <cellStyle name="Input 2 10 8" xfId="14185"/>
    <cellStyle name="Input 2 10 8 2" xfId="14186"/>
    <cellStyle name="Input 2 10 8 3" xfId="14187"/>
    <cellStyle name="Input 2 10 8 4" xfId="14188"/>
    <cellStyle name="Input 2 10 9" xfId="14189"/>
    <cellStyle name="Input 2 11" xfId="491"/>
    <cellStyle name="Input 2 11 10" xfId="14190"/>
    <cellStyle name="Input 2 11 11" xfId="14191"/>
    <cellStyle name="Input 2 11 12" xfId="14192"/>
    <cellStyle name="Input 2 11 13" xfId="14193"/>
    <cellStyle name="Input 2 11 14" xfId="14194"/>
    <cellStyle name="Input 2 11 15" xfId="14195"/>
    <cellStyle name="Input 2 11 16" xfId="14196"/>
    <cellStyle name="Input 2 11 17" xfId="14197"/>
    <cellStyle name="Input 2 11 18" xfId="14198"/>
    <cellStyle name="Input 2 11 19" xfId="14199"/>
    <cellStyle name="Input 2 11 2" xfId="492"/>
    <cellStyle name="Input 2 11 2 2" xfId="14200"/>
    <cellStyle name="Input 2 11 2 2 2" xfId="14201"/>
    <cellStyle name="Input 2 11 2 2 3" xfId="14202"/>
    <cellStyle name="Input 2 11 2 2 4" xfId="14203"/>
    <cellStyle name="Input 2 11 2 3" xfId="14204"/>
    <cellStyle name="Input 2 11 2 4" xfId="14205"/>
    <cellStyle name="Input 2 11 2 5" xfId="14206"/>
    <cellStyle name="Input 2 11 2 6" xfId="14207"/>
    <cellStyle name="Input 2 11 20" xfId="14208"/>
    <cellStyle name="Input 2 11 21" xfId="14209"/>
    <cellStyle name="Input 2 11 22" xfId="14210"/>
    <cellStyle name="Input 2 11 23" xfId="14211"/>
    <cellStyle name="Input 2 11 3" xfId="493"/>
    <cellStyle name="Input 2 11 3 2" xfId="14212"/>
    <cellStyle name="Input 2 11 3 3" xfId="14213"/>
    <cellStyle name="Input 2 11 3 4" xfId="14214"/>
    <cellStyle name="Input 2 11 3 5" xfId="14215"/>
    <cellStyle name="Input 2 11 4" xfId="14216"/>
    <cellStyle name="Input 2 11 4 2" xfId="14217"/>
    <cellStyle name="Input 2 11 4 3" xfId="14218"/>
    <cellStyle name="Input 2 11 4 4" xfId="14219"/>
    <cellStyle name="Input 2 11 5" xfId="14220"/>
    <cellStyle name="Input 2 11 5 2" xfId="14221"/>
    <cellStyle name="Input 2 11 5 3" xfId="14222"/>
    <cellStyle name="Input 2 11 5 4" xfId="14223"/>
    <cellStyle name="Input 2 11 6" xfId="14224"/>
    <cellStyle name="Input 2 11 6 2" xfId="14225"/>
    <cellStyle name="Input 2 11 6 3" xfId="14226"/>
    <cellStyle name="Input 2 11 6 4" xfId="14227"/>
    <cellStyle name="Input 2 11 7" xfId="14228"/>
    <cellStyle name="Input 2 11 7 2" xfId="14229"/>
    <cellStyle name="Input 2 11 7 3" xfId="14230"/>
    <cellStyle name="Input 2 11 7 4" xfId="14231"/>
    <cellStyle name="Input 2 11 8" xfId="14232"/>
    <cellStyle name="Input 2 11 9" xfId="14233"/>
    <cellStyle name="Input 2 12" xfId="494"/>
    <cellStyle name="Input 2 12 10" xfId="14234"/>
    <cellStyle name="Input 2 12 11" xfId="14235"/>
    <cellStyle name="Input 2 12 12" xfId="14236"/>
    <cellStyle name="Input 2 12 13" xfId="14237"/>
    <cellStyle name="Input 2 12 14" xfId="14238"/>
    <cellStyle name="Input 2 12 15" xfId="14239"/>
    <cellStyle name="Input 2 12 16" xfId="14240"/>
    <cellStyle name="Input 2 12 17" xfId="14241"/>
    <cellStyle name="Input 2 12 18" xfId="14242"/>
    <cellStyle name="Input 2 12 19" xfId="14243"/>
    <cellStyle name="Input 2 12 2" xfId="495"/>
    <cellStyle name="Input 2 12 2 2" xfId="14244"/>
    <cellStyle name="Input 2 12 2 3" xfId="14245"/>
    <cellStyle name="Input 2 12 2 4" xfId="14246"/>
    <cellStyle name="Input 2 12 20" xfId="14247"/>
    <cellStyle name="Input 2 12 3" xfId="496"/>
    <cellStyle name="Input 2 12 3 2" xfId="14248"/>
    <cellStyle name="Input 2 12 3 3" xfId="14249"/>
    <cellStyle name="Input 2 12 3 4" xfId="14250"/>
    <cellStyle name="Input 2 12 4" xfId="14251"/>
    <cellStyle name="Input 2 12 4 2" xfId="14252"/>
    <cellStyle name="Input 2 12 4 3" xfId="14253"/>
    <cellStyle name="Input 2 12 4 4" xfId="14254"/>
    <cellStyle name="Input 2 12 5" xfId="14255"/>
    <cellStyle name="Input 2 12 6" xfId="14256"/>
    <cellStyle name="Input 2 12 7" xfId="14257"/>
    <cellStyle name="Input 2 12 8" xfId="14258"/>
    <cellStyle name="Input 2 12 9" xfId="14259"/>
    <cellStyle name="Input 2 13" xfId="497"/>
    <cellStyle name="Input 2 13 10" xfId="14260"/>
    <cellStyle name="Input 2 13 11" xfId="14261"/>
    <cellStyle name="Input 2 13 12" xfId="14262"/>
    <cellStyle name="Input 2 13 13" xfId="14263"/>
    <cellStyle name="Input 2 13 14" xfId="14264"/>
    <cellStyle name="Input 2 13 15" xfId="14265"/>
    <cellStyle name="Input 2 13 16" xfId="14266"/>
    <cellStyle name="Input 2 13 17" xfId="14267"/>
    <cellStyle name="Input 2 13 18" xfId="14268"/>
    <cellStyle name="Input 2 13 19" xfId="14269"/>
    <cellStyle name="Input 2 13 2" xfId="498"/>
    <cellStyle name="Input 2 13 2 2" xfId="14270"/>
    <cellStyle name="Input 2 13 2 3" xfId="14271"/>
    <cellStyle name="Input 2 13 2 4" xfId="14272"/>
    <cellStyle name="Input 2 13 20" xfId="14273"/>
    <cellStyle name="Input 2 13 3" xfId="499"/>
    <cellStyle name="Input 2 13 3 2" xfId="14274"/>
    <cellStyle name="Input 2 13 3 3" xfId="14275"/>
    <cellStyle name="Input 2 13 3 4" xfId="14276"/>
    <cellStyle name="Input 2 13 4" xfId="14277"/>
    <cellStyle name="Input 2 13 4 2" xfId="14278"/>
    <cellStyle name="Input 2 13 4 3" xfId="14279"/>
    <cellStyle name="Input 2 13 4 4" xfId="14280"/>
    <cellStyle name="Input 2 13 5" xfId="14281"/>
    <cellStyle name="Input 2 13 6" xfId="14282"/>
    <cellStyle name="Input 2 13 7" xfId="14283"/>
    <cellStyle name="Input 2 13 8" xfId="14284"/>
    <cellStyle name="Input 2 13 9" xfId="14285"/>
    <cellStyle name="Input 2 14" xfId="500"/>
    <cellStyle name="Input 2 14 10" xfId="14286"/>
    <cellStyle name="Input 2 14 11" xfId="14287"/>
    <cellStyle name="Input 2 14 12" xfId="14288"/>
    <cellStyle name="Input 2 14 13" xfId="14289"/>
    <cellStyle name="Input 2 14 14" xfId="14290"/>
    <cellStyle name="Input 2 14 15" xfId="14291"/>
    <cellStyle name="Input 2 14 16" xfId="14292"/>
    <cellStyle name="Input 2 14 17" xfId="14293"/>
    <cellStyle name="Input 2 14 18" xfId="14294"/>
    <cellStyle name="Input 2 14 2" xfId="501"/>
    <cellStyle name="Input 2 14 2 2" xfId="14295"/>
    <cellStyle name="Input 2 14 2 3" xfId="14296"/>
    <cellStyle name="Input 2 14 2 4" xfId="14297"/>
    <cellStyle name="Input 2 14 3" xfId="502"/>
    <cellStyle name="Input 2 14 3 2" xfId="14298"/>
    <cellStyle name="Input 2 14 3 3" xfId="14299"/>
    <cellStyle name="Input 2 14 3 4" xfId="14300"/>
    <cellStyle name="Input 2 14 4" xfId="14301"/>
    <cellStyle name="Input 2 14 5" xfId="14302"/>
    <cellStyle name="Input 2 14 6" xfId="14303"/>
    <cellStyle name="Input 2 14 7" xfId="14304"/>
    <cellStyle name="Input 2 14 8" xfId="14305"/>
    <cellStyle name="Input 2 14 9" xfId="14306"/>
    <cellStyle name="Input 2 15" xfId="503"/>
    <cellStyle name="Input 2 15 10" xfId="14307"/>
    <cellStyle name="Input 2 15 11" xfId="14308"/>
    <cellStyle name="Input 2 15 12" xfId="14309"/>
    <cellStyle name="Input 2 15 13" xfId="14310"/>
    <cellStyle name="Input 2 15 14" xfId="14311"/>
    <cellStyle name="Input 2 15 15" xfId="14312"/>
    <cellStyle name="Input 2 15 16" xfId="14313"/>
    <cellStyle name="Input 2 15 17" xfId="14314"/>
    <cellStyle name="Input 2 15 18" xfId="14315"/>
    <cellStyle name="Input 2 15 2" xfId="504"/>
    <cellStyle name="Input 2 15 2 2" xfId="14316"/>
    <cellStyle name="Input 2 15 2 3" xfId="14317"/>
    <cellStyle name="Input 2 15 2 4" xfId="14318"/>
    <cellStyle name="Input 2 15 3" xfId="505"/>
    <cellStyle name="Input 2 15 3 2" xfId="14319"/>
    <cellStyle name="Input 2 15 3 3" xfId="14320"/>
    <cellStyle name="Input 2 15 3 4" xfId="14321"/>
    <cellStyle name="Input 2 15 4" xfId="14322"/>
    <cellStyle name="Input 2 15 5" xfId="14323"/>
    <cellStyle name="Input 2 15 6" xfId="14324"/>
    <cellStyle name="Input 2 15 7" xfId="14325"/>
    <cellStyle name="Input 2 15 8" xfId="14326"/>
    <cellStyle name="Input 2 15 9" xfId="14327"/>
    <cellStyle name="Input 2 16" xfId="506"/>
    <cellStyle name="Input 2 16 10" xfId="14328"/>
    <cellStyle name="Input 2 16 11" xfId="14329"/>
    <cellStyle name="Input 2 16 12" xfId="14330"/>
    <cellStyle name="Input 2 16 13" xfId="14331"/>
    <cellStyle name="Input 2 16 14" xfId="14332"/>
    <cellStyle name="Input 2 16 15" xfId="14333"/>
    <cellStyle name="Input 2 16 16" xfId="14334"/>
    <cellStyle name="Input 2 16 17" xfId="14335"/>
    <cellStyle name="Input 2 16 2" xfId="14336"/>
    <cellStyle name="Input 2 16 2 2" xfId="14337"/>
    <cellStyle name="Input 2 16 2 3" xfId="14338"/>
    <cellStyle name="Input 2 16 2 4" xfId="14339"/>
    <cellStyle name="Input 2 16 3" xfId="14340"/>
    <cellStyle name="Input 2 16 4" xfId="14341"/>
    <cellStyle name="Input 2 16 5" xfId="14342"/>
    <cellStyle name="Input 2 16 6" xfId="14343"/>
    <cellStyle name="Input 2 16 7" xfId="14344"/>
    <cellStyle name="Input 2 16 8" xfId="14345"/>
    <cellStyle name="Input 2 16 9" xfId="14346"/>
    <cellStyle name="Input 2 17" xfId="14347"/>
    <cellStyle name="Input 2 17 10" xfId="14348"/>
    <cellStyle name="Input 2 17 11" xfId="14349"/>
    <cellStyle name="Input 2 17 12" xfId="14350"/>
    <cellStyle name="Input 2 17 13" xfId="14351"/>
    <cellStyle name="Input 2 17 14" xfId="14352"/>
    <cellStyle name="Input 2 17 15" xfId="14353"/>
    <cellStyle name="Input 2 17 16" xfId="14354"/>
    <cellStyle name="Input 2 17 2" xfId="14355"/>
    <cellStyle name="Input 2 17 3" xfId="14356"/>
    <cellStyle name="Input 2 17 4" xfId="14357"/>
    <cellStyle name="Input 2 17 5" xfId="14358"/>
    <cellStyle name="Input 2 17 6" xfId="14359"/>
    <cellStyle name="Input 2 17 7" xfId="14360"/>
    <cellStyle name="Input 2 17 8" xfId="14361"/>
    <cellStyle name="Input 2 17 9" xfId="14362"/>
    <cellStyle name="Input 2 18" xfId="14363"/>
    <cellStyle name="Input 2 18 10" xfId="14364"/>
    <cellStyle name="Input 2 18 11" xfId="14365"/>
    <cellStyle name="Input 2 18 12" xfId="14366"/>
    <cellStyle name="Input 2 18 13" xfId="14367"/>
    <cellStyle name="Input 2 18 14" xfId="14368"/>
    <cellStyle name="Input 2 18 15" xfId="14369"/>
    <cellStyle name="Input 2 18 2" xfId="14370"/>
    <cellStyle name="Input 2 18 3" xfId="14371"/>
    <cellStyle name="Input 2 18 4" xfId="14372"/>
    <cellStyle name="Input 2 18 5" xfId="14373"/>
    <cellStyle name="Input 2 18 6" xfId="14374"/>
    <cellStyle name="Input 2 18 7" xfId="14375"/>
    <cellStyle name="Input 2 18 8" xfId="14376"/>
    <cellStyle name="Input 2 18 9" xfId="14377"/>
    <cellStyle name="Input 2 19" xfId="14378"/>
    <cellStyle name="Input 2 19 10" xfId="14379"/>
    <cellStyle name="Input 2 19 11" xfId="14380"/>
    <cellStyle name="Input 2 19 12" xfId="14381"/>
    <cellStyle name="Input 2 19 13" xfId="14382"/>
    <cellStyle name="Input 2 19 14" xfId="14383"/>
    <cellStyle name="Input 2 19 15" xfId="14384"/>
    <cellStyle name="Input 2 19 2" xfId="14385"/>
    <cellStyle name="Input 2 19 3" xfId="14386"/>
    <cellStyle name="Input 2 19 4" xfId="14387"/>
    <cellStyle name="Input 2 19 5" xfId="14388"/>
    <cellStyle name="Input 2 19 6" xfId="14389"/>
    <cellStyle name="Input 2 19 7" xfId="14390"/>
    <cellStyle name="Input 2 19 8" xfId="14391"/>
    <cellStyle name="Input 2 19 9" xfId="14392"/>
    <cellStyle name="Input 2 2" xfId="170"/>
    <cellStyle name="Input 2 2 10" xfId="507"/>
    <cellStyle name="Input 2 2 10 10" xfId="14393"/>
    <cellStyle name="Input 2 2 10 11" xfId="14394"/>
    <cellStyle name="Input 2 2 10 2" xfId="508"/>
    <cellStyle name="Input 2 2 10 2 2" xfId="14395"/>
    <cellStyle name="Input 2 2 10 2 2 2" xfId="14396"/>
    <cellStyle name="Input 2 2 10 2 2 3" xfId="14397"/>
    <cellStyle name="Input 2 2 10 2 2 4" xfId="14398"/>
    <cellStyle name="Input 2 2 10 2 3" xfId="14399"/>
    <cellStyle name="Input 2 2 10 2 4" xfId="14400"/>
    <cellStyle name="Input 2 2 10 2 5" xfId="14401"/>
    <cellStyle name="Input 2 2 10 2 6" xfId="14402"/>
    <cellStyle name="Input 2 2 10 3" xfId="509"/>
    <cellStyle name="Input 2 2 10 3 2" xfId="14403"/>
    <cellStyle name="Input 2 2 10 3 3" xfId="14404"/>
    <cellStyle name="Input 2 2 10 3 4" xfId="14405"/>
    <cellStyle name="Input 2 2 10 4" xfId="14406"/>
    <cellStyle name="Input 2 2 10 4 2" xfId="14407"/>
    <cellStyle name="Input 2 2 10 4 3" xfId="14408"/>
    <cellStyle name="Input 2 2 10 4 4" xfId="14409"/>
    <cellStyle name="Input 2 2 10 5" xfId="14410"/>
    <cellStyle name="Input 2 2 10 5 2" xfId="14411"/>
    <cellStyle name="Input 2 2 10 5 3" xfId="14412"/>
    <cellStyle name="Input 2 2 10 5 4" xfId="14413"/>
    <cellStyle name="Input 2 2 10 6" xfId="14414"/>
    <cellStyle name="Input 2 2 10 6 2" xfId="14415"/>
    <cellStyle name="Input 2 2 10 6 3" xfId="14416"/>
    <cellStyle name="Input 2 2 10 6 4" xfId="14417"/>
    <cellStyle name="Input 2 2 10 7" xfId="14418"/>
    <cellStyle name="Input 2 2 10 7 2" xfId="14419"/>
    <cellStyle name="Input 2 2 10 7 3" xfId="14420"/>
    <cellStyle name="Input 2 2 10 7 4" xfId="14421"/>
    <cellStyle name="Input 2 2 10 8" xfId="14422"/>
    <cellStyle name="Input 2 2 10 9" xfId="14423"/>
    <cellStyle name="Input 2 2 11" xfId="510"/>
    <cellStyle name="Input 2 2 11 2" xfId="511"/>
    <cellStyle name="Input 2 2 11 2 2" xfId="14424"/>
    <cellStyle name="Input 2 2 11 2 3" xfId="14425"/>
    <cellStyle name="Input 2 2 11 2 4" xfId="14426"/>
    <cellStyle name="Input 2 2 11 3" xfId="512"/>
    <cellStyle name="Input 2 2 11 3 2" xfId="14427"/>
    <cellStyle name="Input 2 2 11 3 3" xfId="14428"/>
    <cellStyle name="Input 2 2 11 3 4" xfId="14429"/>
    <cellStyle name="Input 2 2 11 4" xfId="14430"/>
    <cellStyle name="Input 2 2 11 4 2" xfId="14431"/>
    <cellStyle name="Input 2 2 11 4 3" xfId="14432"/>
    <cellStyle name="Input 2 2 11 4 4" xfId="14433"/>
    <cellStyle name="Input 2 2 11 5" xfId="14434"/>
    <cellStyle name="Input 2 2 11 6" xfId="14435"/>
    <cellStyle name="Input 2 2 11 7" xfId="14436"/>
    <cellStyle name="Input 2 2 11 8" xfId="14437"/>
    <cellStyle name="Input 2 2 12" xfId="513"/>
    <cellStyle name="Input 2 2 12 2" xfId="514"/>
    <cellStyle name="Input 2 2 12 2 2" xfId="14438"/>
    <cellStyle name="Input 2 2 12 2 3" xfId="14439"/>
    <cellStyle name="Input 2 2 12 2 4" xfId="14440"/>
    <cellStyle name="Input 2 2 12 3" xfId="515"/>
    <cellStyle name="Input 2 2 12 3 2" xfId="14441"/>
    <cellStyle name="Input 2 2 12 3 3" xfId="14442"/>
    <cellStyle name="Input 2 2 12 3 4" xfId="14443"/>
    <cellStyle name="Input 2 2 12 4" xfId="14444"/>
    <cellStyle name="Input 2 2 12 4 2" xfId="14445"/>
    <cellStyle name="Input 2 2 12 4 3" xfId="14446"/>
    <cellStyle name="Input 2 2 12 4 4" xfId="14447"/>
    <cellStyle name="Input 2 2 12 5" xfId="14448"/>
    <cellStyle name="Input 2 2 12 6" xfId="14449"/>
    <cellStyle name="Input 2 2 12 7" xfId="14450"/>
    <cellStyle name="Input 2 2 12 8" xfId="14451"/>
    <cellStyle name="Input 2 2 13" xfId="516"/>
    <cellStyle name="Input 2 2 13 2" xfId="517"/>
    <cellStyle name="Input 2 2 13 2 2" xfId="14452"/>
    <cellStyle name="Input 2 2 13 2 3" xfId="14453"/>
    <cellStyle name="Input 2 2 13 2 4" xfId="14454"/>
    <cellStyle name="Input 2 2 13 3" xfId="518"/>
    <cellStyle name="Input 2 2 13 3 2" xfId="14455"/>
    <cellStyle name="Input 2 2 13 3 3" xfId="14456"/>
    <cellStyle name="Input 2 2 13 3 4" xfId="14457"/>
    <cellStyle name="Input 2 2 13 4" xfId="14458"/>
    <cellStyle name="Input 2 2 13 5" xfId="14459"/>
    <cellStyle name="Input 2 2 13 6" xfId="14460"/>
    <cellStyle name="Input 2 2 13 7" xfId="14461"/>
    <cellStyle name="Input 2 2 14" xfId="519"/>
    <cellStyle name="Input 2 2 14 2" xfId="14462"/>
    <cellStyle name="Input 2 2 14 2 2" xfId="14463"/>
    <cellStyle name="Input 2 2 14 2 3" xfId="14464"/>
    <cellStyle name="Input 2 2 14 2 4" xfId="14465"/>
    <cellStyle name="Input 2 2 14 3" xfId="14466"/>
    <cellStyle name="Input 2 2 14 3 2" xfId="14467"/>
    <cellStyle name="Input 2 2 14 3 3" xfId="14468"/>
    <cellStyle name="Input 2 2 14 3 4" xfId="14469"/>
    <cellStyle name="Input 2 2 14 4" xfId="14470"/>
    <cellStyle name="Input 2 2 14 5" xfId="14471"/>
    <cellStyle name="Input 2 2 14 6" xfId="14472"/>
    <cellStyle name="Input 2 2 14 7" xfId="14473"/>
    <cellStyle name="Input 2 2 15" xfId="520"/>
    <cellStyle name="Input 2 2 15 2" xfId="14474"/>
    <cellStyle name="Input 2 2 15 2 2" xfId="14475"/>
    <cellStyle name="Input 2 2 15 2 3" xfId="14476"/>
    <cellStyle name="Input 2 2 15 2 4" xfId="14477"/>
    <cellStyle name="Input 2 2 15 3" xfId="14478"/>
    <cellStyle name="Input 2 2 15 4" xfId="14479"/>
    <cellStyle name="Input 2 2 15 5" xfId="14480"/>
    <cellStyle name="Input 2 2 15 6" xfId="14481"/>
    <cellStyle name="Input 2 2 16" xfId="14482"/>
    <cellStyle name="Input 2 2 16 2" xfId="14483"/>
    <cellStyle name="Input 2 2 16 3" xfId="14484"/>
    <cellStyle name="Input 2 2 16 4" xfId="14485"/>
    <cellStyle name="Input 2 2 16 5" xfId="14486"/>
    <cellStyle name="Input 2 2 17" xfId="14487"/>
    <cellStyle name="Input 2 2 17 2" xfId="14488"/>
    <cellStyle name="Input 2 2 17 3" xfId="14489"/>
    <cellStyle name="Input 2 2 17 4" xfId="14490"/>
    <cellStyle name="Input 2 2 18" xfId="14491"/>
    <cellStyle name="Input 2 2 18 2" xfId="14492"/>
    <cellStyle name="Input 2 2 18 3" xfId="14493"/>
    <cellStyle name="Input 2 2 18 4" xfId="14494"/>
    <cellStyle name="Input 2 2 19" xfId="14495"/>
    <cellStyle name="Input 2 2 19 2" xfId="14496"/>
    <cellStyle name="Input 2 2 19 3" xfId="14497"/>
    <cellStyle name="Input 2 2 19 4" xfId="14498"/>
    <cellStyle name="Input 2 2 2" xfId="521"/>
    <cellStyle name="Input 2 2 2 10" xfId="14499"/>
    <cellStyle name="Input 2 2 2 10 2" xfId="14500"/>
    <cellStyle name="Input 2 2 2 10 2 2" xfId="14501"/>
    <cellStyle name="Input 2 2 2 10 2 3" xfId="14502"/>
    <cellStyle name="Input 2 2 2 10 2 4" xfId="14503"/>
    <cellStyle name="Input 2 2 2 10 3" xfId="14504"/>
    <cellStyle name="Input 2 2 2 10 3 2" xfId="14505"/>
    <cellStyle name="Input 2 2 2 10 3 3" xfId="14506"/>
    <cellStyle name="Input 2 2 2 10 3 4" xfId="14507"/>
    <cellStyle name="Input 2 2 2 10 4" xfId="14508"/>
    <cellStyle name="Input 2 2 2 10 5" xfId="14509"/>
    <cellStyle name="Input 2 2 2 10 6" xfId="14510"/>
    <cellStyle name="Input 2 2 2 10 7" xfId="14511"/>
    <cellStyle name="Input 2 2 2 11" xfId="14512"/>
    <cellStyle name="Input 2 2 2 11 2" xfId="14513"/>
    <cellStyle name="Input 2 2 2 11 2 2" xfId="14514"/>
    <cellStyle name="Input 2 2 2 11 2 3" xfId="14515"/>
    <cellStyle name="Input 2 2 2 11 2 4" xfId="14516"/>
    <cellStyle name="Input 2 2 2 11 3" xfId="14517"/>
    <cellStyle name="Input 2 2 2 11 3 2" xfId="14518"/>
    <cellStyle name="Input 2 2 2 11 3 3" xfId="14519"/>
    <cellStyle name="Input 2 2 2 11 3 4" xfId="14520"/>
    <cellStyle name="Input 2 2 2 11 4" xfId="14521"/>
    <cellStyle name="Input 2 2 2 11 5" xfId="14522"/>
    <cellStyle name="Input 2 2 2 11 6" xfId="14523"/>
    <cellStyle name="Input 2 2 2 11 7" xfId="14524"/>
    <cellStyle name="Input 2 2 2 12" xfId="14525"/>
    <cellStyle name="Input 2 2 2 12 2" xfId="14526"/>
    <cellStyle name="Input 2 2 2 12 2 2" xfId="14527"/>
    <cellStyle name="Input 2 2 2 12 2 3" xfId="14528"/>
    <cellStyle name="Input 2 2 2 12 2 4" xfId="14529"/>
    <cellStyle name="Input 2 2 2 12 3" xfId="14530"/>
    <cellStyle name="Input 2 2 2 12 3 2" xfId="14531"/>
    <cellStyle name="Input 2 2 2 12 3 3" xfId="14532"/>
    <cellStyle name="Input 2 2 2 12 3 4" xfId="14533"/>
    <cellStyle name="Input 2 2 2 12 4" xfId="14534"/>
    <cellStyle name="Input 2 2 2 12 5" xfId="14535"/>
    <cellStyle name="Input 2 2 2 12 6" xfId="14536"/>
    <cellStyle name="Input 2 2 2 12 7" xfId="14537"/>
    <cellStyle name="Input 2 2 2 13" xfId="14538"/>
    <cellStyle name="Input 2 2 2 13 2" xfId="14539"/>
    <cellStyle name="Input 2 2 2 13 2 2" xfId="14540"/>
    <cellStyle name="Input 2 2 2 13 2 3" xfId="14541"/>
    <cellStyle name="Input 2 2 2 13 2 4" xfId="14542"/>
    <cellStyle name="Input 2 2 2 13 3" xfId="14543"/>
    <cellStyle name="Input 2 2 2 13 3 2" xfId="14544"/>
    <cellStyle name="Input 2 2 2 13 3 3" xfId="14545"/>
    <cellStyle name="Input 2 2 2 13 3 4" xfId="14546"/>
    <cellStyle name="Input 2 2 2 13 4" xfId="14547"/>
    <cellStyle name="Input 2 2 2 13 5" xfId="14548"/>
    <cellStyle name="Input 2 2 2 13 6" xfId="14549"/>
    <cellStyle name="Input 2 2 2 13 7" xfId="14550"/>
    <cellStyle name="Input 2 2 2 14" xfId="14551"/>
    <cellStyle name="Input 2 2 2 14 2" xfId="14552"/>
    <cellStyle name="Input 2 2 2 14 2 2" xfId="14553"/>
    <cellStyle name="Input 2 2 2 14 2 3" xfId="14554"/>
    <cellStyle name="Input 2 2 2 14 2 4" xfId="14555"/>
    <cellStyle name="Input 2 2 2 14 3" xfId="14556"/>
    <cellStyle name="Input 2 2 2 14 4" xfId="14557"/>
    <cellStyle name="Input 2 2 2 14 5" xfId="14558"/>
    <cellStyle name="Input 2 2 2 14 6" xfId="14559"/>
    <cellStyle name="Input 2 2 2 15" xfId="14560"/>
    <cellStyle name="Input 2 2 2 15 2" xfId="14561"/>
    <cellStyle name="Input 2 2 2 15 3" xfId="14562"/>
    <cellStyle name="Input 2 2 2 15 4" xfId="14563"/>
    <cellStyle name="Input 2 2 2 15 5" xfId="14564"/>
    <cellStyle name="Input 2 2 2 16" xfId="14565"/>
    <cellStyle name="Input 2 2 2 16 2" xfId="14566"/>
    <cellStyle name="Input 2 2 2 16 3" xfId="14567"/>
    <cellStyle name="Input 2 2 2 16 4" xfId="14568"/>
    <cellStyle name="Input 2 2 2 17" xfId="14569"/>
    <cellStyle name="Input 2 2 2 17 2" xfId="14570"/>
    <cellStyle name="Input 2 2 2 17 3" xfId="14571"/>
    <cellStyle name="Input 2 2 2 17 4" xfId="14572"/>
    <cellStyle name="Input 2 2 2 18" xfId="14573"/>
    <cellStyle name="Input 2 2 2 18 2" xfId="14574"/>
    <cellStyle name="Input 2 2 2 18 3" xfId="14575"/>
    <cellStyle name="Input 2 2 2 18 4" xfId="14576"/>
    <cellStyle name="Input 2 2 2 19" xfId="14577"/>
    <cellStyle name="Input 2 2 2 2" xfId="522"/>
    <cellStyle name="Input 2 2 2 2 10" xfId="14578"/>
    <cellStyle name="Input 2 2 2 2 10 2" xfId="14579"/>
    <cellStyle name="Input 2 2 2 2 10 3" xfId="14580"/>
    <cellStyle name="Input 2 2 2 2 10 4" xfId="14581"/>
    <cellStyle name="Input 2 2 2 2 11" xfId="14582"/>
    <cellStyle name="Input 2 2 2 2 11 2" xfId="14583"/>
    <cellStyle name="Input 2 2 2 2 11 3" xfId="14584"/>
    <cellStyle name="Input 2 2 2 2 11 4" xfId="14585"/>
    <cellStyle name="Input 2 2 2 2 12" xfId="14586"/>
    <cellStyle name="Input 2 2 2 2 13" xfId="14587"/>
    <cellStyle name="Input 2 2 2 2 14" xfId="14588"/>
    <cellStyle name="Input 2 2 2 2 15" xfId="14589"/>
    <cellStyle name="Input 2 2 2 2 2" xfId="14590"/>
    <cellStyle name="Input 2 2 2 2 2 10" xfId="14591"/>
    <cellStyle name="Input 2 2 2 2 2 11" xfId="14592"/>
    <cellStyle name="Input 2 2 2 2 2 12" xfId="14593"/>
    <cellStyle name="Input 2 2 2 2 2 2" xfId="14594"/>
    <cellStyle name="Input 2 2 2 2 2 2 10" xfId="14595"/>
    <cellStyle name="Input 2 2 2 2 2 2 11" xfId="14596"/>
    <cellStyle name="Input 2 2 2 2 2 2 2" xfId="14597"/>
    <cellStyle name="Input 2 2 2 2 2 2 2 2" xfId="14598"/>
    <cellStyle name="Input 2 2 2 2 2 2 2 2 2" xfId="14599"/>
    <cellStyle name="Input 2 2 2 2 2 2 2 2 2 2" xfId="14600"/>
    <cellStyle name="Input 2 2 2 2 2 2 2 2 2 3" xfId="14601"/>
    <cellStyle name="Input 2 2 2 2 2 2 2 2 2 4" xfId="14602"/>
    <cellStyle name="Input 2 2 2 2 2 2 2 2 3" xfId="14603"/>
    <cellStyle name="Input 2 2 2 2 2 2 2 2 4" xfId="14604"/>
    <cellStyle name="Input 2 2 2 2 2 2 2 2 5" xfId="14605"/>
    <cellStyle name="Input 2 2 2 2 2 2 2 2 6" xfId="14606"/>
    <cellStyle name="Input 2 2 2 2 2 2 2 3" xfId="14607"/>
    <cellStyle name="Input 2 2 2 2 2 2 2 3 2" xfId="14608"/>
    <cellStyle name="Input 2 2 2 2 2 2 2 3 3" xfId="14609"/>
    <cellStyle name="Input 2 2 2 2 2 2 2 3 4" xfId="14610"/>
    <cellStyle name="Input 2 2 2 2 2 2 2 4" xfId="14611"/>
    <cellStyle name="Input 2 2 2 2 2 2 2 5" xfId="14612"/>
    <cellStyle name="Input 2 2 2 2 2 2 2 6" xfId="14613"/>
    <cellStyle name="Input 2 2 2 2 2 2 2 7" xfId="14614"/>
    <cellStyle name="Input 2 2 2 2 2 2 3" xfId="14615"/>
    <cellStyle name="Input 2 2 2 2 2 2 3 2" xfId="14616"/>
    <cellStyle name="Input 2 2 2 2 2 2 3 2 2" xfId="14617"/>
    <cellStyle name="Input 2 2 2 2 2 2 3 2 3" xfId="14618"/>
    <cellStyle name="Input 2 2 2 2 2 2 3 2 4" xfId="14619"/>
    <cellStyle name="Input 2 2 2 2 2 2 3 3" xfId="14620"/>
    <cellStyle name="Input 2 2 2 2 2 2 3 4" xfId="14621"/>
    <cellStyle name="Input 2 2 2 2 2 2 3 5" xfId="14622"/>
    <cellStyle name="Input 2 2 2 2 2 2 3 6" xfId="14623"/>
    <cellStyle name="Input 2 2 2 2 2 2 4" xfId="14624"/>
    <cellStyle name="Input 2 2 2 2 2 2 4 2" xfId="14625"/>
    <cellStyle name="Input 2 2 2 2 2 2 4 3" xfId="14626"/>
    <cellStyle name="Input 2 2 2 2 2 2 4 4" xfId="14627"/>
    <cellStyle name="Input 2 2 2 2 2 2 4 5" xfId="14628"/>
    <cellStyle name="Input 2 2 2 2 2 2 5" xfId="14629"/>
    <cellStyle name="Input 2 2 2 2 2 2 5 2" xfId="14630"/>
    <cellStyle name="Input 2 2 2 2 2 2 5 3" xfId="14631"/>
    <cellStyle name="Input 2 2 2 2 2 2 5 4" xfId="14632"/>
    <cellStyle name="Input 2 2 2 2 2 2 6" xfId="14633"/>
    <cellStyle name="Input 2 2 2 2 2 2 6 2" xfId="14634"/>
    <cellStyle name="Input 2 2 2 2 2 2 6 3" xfId="14635"/>
    <cellStyle name="Input 2 2 2 2 2 2 6 4" xfId="14636"/>
    <cellStyle name="Input 2 2 2 2 2 2 7" xfId="14637"/>
    <cellStyle name="Input 2 2 2 2 2 2 7 2" xfId="14638"/>
    <cellStyle name="Input 2 2 2 2 2 2 7 3" xfId="14639"/>
    <cellStyle name="Input 2 2 2 2 2 2 7 4" xfId="14640"/>
    <cellStyle name="Input 2 2 2 2 2 2 8" xfId="14641"/>
    <cellStyle name="Input 2 2 2 2 2 2 9" xfId="14642"/>
    <cellStyle name="Input 2 2 2 2 2 3" xfId="14643"/>
    <cellStyle name="Input 2 2 2 2 2 3 2" xfId="14644"/>
    <cellStyle name="Input 2 2 2 2 2 3 2 2" xfId="14645"/>
    <cellStyle name="Input 2 2 2 2 2 3 2 2 2" xfId="14646"/>
    <cellStyle name="Input 2 2 2 2 2 3 2 2 3" xfId="14647"/>
    <cellStyle name="Input 2 2 2 2 2 3 2 2 4" xfId="14648"/>
    <cellStyle name="Input 2 2 2 2 2 3 2 3" xfId="14649"/>
    <cellStyle name="Input 2 2 2 2 2 3 2 4" xfId="14650"/>
    <cellStyle name="Input 2 2 2 2 2 3 2 5" xfId="14651"/>
    <cellStyle name="Input 2 2 2 2 2 3 2 6" xfId="14652"/>
    <cellStyle name="Input 2 2 2 2 2 3 3" xfId="14653"/>
    <cellStyle name="Input 2 2 2 2 2 3 3 2" xfId="14654"/>
    <cellStyle name="Input 2 2 2 2 2 3 3 3" xfId="14655"/>
    <cellStyle name="Input 2 2 2 2 2 3 3 4" xfId="14656"/>
    <cellStyle name="Input 2 2 2 2 2 3 4" xfId="14657"/>
    <cellStyle name="Input 2 2 2 2 2 3 5" xfId="14658"/>
    <cellStyle name="Input 2 2 2 2 2 3 6" xfId="14659"/>
    <cellStyle name="Input 2 2 2 2 2 3 7" xfId="14660"/>
    <cellStyle name="Input 2 2 2 2 2 4" xfId="14661"/>
    <cellStyle name="Input 2 2 2 2 2 4 2" xfId="14662"/>
    <cellStyle name="Input 2 2 2 2 2 4 2 2" xfId="14663"/>
    <cellStyle name="Input 2 2 2 2 2 4 2 3" xfId="14664"/>
    <cellStyle name="Input 2 2 2 2 2 4 2 4" xfId="14665"/>
    <cellStyle name="Input 2 2 2 2 2 4 3" xfId="14666"/>
    <cellStyle name="Input 2 2 2 2 2 4 4" xfId="14667"/>
    <cellStyle name="Input 2 2 2 2 2 4 5" xfId="14668"/>
    <cellStyle name="Input 2 2 2 2 2 4 6" xfId="14669"/>
    <cellStyle name="Input 2 2 2 2 2 5" xfId="14670"/>
    <cellStyle name="Input 2 2 2 2 2 5 2" xfId="14671"/>
    <cellStyle name="Input 2 2 2 2 2 5 3" xfId="14672"/>
    <cellStyle name="Input 2 2 2 2 2 5 4" xfId="14673"/>
    <cellStyle name="Input 2 2 2 2 2 5 5" xfId="14674"/>
    <cellStyle name="Input 2 2 2 2 2 6" xfId="14675"/>
    <cellStyle name="Input 2 2 2 2 2 6 2" xfId="14676"/>
    <cellStyle name="Input 2 2 2 2 2 6 3" xfId="14677"/>
    <cellStyle name="Input 2 2 2 2 2 6 4" xfId="14678"/>
    <cellStyle name="Input 2 2 2 2 2 7" xfId="14679"/>
    <cellStyle name="Input 2 2 2 2 2 7 2" xfId="14680"/>
    <cellStyle name="Input 2 2 2 2 2 7 3" xfId="14681"/>
    <cellStyle name="Input 2 2 2 2 2 7 4" xfId="14682"/>
    <cellStyle name="Input 2 2 2 2 2 8" xfId="14683"/>
    <cellStyle name="Input 2 2 2 2 2 8 2" xfId="14684"/>
    <cellStyle name="Input 2 2 2 2 2 8 3" xfId="14685"/>
    <cellStyle name="Input 2 2 2 2 2 8 4" xfId="14686"/>
    <cellStyle name="Input 2 2 2 2 2 9" xfId="14687"/>
    <cellStyle name="Input 2 2 2 2 3" xfId="14688"/>
    <cellStyle name="Input 2 2 2 2 3 10" xfId="14689"/>
    <cellStyle name="Input 2 2 2 2 3 11" xfId="14690"/>
    <cellStyle name="Input 2 2 2 2 3 2" xfId="14691"/>
    <cellStyle name="Input 2 2 2 2 3 2 2" xfId="14692"/>
    <cellStyle name="Input 2 2 2 2 3 2 2 2" xfId="14693"/>
    <cellStyle name="Input 2 2 2 2 3 2 2 2 2" xfId="14694"/>
    <cellStyle name="Input 2 2 2 2 3 2 2 2 3" xfId="14695"/>
    <cellStyle name="Input 2 2 2 2 3 2 2 2 4" xfId="14696"/>
    <cellStyle name="Input 2 2 2 2 3 2 2 3" xfId="14697"/>
    <cellStyle name="Input 2 2 2 2 3 2 2 4" xfId="14698"/>
    <cellStyle name="Input 2 2 2 2 3 2 2 5" xfId="14699"/>
    <cellStyle name="Input 2 2 2 2 3 2 2 6" xfId="14700"/>
    <cellStyle name="Input 2 2 2 2 3 2 3" xfId="14701"/>
    <cellStyle name="Input 2 2 2 2 3 2 3 2" xfId="14702"/>
    <cellStyle name="Input 2 2 2 2 3 2 3 3" xfId="14703"/>
    <cellStyle name="Input 2 2 2 2 3 2 3 4" xfId="14704"/>
    <cellStyle name="Input 2 2 2 2 3 2 4" xfId="14705"/>
    <cellStyle name="Input 2 2 2 2 3 2 5" xfId="14706"/>
    <cellStyle name="Input 2 2 2 2 3 2 6" xfId="14707"/>
    <cellStyle name="Input 2 2 2 2 3 2 7" xfId="14708"/>
    <cellStyle name="Input 2 2 2 2 3 3" xfId="14709"/>
    <cellStyle name="Input 2 2 2 2 3 3 2" xfId="14710"/>
    <cellStyle name="Input 2 2 2 2 3 3 2 2" xfId="14711"/>
    <cellStyle name="Input 2 2 2 2 3 3 2 3" xfId="14712"/>
    <cellStyle name="Input 2 2 2 2 3 3 2 4" xfId="14713"/>
    <cellStyle name="Input 2 2 2 2 3 3 3" xfId="14714"/>
    <cellStyle name="Input 2 2 2 2 3 3 4" xfId="14715"/>
    <cellStyle name="Input 2 2 2 2 3 3 5" xfId="14716"/>
    <cellStyle name="Input 2 2 2 2 3 3 6" xfId="14717"/>
    <cellStyle name="Input 2 2 2 2 3 4" xfId="14718"/>
    <cellStyle name="Input 2 2 2 2 3 4 2" xfId="14719"/>
    <cellStyle name="Input 2 2 2 2 3 4 3" xfId="14720"/>
    <cellStyle name="Input 2 2 2 2 3 4 4" xfId="14721"/>
    <cellStyle name="Input 2 2 2 2 3 4 5" xfId="14722"/>
    <cellStyle name="Input 2 2 2 2 3 5" xfId="14723"/>
    <cellStyle name="Input 2 2 2 2 3 5 2" xfId="14724"/>
    <cellStyle name="Input 2 2 2 2 3 5 3" xfId="14725"/>
    <cellStyle name="Input 2 2 2 2 3 5 4" xfId="14726"/>
    <cellStyle name="Input 2 2 2 2 3 6" xfId="14727"/>
    <cellStyle name="Input 2 2 2 2 3 6 2" xfId="14728"/>
    <cellStyle name="Input 2 2 2 2 3 6 3" xfId="14729"/>
    <cellStyle name="Input 2 2 2 2 3 6 4" xfId="14730"/>
    <cellStyle name="Input 2 2 2 2 3 7" xfId="14731"/>
    <cellStyle name="Input 2 2 2 2 3 7 2" xfId="14732"/>
    <cellStyle name="Input 2 2 2 2 3 7 3" xfId="14733"/>
    <cellStyle name="Input 2 2 2 2 3 7 4" xfId="14734"/>
    <cellStyle name="Input 2 2 2 2 3 8" xfId="14735"/>
    <cellStyle name="Input 2 2 2 2 3 9" xfId="14736"/>
    <cellStyle name="Input 2 2 2 2 4" xfId="14737"/>
    <cellStyle name="Input 2 2 2 2 4 2" xfId="14738"/>
    <cellStyle name="Input 2 2 2 2 4 2 2" xfId="14739"/>
    <cellStyle name="Input 2 2 2 2 4 2 2 2" xfId="14740"/>
    <cellStyle name="Input 2 2 2 2 4 2 2 3" xfId="14741"/>
    <cellStyle name="Input 2 2 2 2 4 2 2 4" xfId="14742"/>
    <cellStyle name="Input 2 2 2 2 4 2 3" xfId="14743"/>
    <cellStyle name="Input 2 2 2 2 4 2 4" xfId="14744"/>
    <cellStyle name="Input 2 2 2 2 4 2 5" xfId="14745"/>
    <cellStyle name="Input 2 2 2 2 4 2 6" xfId="14746"/>
    <cellStyle name="Input 2 2 2 2 4 3" xfId="14747"/>
    <cellStyle name="Input 2 2 2 2 4 3 2" xfId="14748"/>
    <cellStyle name="Input 2 2 2 2 4 3 3" xfId="14749"/>
    <cellStyle name="Input 2 2 2 2 4 3 4" xfId="14750"/>
    <cellStyle name="Input 2 2 2 2 4 4" xfId="14751"/>
    <cellStyle name="Input 2 2 2 2 4 5" xfId="14752"/>
    <cellStyle name="Input 2 2 2 2 4 6" xfId="14753"/>
    <cellStyle name="Input 2 2 2 2 4 7" xfId="14754"/>
    <cellStyle name="Input 2 2 2 2 5" xfId="14755"/>
    <cellStyle name="Input 2 2 2 2 5 2" xfId="14756"/>
    <cellStyle name="Input 2 2 2 2 5 2 2" xfId="14757"/>
    <cellStyle name="Input 2 2 2 2 5 2 3" xfId="14758"/>
    <cellStyle name="Input 2 2 2 2 5 2 4" xfId="14759"/>
    <cellStyle name="Input 2 2 2 2 5 3" xfId="14760"/>
    <cellStyle name="Input 2 2 2 2 5 3 2" xfId="14761"/>
    <cellStyle name="Input 2 2 2 2 5 3 3" xfId="14762"/>
    <cellStyle name="Input 2 2 2 2 5 3 4" xfId="14763"/>
    <cellStyle name="Input 2 2 2 2 5 4" xfId="14764"/>
    <cellStyle name="Input 2 2 2 2 5 5" xfId="14765"/>
    <cellStyle name="Input 2 2 2 2 5 6" xfId="14766"/>
    <cellStyle name="Input 2 2 2 2 5 7" xfId="14767"/>
    <cellStyle name="Input 2 2 2 2 6" xfId="14768"/>
    <cellStyle name="Input 2 2 2 2 6 2" xfId="14769"/>
    <cellStyle name="Input 2 2 2 2 6 2 2" xfId="14770"/>
    <cellStyle name="Input 2 2 2 2 6 2 3" xfId="14771"/>
    <cellStyle name="Input 2 2 2 2 6 2 4" xfId="14772"/>
    <cellStyle name="Input 2 2 2 2 6 3" xfId="14773"/>
    <cellStyle name="Input 2 2 2 2 6 3 2" xfId="14774"/>
    <cellStyle name="Input 2 2 2 2 6 3 3" xfId="14775"/>
    <cellStyle name="Input 2 2 2 2 6 3 4" xfId="14776"/>
    <cellStyle name="Input 2 2 2 2 6 4" xfId="14777"/>
    <cellStyle name="Input 2 2 2 2 6 5" xfId="14778"/>
    <cellStyle name="Input 2 2 2 2 6 6" xfId="14779"/>
    <cellStyle name="Input 2 2 2 2 6 7" xfId="14780"/>
    <cellStyle name="Input 2 2 2 2 7" xfId="14781"/>
    <cellStyle name="Input 2 2 2 2 7 2" xfId="14782"/>
    <cellStyle name="Input 2 2 2 2 7 2 2" xfId="14783"/>
    <cellStyle name="Input 2 2 2 2 7 2 3" xfId="14784"/>
    <cellStyle name="Input 2 2 2 2 7 2 4" xfId="14785"/>
    <cellStyle name="Input 2 2 2 2 7 3" xfId="14786"/>
    <cellStyle name="Input 2 2 2 2 7 3 2" xfId="14787"/>
    <cellStyle name="Input 2 2 2 2 7 3 3" xfId="14788"/>
    <cellStyle name="Input 2 2 2 2 7 3 4" xfId="14789"/>
    <cellStyle name="Input 2 2 2 2 7 4" xfId="14790"/>
    <cellStyle name="Input 2 2 2 2 7 5" xfId="14791"/>
    <cellStyle name="Input 2 2 2 2 7 6" xfId="14792"/>
    <cellStyle name="Input 2 2 2 2 7 7" xfId="14793"/>
    <cellStyle name="Input 2 2 2 2 8" xfId="14794"/>
    <cellStyle name="Input 2 2 2 2 8 2" xfId="14795"/>
    <cellStyle name="Input 2 2 2 2 8 2 2" xfId="14796"/>
    <cellStyle name="Input 2 2 2 2 8 2 3" xfId="14797"/>
    <cellStyle name="Input 2 2 2 2 8 2 4" xfId="14798"/>
    <cellStyle name="Input 2 2 2 2 8 3" xfId="14799"/>
    <cellStyle name="Input 2 2 2 2 8 4" xfId="14800"/>
    <cellStyle name="Input 2 2 2 2 8 5" xfId="14801"/>
    <cellStyle name="Input 2 2 2 2 8 6" xfId="14802"/>
    <cellStyle name="Input 2 2 2 2 9" xfId="14803"/>
    <cellStyle name="Input 2 2 2 2 9 2" xfId="14804"/>
    <cellStyle name="Input 2 2 2 2 9 3" xfId="14805"/>
    <cellStyle name="Input 2 2 2 2 9 4" xfId="14806"/>
    <cellStyle name="Input 2 2 2 2 9 5" xfId="14807"/>
    <cellStyle name="Input 2 2 2 20" xfId="14808"/>
    <cellStyle name="Input 2 2 2 21" xfId="14809"/>
    <cellStyle name="Input 2 2 2 22" xfId="14810"/>
    <cellStyle name="Input 2 2 2 3" xfId="14811"/>
    <cellStyle name="Input 2 2 2 3 10" xfId="14812"/>
    <cellStyle name="Input 2 2 2 3 10 2" xfId="14813"/>
    <cellStyle name="Input 2 2 2 3 10 3" xfId="14814"/>
    <cellStyle name="Input 2 2 2 3 10 4" xfId="14815"/>
    <cellStyle name="Input 2 2 2 3 11" xfId="14816"/>
    <cellStyle name="Input 2 2 2 3 11 2" xfId="14817"/>
    <cellStyle name="Input 2 2 2 3 11 3" xfId="14818"/>
    <cellStyle name="Input 2 2 2 3 11 4" xfId="14819"/>
    <cellStyle name="Input 2 2 2 3 12" xfId="14820"/>
    <cellStyle name="Input 2 2 2 3 13" xfId="14821"/>
    <cellStyle name="Input 2 2 2 3 14" xfId="14822"/>
    <cellStyle name="Input 2 2 2 3 15" xfId="14823"/>
    <cellStyle name="Input 2 2 2 3 2" xfId="14824"/>
    <cellStyle name="Input 2 2 2 3 2 10" xfId="14825"/>
    <cellStyle name="Input 2 2 2 3 2 11" xfId="14826"/>
    <cellStyle name="Input 2 2 2 3 2 12" xfId="14827"/>
    <cellStyle name="Input 2 2 2 3 2 2" xfId="14828"/>
    <cellStyle name="Input 2 2 2 3 2 2 10" xfId="14829"/>
    <cellStyle name="Input 2 2 2 3 2 2 11" xfId="14830"/>
    <cellStyle name="Input 2 2 2 3 2 2 2" xfId="14831"/>
    <cellStyle name="Input 2 2 2 3 2 2 2 2" xfId="14832"/>
    <cellStyle name="Input 2 2 2 3 2 2 2 2 2" xfId="14833"/>
    <cellStyle name="Input 2 2 2 3 2 2 2 2 2 2" xfId="14834"/>
    <cellStyle name="Input 2 2 2 3 2 2 2 2 2 3" xfId="14835"/>
    <cellStyle name="Input 2 2 2 3 2 2 2 2 2 4" xfId="14836"/>
    <cellStyle name="Input 2 2 2 3 2 2 2 2 3" xfId="14837"/>
    <cellStyle name="Input 2 2 2 3 2 2 2 2 4" xfId="14838"/>
    <cellStyle name="Input 2 2 2 3 2 2 2 2 5" xfId="14839"/>
    <cellStyle name="Input 2 2 2 3 2 2 2 2 6" xfId="14840"/>
    <cellStyle name="Input 2 2 2 3 2 2 2 3" xfId="14841"/>
    <cellStyle name="Input 2 2 2 3 2 2 2 3 2" xfId="14842"/>
    <cellStyle name="Input 2 2 2 3 2 2 2 3 3" xfId="14843"/>
    <cellStyle name="Input 2 2 2 3 2 2 2 3 4" xfId="14844"/>
    <cellStyle name="Input 2 2 2 3 2 2 2 4" xfId="14845"/>
    <cellStyle name="Input 2 2 2 3 2 2 2 5" xfId="14846"/>
    <cellStyle name="Input 2 2 2 3 2 2 2 6" xfId="14847"/>
    <cellStyle name="Input 2 2 2 3 2 2 2 7" xfId="14848"/>
    <cellStyle name="Input 2 2 2 3 2 2 3" xfId="14849"/>
    <cellStyle name="Input 2 2 2 3 2 2 3 2" xfId="14850"/>
    <cellStyle name="Input 2 2 2 3 2 2 3 2 2" xfId="14851"/>
    <cellStyle name="Input 2 2 2 3 2 2 3 2 3" xfId="14852"/>
    <cellStyle name="Input 2 2 2 3 2 2 3 2 4" xfId="14853"/>
    <cellStyle name="Input 2 2 2 3 2 2 3 3" xfId="14854"/>
    <cellStyle name="Input 2 2 2 3 2 2 3 4" xfId="14855"/>
    <cellStyle name="Input 2 2 2 3 2 2 3 5" xfId="14856"/>
    <cellStyle name="Input 2 2 2 3 2 2 3 6" xfId="14857"/>
    <cellStyle name="Input 2 2 2 3 2 2 4" xfId="14858"/>
    <cellStyle name="Input 2 2 2 3 2 2 4 2" xfId="14859"/>
    <cellStyle name="Input 2 2 2 3 2 2 4 3" xfId="14860"/>
    <cellStyle name="Input 2 2 2 3 2 2 4 4" xfId="14861"/>
    <cellStyle name="Input 2 2 2 3 2 2 4 5" xfId="14862"/>
    <cellStyle name="Input 2 2 2 3 2 2 5" xfId="14863"/>
    <cellStyle name="Input 2 2 2 3 2 2 5 2" xfId="14864"/>
    <cellStyle name="Input 2 2 2 3 2 2 5 3" xfId="14865"/>
    <cellStyle name="Input 2 2 2 3 2 2 5 4" xfId="14866"/>
    <cellStyle name="Input 2 2 2 3 2 2 6" xfId="14867"/>
    <cellStyle name="Input 2 2 2 3 2 2 6 2" xfId="14868"/>
    <cellStyle name="Input 2 2 2 3 2 2 6 3" xfId="14869"/>
    <cellStyle name="Input 2 2 2 3 2 2 6 4" xfId="14870"/>
    <cellStyle name="Input 2 2 2 3 2 2 7" xfId="14871"/>
    <cellStyle name="Input 2 2 2 3 2 2 7 2" xfId="14872"/>
    <cellStyle name="Input 2 2 2 3 2 2 7 3" xfId="14873"/>
    <cellStyle name="Input 2 2 2 3 2 2 7 4" xfId="14874"/>
    <cellStyle name="Input 2 2 2 3 2 2 8" xfId="14875"/>
    <cellStyle name="Input 2 2 2 3 2 2 9" xfId="14876"/>
    <cellStyle name="Input 2 2 2 3 2 3" xfId="14877"/>
    <cellStyle name="Input 2 2 2 3 2 3 2" xfId="14878"/>
    <cellStyle name="Input 2 2 2 3 2 3 2 2" xfId="14879"/>
    <cellStyle name="Input 2 2 2 3 2 3 2 2 2" xfId="14880"/>
    <cellStyle name="Input 2 2 2 3 2 3 2 2 3" xfId="14881"/>
    <cellStyle name="Input 2 2 2 3 2 3 2 2 4" xfId="14882"/>
    <cellStyle name="Input 2 2 2 3 2 3 2 3" xfId="14883"/>
    <cellStyle name="Input 2 2 2 3 2 3 2 4" xfId="14884"/>
    <cellStyle name="Input 2 2 2 3 2 3 2 5" xfId="14885"/>
    <cellStyle name="Input 2 2 2 3 2 3 2 6" xfId="14886"/>
    <cellStyle name="Input 2 2 2 3 2 3 3" xfId="14887"/>
    <cellStyle name="Input 2 2 2 3 2 3 3 2" xfId="14888"/>
    <cellStyle name="Input 2 2 2 3 2 3 3 3" xfId="14889"/>
    <cellStyle name="Input 2 2 2 3 2 3 3 4" xfId="14890"/>
    <cellStyle name="Input 2 2 2 3 2 3 4" xfId="14891"/>
    <cellStyle name="Input 2 2 2 3 2 3 5" xfId="14892"/>
    <cellStyle name="Input 2 2 2 3 2 3 6" xfId="14893"/>
    <cellStyle name="Input 2 2 2 3 2 3 7" xfId="14894"/>
    <cellStyle name="Input 2 2 2 3 2 4" xfId="14895"/>
    <cellStyle name="Input 2 2 2 3 2 4 2" xfId="14896"/>
    <cellStyle name="Input 2 2 2 3 2 4 2 2" xfId="14897"/>
    <cellStyle name="Input 2 2 2 3 2 4 2 3" xfId="14898"/>
    <cellStyle name="Input 2 2 2 3 2 4 2 4" xfId="14899"/>
    <cellStyle name="Input 2 2 2 3 2 4 3" xfId="14900"/>
    <cellStyle name="Input 2 2 2 3 2 4 4" xfId="14901"/>
    <cellStyle name="Input 2 2 2 3 2 4 5" xfId="14902"/>
    <cellStyle name="Input 2 2 2 3 2 4 6" xfId="14903"/>
    <cellStyle name="Input 2 2 2 3 2 5" xfId="14904"/>
    <cellStyle name="Input 2 2 2 3 2 5 2" xfId="14905"/>
    <cellStyle name="Input 2 2 2 3 2 5 3" xfId="14906"/>
    <cellStyle name="Input 2 2 2 3 2 5 4" xfId="14907"/>
    <cellStyle name="Input 2 2 2 3 2 5 5" xfId="14908"/>
    <cellStyle name="Input 2 2 2 3 2 6" xfId="14909"/>
    <cellStyle name="Input 2 2 2 3 2 6 2" xfId="14910"/>
    <cellStyle name="Input 2 2 2 3 2 6 3" xfId="14911"/>
    <cellStyle name="Input 2 2 2 3 2 6 4" xfId="14912"/>
    <cellStyle name="Input 2 2 2 3 2 7" xfId="14913"/>
    <cellStyle name="Input 2 2 2 3 2 7 2" xfId="14914"/>
    <cellStyle name="Input 2 2 2 3 2 7 3" xfId="14915"/>
    <cellStyle name="Input 2 2 2 3 2 7 4" xfId="14916"/>
    <cellStyle name="Input 2 2 2 3 2 8" xfId="14917"/>
    <cellStyle name="Input 2 2 2 3 2 8 2" xfId="14918"/>
    <cellStyle name="Input 2 2 2 3 2 8 3" xfId="14919"/>
    <cellStyle name="Input 2 2 2 3 2 8 4" xfId="14920"/>
    <cellStyle name="Input 2 2 2 3 2 9" xfId="14921"/>
    <cellStyle name="Input 2 2 2 3 3" xfId="14922"/>
    <cellStyle name="Input 2 2 2 3 3 10" xfId="14923"/>
    <cellStyle name="Input 2 2 2 3 3 11" xfId="14924"/>
    <cellStyle name="Input 2 2 2 3 3 2" xfId="14925"/>
    <cellStyle name="Input 2 2 2 3 3 2 2" xfId="14926"/>
    <cellStyle name="Input 2 2 2 3 3 2 2 2" xfId="14927"/>
    <cellStyle name="Input 2 2 2 3 3 2 2 2 2" xfId="14928"/>
    <cellStyle name="Input 2 2 2 3 3 2 2 2 3" xfId="14929"/>
    <cellStyle name="Input 2 2 2 3 3 2 2 2 4" xfId="14930"/>
    <cellStyle name="Input 2 2 2 3 3 2 2 3" xfId="14931"/>
    <cellStyle name="Input 2 2 2 3 3 2 2 4" xfId="14932"/>
    <cellStyle name="Input 2 2 2 3 3 2 2 5" xfId="14933"/>
    <cellStyle name="Input 2 2 2 3 3 2 2 6" xfId="14934"/>
    <cellStyle name="Input 2 2 2 3 3 2 3" xfId="14935"/>
    <cellStyle name="Input 2 2 2 3 3 2 3 2" xfId="14936"/>
    <cellStyle name="Input 2 2 2 3 3 2 3 3" xfId="14937"/>
    <cellStyle name="Input 2 2 2 3 3 2 3 4" xfId="14938"/>
    <cellStyle name="Input 2 2 2 3 3 2 4" xfId="14939"/>
    <cellStyle name="Input 2 2 2 3 3 2 5" xfId="14940"/>
    <cellStyle name="Input 2 2 2 3 3 2 6" xfId="14941"/>
    <cellStyle name="Input 2 2 2 3 3 2 7" xfId="14942"/>
    <cellStyle name="Input 2 2 2 3 3 3" xfId="14943"/>
    <cellStyle name="Input 2 2 2 3 3 3 2" xfId="14944"/>
    <cellStyle name="Input 2 2 2 3 3 3 2 2" xfId="14945"/>
    <cellStyle name="Input 2 2 2 3 3 3 2 3" xfId="14946"/>
    <cellStyle name="Input 2 2 2 3 3 3 2 4" xfId="14947"/>
    <cellStyle name="Input 2 2 2 3 3 3 3" xfId="14948"/>
    <cellStyle name="Input 2 2 2 3 3 3 4" xfId="14949"/>
    <cellStyle name="Input 2 2 2 3 3 3 5" xfId="14950"/>
    <cellStyle name="Input 2 2 2 3 3 3 6" xfId="14951"/>
    <cellStyle name="Input 2 2 2 3 3 4" xfId="14952"/>
    <cellStyle name="Input 2 2 2 3 3 4 2" xfId="14953"/>
    <cellStyle name="Input 2 2 2 3 3 4 3" xfId="14954"/>
    <cellStyle name="Input 2 2 2 3 3 4 4" xfId="14955"/>
    <cellStyle name="Input 2 2 2 3 3 4 5" xfId="14956"/>
    <cellStyle name="Input 2 2 2 3 3 5" xfId="14957"/>
    <cellStyle name="Input 2 2 2 3 3 5 2" xfId="14958"/>
    <cellStyle name="Input 2 2 2 3 3 5 3" xfId="14959"/>
    <cellStyle name="Input 2 2 2 3 3 5 4" xfId="14960"/>
    <cellStyle name="Input 2 2 2 3 3 6" xfId="14961"/>
    <cellStyle name="Input 2 2 2 3 3 6 2" xfId="14962"/>
    <cellStyle name="Input 2 2 2 3 3 6 3" xfId="14963"/>
    <cellStyle name="Input 2 2 2 3 3 6 4" xfId="14964"/>
    <cellStyle name="Input 2 2 2 3 3 7" xfId="14965"/>
    <cellStyle name="Input 2 2 2 3 3 7 2" xfId="14966"/>
    <cellStyle name="Input 2 2 2 3 3 7 3" xfId="14967"/>
    <cellStyle name="Input 2 2 2 3 3 7 4" xfId="14968"/>
    <cellStyle name="Input 2 2 2 3 3 8" xfId="14969"/>
    <cellStyle name="Input 2 2 2 3 3 9" xfId="14970"/>
    <cellStyle name="Input 2 2 2 3 4" xfId="14971"/>
    <cellStyle name="Input 2 2 2 3 4 2" xfId="14972"/>
    <cellStyle name="Input 2 2 2 3 4 2 2" xfId="14973"/>
    <cellStyle name="Input 2 2 2 3 4 2 2 2" xfId="14974"/>
    <cellStyle name="Input 2 2 2 3 4 2 2 3" xfId="14975"/>
    <cellStyle name="Input 2 2 2 3 4 2 2 4" xfId="14976"/>
    <cellStyle name="Input 2 2 2 3 4 2 3" xfId="14977"/>
    <cellStyle name="Input 2 2 2 3 4 2 4" xfId="14978"/>
    <cellStyle name="Input 2 2 2 3 4 2 5" xfId="14979"/>
    <cellStyle name="Input 2 2 2 3 4 2 6" xfId="14980"/>
    <cellStyle name="Input 2 2 2 3 4 3" xfId="14981"/>
    <cellStyle name="Input 2 2 2 3 4 3 2" xfId="14982"/>
    <cellStyle name="Input 2 2 2 3 4 3 3" xfId="14983"/>
    <cellStyle name="Input 2 2 2 3 4 3 4" xfId="14984"/>
    <cellStyle name="Input 2 2 2 3 4 4" xfId="14985"/>
    <cellStyle name="Input 2 2 2 3 4 5" xfId="14986"/>
    <cellStyle name="Input 2 2 2 3 4 6" xfId="14987"/>
    <cellStyle name="Input 2 2 2 3 4 7" xfId="14988"/>
    <cellStyle name="Input 2 2 2 3 5" xfId="14989"/>
    <cellStyle name="Input 2 2 2 3 5 2" xfId="14990"/>
    <cellStyle name="Input 2 2 2 3 5 2 2" xfId="14991"/>
    <cellStyle name="Input 2 2 2 3 5 2 3" xfId="14992"/>
    <cellStyle name="Input 2 2 2 3 5 2 4" xfId="14993"/>
    <cellStyle name="Input 2 2 2 3 5 3" xfId="14994"/>
    <cellStyle name="Input 2 2 2 3 5 3 2" xfId="14995"/>
    <cellStyle name="Input 2 2 2 3 5 3 3" xfId="14996"/>
    <cellStyle name="Input 2 2 2 3 5 3 4" xfId="14997"/>
    <cellStyle name="Input 2 2 2 3 5 4" xfId="14998"/>
    <cellStyle name="Input 2 2 2 3 5 5" xfId="14999"/>
    <cellStyle name="Input 2 2 2 3 5 6" xfId="15000"/>
    <cellStyle name="Input 2 2 2 3 5 7" xfId="15001"/>
    <cellStyle name="Input 2 2 2 3 6" xfId="15002"/>
    <cellStyle name="Input 2 2 2 3 6 2" xfId="15003"/>
    <cellStyle name="Input 2 2 2 3 6 2 2" xfId="15004"/>
    <cellStyle name="Input 2 2 2 3 6 2 3" xfId="15005"/>
    <cellStyle name="Input 2 2 2 3 6 2 4" xfId="15006"/>
    <cellStyle name="Input 2 2 2 3 6 3" xfId="15007"/>
    <cellStyle name="Input 2 2 2 3 6 3 2" xfId="15008"/>
    <cellStyle name="Input 2 2 2 3 6 3 3" xfId="15009"/>
    <cellStyle name="Input 2 2 2 3 6 3 4" xfId="15010"/>
    <cellStyle name="Input 2 2 2 3 6 4" xfId="15011"/>
    <cellStyle name="Input 2 2 2 3 6 5" xfId="15012"/>
    <cellStyle name="Input 2 2 2 3 6 6" xfId="15013"/>
    <cellStyle name="Input 2 2 2 3 6 7" xfId="15014"/>
    <cellStyle name="Input 2 2 2 3 7" xfId="15015"/>
    <cellStyle name="Input 2 2 2 3 7 2" xfId="15016"/>
    <cellStyle name="Input 2 2 2 3 7 2 2" xfId="15017"/>
    <cellStyle name="Input 2 2 2 3 7 2 3" xfId="15018"/>
    <cellStyle name="Input 2 2 2 3 7 2 4" xfId="15019"/>
    <cellStyle name="Input 2 2 2 3 7 3" xfId="15020"/>
    <cellStyle name="Input 2 2 2 3 7 3 2" xfId="15021"/>
    <cellStyle name="Input 2 2 2 3 7 3 3" xfId="15022"/>
    <cellStyle name="Input 2 2 2 3 7 3 4" xfId="15023"/>
    <cellStyle name="Input 2 2 2 3 7 4" xfId="15024"/>
    <cellStyle name="Input 2 2 2 3 7 5" xfId="15025"/>
    <cellStyle name="Input 2 2 2 3 7 6" xfId="15026"/>
    <cellStyle name="Input 2 2 2 3 7 7" xfId="15027"/>
    <cellStyle name="Input 2 2 2 3 8" xfId="15028"/>
    <cellStyle name="Input 2 2 2 3 8 2" xfId="15029"/>
    <cellStyle name="Input 2 2 2 3 8 2 2" xfId="15030"/>
    <cellStyle name="Input 2 2 2 3 8 2 3" xfId="15031"/>
    <cellStyle name="Input 2 2 2 3 8 2 4" xfId="15032"/>
    <cellStyle name="Input 2 2 2 3 8 3" xfId="15033"/>
    <cellStyle name="Input 2 2 2 3 8 4" xfId="15034"/>
    <cellStyle name="Input 2 2 2 3 8 5" xfId="15035"/>
    <cellStyle name="Input 2 2 2 3 8 6" xfId="15036"/>
    <cellStyle name="Input 2 2 2 3 9" xfId="15037"/>
    <cellStyle name="Input 2 2 2 3 9 2" xfId="15038"/>
    <cellStyle name="Input 2 2 2 3 9 3" xfId="15039"/>
    <cellStyle name="Input 2 2 2 3 9 4" xfId="15040"/>
    <cellStyle name="Input 2 2 2 3 9 5" xfId="15041"/>
    <cellStyle name="Input 2 2 2 4" xfId="15042"/>
    <cellStyle name="Input 2 2 2 4 10" xfId="15043"/>
    <cellStyle name="Input 2 2 2 4 10 2" xfId="15044"/>
    <cellStyle name="Input 2 2 2 4 10 3" xfId="15045"/>
    <cellStyle name="Input 2 2 2 4 10 4" xfId="15046"/>
    <cellStyle name="Input 2 2 2 4 11" xfId="15047"/>
    <cellStyle name="Input 2 2 2 4 11 2" xfId="15048"/>
    <cellStyle name="Input 2 2 2 4 11 3" xfId="15049"/>
    <cellStyle name="Input 2 2 2 4 11 4" xfId="15050"/>
    <cellStyle name="Input 2 2 2 4 12" xfId="15051"/>
    <cellStyle name="Input 2 2 2 4 12 2" xfId="15052"/>
    <cellStyle name="Input 2 2 2 4 12 3" xfId="15053"/>
    <cellStyle name="Input 2 2 2 4 12 4" xfId="15054"/>
    <cellStyle name="Input 2 2 2 4 13" xfId="15055"/>
    <cellStyle name="Input 2 2 2 4 14" xfId="15056"/>
    <cellStyle name="Input 2 2 2 4 15" xfId="15057"/>
    <cellStyle name="Input 2 2 2 4 16" xfId="15058"/>
    <cellStyle name="Input 2 2 2 4 2" xfId="15059"/>
    <cellStyle name="Input 2 2 2 4 2 10" xfId="15060"/>
    <cellStyle name="Input 2 2 2 4 2 11" xfId="15061"/>
    <cellStyle name="Input 2 2 2 4 2 12" xfId="15062"/>
    <cellStyle name="Input 2 2 2 4 2 2" xfId="15063"/>
    <cellStyle name="Input 2 2 2 4 2 2 10" xfId="15064"/>
    <cellStyle name="Input 2 2 2 4 2 2 11" xfId="15065"/>
    <cellStyle name="Input 2 2 2 4 2 2 2" xfId="15066"/>
    <cellStyle name="Input 2 2 2 4 2 2 2 2" xfId="15067"/>
    <cellStyle name="Input 2 2 2 4 2 2 2 2 2" xfId="15068"/>
    <cellStyle name="Input 2 2 2 4 2 2 2 2 2 2" xfId="15069"/>
    <cellStyle name="Input 2 2 2 4 2 2 2 2 2 3" xfId="15070"/>
    <cellStyle name="Input 2 2 2 4 2 2 2 2 2 4" xfId="15071"/>
    <cellStyle name="Input 2 2 2 4 2 2 2 2 3" xfId="15072"/>
    <cellStyle name="Input 2 2 2 4 2 2 2 2 4" xfId="15073"/>
    <cellStyle name="Input 2 2 2 4 2 2 2 2 5" xfId="15074"/>
    <cellStyle name="Input 2 2 2 4 2 2 2 2 6" xfId="15075"/>
    <cellStyle name="Input 2 2 2 4 2 2 2 3" xfId="15076"/>
    <cellStyle name="Input 2 2 2 4 2 2 2 3 2" xfId="15077"/>
    <cellStyle name="Input 2 2 2 4 2 2 2 3 3" xfId="15078"/>
    <cellStyle name="Input 2 2 2 4 2 2 2 3 4" xfId="15079"/>
    <cellStyle name="Input 2 2 2 4 2 2 2 4" xfId="15080"/>
    <cellStyle name="Input 2 2 2 4 2 2 2 5" xfId="15081"/>
    <cellStyle name="Input 2 2 2 4 2 2 2 6" xfId="15082"/>
    <cellStyle name="Input 2 2 2 4 2 2 2 7" xfId="15083"/>
    <cellStyle name="Input 2 2 2 4 2 2 3" xfId="15084"/>
    <cellStyle name="Input 2 2 2 4 2 2 3 2" xfId="15085"/>
    <cellStyle name="Input 2 2 2 4 2 2 3 2 2" xfId="15086"/>
    <cellStyle name="Input 2 2 2 4 2 2 3 2 3" xfId="15087"/>
    <cellStyle name="Input 2 2 2 4 2 2 3 2 4" xfId="15088"/>
    <cellStyle name="Input 2 2 2 4 2 2 3 3" xfId="15089"/>
    <cellStyle name="Input 2 2 2 4 2 2 3 4" xfId="15090"/>
    <cellStyle name="Input 2 2 2 4 2 2 3 5" xfId="15091"/>
    <cellStyle name="Input 2 2 2 4 2 2 3 6" xfId="15092"/>
    <cellStyle name="Input 2 2 2 4 2 2 4" xfId="15093"/>
    <cellStyle name="Input 2 2 2 4 2 2 4 2" xfId="15094"/>
    <cellStyle name="Input 2 2 2 4 2 2 4 3" xfId="15095"/>
    <cellStyle name="Input 2 2 2 4 2 2 4 4" xfId="15096"/>
    <cellStyle name="Input 2 2 2 4 2 2 4 5" xfId="15097"/>
    <cellStyle name="Input 2 2 2 4 2 2 5" xfId="15098"/>
    <cellStyle name="Input 2 2 2 4 2 2 5 2" xfId="15099"/>
    <cellStyle name="Input 2 2 2 4 2 2 5 3" xfId="15100"/>
    <cellStyle name="Input 2 2 2 4 2 2 5 4" xfId="15101"/>
    <cellStyle name="Input 2 2 2 4 2 2 6" xfId="15102"/>
    <cellStyle name="Input 2 2 2 4 2 2 6 2" xfId="15103"/>
    <cellStyle name="Input 2 2 2 4 2 2 6 3" xfId="15104"/>
    <cellStyle name="Input 2 2 2 4 2 2 6 4" xfId="15105"/>
    <cellStyle name="Input 2 2 2 4 2 2 7" xfId="15106"/>
    <cellStyle name="Input 2 2 2 4 2 2 7 2" xfId="15107"/>
    <cellStyle name="Input 2 2 2 4 2 2 7 3" xfId="15108"/>
    <cellStyle name="Input 2 2 2 4 2 2 7 4" xfId="15109"/>
    <cellStyle name="Input 2 2 2 4 2 2 8" xfId="15110"/>
    <cellStyle name="Input 2 2 2 4 2 2 9" xfId="15111"/>
    <cellStyle name="Input 2 2 2 4 2 3" xfId="15112"/>
    <cellStyle name="Input 2 2 2 4 2 3 2" xfId="15113"/>
    <cellStyle name="Input 2 2 2 4 2 3 2 2" xfId="15114"/>
    <cellStyle name="Input 2 2 2 4 2 3 2 2 2" xfId="15115"/>
    <cellStyle name="Input 2 2 2 4 2 3 2 2 3" xfId="15116"/>
    <cellStyle name="Input 2 2 2 4 2 3 2 2 4" xfId="15117"/>
    <cellStyle name="Input 2 2 2 4 2 3 2 3" xfId="15118"/>
    <cellStyle name="Input 2 2 2 4 2 3 2 4" xfId="15119"/>
    <cellStyle name="Input 2 2 2 4 2 3 2 5" xfId="15120"/>
    <cellStyle name="Input 2 2 2 4 2 3 2 6" xfId="15121"/>
    <cellStyle name="Input 2 2 2 4 2 3 3" xfId="15122"/>
    <cellStyle name="Input 2 2 2 4 2 3 3 2" xfId="15123"/>
    <cellStyle name="Input 2 2 2 4 2 3 3 3" xfId="15124"/>
    <cellStyle name="Input 2 2 2 4 2 3 3 4" xfId="15125"/>
    <cellStyle name="Input 2 2 2 4 2 3 4" xfId="15126"/>
    <cellStyle name="Input 2 2 2 4 2 3 5" xfId="15127"/>
    <cellStyle name="Input 2 2 2 4 2 3 6" xfId="15128"/>
    <cellStyle name="Input 2 2 2 4 2 3 7" xfId="15129"/>
    <cellStyle name="Input 2 2 2 4 2 4" xfId="15130"/>
    <cellStyle name="Input 2 2 2 4 2 4 2" xfId="15131"/>
    <cellStyle name="Input 2 2 2 4 2 4 2 2" xfId="15132"/>
    <cellStyle name="Input 2 2 2 4 2 4 2 3" xfId="15133"/>
    <cellStyle name="Input 2 2 2 4 2 4 2 4" xfId="15134"/>
    <cellStyle name="Input 2 2 2 4 2 4 3" xfId="15135"/>
    <cellStyle name="Input 2 2 2 4 2 4 4" xfId="15136"/>
    <cellStyle name="Input 2 2 2 4 2 4 5" xfId="15137"/>
    <cellStyle name="Input 2 2 2 4 2 4 6" xfId="15138"/>
    <cellStyle name="Input 2 2 2 4 2 5" xfId="15139"/>
    <cellStyle name="Input 2 2 2 4 2 5 2" xfId="15140"/>
    <cellStyle name="Input 2 2 2 4 2 5 3" xfId="15141"/>
    <cellStyle name="Input 2 2 2 4 2 5 4" xfId="15142"/>
    <cellStyle name="Input 2 2 2 4 2 5 5" xfId="15143"/>
    <cellStyle name="Input 2 2 2 4 2 6" xfId="15144"/>
    <cellStyle name="Input 2 2 2 4 2 6 2" xfId="15145"/>
    <cellStyle name="Input 2 2 2 4 2 6 3" xfId="15146"/>
    <cellStyle name="Input 2 2 2 4 2 6 4" xfId="15147"/>
    <cellStyle name="Input 2 2 2 4 2 7" xfId="15148"/>
    <cellStyle name="Input 2 2 2 4 2 7 2" xfId="15149"/>
    <cellStyle name="Input 2 2 2 4 2 7 3" xfId="15150"/>
    <cellStyle name="Input 2 2 2 4 2 7 4" xfId="15151"/>
    <cellStyle name="Input 2 2 2 4 2 8" xfId="15152"/>
    <cellStyle name="Input 2 2 2 4 2 8 2" xfId="15153"/>
    <cellStyle name="Input 2 2 2 4 2 8 3" xfId="15154"/>
    <cellStyle name="Input 2 2 2 4 2 8 4" xfId="15155"/>
    <cellStyle name="Input 2 2 2 4 2 9" xfId="15156"/>
    <cellStyle name="Input 2 2 2 4 3" xfId="15157"/>
    <cellStyle name="Input 2 2 2 4 3 10" xfId="15158"/>
    <cellStyle name="Input 2 2 2 4 3 11" xfId="15159"/>
    <cellStyle name="Input 2 2 2 4 3 2" xfId="15160"/>
    <cellStyle name="Input 2 2 2 4 3 2 2" xfId="15161"/>
    <cellStyle name="Input 2 2 2 4 3 2 2 2" xfId="15162"/>
    <cellStyle name="Input 2 2 2 4 3 2 2 2 2" xfId="15163"/>
    <cellStyle name="Input 2 2 2 4 3 2 2 2 3" xfId="15164"/>
    <cellStyle name="Input 2 2 2 4 3 2 2 2 4" xfId="15165"/>
    <cellStyle name="Input 2 2 2 4 3 2 2 3" xfId="15166"/>
    <cellStyle name="Input 2 2 2 4 3 2 2 4" xfId="15167"/>
    <cellStyle name="Input 2 2 2 4 3 2 2 5" xfId="15168"/>
    <cellStyle name="Input 2 2 2 4 3 2 2 6" xfId="15169"/>
    <cellStyle name="Input 2 2 2 4 3 2 3" xfId="15170"/>
    <cellStyle name="Input 2 2 2 4 3 2 3 2" xfId="15171"/>
    <cellStyle name="Input 2 2 2 4 3 2 3 3" xfId="15172"/>
    <cellStyle name="Input 2 2 2 4 3 2 3 4" xfId="15173"/>
    <cellStyle name="Input 2 2 2 4 3 2 4" xfId="15174"/>
    <cellStyle name="Input 2 2 2 4 3 2 5" xfId="15175"/>
    <cellStyle name="Input 2 2 2 4 3 2 6" xfId="15176"/>
    <cellStyle name="Input 2 2 2 4 3 2 7" xfId="15177"/>
    <cellStyle name="Input 2 2 2 4 3 3" xfId="15178"/>
    <cellStyle name="Input 2 2 2 4 3 3 2" xfId="15179"/>
    <cellStyle name="Input 2 2 2 4 3 3 2 2" xfId="15180"/>
    <cellStyle name="Input 2 2 2 4 3 3 2 3" xfId="15181"/>
    <cellStyle name="Input 2 2 2 4 3 3 2 4" xfId="15182"/>
    <cellStyle name="Input 2 2 2 4 3 3 3" xfId="15183"/>
    <cellStyle name="Input 2 2 2 4 3 3 4" xfId="15184"/>
    <cellStyle name="Input 2 2 2 4 3 3 5" xfId="15185"/>
    <cellStyle name="Input 2 2 2 4 3 3 6" xfId="15186"/>
    <cellStyle name="Input 2 2 2 4 3 4" xfId="15187"/>
    <cellStyle name="Input 2 2 2 4 3 4 2" xfId="15188"/>
    <cellStyle name="Input 2 2 2 4 3 4 3" xfId="15189"/>
    <cellStyle name="Input 2 2 2 4 3 4 4" xfId="15190"/>
    <cellStyle name="Input 2 2 2 4 3 4 5" xfId="15191"/>
    <cellStyle name="Input 2 2 2 4 3 5" xfId="15192"/>
    <cellStyle name="Input 2 2 2 4 3 5 2" xfId="15193"/>
    <cellStyle name="Input 2 2 2 4 3 5 3" xfId="15194"/>
    <cellStyle name="Input 2 2 2 4 3 5 4" xfId="15195"/>
    <cellStyle name="Input 2 2 2 4 3 6" xfId="15196"/>
    <cellStyle name="Input 2 2 2 4 3 6 2" xfId="15197"/>
    <cellStyle name="Input 2 2 2 4 3 6 3" xfId="15198"/>
    <cellStyle name="Input 2 2 2 4 3 6 4" xfId="15199"/>
    <cellStyle name="Input 2 2 2 4 3 7" xfId="15200"/>
    <cellStyle name="Input 2 2 2 4 3 7 2" xfId="15201"/>
    <cellStyle name="Input 2 2 2 4 3 7 3" xfId="15202"/>
    <cellStyle name="Input 2 2 2 4 3 7 4" xfId="15203"/>
    <cellStyle name="Input 2 2 2 4 3 8" xfId="15204"/>
    <cellStyle name="Input 2 2 2 4 3 9" xfId="15205"/>
    <cellStyle name="Input 2 2 2 4 4" xfId="15206"/>
    <cellStyle name="Input 2 2 2 4 4 2" xfId="15207"/>
    <cellStyle name="Input 2 2 2 4 4 2 2" xfId="15208"/>
    <cellStyle name="Input 2 2 2 4 4 2 2 2" xfId="15209"/>
    <cellStyle name="Input 2 2 2 4 4 2 2 3" xfId="15210"/>
    <cellStyle name="Input 2 2 2 4 4 2 2 4" xfId="15211"/>
    <cellStyle name="Input 2 2 2 4 4 2 3" xfId="15212"/>
    <cellStyle name="Input 2 2 2 4 4 2 4" xfId="15213"/>
    <cellStyle name="Input 2 2 2 4 4 2 5" xfId="15214"/>
    <cellStyle name="Input 2 2 2 4 4 2 6" xfId="15215"/>
    <cellStyle name="Input 2 2 2 4 4 3" xfId="15216"/>
    <cellStyle name="Input 2 2 2 4 4 3 2" xfId="15217"/>
    <cellStyle name="Input 2 2 2 4 4 3 3" xfId="15218"/>
    <cellStyle name="Input 2 2 2 4 4 3 4" xfId="15219"/>
    <cellStyle name="Input 2 2 2 4 4 4" xfId="15220"/>
    <cellStyle name="Input 2 2 2 4 4 5" xfId="15221"/>
    <cellStyle name="Input 2 2 2 4 4 6" xfId="15222"/>
    <cellStyle name="Input 2 2 2 4 4 7" xfId="15223"/>
    <cellStyle name="Input 2 2 2 4 5" xfId="15224"/>
    <cellStyle name="Input 2 2 2 4 5 2" xfId="15225"/>
    <cellStyle name="Input 2 2 2 4 5 2 2" xfId="15226"/>
    <cellStyle name="Input 2 2 2 4 5 2 3" xfId="15227"/>
    <cellStyle name="Input 2 2 2 4 5 2 4" xfId="15228"/>
    <cellStyle name="Input 2 2 2 4 5 3" xfId="15229"/>
    <cellStyle name="Input 2 2 2 4 5 3 2" xfId="15230"/>
    <cellStyle name="Input 2 2 2 4 5 3 3" xfId="15231"/>
    <cellStyle name="Input 2 2 2 4 5 3 4" xfId="15232"/>
    <cellStyle name="Input 2 2 2 4 5 4" xfId="15233"/>
    <cellStyle name="Input 2 2 2 4 5 5" xfId="15234"/>
    <cellStyle name="Input 2 2 2 4 5 6" xfId="15235"/>
    <cellStyle name="Input 2 2 2 4 5 7" xfId="15236"/>
    <cellStyle name="Input 2 2 2 4 6" xfId="15237"/>
    <cellStyle name="Input 2 2 2 4 6 2" xfId="15238"/>
    <cellStyle name="Input 2 2 2 4 6 2 2" xfId="15239"/>
    <cellStyle name="Input 2 2 2 4 6 2 3" xfId="15240"/>
    <cellStyle name="Input 2 2 2 4 6 2 4" xfId="15241"/>
    <cellStyle name="Input 2 2 2 4 6 3" xfId="15242"/>
    <cellStyle name="Input 2 2 2 4 6 3 2" xfId="15243"/>
    <cellStyle name="Input 2 2 2 4 6 3 3" xfId="15244"/>
    <cellStyle name="Input 2 2 2 4 6 3 4" xfId="15245"/>
    <cellStyle name="Input 2 2 2 4 6 4" xfId="15246"/>
    <cellStyle name="Input 2 2 2 4 6 5" xfId="15247"/>
    <cellStyle name="Input 2 2 2 4 6 6" xfId="15248"/>
    <cellStyle name="Input 2 2 2 4 6 7" xfId="15249"/>
    <cellStyle name="Input 2 2 2 4 7" xfId="15250"/>
    <cellStyle name="Input 2 2 2 4 7 2" xfId="15251"/>
    <cellStyle name="Input 2 2 2 4 7 2 2" xfId="15252"/>
    <cellStyle name="Input 2 2 2 4 7 2 3" xfId="15253"/>
    <cellStyle name="Input 2 2 2 4 7 2 4" xfId="15254"/>
    <cellStyle name="Input 2 2 2 4 7 3" xfId="15255"/>
    <cellStyle name="Input 2 2 2 4 7 3 2" xfId="15256"/>
    <cellStyle name="Input 2 2 2 4 7 3 3" xfId="15257"/>
    <cellStyle name="Input 2 2 2 4 7 3 4" xfId="15258"/>
    <cellStyle name="Input 2 2 2 4 7 4" xfId="15259"/>
    <cellStyle name="Input 2 2 2 4 7 5" xfId="15260"/>
    <cellStyle name="Input 2 2 2 4 7 6" xfId="15261"/>
    <cellStyle name="Input 2 2 2 4 7 7" xfId="15262"/>
    <cellStyle name="Input 2 2 2 4 8" xfId="15263"/>
    <cellStyle name="Input 2 2 2 4 8 2" xfId="15264"/>
    <cellStyle name="Input 2 2 2 4 8 2 2" xfId="15265"/>
    <cellStyle name="Input 2 2 2 4 8 2 3" xfId="15266"/>
    <cellStyle name="Input 2 2 2 4 8 2 4" xfId="15267"/>
    <cellStyle name="Input 2 2 2 4 8 3" xfId="15268"/>
    <cellStyle name="Input 2 2 2 4 8 4" xfId="15269"/>
    <cellStyle name="Input 2 2 2 4 8 5" xfId="15270"/>
    <cellStyle name="Input 2 2 2 4 8 6" xfId="15271"/>
    <cellStyle name="Input 2 2 2 4 9" xfId="15272"/>
    <cellStyle name="Input 2 2 2 4 9 2" xfId="15273"/>
    <cellStyle name="Input 2 2 2 4 9 3" xfId="15274"/>
    <cellStyle name="Input 2 2 2 4 9 4" xfId="15275"/>
    <cellStyle name="Input 2 2 2 4 9 5" xfId="15276"/>
    <cellStyle name="Input 2 2 2 5" xfId="15277"/>
    <cellStyle name="Input 2 2 2 5 10" xfId="15278"/>
    <cellStyle name="Input 2 2 2 5 11" xfId="15279"/>
    <cellStyle name="Input 2 2 2 5 12" xfId="15280"/>
    <cellStyle name="Input 2 2 2 5 13" xfId="15281"/>
    <cellStyle name="Input 2 2 2 5 2" xfId="15282"/>
    <cellStyle name="Input 2 2 2 5 2 10" xfId="15283"/>
    <cellStyle name="Input 2 2 2 5 2 11" xfId="15284"/>
    <cellStyle name="Input 2 2 2 5 2 12" xfId="15285"/>
    <cellStyle name="Input 2 2 2 5 2 2" xfId="15286"/>
    <cellStyle name="Input 2 2 2 5 2 2 10" xfId="15287"/>
    <cellStyle name="Input 2 2 2 5 2 2 11" xfId="15288"/>
    <cellStyle name="Input 2 2 2 5 2 2 2" xfId="15289"/>
    <cellStyle name="Input 2 2 2 5 2 2 2 2" xfId="15290"/>
    <cellStyle name="Input 2 2 2 5 2 2 2 2 2" xfId="15291"/>
    <cellStyle name="Input 2 2 2 5 2 2 2 2 2 2" xfId="15292"/>
    <cellStyle name="Input 2 2 2 5 2 2 2 2 2 3" xfId="15293"/>
    <cellStyle name="Input 2 2 2 5 2 2 2 2 2 4" xfId="15294"/>
    <cellStyle name="Input 2 2 2 5 2 2 2 2 3" xfId="15295"/>
    <cellStyle name="Input 2 2 2 5 2 2 2 2 4" xfId="15296"/>
    <cellStyle name="Input 2 2 2 5 2 2 2 2 5" xfId="15297"/>
    <cellStyle name="Input 2 2 2 5 2 2 2 2 6" xfId="15298"/>
    <cellStyle name="Input 2 2 2 5 2 2 2 3" xfId="15299"/>
    <cellStyle name="Input 2 2 2 5 2 2 2 3 2" xfId="15300"/>
    <cellStyle name="Input 2 2 2 5 2 2 2 3 3" xfId="15301"/>
    <cellStyle name="Input 2 2 2 5 2 2 2 3 4" xfId="15302"/>
    <cellStyle name="Input 2 2 2 5 2 2 2 4" xfId="15303"/>
    <cellStyle name="Input 2 2 2 5 2 2 2 5" xfId="15304"/>
    <cellStyle name="Input 2 2 2 5 2 2 2 6" xfId="15305"/>
    <cellStyle name="Input 2 2 2 5 2 2 2 7" xfId="15306"/>
    <cellStyle name="Input 2 2 2 5 2 2 3" xfId="15307"/>
    <cellStyle name="Input 2 2 2 5 2 2 3 2" xfId="15308"/>
    <cellStyle name="Input 2 2 2 5 2 2 3 2 2" xfId="15309"/>
    <cellStyle name="Input 2 2 2 5 2 2 3 2 3" xfId="15310"/>
    <cellStyle name="Input 2 2 2 5 2 2 3 2 4" xfId="15311"/>
    <cellStyle name="Input 2 2 2 5 2 2 3 3" xfId="15312"/>
    <cellStyle name="Input 2 2 2 5 2 2 3 4" xfId="15313"/>
    <cellStyle name="Input 2 2 2 5 2 2 3 5" xfId="15314"/>
    <cellStyle name="Input 2 2 2 5 2 2 3 6" xfId="15315"/>
    <cellStyle name="Input 2 2 2 5 2 2 4" xfId="15316"/>
    <cellStyle name="Input 2 2 2 5 2 2 4 2" xfId="15317"/>
    <cellStyle name="Input 2 2 2 5 2 2 4 3" xfId="15318"/>
    <cellStyle name="Input 2 2 2 5 2 2 4 4" xfId="15319"/>
    <cellStyle name="Input 2 2 2 5 2 2 4 5" xfId="15320"/>
    <cellStyle name="Input 2 2 2 5 2 2 5" xfId="15321"/>
    <cellStyle name="Input 2 2 2 5 2 2 5 2" xfId="15322"/>
    <cellStyle name="Input 2 2 2 5 2 2 5 3" xfId="15323"/>
    <cellStyle name="Input 2 2 2 5 2 2 5 4" xfId="15324"/>
    <cellStyle name="Input 2 2 2 5 2 2 6" xfId="15325"/>
    <cellStyle name="Input 2 2 2 5 2 2 6 2" xfId="15326"/>
    <cellStyle name="Input 2 2 2 5 2 2 6 3" xfId="15327"/>
    <cellStyle name="Input 2 2 2 5 2 2 6 4" xfId="15328"/>
    <cellStyle name="Input 2 2 2 5 2 2 7" xfId="15329"/>
    <cellStyle name="Input 2 2 2 5 2 2 7 2" xfId="15330"/>
    <cellStyle name="Input 2 2 2 5 2 2 7 3" xfId="15331"/>
    <cellStyle name="Input 2 2 2 5 2 2 7 4" xfId="15332"/>
    <cellStyle name="Input 2 2 2 5 2 2 8" xfId="15333"/>
    <cellStyle name="Input 2 2 2 5 2 2 9" xfId="15334"/>
    <cellStyle name="Input 2 2 2 5 2 3" xfId="15335"/>
    <cellStyle name="Input 2 2 2 5 2 3 2" xfId="15336"/>
    <cellStyle name="Input 2 2 2 5 2 3 2 2" xfId="15337"/>
    <cellStyle name="Input 2 2 2 5 2 3 2 2 2" xfId="15338"/>
    <cellStyle name="Input 2 2 2 5 2 3 2 2 3" xfId="15339"/>
    <cellStyle name="Input 2 2 2 5 2 3 2 2 4" xfId="15340"/>
    <cellStyle name="Input 2 2 2 5 2 3 2 3" xfId="15341"/>
    <cellStyle name="Input 2 2 2 5 2 3 2 4" xfId="15342"/>
    <cellStyle name="Input 2 2 2 5 2 3 2 5" xfId="15343"/>
    <cellStyle name="Input 2 2 2 5 2 3 2 6" xfId="15344"/>
    <cellStyle name="Input 2 2 2 5 2 3 3" xfId="15345"/>
    <cellStyle name="Input 2 2 2 5 2 3 3 2" xfId="15346"/>
    <cellStyle name="Input 2 2 2 5 2 3 3 3" xfId="15347"/>
    <cellStyle name="Input 2 2 2 5 2 3 3 4" xfId="15348"/>
    <cellStyle name="Input 2 2 2 5 2 3 4" xfId="15349"/>
    <cellStyle name="Input 2 2 2 5 2 3 5" xfId="15350"/>
    <cellStyle name="Input 2 2 2 5 2 3 6" xfId="15351"/>
    <cellStyle name="Input 2 2 2 5 2 3 7" xfId="15352"/>
    <cellStyle name="Input 2 2 2 5 2 4" xfId="15353"/>
    <cellStyle name="Input 2 2 2 5 2 4 2" xfId="15354"/>
    <cellStyle name="Input 2 2 2 5 2 4 2 2" xfId="15355"/>
    <cellStyle name="Input 2 2 2 5 2 4 2 3" xfId="15356"/>
    <cellStyle name="Input 2 2 2 5 2 4 2 4" xfId="15357"/>
    <cellStyle name="Input 2 2 2 5 2 4 3" xfId="15358"/>
    <cellStyle name="Input 2 2 2 5 2 4 4" xfId="15359"/>
    <cellStyle name="Input 2 2 2 5 2 4 5" xfId="15360"/>
    <cellStyle name="Input 2 2 2 5 2 4 6" xfId="15361"/>
    <cellStyle name="Input 2 2 2 5 2 5" xfId="15362"/>
    <cellStyle name="Input 2 2 2 5 2 5 2" xfId="15363"/>
    <cellStyle name="Input 2 2 2 5 2 5 3" xfId="15364"/>
    <cellStyle name="Input 2 2 2 5 2 5 4" xfId="15365"/>
    <cellStyle name="Input 2 2 2 5 2 5 5" xfId="15366"/>
    <cellStyle name="Input 2 2 2 5 2 6" xfId="15367"/>
    <cellStyle name="Input 2 2 2 5 2 6 2" xfId="15368"/>
    <cellStyle name="Input 2 2 2 5 2 6 3" xfId="15369"/>
    <cellStyle name="Input 2 2 2 5 2 6 4" xfId="15370"/>
    <cellStyle name="Input 2 2 2 5 2 7" xfId="15371"/>
    <cellStyle name="Input 2 2 2 5 2 7 2" xfId="15372"/>
    <cellStyle name="Input 2 2 2 5 2 7 3" xfId="15373"/>
    <cellStyle name="Input 2 2 2 5 2 7 4" xfId="15374"/>
    <cellStyle name="Input 2 2 2 5 2 8" xfId="15375"/>
    <cellStyle name="Input 2 2 2 5 2 8 2" xfId="15376"/>
    <cellStyle name="Input 2 2 2 5 2 8 3" xfId="15377"/>
    <cellStyle name="Input 2 2 2 5 2 8 4" xfId="15378"/>
    <cellStyle name="Input 2 2 2 5 2 9" xfId="15379"/>
    <cellStyle name="Input 2 2 2 5 3" xfId="15380"/>
    <cellStyle name="Input 2 2 2 5 3 10" xfId="15381"/>
    <cellStyle name="Input 2 2 2 5 3 11" xfId="15382"/>
    <cellStyle name="Input 2 2 2 5 3 2" xfId="15383"/>
    <cellStyle name="Input 2 2 2 5 3 2 2" xfId="15384"/>
    <cellStyle name="Input 2 2 2 5 3 2 2 2" xfId="15385"/>
    <cellStyle name="Input 2 2 2 5 3 2 2 2 2" xfId="15386"/>
    <cellStyle name="Input 2 2 2 5 3 2 2 2 3" xfId="15387"/>
    <cellStyle name="Input 2 2 2 5 3 2 2 2 4" xfId="15388"/>
    <cellStyle name="Input 2 2 2 5 3 2 2 3" xfId="15389"/>
    <cellStyle name="Input 2 2 2 5 3 2 2 4" xfId="15390"/>
    <cellStyle name="Input 2 2 2 5 3 2 2 5" xfId="15391"/>
    <cellStyle name="Input 2 2 2 5 3 2 2 6" xfId="15392"/>
    <cellStyle name="Input 2 2 2 5 3 2 3" xfId="15393"/>
    <cellStyle name="Input 2 2 2 5 3 2 3 2" xfId="15394"/>
    <cellStyle name="Input 2 2 2 5 3 2 3 3" xfId="15395"/>
    <cellStyle name="Input 2 2 2 5 3 2 3 4" xfId="15396"/>
    <cellStyle name="Input 2 2 2 5 3 2 4" xfId="15397"/>
    <cellStyle name="Input 2 2 2 5 3 2 5" xfId="15398"/>
    <cellStyle name="Input 2 2 2 5 3 2 6" xfId="15399"/>
    <cellStyle name="Input 2 2 2 5 3 2 7" xfId="15400"/>
    <cellStyle name="Input 2 2 2 5 3 3" xfId="15401"/>
    <cellStyle name="Input 2 2 2 5 3 3 2" xfId="15402"/>
    <cellStyle name="Input 2 2 2 5 3 3 2 2" xfId="15403"/>
    <cellStyle name="Input 2 2 2 5 3 3 2 3" xfId="15404"/>
    <cellStyle name="Input 2 2 2 5 3 3 2 4" xfId="15405"/>
    <cellStyle name="Input 2 2 2 5 3 3 3" xfId="15406"/>
    <cellStyle name="Input 2 2 2 5 3 3 4" xfId="15407"/>
    <cellStyle name="Input 2 2 2 5 3 3 5" xfId="15408"/>
    <cellStyle name="Input 2 2 2 5 3 3 6" xfId="15409"/>
    <cellStyle name="Input 2 2 2 5 3 4" xfId="15410"/>
    <cellStyle name="Input 2 2 2 5 3 4 2" xfId="15411"/>
    <cellStyle name="Input 2 2 2 5 3 4 3" xfId="15412"/>
    <cellStyle name="Input 2 2 2 5 3 4 4" xfId="15413"/>
    <cellStyle name="Input 2 2 2 5 3 4 5" xfId="15414"/>
    <cellStyle name="Input 2 2 2 5 3 5" xfId="15415"/>
    <cellStyle name="Input 2 2 2 5 3 5 2" xfId="15416"/>
    <cellStyle name="Input 2 2 2 5 3 5 3" xfId="15417"/>
    <cellStyle name="Input 2 2 2 5 3 5 4" xfId="15418"/>
    <cellStyle name="Input 2 2 2 5 3 6" xfId="15419"/>
    <cellStyle name="Input 2 2 2 5 3 6 2" xfId="15420"/>
    <cellStyle name="Input 2 2 2 5 3 6 3" xfId="15421"/>
    <cellStyle name="Input 2 2 2 5 3 6 4" xfId="15422"/>
    <cellStyle name="Input 2 2 2 5 3 7" xfId="15423"/>
    <cellStyle name="Input 2 2 2 5 3 7 2" xfId="15424"/>
    <cellStyle name="Input 2 2 2 5 3 7 3" xfId="15425"/>
    <cellStyle name="Input 2 2 2 5 3 7 4" xfId="15426"/>
    <cellStyle name="Input 2 2 2 5 3 8" xfId="15427"/>
    <cellStyle name="Input 2 2 2 5 3 9" xfId="15428"/>
    <cellStyle name="Input 2 2 2 5 4" xfId="15429"/>
    <cellStyle name="Input 2 2 2 5 4 2" xfId="15430"/>
    <cellStyle name="Input 2 2 2 5 4 2 2" xfId="15431"/>
    <cellStyle name="Input 2 2 2 5 4 2 2 2" xfId="15432"/>
    <cellStyle name="Input 2 2 2 5 4 2 2 3" xfId="15433"/>
    <cellStyle name="Input 2 2 2 5 4 2 2 4" xfId="15434"/>
    <cellStyle name="Input 2 2 2 5 4 2 3" xfId="15435"/>
    <cellStyle name="Input 2 2 2 5 4 2 4" xfId="15436"/>
    <cellStyle name="Input 2 2 2 5 4 2 5" xfId="15437"/>
    <cellStyle name="Input 2 2 2 5 4 2 6" xfId="15438"/>
    <cellStyle name="Input 2 2 2 5 4 3" xfId="15439"/>
    <cellStyle name="Input 2 2 2 5 4 3 2" xfId="15440"/>
    <cellStyle name="Input 2 2 2 5 4 3 3" xfId="15441"/>
    <cellStyle name="Input 2 2 2 5 4 3 4" xfId="15442"/>
    <cellStyle name="Input 2 2 2 5 4 4" xfId="15443"/>
    <cellStyle name="Input 2 2 2 5 4 5" xfId="15444"/>
    <cellStyle name="Input 2 2 2 5 4 6" xfId="15445"/>
    <cellStyle name="Input 2 2 2 5 4 7" xfId="15446"/>
    <cellStyle name="Input 2 2 2 5 5" xfId="15447"/>
    <cellStyle name="Input 2 2 2 5 5 2" xfId="15448"/>
    <cellStyle name="Input 2 2 2 5 5 2 2" xfId="15449"/>
    <cellStyle name="Input 2 2 2 5 5 2 3" xfId="15450"/>
    <cellStyle name="Input 2 2 2 5 5 2 4" xfId="15451"/>
    <cellStyle name="Input 2 2 2 5 5 3" xfId="15452"/>
    <cellStyle name="Input 2 2 2 5 5 4" xfId="15453"/>
    <cellStyle name="Input 2 2 2 5 5 5" xfId="15454"/>
    <cellStyle name="Input 2 2 2 5 5 6" xfId="15455"/>
    <cellStyle name="Input 2 2 2 5 6" xfId="15456"/>
    <cellStyle name="Input 2 2 2 5 6 2" xfId="15457"/>
    <cellStyle name="Input 2 2 2 5 6 3" xfId="15458"/>
    <cellStyle name="Input 2 2 2 5 6 4" xfId="15459"/>
    <cellStyle name="Input 2 2 2 5 6 5" xfId="15460"/>
    <cellStyle name="Input 2 2 2 5 7" xfId="15461"/>
    <cellStyle name="Input 2 2 2 5 7 2" xfId="15462"/>
    <cellStyle name="Input 2 2 2 5 7 3" xfId="15463"/>
    <cellStyle name="Input 2 2 2 5 7 4" xfId="15464"/>
    <cellStyle name="Input 2 2 2 5 8" xfId="15465"/>
    <cellStyle name="Input 2 2 2 5 8 2" xfId="15466"/>
    <cellStyle name="Input 2 2 2 5 8 3" xfId="15467"/>
    <cellStyle name="Input 2 2 2 5 8 4" xfId="15468"/>
    <cellStyle name="Input 2 2 2 5 9" xfId="15469"/>
    <cellStyle name="Input 2 2 2 5 9 2" xfId="15470"/>
    <cellStyle name="Input 2 2 2 5 9 3" xfId="15471"/>
    <cellStyle name="Input 2 2 2 5 9 4" xfId="15472"/>
    <cellStyle name="Input 2 2 2 6" xfId="15473"/>
    <cellStyle name="Input 2 2 2 6 10" xfId="15474"/>
    <cellStyle name="Input 2 2 2 6 11" xfId="15475"/>
    <cellStyle name="Input 2 2 2 6 12" xfId="15476"/>
    <cellStyle name="Input 2 2 2 6 13" xfId="15477"/>
    <cellStyle name="Input 2 2 2 6 2" xfId="15478"/>
    <cellStyle name="Input 2 2 2 6 2 10" xfId="15479"/>
    <cellStyle name="Input 2 2 2 6 2 11" xfId="15480"/>
    <cellStyle name="Input 2 2 2 6 2 2" xfId="15481"/>
    <cellStyle name="Input 2 2 2 6 2 2 2" xfId="15482"/>
    <cellStyle name="Input 2 2 2 6 2 2 2 2" xfId="15483"/>
    <cellStyle name="Input 2 2 2 6 2 2 2 2 2" xfId="15484"/>
    <cellStyle name="Input 2 2 2 6 2 2 2 2 3" xfId="15485"/>
    <cellStyle name="Input 2 2 2 6 2 2 2 2 4" xfId="15486"/>
    <cellStyle name="Input 2 2 2 6 2 2 2 3" xfId="15487"/>
    <cellStyle name="Input 2 2 2 6 2 2 2 4" xfId="15488"/>
    <cellStyle name="Input 2 2 2 6 2 2 2 5" xfId="15489"/>
    <cellStyle name="Input 2 2 2 6 2 2 2 6" xfId="15490"/>
    <cellStyle name="Input 2 2 2 6 2 2 3" xfId="15491"/>
    <cellStyle name="Input 2 2 2 6 2 2 3 2" xfId="15492"/>
    <cellStyle name="Input 2 2 2 6 2 2 3 3" xfId="15493"/>
    <cellStyle name="Input 2 2 2 6 2 2 3 4" xfId="15494"/>
    <cellStyle name="Input 2 2 2 6 2 2 4" xfId="15495"/>
    <cellStyle name="Input 2 2 2 6 2 2 5" xfId="15496"/>
    <cellStyle name="Input 2 2 2 6 2 2 6" xfId="15497"/>
    <cellStyle name="Input 2 2 2 6 2 2 7" xfId="15498"/>
    <cellStyle name="Input 2 2 2 6 2 3" xfId="15499"/>
    <cellStyle name="Input 2 2 2 6 2 3 2" xfId="15500"/>
    <cellStyle name="Input 2 2 2 6 2 3 2 2" xfId="15501"/>
    <cellStyle name="Input 2 2 2 6 2 3 2 3" xfId="15502"/>
    <cellStyle name="Input 2 2 2 6 2 3 2 4" xfId="15503"/>
    <cellStyle name="Input 2 2 2 6 2 3 3" xfId="15504"/>
    <cellStyle name="Input 2 2 2 6 2 3 4" xfId="15505"/>
    <cellStyle name="Input 2 2 2 6 2 3 5" xfId="15506"/>
    <cellStyle name="Input 2 2 2 6 2 3 6" xfId="15507"/>
    <cellStyle name="Input 2 2 2 6 2 4" xfId="15508"/>
    <cellStyle name="Input 2 2 2 6 2 4 2" xfId="15509"/>
    <cellStyle name="Input 2 2 2 6 2 4 3" xfId="15510"/>
    <cellStyle name="Input 2 2 2 6 2 4 4" xfId="15511"/>
    <cellStyle name="Input 2 2 2 6 2 4 5" xfId="15512"/>
    <cellStyle name="Input 2 2 2 6 2 5" xfId="15513"/>
    <cellStyle name="Input 2 2 2 6 2 5 2" xfId="15514"/>
    <cellStyle name="Input 2 2 2 6 2 5 3" xfId="15515"/>
    <cellStyle name="Input 2 2 2 6 2 5 4" xfId="15516"/>
    <cellStyle name="Input 2 2 2 6 2 6" xfId="15517"/>
    <cellStyle name="Input 2 2 2 6 2 6 2" xfId="15518"/>
    <cellStyle name="Input 2 2 2 6 2 6 3" xfId="15519"/>
    <cellStyle name="Input 2 2 2 6 2 6 4" xfId="15520"/>
    <cellStyle name="Input 2 2 2 6 2 7" xfId="15521"/>
    <cellStyle name="Input 2 2 2 6 2 7 2" xfId="15522"/>
    <cellStyle name="Input 2 2 2 6 2 7 3" xfId="15523"/>
    <cellStyle name="Input 2 2 2 6 2 7 4" xfId="15524"/>
    <cellStyle name="Input 2 2 2 6 2 8" xfId="15525"/>
    <cellStyle name="Input 2 2 2 6 2 9" xfId="15526"/>
    <cellStyle name="Input 2 2 2 6 3" xfId="15527"/>
    <cellStyle name="Input 2 2 2 6 3 10" xfId="15528"/>
    <cellStyle name="Input 2 2 2 6 3 11" xfId="15529"/>
    <cellStyle name="Input 2 2 2 6 3 2" xfId="15530"/>
    <cellStyle name="Input 2 2 2 6 3 2 2" xfId="15531"/>
    <cellStyle name="Input 2 2 2 6 3 2 2 2" xfId="15532"/>
    <cellStyle name="Input 2 2 2 6 3 2 2 3" xfId="15533"/>
    <cellStyle name="Input 2 2 2 6 3 2 2 4" xfId="15534"/>
    <cellStyle name="Input 2 2 2 6 3 2 3" xfId="15535"/>
    <cellStyle name="Input 2 2 2 6 3 2 3 2" xfId="15536"/>
    <cellStyle name="Input 2 2 2 6 3 2 3 3" xfId="15537"/>
    <cellStyle name="Input 2 2 2 6 3 2 3 4" xfId="15538"/>
    <cellStyle name="Input 2 2 2 6 3 2 4" xfId="15539"/>
    <cellStyle name="Input 2 2 2 6 3 2 5" xfId="15540"/>
    <cellStyle name="Input 2 2 2 6 3 2 6" xfId="15541"/>
    <cellStyle name="Input 2 2 2 6 3 2 7" xfId="15542"/>
    <cellStyle name="Input 2 2 2 6 3 3" xfId="15543"/>
    <cellStyle name="Input 2 2 2 6 3 3 2" xfId="15544"/>
    <cellStyle name="Input 2 2 2 6 3 3 2 2" xfId="15545"/>
    <cellStyle name="Input 2 2 2 6 3 3 2 3" xfId="15546"/>
    <cellStyle name="Input 2 2 2 6 3 3 2 4" xfId="15547"/>
    <cellStyle name="Input 2 2 2 6 3 3 3" xfId="15548"/>
    <cellStyle name="Input 2 2 2 6 3 3 4" xfId="15549"/>
    <cellStyle name="Input 2 2 2 6 3 3 5" xfId="15550"/>
    <cellStyle name="Input 2 2 2 6 3 3 6" xfId="15551"/>
    <cellStyle name="Input 2 2 2 6 3 4" xfId="15552"/>
    <cellStyle name="Input 2 2 2 6 3 4 2" xfId="15553"/>
    <cellStyle name="Input 2 2 2 6 3 4 3" xfId="15554"/>
    <cellStyle name="Input 2 2 2 6 3 4 4" xfId="15555"/>
    <cellStyle name="Input 2 2 2 6 3 4 5" xfId="15556"/>
    <cellStyle name="Input 2 2 2 6 3 5" xfId="15557"/>
    <cellStyle name="Input 2 2 2 6 3 5 2" xfId="15558"/>
    <cellStyle name="Input 2 2 2 6 3 5 3" xfId="15559"/>
    <cellStyle name="Input 2 2 2 6 3 5 4" xfId="15560"/>
    <cellStyle name="Input 2 2 2 6 3 6" xfId="15561"/>
    <cellStyle name="Input 2 2 2 6 3 6 2" xfId="15562"/>
    <cellStyle name="Input 2 2 2 6 3 6 3" xfId="15563"/>
    <cellStyle name="Input 2 2 2 6 3 6 4" xfId="15564"/>
    <cellStyle name="Input 2 2 2 6 3 7" xfId="15565"/>
    <cellStyle name="Input 2 2 2 6 3 7 2" xfId="15566"/>
    <cellStyle name="Input 2 2 2 6 3 7 3" xfId="15567"/>
    <cellStyle name="Input 2 2 2 6 3 7 4" xfId="15568"/>
    <cellStyle name="Input 2 2 2 6 3 8" xfId="15569"/>
    <cellStyle name="Input 2 2 2 6 3 9" xfId="15570"/>
    <cellStyle name="Input 2 2 2 6 4" xfId="15571"/>
    <cellStyle name="Input 2 2 2 6 4 2" xfId="15572"/>
    <cellStyle name="Input 2 2 2 6 4 2 2" xfId="15573"/>
    <cellStyle name="Input 2 2 2 6 4 2 2 2" xfId="15574"/>
    <cellStyle name="Input 2 2 2 6 4 2 2 3" xfId="15575"/>
    <cellStyle name="Input 2 2 2 6 4 2 2 4" xfId="15576"/>
    <cellStyle name="Input 2 2 2 6 4 2 3" xfId="15577"/>
    <cellStyle name="Input 2 2 2 6 4 2 4" xfId="15578"/>
    <cellStyle name="Input 2 2 2 6 4 2 5" xfId="15579"/>
    <cellStyle name="Input 2 2 2 6 4 2 6" xfId="15580"/>
    <cellStyle name="Input 2 2 2 6 4 3" xfId="15581"/>
    <cellStyle name="Input 2 2 2 6 4 3 2" xfId="15582"/>
    <cellStyle name="Input 2 2 2 6 4 3 3" xfId="15583"/>
    <cellStyle name="Input 2 2 2 6 4 3 4" xfId="15584"/>
    <cellStyle name="Input 2 2 2 6 4 4" xfId="15585"/>
    <cellStyle name="Input 2 2 2 6 4 5" xfId="15586"/>
    <cellStyle name="Input 2 2 2 6 4 6" xfId="15587"/>
    <cellStyle name="Input 2 2 2 6 4 7" xfId="15588"/>
    <cellStyle name="Input 2 2 2 6 5" xfId="15589"/>
    <cellStyle name="Input 2 2 2 6 5 2" xfId="15590"/>
    <cellStyle name="Input 2 2 2 6 5 2 2" xfId="15591"/>
    <cellStyle name="Input 2 2 2 6 5 2 3" xfId="15592"/>
    <cellStyle name="Input 2 2 2 6 5 2 4" xfId="15593"/>
    <cellStyle name="Input 2 2 2 6 5 3" xfId="15594"/>
    <cellStyle name="Input 2 2 2 6 5 4" xfId="15595"/>
    <cellStyle name="Input 2 2 2 6 5 5" xfId="15596"/>
    <cellStyle name="Input 2 2 2 6 5 6" xfId="15597"/>
    <cellStyle name="Input 2 2 2 6 6" xfId="15598"/>
    <cellStyle name="Input 2 2 2 6 6 2" xfId="15599"/>
    <cellStyle name="Input 2 2 2 6 6 3" xfId="15600"/>
    <cellStyle name="Input 2 2 2 6 6 4" xfId="15601"/>
    <cellStyle name="Input 2 2 2 6 6 5" xfId="15602"/>
    <cellStyle name="Input 2 2 2 6 7" xfId="15603"/>
    <cellStyle name="Input 2 2 2 6 7 2" xfId="15604"/>
    <cellStyle name="Input 2 2 2 6 7 3" xfId="15605"/>
    <cellStyle name="Input 2 2 2 6 7 4" xfId="15606"/>
    <cellStyle name="Input 2 2 2 6 8" xfId="15607"/>
    <cellStyle name="Input 2 2 2 6 8 2" xfId="15608"/>
    <cellStyle name="Input 2 2 2 6 8 3" xfId="15609"/>
    <cellStyle name="Input 2 2 2 6 8 4" xfId="15610"/>
    <cellStyle name="Input 2 2 2 6 9" xfId="15611"/>
    <cellStyle name="Input 2 2 2 6 9 2" xfId="15612"/>
    <cellStyle name="Input 2 2 2 6 9 3" xfId="15613"/>
    <cellStyle name="Input 2 2 2 6 9 4" xfId="15614"/>
    <cellStyle name="Input 2 2 2 7" xfId="15615"/>
    <cellStyle name="Input 2 2 2 7 10" xfId="15616"/>
    <cellStyle name="Input 2 2 2 7 11" xfId="15617"/>
    <cellStyle name="Input 2 2 2 7 12" xfId="15618"/>
    <cellStyle name="Input 2 2 2 7 2" xfId="15619"/>
    <cellStyle name="Input 2 2 2 7 2 10" xfId="15620"/>
    <cellStyle name="Input 2 2 2 7 2 11" xfId="15621"/>
    <cellStyle name="Input 2 2 2 7 2 2" xfId="15622"/>
    <cellStyle name="Input 2 2 2 7 2 2 2" xfId="15623"/>
    <cellStyle name="Input 2 2 2 7 2 2 2 2" xfId="15624"/>
    <cellStyle name="Input 2 2 2 7 2 2 2 2 2" xfId="15625"/>
    <cellStyle name="Input 2 2 2 7 2 2 2 2 3" xfId="15626"/>
    <cellStyle name="Input 2 2 2 7 2 2 2 2 4" xfId="15627"/>
    <cellStyle name="Input 2 2 2 7 2 2 2 3" xfId="15628"/>
    <cellStyle name="Input 2 2 2 7 2 2 2 4" xfId="15629"/>
    <cellStyle name="Input 2 2 2 7 2 2 2 5" xfId="15630"/>
    <cellStyle name="Input 2 2 2 7 2 2 2 6" xfId="15631"/>
    <cellStyle name="Input 2 2 2 7 2 2 3" xfId="15632"/>
    <cellStyle name="Input 2 2 2 7 2 2 3 2" xfId="15633"/>
    <cellStyle name="Input 2 2 2 7 2 2 3 3" xfId="15634"/>
    <cellStyle name="Input 2 2 2 7 2 2 3 4" xfId="15635"/>
    <cellStyle name="Input 2 2 2 7 2 2 4" xfId="15636"/>
    <cellStyle name="Input 2 2 2 7 2 2 5" xfId="15637"/>
    <cellStyle name="Input 2 2 2 7 2 2 6" xfId="15638"/>
    <cellStyle name="Input 2 2 2 7 2 2 7" xfId="15639"/>
    <cellStyle name="Input 2 2 2 7 2 3" xfId="15640"/>
    <cellStyle name="Input 2 2 2 7 2 3 2" xfId="15641"/>
    <cellStyle name="Input 2 2 2 7 2 3 2 2" xfId="15642"/>
    <cellStyle name="Input 2 2 2 7 2 3 2 3" xfId="15643"/>
    <cellStyle name="Input 2 2 2 7 2 3 2 4" xfId="15644"/>
    <cellStyle name="Input 2 2 2 7 2 3 3" xfId="15645"/>
    <cellStyle name="Input 2 2 2 7 2 3 4" xfId="15646"/>
    <cellStyle name="Input 2 2 2 7 2 3 5" xfId="15647"/>
    <cellStyle name="Input 2 2 2 7 2 3 6" xfId="15648"/>
    <cellStyle name="Input 2 2 2 7 2 4" xfId="15649"/>
    <cellStyle name="Input 2 2 2 7 2 4 2" xfId="15650"/>
    <cellStyle name="Input 2 2 2 7 2 4 3" xfId="15651"/>
    <cellStyle name="Input 2 2 2 7 2 4 4" xfId="15652"/>
    <cellStyle name="Input 2 2 2 7 2 4 5" xfId="15653"/>
    <cellStyle name="Input 2 2 2 7 2 5" xfId="15654"/>
    <cellStyle name="Input 2 2 2 7 2 5 2" xfId="15655"/>
    <cellStyle name="Input 2 2 2 7 2 5 3" xfId="15656"/>
    <cellStyle name="Input 2 2 2 7 2 5 4" xfId="15657"/>
    <cellStyle name="Input 2 2 2 7 2 6" xfId="15658"/>
    <cellStyle name="Input 2 2 2 7 2 6 2" xfId="15659"/>
    <cellStyle name="Input 2 2 2 7 2 6 3" xfId="15660"/>
    <cellStyle name="Input 2 2 2 7 2 6 4" xfId="15661"/>
    <cellStyle name="Input 2 2 2 7 2 7" xfId="15662"/>
    <cellStyle name="Input 2 2 2 7 2 7 2" xfId="15663"/>
    <cellStyle name="Input 2 2 2 7 2 7 3" xfId="15664"/>
    <cellStyle name="Input 2 2 2 7 2 7 4" xfId="15665"/>
    <cellStyle name="Input 2 2 2 7 2 8" xfId="15666"/>
    <cellStyle name="Input 2 2 2 7 2 9" xfId="15667"/>
    <cellStyle name="Input 2 2 2 7 3" xfId="15668"/>
    <cellStyle name="Input 2 2 2 7 3 2" xfId="15669"/>
    <cellStyle name="Input 2 2 2 7 3 2 2" xfId="15670"/>
    <cellStyle name="Input 2 2 2 7 3 2 2 2" xfId="15671"/>
    <cellStyle name="Input 2 2 2 7 3 2 2 3" xfId="15672"/>
    <cellStyle name="Input 2 2 2 7 3 2 2 4" xfId="15673"/>
    <cellStyle name="Input 2 2 2 7 3 2 3" xfId="15674"/>
    <cellStyle name="Input 2 2 2 7 3 2 4" xfId="15675"/>
    <cellStyle name="Input 2 2 2 7 3 2 5" xfId="15676"/>
    <cellStyle name="Input 2 2 2 7 3 2 6" xfId="15677"/>
    <cellStyle name="Input 2 2 2 7 3 3" xfId="15678"/>
    <cellStyle name="Input 2 2 2 7 3 3 2" xfId="15679"/>
    <cellStyle name="Input 2 2 2 7 3 3 3" xfId="15680"/>
    <cellStyle name="Input 2 2 2 7 3 3 4" xfId="15681"/>
    <cellStyle name="Input 2 2 2 7 3 4" xfId="15682"/>
    <cellStyle name="Input 2 2 2 7 3 5" xfId="15683"/>
    <cellStyle name="Input 2 2 2 7 3 6" xfId="15684"/>
    <cellStyle name="Input 2 2 2 7 3 7" xfId="15685"/>
    <cellStyle name="Input 2 2 2 7 4" xfId="15686"/>
    <cellStyle name="Input 2 2 2 7 4 2" xfId="15687"/>
    <cellStyle name="Input 2 2 2 7 4 2 2" xfId="15688"/>
    <cellStyle name="Input 2 2 2 7 4 2 3" xfId="15689"/>
    <cellStyle name="Input 2 2 2 7 4 2 4" xfId="15690"/>
    <cellStyle name="Input 2 2 2 7 4 3" xfId="15691"/>
    <cellStyle name="Input 2 2 2 7 4 4" xfId="15692"/>
    <cellStyle name="Input 2 2 2 7 4 5" xfId="15693"/>
    <cellStyle name="Input 2 2 2 7 4 6" xfId="15694"/>
    <cellStyle name="Input 2 2 2 7 5" xfId="15695"/>
    <cellStyle name="Input 2 2 2 7 5 2" xfId="15696"/>
    <cellStyle name="Input 2 2 2 7 5 3" xfId="15697"/>
    <cellStyle name="Input 2 2 2 7 5 4" xfId="15698"/>
    <cellStyle name="Input 2 2 2 7 5 5" xfId="15699"/>
    <cellStyle name="Input 2 2 2 7 6" xfId="15700"/>
    <cellStyle name="Input 2 2 2 7 6 2" xfId="15701"/>
    <cellStyle name="Input 2 2 2 7 6 3" xfId="15702"/>
    <cellStyle name="Input 2 2 2 7 6 4" xfId="15703"/>
    <cellStyle name="Input 2 2 2 7 7" xfId="15704"/>
    <cellStyle name="Input 2 2 2 7 7 2" xfId="15705"/>
    <cellStyle name="Input 2 2 2 7 7 3" xfId="15706"/>
    <cellStyle name="Input 2 2 2 7 7 4" xfId="15707"/>
    <cellStyle name="Input 2 2 2 7 8" xfId="15708"/>
    <cellStyle name="Input 2 2 2 7 8 2" xfId="15709"/>
    <cellStyle name="Input 2 2 2 7 8 3" xfId="15710"/>
    <cellStyle name="Input 2 2 2 7 8 4" xfId="15711"/>
    <cellStyle name="Input 2 2 2 7 9" xfId="15712"/>
    <cellStyle name="Input 2 2 2 8" xfId="15713"/>
    <cellStyle name="Input 2 2 2 8 10" xfId="15714"/>
    <cellStyle name="Input 2 2 2 8 11" xfId="15715"/>
    <cellStyle name="Input 2 2 2 8 2" xfId="15716"/>
    <cellStyle name="Input 2 2 2 8 2 2" xfId="15717"/>
    <cellStyle name="Input 2 2 2 8 2 2 2" xfId="15718"/>
    <cellStyle name="Input 2 2 2 8 2 2 2 2" xfId="15719"/>
    <cellStyle name="Input 2 2 2 8 2 2 2 3" xfId="15720"/>
    <cellStyle name="Input 2 2 2 8 2 2 2 4" xfId="15721"/>
    <cellStyle name="Input 2 2 2 8 2 2 3" xfId="15722"/>
    <cellStyle name="Input 2 2 2 8 2 2 4" xfId="15723"/>
    <cellStyle name="Input 2 2 2 8 2 2 5" xfId="15724"/>
    <cellStyle name="Input 2 2 2 8 2 2 6" xfId="15725"/>
    <cellStyle name="Input 2 2 2 8 2 3" xfId="15726"/>
    <cellStyle name="Input 2 2 2 8 2 3 2" xfId="15727"/>
    <cellStyle name="Input 2 2 2 8 2 3 3" xfId="15728"/>
    <cellStyle name="Input 2 2 2 8 2 3 4" xfId="15729"/>
    <cellStyle name="Input 2 2 2 8 2 4" xfId="15730"/>
    <cellStyle name="Input 2 2 2 8 2 5" xfId="15731"/>
    <cellStyle name="Input 2 2 2 8 2 6" xfId="15732"/>
    <cellStyle name="Input 2 2 2 8 2 7" xfId="15733"/>
    <cellStyle name="Input 2 2 2 8 3" xfId="15734"/>
    <cellStyle name="Input 2 2 2 8 3 2" xfId="15735"/>
    <cellStyle name="Input 2 2 2 8 3 2 2" xfId="15736"/>
    <cellStyle name="Input 2 2 2 8 3 2 3" xfId="15737"/>
    <cellStyle name="Input 2 2 2 8 3 2 4" xfId="15738"/>
    <cellStyle name="Input 2 2 2 8 3 3" xfId="15739"/>
    <cellStyle name="Input 2 2 2 8 3 4" xfId="15740"/>
    <cellStyle name="Input 2 2 2 8 3 5" xfId="15741"/>
    <cellStyle name="Input 2 2 2 8 3 6" xfId="15742"/>
    <cellStyle name="Input 2 2 2 8 4" xfId="15743"/>
    <cellStyle name="Input 2 2 2 8 4 2" xfId="15744"/>
    <cellStyle name="Input 2 2 2 8 4 3" xfId="15745"/>
    <cellStyle name="Input 2 2 2 8 4 4" xfId="15746"/>
    <cellStyle name="Input 2 2 2 8 4 5" xfId="15747"/>
    <cellStyle name="Input 2 2 2 8 5" xfId="15748"/>
    <cellStyle name="Input 2 2 2 8 5 2" xfId="15749"/>
    <cellStyle name="Input 2 2 2 8 5 3" xfId="15750"/>
    <cellStyle name="Input 2 2 2 8 5 4" xfId="15751"/>
    <cellStyle name="Input 2 2 2 8 6" xfId="15752"/>
    <cellStyle name="Input 2 2 2 8 6 2" xfId="15753"/>
    <cellStyle name="Input 2 2 2 8 6 3" xfId="15754"/>
    <cellStyle name="Input 2 2 2 8 6 4" xfId="15755"/>
    <cellStyle name="Input 2 2 2 8 7" xfId="15756"/>
    <cellStyle name="Input 2 2 2 8 7 2" xfId="15757"/>
    <cellStyle name="Input 2 2 2 8 7 3" xfId="15758"/>
    <cellStyle name="Input 2 2 2 8 7 4" xfId="15759"/>
    <cellStyle name="Input 2 2 2 8 8" xfId="15760"/>
    <cellStyle name="Input 2 2 2 8 9" xfId="15761"/>
    <cellStyle name="Input 2 2 2 9" xfId="15762"/>
    <cellStyle name="Input 2 2 2 9 10" xfId="15763"/>
    <cellStyle name="Input 2 2 2 9 2" xfId="15764"/>
    <cellStyle name="Input 2 2 2 9 2 2" xfId="15765"/>
    <cellStyle name="Input 2 2 2 9 2 2 2" xfId="15766"/>
    <cellStyle name="Input 2 2 2 9 2 2 3" xfId="15767"/>
    <cellStyle name="Input 2 2 2 9 2 2 4" xfId="15768"/>
    <cellStyle name="Input 2 2 2 9 2 3" xfId="15769"/>
    <cellStyle name="Input 2 2 2 9 2 4" xfId="15770"/>
    <cellStyle name="Input 2 2 2 9 2 5" xfId="15771"/>
    <cellStyle name="Input 2 2 2 9 2 6" xfId="15772"/>
    <cellStyle name="Input 2 2 2 9 3" xfId="15773"/>
    <cellStyle name="Input 2 2 2 9 3 2" xfId="15774"/>
    <cellStyle name="Input 2 2 2 9 3 3" xfId="15775"/>
    <cellStyle name="Input 2 2 2 9 3 4" xfId="15776"/>
    <cellStyle name="Input 2 2 2 9 4" xfId="15777"/>
    <cellStyle name="Input 2 2 2 9 4 2" xfId="15778"/>
    <cellStyle name="Input 2 2 2 9 4 3" xfId="15779"/>
    <cellStyle name="Input 2 2 2 9 4 4" xfId="15780"/>
    <cellStyle name="Input 2 2 2 9 5" xfId="15781"/>
    <cellStyle name="Input 2 2 2 9 5 2" xfId="15782"/>
    <cellStyle name="Input 2 2 2 9 5 3" xfId="15783"/>
    <cellStyle name="Input 2 2 2 9 5 4" xfId="15784"/>
    <cellStyle name="Input 2 2 2 9 6" xfId="15785"/>
    <cellStyle name="Input 2 2 2 9 6 2" xfId="15786"/>
    <cellStyle name="Input 2 2 2 9 6 3" xfId="15787"/>
    <cellStyle name="Input 2 2 2 9 6 4" xfId="15788"/>
    <cellStyle name="Input 2 2 2 9 7" xfId="15789"/>
    <cellStyle name="Input 2 2 2 9 8" xfId="15790"/>
    <cellStyle name="Input 2 2 2 9 9" xfId="15791"/>
    <cellStyle name="Input 2 2 20" xfId="15792"/>
    <cellStyle name="Input 2 2 21" xfId="15793"/>
    <cellStyle name="Input 2 2 22" xfId="15794"/>
    <cellStyle name="Input 2 2 23" xfId="15795"/>
    <cellStyle name="Input 2 2 24" xfId="15796"/>
    <cellStyle name="Input 2 2 25" xfId="15797"/>
    <cellStyle name="Input 2 2 26" xfId="15798"/>
    <cellStyle name="Input 2 2 27" xfId="15799"/>
    <cellStyle name="Input 2 2 28" xfId="15800"/>
    <cellStyle name="Input 2 2 29" xfId="15801"/>
    <cellStyle name="Input 2 2 3" xfId="523"/>
    <cellStyle name="Input 2 2 3 10" xfId="15802"/>
    <cellStyle name="Input 2 2 3 10 2" xfId="15803"/>
    <cellStyle name="Input 2 2 3 10 3" xfId="15804"/>
    <cellStyle name="Input 2 2 3 10 4" xfId="15805"/>
    <cellStyle name="Input 2 2 3 11" xfId="15806"/>
    <cellStyle name="Input 2 2 3 11 2" xfId="15807"/>
    <cellStyle name="Input 2 2 3 11 3" xfId="15808"/>
    <cellStyle name="Input 2 2 3 11 4" xfId="15809"/>
    <cellStyle name="Input 2 2 3 12" xfId="15810"/>
    <cellStyle name="Input 2 2 3 12 2" xfId="15811"/>
    <cellStyle name="Input 2 2 3 12 3" xfId="15812"/>
    <cellStyle name="Input 2 2 3 12 4" xfId="15813"/>
    <cellStyle name="Input 2 2 3 13" xfId="15814"/>
    <cellStyle name="Input 2 2 3 14" xfId="15815"/>
    <cellStyle name="Input 2 2 3 15" xfId="15816"/>
    <cellStyle name="Input 2 2 3 16" xfId="15817"/>
    <cellStyle name="Input 2 2 3 2" xfId="524"/>
    <cellStyle name="Input 2 2 3 2 10" xfId="15818"/>
    <cellStyle name="Input 2 2 3 2 11" xfId="15819"/>
    <cellStyle name="Input 2 2 3 2 12" xfId="15820"/>
    <cellStyle name="Input 2 2 3 2 2" xfId="15821"/>
    <cellStyle name="Input 2 2 3 2 2 10" xfId="15822"/>
    <cellStyle name="Input 2 2 3 2 2 11" xfId="15823"/>
    <cellStyle name="Input 2 2 3 2 2 2" xfId="15824"/>
    <cellStyle name="Input 2 2 3 2 2 2 2" xfId="15825"/>
    <cellStyle name="Input 2 2 3 2 2 2 2 2" xfId="15826"/>
    <cellStyle name="Input 2 2 3 2 2 2 2 2 2" xfId="15827"/>
    <cellStyle name="Input 2 2 3 2 2 2 2 2 3" xfId="15828"/>
    <cellStyle name="Input 2 2 3 2 2 2 2 2 4" xfId="15829"/>
    <cellStyle name="Input 2 2 3 2 2 2 2 3" xfId="15830"/>
    <cellStyle name="Input 2 2 3 2 2 2 2 4" xfId="15831"/>
    <cellStyle name="Input 2 2 3 2 2 2 2 5" xfId="15832"/>
    <cellStyle name="Input 2 2 3 2 2 2 2 6" xfId="15833"/>
    <cellStyle name="Input 2 2 3 2 2 2 3" xfId="15834"/>
    <cellStyle name="Input 2 2 3 2 2 2 3 2" xfId="15835"/>
    <cellStyle name="Input 2 2 3 2 2 2 3 3" xfId="15836"/>
    <cellStyle name="Input 2 2 3 2 2 2 3 4" xfId="15837"/>
    <cellStyle name="Input 2 2 3 2 2 2 4" xfId="15838"/>
    <cellStyle name="Input 2 2 3 2 2 2 5" xfId="15839"/>
    <cellStyle name="Input 2 2 3 2 2 2 6" xfId="15840"/>
    <cellStyle name="Input 2 2 3 2 2 2 7" xfId="15841"/>
    <cellStyle name="Input 2 2 3 2 2 3" xfId="15842"/>
    <cellStyle name="Input 2 2 3 2 2 3 2" xfId="15843"/>
    <cellStyle name="Input 2 2 3 2 2 3 2 2" xfId="15844"/>
    <cellStyle name="Input 2 2 3 2 2 3 2 3" xfId="15845"/>
    <cellStyle name="Input 2 2 3 2 2 3 2 4" xfId="15846"/>
    <cellStyle name="Input 2 2 3 2 2 3 3" xfId="15847"/>
    <cellStyle name="Input 2 2 3 2 2 3 4" xfId="15848"/>
    <cellStyle name="Input 2 2 3 2 2 3 5" xfId="15849"/>
    <cellStyle name="Input 2 2 3 2 2 3 6" xfId="15850"/>
    <cellStyle name="Input 2 2 3 2 2 4" xfId="15851"/>
    <cellStyle name="Input 2 2 3 2 2 4 2" xfId="15852"/>
    <cellStyle name="Input 2 2 3 2 2 4 3" xfId="15853"/>
    <cellStyle name="Input 2 2 3 2 2 4 4" xfId="15854"/>
    <cellStyle name="Input 2 2 3 2 2 4 5" xfId="15855"/>
    <cellStyle name="Input 2 2 3 2 2 5" xfId="15856"/>
    <cellStyle name="Input 2 2 3 2 2 5 2" xfId="15857"/>
    <cellStyle name="Input 2 2 3 2 2 5 3" xfId="15858"/>
    <cellStyle name="Input 2 2 3 2 2 5 4" xfId="15859"/>
    <cellStyle name="Input 2 2 3 2 2 6" xfId="15860"/>
    <cellStyle name="Input 2 2 3 2 2 6 2" xfId="15861"/>
    <cellStyle name="Input 2 2 3 2 2 6 3" xfId="15862"/>
    <cellStyle name="Input 2 2 3 2 2 6 4" xfId="15863"/>
    <cellStyle name="Input 2 2 3 2 2 7" xfId="15864"/>
    <cellStyle name="Input 2 2 3 2 2 7 2" xfId="15865"/>
    <cellStyle name="Input 2 2 3 2 2 7 3" xfId="15866"/>
    <cellStyle name="Input 2 2 3 2 2 7 4" xfId="15867"/>
    <cellStyle name="Input 2 2 3 2 2 8" xfId="15868"/>
    <cellStyle name="Input 2 2 3 2 2 9" xfId="15869"/>
    <cellStyle name="Input 2 2 3 2 3" xfId="15870"/>
    <cellStyle name="Input 2 2 3 2 3 2" xfId="15871"/>
    <cellStyle name="Input 2 2 3 2 3 2 2" xfId="15872"/>
    <cellStyle name="Input 2 2 3 2 3 2 2 2" xfId="15873"/>
    <cellStyle name="Input 2 2 3 2 3 2 2 3" xfId="15874"/>
    <cellStyle name="Input 2 2 3 2 3 2 2 4" xfId="15875"/>
    <cellStyle name="Input 2 2 3 2 3 2 3" xfId="15876"/>
    <cellStyle name="Input 2 2 3 2 3 2 4" xfId="15877"/>
    <cellStyle name="Input 2 2 3 2 3 2 5" xfId="15878"/>
    <cellStyle name="Input 2 2 3 2 3 2 6" xfId="15879"/>
    <cellStyle name="Input 2 2 3 2 3 3" xfId="15880"/>
    <cellStyle name="Input 2 2 3 2 3 3 2" xfId="15881"/>
    <cellStyle name="Input 2 2 3 2 3 3 3" xfId="15882"/>
    <cellStyle name="Input 2 2 3 2 3 3 4" xfId="15883"/>
    <cellStyle name="Input 2 2 3 2 3 4" xfId="15884"/>
    <cellStyle name="Input 2 2 3 2 3 5" xfId="15885"/>
    <cellStyle name="Input 2 2 3 2 3 6" xfId="15886"/>
    <cellStyle name="Input 2 2 3 2 3 7" xfId="15887"/>
    <cellStyle name="Input 2 2 3 2 4" xfId="15888"/>
    <cellStyle name="Input 2 2 3 2 4 2" xfId="15889"/>
    <cellStyle name="Input 2 2 3 2 4 2 2" xfId="15890"/>
    <cellStyle name="Input 2 2 3 2 4 2 3" xfId="15891"/>
    <cellStyle name="Input 2 2 3 2 4 2 4" xfId="15892"/>
    <cellStyle name="Input 2 2 3 2 4 3" xfId="15893"/>
    <cellStyle name="Input 2 2 3 2 4 4" xfId="15894"/>
    <cellStyle name="Input 2 2 3 2 4 5" xfId="15895"/>
    <cellStyle name="Input 2 2 3 2 4 6" xfId="15896"/>
    <cellStyle name="Input 2 2 3 2 5" xfId="15897"/>
    <cellStyle name="Input 2 2 3 2 5 2" xfId="15898"/>
    <cellStyle name="Input 2 2 3 2 5 3" xfId="15899"/>
    <cellStyle name="Input 2 2 3 2 5 4" xfId="15900"/>
    <cellStyle name="Input 2 2 3 2 5 5" xfId="15901"/>
    <cellStyle name="Input 2 2 3 2 6" xfId="15902"/>
    <cellStyle name="Input 2 2 3 2 6 2" xfId="15903"/>
    <cellStyle name="Input 2 2 3 2 6 3" xfId="15904"/>
    <cellStyle name="Input 2 2 3 2 6 4" xfId="15905"/>
    <cellStyle name="Input 2 2 3 2 7" xfId="15906"/>
    <cellStyle name="Input 2 2 3 2 7 2" xfId="15907"/>
    <cellStyle name="Input 2 2 3 2 7 3" xfId="15908"/>
    <cellStyle name="Input 2 2 3 2 7 4" xfId="15909"/>
    <cellStyle name="Input 2 2 3 2 8" xfId="15910"/>
    <cellStyle name="Input 2 2 3 2 8 2" xfId="15911"/>
    <cellStyle name="Input 2 2 3 2 8 3" xfId="15912"/>
    <cellStyle name="Input 2 2 3 2 8 4" xfId="15913"/>
    <cellStyle name="Input 2 2 3 2 9" xfId="15914"/>
    <cellStyle name="Input 2 2 3 3" xfId="15915"/>
    <cellStyle name="Input 2 2 3 3 10" xfId="15916"/>
    <cellStyle name="Input 2 2 3 3 11" xfId="15917"/>
    <cellStyle name="Input 2 2 3 3 2" xfId="15918"/>
    <cellStyle name="Input 2 2 3 3 2 2" xfId="15919"/>
    <cellStyle name="Input 2 2 3 3 2 2 2" xfId="15920"/>
    <cellStyle name="Input 2 2 3 3 2 2 2 2" xfId="15921"/>
    <cellStyle name="Input 2 2 3 3 2 2 2 3" xfId="15922"/>
    <cellStyle name="Input 2 2 3 3 2 2 2 4" xfId="15923"/>
    <cellStyle name="Input 2 2 3 3 2 2 3" xfId="15924"/>
    <cellStyle name="Input 2 2 3 3 2 2 4" xfId="15925"/>
    <cellStyle name="Input 2 2 3 3 2 2 5" xfId="15926"/>
    <cellStyle name="Input 2 2 3 3 2 2 6" xfId="15927"/>
    <cellStyle name="Input 2 2 3 3 2 3" xfId="15928"/>
    <cellStyle name="Input 2 2 3 3 2 3 2" xfId="15929"/>
    <cellStyle name="Input 2 2 3 3 2 3 3" xfId="15930"/>
    <cellStyle name="Input 2 2 3 3 2 3 4" xfId="15931"/>
    <cellStyle name="Input 2 2 3 3 2 4" xfId="15932"/>
    <cellStyle name="Input 2 2 3 3 2 5" xfId="15933"/>
    <cellStyle name="Input 2 2 3 3 2 6" xfId="15934"/>
    <cellStyle name="Input 2 2 3 3 2 7" xfId="15935"/>
    <cellStyle name="Input 2 2 3 3 3" xfId="15936"/>
    <cellStyle name="Input 2 2 3 3 3 2" xfId="15937"/>
    <cellStyle name="Input 2 2 3 3 3 2 2" xfId="15938"/>
    <cellStyle name="Input 2 2 3 3 3 2 3" xfId="15939"/>
    <cellStyle name="Input 2 2 3 3 3 2 4" xfId="15940"/>
    <cellStyle name="Input 2 2 3 3 3 3" xfId="15941"/>
    <cellStyle name="Input 2 2 3 3 3 4" xfId="15942"/>
    <cellStyle name="Input 2 2 3 3 3 5" xfId="15943"/>
    <cellStyle name="Input 2 2 3 3 3 6" xfId="15944"/>
    <cellStyle name="Input 2 2 3 3 4" xfId="15945"/>
    <cellStyle name="Input 2 2 3 3 4 2" xfId="15946"/>
    <cellStyle name="Input 2 2 3 3 4 3" xfId="15947"/>
    <cellStyle name="Input 2 2 3 3 4 4" xfId="15948"/>
    <cellStyle name="Input 2 2 3 3 4 5" xfId="15949"/>
    <cellStyle name="Input 2 2 3 3 5" xfId="15950"/>
    <cellStyle name="Input 2 2 3 3 5 2" xfId="15951"/>
    <cellStyle name="Input 2 2 3 3 5 3" xfId="15952"/>
    <cellStyle name="Input 2 2 3 3 5 4" xfId="15953"/>
    <cellStyle name="Input 2 2 3 3 6" xfId="15954"/>
    <cellStyle name="Input 2 2 3 3 6 2" xfId="15955"/>
    <cellStyle name="Input 2 2 3 3 6 3" xfId="15956"/>
    <cellStyle name="Input 2 2 3 3 6 4" xfId="15957"/>
    <cellStyle name="Input 2 2 3 3 7" xfId="15958"/>
    <cellStyle name="Input 2 2 3 3 7 2" xfId="15959"/>
    <cellStyle name="Input 2 2 3 3 7 3" xfId="15960"/>
    <cellStyle name="Input 2 2 3 3 7 4" xfId="15961"/>
    <cellStyle name="Input 2 2 3 3 8" xfId="15962"/>
    <cellStyle name="Input 2 2 3 3 9" xfId="15963"/>
    <cellStyle name="Input 2 2 3 4" xfId="15964"/>
    <cellStyle name="Input 2 2 3 4 2" xfId="15965"/>
    <cellStyle name="Input 2 2 3 4 2 2" xfId="15966"/>
    <cellStyle name="Input 2 2 3 4 2 2 2" xfId="15967"/>
    <cellStyle name="Input 2 2 3 4 2 2 3" xfId="15968"/>
    <cellStyle name="Input 2 2 3 4 2 2 4" xfId="15969"/>
    <cellStyle name="Input 2 2 3 4 2 3" xfId="15970"/>
    <cellStyle name="Input 2 2 3 4 2 4" xfId="15971"/>
    <cellStyle name="Input 2 2 3 4 2 5" xfId="15972"/>
    <cellStyle name="Input 2 2 3 4 2 6" xfId="15973"/>
    <cellStyle name="Input 2 2 3 4 3" xfId="15974"/>
    <cellStyle name="Input 2 2 3 4 3 2" xfId="15975"/>
    <cellStyle name="Input 2 2 3 4 3 3" xfId="15976"/>
    <cellStyle name="Input 2 2 3 4 3 4" xfId="15977"/>
    <cellStyle name="Input 2 2 3 4 4" xfId="15978"/>
    <cellStyle name="Input 2 2 3 4 5" xfId="15979"/>
    <cellStyle name="Input 2 2 3 4 6" xfId="15980"/>
    <cellStyle name="Input 2 2 3 4 7" xfId="15981"/>
    <cellStyle name="Input 2 2 3 5" xfId="15982"/>
    <cellStyle name="Input 2 2 3 5 2" xfId="15983"/>
    <cellStyle name="Input 2 2 3 5 2 2" xfId="15984"/>
    <cellStyle name="Input 2 2 3 5 2 3" xfId="15985"/>
    <cellStyle name="Input 2 2 3 5 2 4" xfId="15986"/>
    <cellStyle name="Input 2 2 3 5 3" xfId="15987"/>
    <cellStyle name="Input 2 2 3 5 3 2" xfId="15988"/>
    <cellStyle name="Input 2 2 3 5 3 3" xfId="15989"/>
    <cellStyle name="Input 2 2 3 5 3 4" xfId="15990"/>
    <cellStyle name="Input 2 2 3 5 4" xfId="15991"/>
    <cellStyle name="Input 2 2 3 5 5" xfId="15992"/>
    <cellStyle name="Input 2 2 3 5 6" xfId="15993"/>
    <cellStyle name="Input 2 2 3 5 7" xfId="15994"/>
    <cellStyle name="Input 2 2 3 6" xfId="15995"/>
    <cellStyle name="Input 2 2 3 6 2" xfId="15996"/>
    <cellStyle name="Input 2 2 3 6 2 2" xfId="15997"/>
    <cellStyle name="Input 2 2 3 6 2 3" xfId="15998"/>
    <cellStyle name="Input 2 2 3 6 2 4" xfId="15999"/>
    <cellStyle name="Input 2 2 3 6 3" xfId="16000"/>
    <cellStyle name="Input 2 2 3 6 3 2" xfId="16001"/>
    <cellStyle name="Input 2 2 3 6 3 3" xfId="16002"/>
    <cellStyle name="Input 2 2 3 6 3 4" xfId="16003"/>
    <cellStyle name="Input 2 2 3 6 4" xfId="16004"/>
    <cellStyle name="Input 2 2 3 6 5" xfId="16005"/>
    <cellStyle name="Input 2 2 3 6 6" xfId="16006"/>
    <cellStyle name="Input 2 2 3 6 7" xfId="16007"/>
    <cellStyle name="Input 2 2 3 7" xfId="16008"/>
    <cellStyle name="Input 2 2 3 7 2" xfId="16009"/>
    <cellStyle name="Input 2 2 3 7 2 2" xfId="16010"/>
    <cellStyle name="Input 2 2 3 7 2 3" xfId="16011"/>
    <cellStyle name="Input 2 2 3 7 2 4" xfId="16012"/>
    <cellStyle name="Input 2 2 3 7 3" xfId="16013"/>
    <cellStyle name="Input 2 2 3 7 3 2" xfId="16014"/>
    <cellStyle name="Input 2 2 3 7 3 3" xfId="16015"/>
    <cellStyle name="Input 2 2 3 7 3 4" xfId="16016"/>
    <cellStyle name="Input 2 2 3 7 4" xfId="16017"/>
    <cellStyle name="Input 2 2 3 7 5" xfId="16018"/>
    <cellStyle name="Input 2 2 3 7 6" xfId="16019"/>
    <cellStyle name="Input 2 2 3 7 7" xfId="16020"/>
    <cellStyle name="Input 2 2 3 8" xfId="16021"/>
    <cellStyle name="Input 2 2 3 8 2" xfId="16022"/>
    <cellStyle name="Input 2 2 3 8 2 2" xfId="16023"/>
    <cellStyle name="Input 2 2 3 8 2 3" xfId="16024"/>
    <cellStyle name="Input 2 2 3 8 2 4" xfId="16025"/>
    <cellStyle name="Input 2 2 3 8 3" xfId="16026"/>
    <cellStyle name="Input 2 2 3 8 4" xfId="16027"/>
    <cellStyle name="Input 2 2 3 8 5" xfId="16028"/>
    <cellStyle name="Input 2 2 3 8 6" xfId="16029"/>
    <cellStyle name="Input 2 2 3 9" xfId="16030"/>
    <cellStyle name="Input 2 2 3 9 2" xfId="16031"/>
    <cellStyle name="Input 2 2 3 9 3" xfId="16032"/>
    <cellStyle name="Input 2 2 3 9 4" xfId="16033"/>
    <cellStyle name="Input 2 2 3 9 5" xfId="16034"/>
    <cellStyle name="Input 2 2 30" xfId="16035"/>
    <cellStyle name="Input 2 2 31" xfId="16036"/>
    <cellStyle name="Input 2 2 32" xfId="16037"/>
    <cellStyle name="Input 2 2 33" xfId="16038"/>
    <cellStyle name="Input 2 2 34" xfId="16039"/>
    <cellStyle name="Input 2 2 35" xfId="16040"/>
    <cellStyle name="Input 2 2 36" xfId="53801"/>
    <cellStyle name="Input 2 2 37" xfId="53802"/>
    <cellStyle name="Input 2 2 38" xfId="53803"/>
    <cellStyle name="Input 2 2 39" xfId="53804"/>
    <cellStyle name="Input 2 2 4" xfId="525"/>
    <cellStyle name="Input 2 2 4 10" xfId="16041"/>
    <cellStyle name="Input 2 2 4 10 2" xfId="16042"/>
    <cellStyle name="Input 2 2 4 10 3" xfId="16043"/>
    <cellStyle name="Input 2 2 4 10 4" xfId="16044"/>
    <cellStyle name="Input 2 2 4 11" xfId="16045"/>
    <cellStyle name="Input 2 2 4 11 2" xfId="16046"/>
    <cellStyle name="Input 2 2 4 11 3" xfId="16047"/>
    <cellStyle name="Input 2 2 4 11 4" xfId="16048"/>
    <cellStyle name="Input 2 2 4 12" xfId="16049"/>
    <cellStyle name="Input 2 2 4 12 2" xfId="16050"/>
    <cellStyle name="Input 2 2 4 12 3" xfId="16051"/>
    <cellStyle name="Input 2 2 4 12 4" xfId="16052"/>
    <cellStyle name="Input 2 2 4 13" xfId="16053"/>
    <cellStyle name="Input 2 2 4 14" xfId="16054"/>
    <cellStyle name="Input 2 2 4 15" xfId="16055"/>
    <cellStyle name="Input 2 2 4 16" xfId="16056"/>
    <cellStyle name="Input 2 2 4 2" xfId="526"/>
    <cellStyle name="Input 2 2 4 2 10" xfId="16057"/>
    <cellStyle name="Input 2 2 4 2 11" xfId="16058"/>
    <cellStyle name="Input 2 2 4 2 12" xfId="16059"/>
    <cellStyle name="Input 2 2 4 2 2" xfId="16060"/>
    <cellStyle name="Input 2 2 4 2 2 10" xfId="16061"/>
    <cellStyle name="Input 2 2 4 2 2 11" xfId="16062"/>
    <cellStyle name="Input 2 2 4 2 2 2" xfId="16063"/>
    <cellStyle name="Input 2 2 4 2 2 2 2" xfId="16064"/>
    <cellStyle name="Input 2 2 4 2 2 2 2 2" xfId="16065"/>
    <cellStyle name="Input 2 2 4 2 2 2 2 2 2" xfId="16066"/>
    <cellStyle name="Input 2 2 4 2 2 2 2 2 3" xfId="16067"/>
    <cellStyle name="Input 2 2 4 2 2 2 2 2 4" xfId="16068"/>
    <cellStyle name="Input 2 2 4 2 2 2 2 3" xfId="16069"/>
    <cellStyle name="Input 2 2 4 2 2 2 2 4" xfId="16070"/>
    <cellStyle name="Input 2 2 4 2 2 2 2 5" xfId="16071"/>
    <cellStyle name="Input 2 2 4 2 2 2 2 6" xfId="16072"/>
    <cellStyle name="Input 2 2 4 2 2 2 3" xfId="16073"/>
    <cellStyle name="Input 2 2 4 2 2 2 3 2" xfId="16074"/>
    <cellStyle name="Input 2 2 4 2 2 2 3 3" xfId="16075"/>
    <cellStyle name="Input 2 2 4 2 2 2 3 4" xfId="16076"/>
    <cellStyle name="Input 2 2 4 2 2 2 4" xfId="16077"/>
    <cellStyle name="Input 2 2 4 2 2 2 5" xfId="16078"/>
    <cellStyle name="Input 2 2 4 2 2 2 6" xfId="16079"/>
    <cellStyle name="Input 2 2 4 2 2 2 7" xfId="16080"/>
    <cellStyle name="Input 2 2 4 2 2 3" xfId="16081"/>
    <cellStyle name="Input 2 2 4 2 2 3 2" xfId="16082"/>
    <cellStyle name="Input 2 2 4 2 2 3 2 2" xfId="16083"/>
    <cellStyle name="Input 2 2 4 2 2 3 2 3" xfId="16084"/>
    <cellStyle name="Input 2 2 4 2 2 3 2 4" xfId="16085"/>
    <cellStyle name="Input 2 2 4 2 2 3 3" xfId="16086"/>
    <cellStyle name="Input 2 2 4 2 2 3 4" xfId="16087"/>
    <cellStyle name="Input 2 2 4 2 2 3 5" xfId="16088"/>
    <cellStyle name="Input 2 2 4 2 2 3 6" xfId="16089"/>
    <cellStyle name="Input 2 2 4 2 2 4" xfId="16090"/>
    <cellStyle name="Input 2 2 4 2 2 4 2" xfId="16091"/>
    <cellStyle name="Input 2 2 4 2 2 4 3" xfId="16092"/>
    <cellStyle name="Input 2 2 4 2 2 4 4" xfId="16093"/>
    <cellStyle name="Input 2 2 4 2 2 4 5" xfId="16094"/>
    <cellStyle name="Input 2 2 4 2 2 5" xfId="16095"/>
    <cellStyle name="Input 2 2 4 2 2 5 2" xfId="16096"/>
    <cellStyle name="Input 2 2 4 2 2 5 3" xfId="16097"/>
    <cellStyle name="Input 2 2 4 2 2 5 4" xfId="16098"/>
    <cellStyle name="Input 2 2 4 2 2 6" xfId="16099"/>
    <cellStyle name="Input 2 2 4 2 2 6 2" xfId="16100"/>
    <cellStyle name="Input 2 2 4 2 2 6 3" xfId="16101"/>
    <cellStyle name="Input 2 2 4 2 2 6 4" xfId="16102"/>
    <cellStyle name="Input 2 2 4 2 2 7" xfId="16103"/>
    <cellStyle name="Input 2 2 4 2 2 7 2" xfId="16104"/>
    <cellStyle name="Input 2 2 4 2 2 7 3" xfId="16105"/>
    <cellStyle name="Input 2 2 4 2 2 7 4" xfId="16106"/>
    <cellStyle name="Input 2 2 4 2 2 8" xfId="16107"/>
    <cellStyle name="Input 2 2 4 2 2 9" xfId="16108"/>
    <cellStyle name="Input 2 2 4 2 3" xfId="16109"/>
    <cellStyle name="Input 2 2 4 2 3 2" xfId="16110"/>
    <cellStyle name="Input 2 2 4 2 3 2 2" xfId="16111"/>
    <cellStyle name="Input 2 2 4 2 3 2 2 2" xfId="16112"/>
    <cellStyle name="Input 2 2 4 2 3 2 2 3" xfId="16113"/>
    <cellStyle name="Input 2 2 4 2 3 2 2 4" xfId="16114"/>
    <cellStyle name="Input 2 2 4 2 3 2 3" xfId="16115"/>
    <cellStyle name="Input 2 2 4 2 3 2 4" xfId="16116"/>
    <cellStyle name="Input 2 2 4 2 3 2 5" xfId="16117"/>
    <cellStyle name="Input 2 2 4 2 3 2 6" xfId="16118"/>
    <cellStyle name="Input 2 2 4 2 3 3" xfId="16119"/>
    <cellStyle name="Input 2 2 4 2 3 3 2" xfId="16120"/>
    <cellStyle name="Input 2 2 4 2 3 3 3" xfId="16121"/>
    <cellStyle name="Input 2 2 4 2 3 3 4" xfId="16122"/>
    <cellStyle name="Input 2 2 4 2 3 4" xfId="16123"/>
    <cellStyle name="Input 2 2 4 2 3 5" xfId="16124"/>
    <cellStyle name="Input 2 2 4 2 3 6" xfId="16125"/>
    <cellStyle name="Input 2 2 4 2 3 7" xfId="16126"/>
    <cellStyle name="Input 2 2 4 2 4" xfId="16127"/>
    <cellStyle name="Input 2 2 4 2 4 2" xfId="16128"/>
    <cellStyle name="Input 2 2 4 2 4 2 2" xfId="16129"/>
    <cellStyle name="Input 2 2 4 2 4 2 3" xfId="16130"/>
    <cellStyle name="Input 2 2 4 2 4 2 4" xfId="16131"/>
    <cellStyle name="Input 2 2 4 2 4 3" xfId="16132"/>
    <cellStyle name="Input 2 2 4 2 4 4" xfId="16133"/>
    <cellStyle name="Input 2 2 4 2 4 5" xfId="16134"/>
    <cellStyle name="Input 2 2 4 2 4 6" xfId="16135"/>
    <cellStyle name="Input 2 2 4 2 5" xfId="16136"/>
    <cellStyle name="Input 2 2 4 2 5 2" xfId="16137"/>
    <cellStyle name="Input 2 2 4 2 5 3" xfId="16138"/>
    <cellStyle name="Input 2 2 4 2 5 4" xfId="16139"/>
    <cellStyle name="Input 2 2 4 2 5 5" xfId="16140"/>
    <cellStyle name="Input 2 2 4 2 6" xfId="16141"/>
    <cellStyle name="Input 2 2 4 2 6 2" xfId="16142"/>
    <cellStyle name="Input 2 2 4 2 6 3" xfId="16143"/>
    <cellStyle name="Input 2 2 4 2 6 4" xfId="16144"/>
    <cellStyle name="Input 2 2 4 2 7" xfId="16145"/>
    <cellStyle name="Input 2 2 4 2 7 2" xfId="16146"/>
    <cellStyle name="Input 2 2 4 2 7 3" xfId="16147"/>
    <cellStyle name="Input 2 2 4 2 7 4" xfId="16148"/>
    <cellStyle name="Input 2 2 4 2 8" xfId="16149"/>
    <cellStyle name="Input 2 2 4 2 8 2" xfId="16150"/>
    <cellStyle name="Input 2 2 4 2 8 3" xfId="16151"/>
    <cellStyle name="Input 2 2 4 2 8 4" xfId="16152"/>
    <cellStyle name="Input 2 2 4 2 9" xfId="16153"/>
    <cellStyle name="Input 2 2 4 3" xfId="527"/>
    <cellStyle name="Input 2 2 4 3 10" xfId="16154"/>
    <cellStyle name="Input 2 2 4 3 11" xfId="16155"/>
    <cellStyle name="Input 2 2 4 3 2" xfId="16156"/>
    <cellStyle name="Input 2 2 4 3 2 2" xfId="16157"/>
    <cellStyle name="Input 2 2 4 3 2 2 2" xfId="16158"/>
    <cellStyle name="Input 2 2 4 3 2 2 2 2" xfId="16159"/>
    <cellStyle name="Input 2 2 4 3 2 2 2 3" xfId="16160"/>
    <cellStyle name="Input 2 2 4 3 2 2 2 4" xfId="16161"/>
    <cellStyle name="Input 2 2 4 3 2 2 3" xfId="16162"/>
    <cellStyle name="Input 2 2 4 3 2 2 4" xfId="16163"/>
    <cellStyle name="Input 2 2 4 3 2 2 5" xfId="16164"/>
    <cellStyle name="Input 2 2 4 3 2 2 6" xfId="16165"/>
    <cellStyle name="Input 2 2 4 3 2 3" xfId="16166"/>
    <cellStyle name="Input 2 2 4 3 2 3 2" xfId="16167"/>
    <cellStyle name="Input 2 2 4 3 2 3 3" xfId="16168"/>
    <cellStyle name="Input 2 2 4 3 2 3 4" xfId="16169"/>
    <cellStyle name="Input 2 2 4 3 2 4" xfId="16170"/>
    <cellStyle name="Input 2 2 4 3 2 5" xfId="16171"/>
    <cellStyle name="Input 2 2 4 3 2 6" xfId="16172"/>
    <cellStyle name="Input 2 2 4 3 2 7" xfId="16173"/>
    <cellStyle name="Input 2 2 4 3 3" xfId="16174"/>
    <cellStyle name="Input 2 2 4 3 3 2" xfId="16175"/>
    <cellStyle name="Input 2 2 4 3 3 2 2" xfId="16176"/>
    <cellStyle name="Input 2 2 4 3 3 2 3" xfId="16177"/>
    <cellStyle name="Input 2 2 4 3 3 2 4" xfId="16178"/>
    <cellStyle name="Input 2 2 4 3 3 3" xfId="16179"/>
    <cellStyle name="Input 2 2 4 3 3 4" xfId="16180"/>
    <cellStyle name="Input 2 2 4 3 3 5" xfId="16181"/>
    <cellStyle name="Input 2 2 4 3 3 6" xfId="16182"/>
    <cellStyle name="Input 2 2 4 3 4" xfId="16183"/>
    <cellStyle name="Input 2 2 4 3 4 2" xfId="16184"/>
    <cellStyle name="Input 2 2 4 3 4 3" xfId="16185"/>
    <cellStyle name="Input 2 2 4 3 4 4" xfId="16186"/>
    <cellStyle name="Input 2 2 4 3 4 5" xfId="16187"/>
    <cellStyle name="Input 2 2 4 3 5" xfId="16188"/>
    <cellStyle name="Input 2 2 4 3 5 2" xfId="16189"/>
    <cellStyle name="Input 2 2 4 3 5 3" xfId="16190"/>
    <cellStyle name="Input 2 2 4 3 5 4" xfId="16191"/>
    <cellStyle name="Input 2 2 4 3 6" xfId="16192"/>
    <cellStyle name="Input 2 2 4 3 6 2" xfId="16193"/>
    <cellStyle name="Input 2 2 4 3 6 3" xfId="16194"/>
    <cellStyle name="Input 2 2 4 3 6 4" xfId="16195"/>
    <cellStyle name="Input 2 2 4 3 7" xfId="16196"/>
    <cellStyle name="Input 2 2 4 3 7 2" xfId="16197"/>
    <cellStyle name="Input 2 2 4 3 7 3" xfId="16198"/>
    <cellStyle name="Input 2 2 4 3 7 4" xfId="16199"/>
    <cellStyle name="Input 2 2 4 3 8" xfId="16200"/>
    <cellStyle name="Input 2 2 4 3 9" xfId="16201"/>
    <cellStyle name="Input 2 2 4 4" xfId="16202"/>
    <cellStyle name="Input 2 2 4 4 2" xfId="16203"/>
    <cellStyle name="Input 2 2 4 4 2 2" xfId="16204"/>
    <cellStyle name="Input 2 2 4 4 2 2 2" xfId="16205"/>
    <cellStyle name="Input 2 2 4 4 2 2 3" xfId="16206"/>
    <cellStyle name="Input 2 2 4 4 2 2 4" xfId="16207"/>
    <cellStyle name="Input 2 2 4 4 2 3" xfId="16208"/>
    <cellStyle name="Input 2 2 4 4 2 4" xfId="16209"/>
    <cellStyle name="Input 2 2 4 4 2 5" xfId="16210"/>
    <cellStyle name="Input 2 2 4 4 2 6" xfId="16211"/>
    <cellStyle name="Input 2 2 4 4 3" xfId="16212"/>
    <cellStyle name="Input 2 2 4 4 3 2" xfId="16213"/>
    <cellStyle name="Input 2 2 4 4 3 3" xfId="16214"/>
    <cellStyle name="Input 2 2 4 4 3 4" xfId="16215"/>
    <cellStyle name="Input 2 2 4 4 4" xfId="16216"/>
    <cellStyle name="Input 2 2 4 4 5" xfId="16217"/>
    <cellStyle name="Input 2 2 4 4 6" xfId="16218"/>
    <cellStyle name="Input 2 2 4 4 7" xfId="16219"/>
    <cellStyle name="Input 2 2 4 5" xfId="16220"/>
    <cellStyle name="Input 2 2 4 5 2" xfId="16221"/>
    <cellStyle name="Input 2 2 4 5 2 2" xfId="16222"/>
    <cellStyle name="Input 2 2 4 5 2 3" xfId="16223"/>
    <cellStyle name="Input 2 2 4 5 2 4" xfId="16224"/>
    <cellStyle name="Input 2 2 4 5 3" xfId="16225"/>
    <cellStyle name="Input 2 2 4 5 3 2" xfId="16226"/>
    <cellStyle name="Input 2 2 4 5 3 3" xfId="16227"/>
    <cellStyle name="Input 2 2 4 5 3 4" xfId="16228"/>
    <cellStyle name="Input 2 2 4 5 4" xfId="16229"/>
    <cellStyle name="Input 2 2 4 5 5" xfId="16230"/>
    <cellStyle name="Input 2 2 4 5 6" xfId="16231"/>
    <cellStyle name="Input 2 2 4 5 7" xfId="16232"/>
    <cellStyle name="Input 2 2 4 6" xfId="16233"/>
    <cellStyle name="Input 2 2 4 6 2" xfId="16234"/>
    <cellStyle name="Input 2 2 4 6 2 2" xfId="16235"/>
    <cellStyle name="Input 2 2 4 6 2 3" xfId="16236"/>
    <cellStyle name="Input 2 2 4 6 2 4" xfId="16237"/>
    <cellStyle name="Input 2 2 4 6 3" xfId="16238"/>
    <cellStyle name="Input 2 2 4 6 3 2" xfId="16239"/>
    <cellStyle name="Input 2 2 4 6 3 3" xfId="16240"/>
    <cellStyle name="Input 2 2 4 6 3 4" xfId="16241"/>
    <cellStyle name="Input 2 2 4 6 4" xfId="16242"/>
    <cellStyle name="Input 2 2 4 6 5" xfId="16243"/>
    <cellStyle name="Input 2 2 4 6 6" xfId="16244"/>
    <cellStyle name="Input 2 2 4 6 7" xfId="16245"/>
    <cellStyle name="Input 2 2 4 7" xfId="16246"/>
    <cellStyle name="Input 2 2 4 7 2" xfId="16247"/>
    <cellStyle name="Input 2 2 4 7 2 2" xfId="16248"/>
    <cellStyle name="Input 2 2 4 7 2 3" xfId="16249"/>
    <cellStyle name="Input 2 2 4 7 2 4" xfId="16250"/>
    <cellStyle name="Input 2 2 4 7 3" xfId="16251"/>
    <cellStyle name="Input 2 2 4 7 3 2" xfId="16252"/>
    <cellStyle name="Input 2 2 4 7 3 3" xfId="16253"/>
    <cellStyle name="Input 2 2 4 7 3 4" xfId="16254"/>
    <cellStyle name="Input 2 2 4 7 4" xfId="16255"/>
    <cellStyle name="Input 2 2 4 7 5" xfId="16256"/>
    <cellStyle name="Input 2 2 4 7 6" xfId="16257"/>
    <cellStyle name="Input 2 2 4 7 7" xfId="16258"/>
    <cellStyle name="Input 2 2 4 8" xfId="16259"/>
    <cellStyle name="Input 2 2 4 8 2" xfId="16260"/>
    <cellStyle name="Input 2 2 4 8 2 2" xfId="16261"/>
    <cellStyle name="Input 2 2 4 8 2 3" xfId="16262"/>
    <cellStyle name="Input 2 2 4 8 2 4" xfId="16263"/>
    <cellStyle name="Input 2 2 4 8 3" xfId="16264"/>
    <cellStyle name="Input 2 2 4 8 4" xfId="16265"/>
    <cellStyle name="Input 2 2 4 8 5" xfId="16266"/>
    <cellStyle name="Input 2 2 4 8 6" xfId="16267"/>
    <cellStyle name="Input 2 2 4 9" xfId="16268"/>
    <cellStyle name="Input 2 2 4 9 2" xfId="16269"/>
    <cellStyle name="Input 2 2 4 9 3" xfId="16270"/>
    <cellStyle name="Input 2 2 4 9 4" xfId="16271"/>
    <cellStyle name="Input 2 2 4 9 5" xfId="16272"/>
    <cellStyle name="Input 2 2 40" xfId="53805"/>
    <cellStyle name="Input 2 2 5" xfId="528"/>
    <cellStyle name="Input 2 2 5 10" xfId="16273"/>
    <cellStyle name="Input 2 2 5 10 2" xfId="16274"/>
    <cellStyle name="Input 2 2 5 10 3" xfId="16275"/>
    <cellStyle name="Input 2 2 5 10 4" xfId="16276"/>
    <cellStyle name="Input 2 2 5 11" xfId="16277"/>
    <cellStyle name="Input 2 2 5 11 2" xfId="16278"/>
    <cellStyle name="Input 2 2 5 11 3" xfId="16279"/>
    <cellStyle name="Input 2 2 5 11 4" xfId="16280"/>
    <cellStyle name="Input 2 2 5 12" xfId="16281"/>
    <cellStyle name="Input 2 2 5 12 2" xfId="16282"/>
    <cellStyle name="Input 2 2 5 12 3" xfId="16283"/>
    <cellStyle name="Input 2 2 5 12 4" xfId="16284"/>
    <cellStyle name="Input 2 2 5 13" xfId="16285"/>
    <cellStyle name="Input 2 2 5 14" xfId="16286"/>
    <cellStyle name="Input 2 2 5 15" xfId="16287"/>
    <cellStyle name="Input 2 2 5 16" xfId="16288"/>
    <cellStyle name="Input 2 2 5 2" xfId="529"/>
    <cellStyle name="Input 2 2 5 2 10" xfId="16289"/>
    <cellStyle name="Input 2 2 5 2 11" xfId="16290"/>
    <cellStyle name="Input 2 2 5 2 12" xfId="16291"/>
    <cellStyle name="Input 2 2 5 2 2" xfId="16292"/>
    <cellStyle name="Input 2 2 5 2 2 10" xfId="16293"/>
    <cellStyle name="Input 2 2 5 2 2 11" xfId="16294"/>
    <cellStyle name="Input 2 2 5 2 2 2" xfId="16295"/>
    <cellStyle name="Input 2 2 5 2 2 2 2" xfId="16296"/>
    <cellStyle name="Input 2 2 5 2 2 2 2 2" xfId="16297"/>
    <cellStyle name="Input 2 2 5 2 2 2 2 2 2" xfId="16298"/>
    <cellStyle name="Input 2 2 5 2 2 2 2 2 3" xfId="16299"/>
    <cellStyle name="Input 2 2 5 2 2 2 2 2 4" xfId="16300"/>
    <cellStyle name="Input 2 2 5 2 2 2 2 3" xfId="16301"/>
    <cellStyle name="Input 2 2 5 2 2 2 2 4" xfId="16302"/>
    <cellStyle name="Input 2 2 5 2 2 2 2 5" xfId="16303"/>
    <cellStyle name="Input 2 2 5 2 2 2 2 6" xfId="16304"/>
    <cellStyle name="Input 2 2 5 2 2 2 3" xfId="16305"/>
    <cellStyle name="Input 2 2 5 2 2 2 3 2" xfId="16306"/>
    <cellStyle name="Input 2 2 5 2 2 2 3 3" xfId="16307"/>
    <cellStyle name="Input 2 2 5 2 2 2 3 4" xfId="16308"/>
    <cellStyle name="Input 2 2 5 2 2 2 4" xfId="16309"/>
    <cellStyle name="Input 2 2 5 2 2 2 5" xfId="16310"/>
    <cellStyle name="Input 2 2 5 2 2 2 6" xfId="16311"/>
    <cellStyle name="Input 2 2 5 2 2 2 7" xfId="16312"/>
    <cellStyle name="Input 2 2 5 2 2 3" xfId="16313"/>
    <cellStyle name="Input 2 2 5 2 2 3 2" xfId="16314"/>
    <cellStyle name="Input 2 2 5 2 2 3 2 2" xfId="16315"/>
    <cellStyle name="Input 2 2 5 2 2 3 2 3" xfId="16316"/>
    <cellStyle name="Input 2 2 5 2 2 3 2 4" xfId="16317"/>
    <cellStyle name="Input 2 2 5 2 2 3 3" xfId="16318"/>
    <cellStyle name="Input 2 2 5 2 2 3 4" xfId="16319"/>
    <cellStyle name="Input 2 2 5 2 2 3 5" xfId="16320"/>
    <cellStyle name="Input 2 2 5 2 2 3 6" xfId="16321"/>
    <cellStyle name="Input 2 2 5 2 2 4" xfId="16322"/>
    <cellStyle name="Input 2 2 5 2 2 4 2" xfId="16323"/>
    <cellStyle name="Input 2 2 5 2 2 4 3" xfId="16324"/>
    <cellStyle name="Input 2 2 5 2 2 4 4" xfId="16325"/>
    <cellStyle name="Input 2 2 5 2 2 4 5" xfId="16326"/>
    <cellStyle name="Input 2 2 5 2 2 5" xfId="16327"/>
    <cellStyle name="Input 2 2 5 2 2 5 2" xfId="16328"/>
    <cellStyle name="Input 2 2 5 2 2 5 3" xfId="16329"/>
    <cellStyle name="Input 2 2 5 2 2 5 4" xfId="16330"/>
    <cellStyle name="Input 2 2 5 2 2 6" xfId="16331"/>
    <cellStyle name="Input 2 2 5 2 2 6 2" xfId="16332"/>
    <cellStyle name="Input 2 2 5 2 2 6 3" xfId="16333"/>
    <cellStyle name="Input 2 2 5 2 2 6 4" xfId="16334"/>
    <cellStyle name="Input 2 2 5 2 2 7" xfId="16335"/>
    <cellStyle name="Input 2 2 5 2 2 7 2" xfId="16336"/>
    <cellStyle name="Input 2 2 5 2 2 7 3" xfId="16337"/>
    <cellStyle name="Input 2 2 5 2 2 7 4" xfId="16338"/>
    <cellStyle name="Input 2 2 5 2 2 8" xfId="16339"/>
    <cellStyle name="Input 2 2 5 2 2 9" xfId="16340"/>
    <cellStyle name="Input 2 2 5 2 3" xfId="16341"/>
    <cellStyle name="Input 2 2 5 2 3 2" xfId="16342"/>
    <cellStyle name="Input 2 2 5 2 3 2 2" xfId="16343"/>
    <cellStyle name="Input 2 2 5 2 3 2 2 2" xfId="16344"/>
    <cellStyle name="Input 2 2 5 2 3 2 2 3" xfId="16345"/>
    <cellStyle name="Input 2 2 5 2 3 2 2 4" xfId="16346"/>
    <cellStyle name="Input 2 2 5 2 3 2 3" xfId="16347"/>
    <cellStyle name="Input 2 2 5 2 3 2 4" xfId="16348"/>
    <cellStyle name="Input 2 2 5 2 3 2 5" xfId="16349"/>
    <cellStyle name="Input 2 2 5 2 3 2 6" xfId="16350"/>
    <cellStyle name="Input 2 2 5 2 3 3" xfId="16351"/>
    <cellStyle name="Input 2 2 5 2 3 3 2" xfId="16352"/>
    <cellStyle name="Input 2 2 5 2 3 3 3" xfId="16353"/>
    <cellStyle name="Input 2 2 5 2 3 3 4" xfId="16354"/>
    <cellStyle name="Input 2 2 5 2 3 4" xfId="16355"/>
    <cellStyle name="Input 2 2 5 2 3 5" xfId="16356"/>
    <cellStyle name="Input 2 2 5 2 3 6" xfId="16357"/>
    <cellStyle name="Input 2 2 5 2 3 7" xfId="16358"/>
    <cellStyle name="Input 2 2 5 2 4" xfId="16359"/>
    <cellStyle name="Input 2 2 5 2 4 2" xfId="16360"/>
    <cellStyle name="Input 2 2 5 2 4 2 2" xfId="16361"/>
    <cellStyle name="Input 2 2 5 2 4 2 3" xfId="16362"/>
    <cellStyle name="Input 2 2 5 2 4 2 4" xfId="16363"/>
    <cellStyle name="Input 2 2 5 2 4 3" xfId="16364"/>
    <cellStyle name="Input 2 2 5 2 4 4" xfId="16365"/>
    <cellStyle name="Input 2 2 5 2 4 5" xfId="16366"/>
    <cellStyle name="Input 2 2 5 2 4 6" xfId="16367"/>
    <cellStyle name="Input 2 2 5 2 5" xfId="16368"/>
    <cellStyle name="Input 2 2 5 2 5 2" xfId="16369"/>
    <cellStyle name="Input 2 2 5 2 5 3" xfId="16370"/>
    <cellStyle name="Input 2 2 5 2 5 4" xfId="16371"/>
    <cellStyle name="Input 2 2 5 2 5 5" xfId="16372"/>
    <cellStyle name="Input 2 2 5 2 6" xfId="16373"/>
    <cellStyle name="Input 2 2 5 2 6 2" xfId="16374"/>
    <cellStyle name="Input 2 2 5 2 6 3" xfId="16375"/>
    <cellStyle name="Input 2 2 5 2 6 4" xfId="16376"/>
    <cellStyle name="Input 2 2 5 2 7" xfId="16377"/>
    <cellStyle name="Input 2 2 5 2 7 2" xfId="16378"/>
    <cellStyle name="Input 2 2 5 2 7 3" xfId="16379"/>
    <cellStyle name="Input 2 2 5 2 7 4" xfId="16380"/>
    <cellStyle name="Input 2 2 5 2 8" xfId="16381"/>
    <cellStyle name="Input 2 2 5 2 8 2" xfId="16382"/>
    <cellStyle name="Input 2 2 5 2 8 3" xfId="16383"/>
    <cellStyle name="Input 2 2 5 2 8 4" xfId="16384"/>
    <cellStyle name="Input 2 2 5 2 9" xfId="16385"/>
    <cellStyle name="Input 2 2 5 3" xfId="530"/>
    <cellStyle name="Input 2 2 5 3 10" xfId="16386"/>
    <cellStyle name="Input 2 2 5 3 11" xfId="16387"/>
    <cellStyle name="Input 2 2 5 3 2" xfId="16388"/>
    <cellStyle name="Input 2 2 5 3 2 2" xfId="16389"/>
    <cellStyle name="Input 2 2 5 3 2 2 2" xfId="16390"/>
    <cellStyle name="Input 2 2 5 3 2 2 2 2" xfId="16391"/>
    <cellStyle name="Input 2 2 5 3 2 2 2 3" xfId="16392"/>
    <cellStyle name="Input 2 2 5 3 2 2 2 4" xfId="16393"/>
    <cellStyle name="Input 2 2 5 3 2 2 3" xfId="16394"/>
    <cellStyle name="Input 2 2 5 3 2 2 4" xfId="16395"/>
    <cellStyle name="Input 2 2 5 3 2 2 5" xfId="16396"/>
    <cellStyle name="Input 2 2 5 3 2 2 6" xfId="16397"/>
    <cellStyle name="Input 2 2 5 3 2 3" xfId="16398"/>
    <cellStyle name="Input 2 2 5 3 2 3 2" xfId="16399"/>
    <cellStyle name="Input 2 2 5 3 2 3 3" xfId="16400"/>
    <cellStyle name="Input 2 2 5 3 2 3 4" xfId="16401"/>
    <cellStyle name="Input 2 2 5 3 2 4" xfId="16402"/>
    <cellStyle name="Input 2 2 5 3 2 5" xfId="16403"/>
    <cellStyle name="Input 2 2 5 3 2 6" xfId="16404"/>
    <cellStyle name="Input 2 2 5 3 2 7" xfId="16405"/>
    <cellStyle name="Input 2 2 5 3 3" xfId="16406"/>
    <cellStyle name="Input 2 2 5 3 3 2" xfId="16407"/>
    <cellStyle name="Input 2 2 5 3 3 2 2" xfId="16408"/>
    <cellStyle name="Input 2 2 5 3 3 2 3" xfId="16409"/>
    <cellStyle name="Input 2 2 5 3 3 2 4" xfId="16410"/>
    <cellStyle name="Input 2 2 5 3 3 3" xfId="16411"/>
    <cellStyle name="Input 2 2 5 3 3 4" xfId="16412"/>
    <cellStyle name="Input 2 2 5 3 3 5" xfId="16413"/>
    <cellStyle name="Input 2 2 5 3 3 6" xfId="16414"/>
    <cellStyle name="Input 2 2 5 3 4" xfId="16415"/>
    <cellStyle name="Input 2 2 5 3 4 2" xfId="16416"/>
    <cellStyle name="Input 2 2 5 3 4 3" xfId="16417"/>
    <cellStyle name="Input 2 2 5 3 4 4" xfId="16418"/>
    <cellStyle name="Input 2 2 5 3 4 5" xfId="16419"/>
    <cellStyle name="Input 2 2 5 3 5" xfId="16420"/>
    <cellStyle name="Input 2 2 5 3 5 2" xfId="16421"/>
    <cellStyle name="Input 2 2 5 3 5 3" xfId="16422"/>
    <cellStyle name="Input 2 2 5 3 5 4" xfId="16423"/>
    <cellStyle name="Input 2 2 5 3 6" xfId="16424"/>
    <cellStyle name="Input 2 2 5 3 6 2" xfId="16425"/>
    <cellStyle name="Input 2 2 5 3 6 3" xfId="16426"/>
    <cellStyle name="Input 2 2 5 3 6 4" xfId="16427"/>
    <cellStyle name="Input 2 2 5 3 7" xfId="16428"/>
    <cellStyle name="Input 2 2 5 3 7 2" xfId="16429"/>
    <cellStyle name="Input 2 2 5 3 7 3" xfId="16430"/>
    <cellStyle name="Input 2 2 5 3 7 4" xfId="16431"/>
    <cellStyle name="Input 2 2 5 3 8" xfId="16432"/>
    <cellStyle name="Input 2 2 5 3 9" xfId="16433"/>
    <cellStyle name="Input 2 2 5 4" xfId="16434"/>
    <cellStyle name="Input 2 2 5 4 2" xfId="16435"/>
    <cellStyle name="Input 2 2 5 4 2 2" xfId="16436"/>
    <cellStyle name="Input 2 2 5 4 2 2 2" xfId="16437"/>
    <cellStyle name="Input 2 2 5 4 2 2 3" xfId="16438"/>
    <cellStyle name="Input 2 2 5 4 2 2 4" xfId="16439"/>
    <cellStyle name="Input 2 2 5 4 2 3" xfId="16440"/>
    <cellStyle name="Input 2 2 5 4 2 4" xfId="16441"/>
    <cellStyle name="Input 2 2 5 4 2 5" xfId="16442"/>
    <cellStyle name="Input 2 2 5 4 2 6" xfId="16443"/>
    <cellStyle name="Input 2 2 5 4 3" xfId="16444"/>
    <cellStyle name="Input 2 2 5 4 3 2" xfId="16445"/>
    <cellStyle name="Input 2 2 5 4 3 3" xfId="16446"/>
    <cellStyle name="Input 2 2 5 4 3 4" xfId="16447"/>
    <cellStyle name="Input 2 2 5 4 4" xfId="16448"/>
    <cellStyle name="Input 2 2 5 4 5" xfId="16449"/>
    <cellStyle name="Input 2 2 5 4 6" xfId="16450"/>
    <cellStyle name="Input 2 2 5 4 7" xfId="16451"/>
    <cellStyle name="Input 2 2 5 5" xfId="16452"/>
    <cellStyle name="Input 2 2 5 5 2" xfId="16453"/>
    <cellStyle name="Input 2 2 5 5 2 2" xfId="16454"/>
    <cellStyle name="Input 2 2 5 5 2 3" xfId="16455"/>
    <cellStyle name="Input 2 2 5 5 2 4" xfId="16456"/>
    <cellStyle name="Input 2 2 5 5 3" xfId="16457"/>
    <cellStyle name="Input 2 2 5 5 3 2" xfId="16458"/>
    <cellStyle name="Input 2 2 5 5 3 3" xfId="16459"/>
    <cellStyle name="Input 2 2 5 5 3 4" xfId="16460"/>
    <cellStyle name="Input 2 2 5 5 4" xfId="16461"/>
    <cellStyle name="Input 2 2 5 5 5" xfId="16462"/>
    <cellStyle name="Input 2 2 5 5 6" xfId="16463"/>
    <cellStyle name="Input 2 2 5 5 7" xfId="16464"/>
    <cellStyle name="Input 2 2 5 6" xfId="16465"/>
    <cellStyle name="Input 2 2 5 6 2" xfId="16466"/>
    <cellStyle name="Input 2 2 5 6 2 2" xfId="16467"/>
    <cellStyle name="Input 2 2 5 6 2 3" xfId="16468"/>
    <cellStyle name="Input 2 2 5 6 2 4" xfId="16469"/>
    <cellStyle name="Input 2 2 5 6 3" xfId="16470"/>
    <cellStyle name="Input 2 2 5 6 3 2" xfId="16471"/>
    <cellStyle name="Input 2 2 5 6 3 3" xfId="16472"/>
    <cellStyle name="Input 2 2 5 6 3 4" xfId="16473"/>
    <cellStyle name="Input 2 2 5 6 4" xfId="16474"/>
    <cellStyle name="Input 2 2 5 6 5" xfId="16475"/>
    <cellStyle name="Input 2 2 5 6 6" xfId="16476"/>
    <cellStyle name="Input 2 2 5 6 7" xfId="16477"/>
    <cellStyle name="Input 2 2 5 7" xfId="16478"/>
    <cellStyle name="Input 2 2 5 7 2" xfId="16479"/>
    <cellStyle name="Input 2 2 5 7 2 2" xfId="16480"/>
    <cellStyle name="Input 2 2 5 7 2 3" xfId="16481"/>
    <cellStyle name="Input 2 2 5 7 2 4" xfId="16482"/>
    <cellStyle name="Input 2 2 5 7 3" xfId="16483"/>
    <cellStyle name="Input 2 2 5 7 3 2" xfId="16484"/>
    <cellStyle name="Input 2 2 5 7 3 3" xfId="16485"/>
    <cellStyle name="Input 2 2 5 7 3 4" xfId="16486"/>
    <cellStyle name="Input 2 2 5 7 4" xfId="16487"/>
    <cellStyle name="Input 2 2 5 7 5" xfId="16488"/>
    <cellStyle name="Input 2 2 5 7 6" xfId="16489"/>
    <cellStyle name="Input 2 2 5 7 7" xfId="16490"/>
    <cellStyle name="Input 2 2 5 8" xfId="16491"/>
    <cellStyle name="Input 2 2 5 8 2" xfId="16492"/>
    <cellStyle name="Input 2 2 5 8 2 2" xfId="16493"/>
    <cellStyle name="Input 2 2 5 8 2 3" xfId="16494"/>
    <cellStyle name="Input 2 2 5 8 2 4" xfId="16495"/>
    <cellStyle name="Input 2 2 5 8 3" xfId="16496"/>
    <cellStyle name="Input 2 2 5 8 4" xfId="16497"/>
    <cellStyle name="Input 2 2 5 8 5" xfId="16498"/>
    <cellStyle name="Input 2 2 5 8 6" xfId="16499"/>
    <cellStyle name="Input 2 2 5 9" xfId="16500"/>
    <cellStyle name="Input 2 2 5 9 2" xfId="16501"/>
    <cellStyle name="Input 2 2 5 9 3" xfId="16502"/>
    <cellStyle name="Input 2 2 5 9 4" xfId="16503"/>
    <cellStyle name="Input 2 2 5 9 5" xfId="16504"/>
    <cellStyle name="Input 2 2 6" xfId="531"/>
    <cellStyle name="Input 2 2 6 10" xfId="16505"/>
    <cellStyle name="Input 2 2 6 10 2" xfId="16506"/>
    <cellStyle name="Input 2 2 6 10 3" xfId="16507"/>
    <cellStyle name="Input 2 2 6 10 4" xfId="16508"/>
    <cellStyle name="Input 2 2 6 11" xfId="16509"/>
    <cellStyle name="Input 2 2 6 11 2" xfId="16510"/>
    <cellStyle name="Input 2 2 6 11 3" xfId="16511"/>
    <cellStyle name="Input 2 2 6 11 4" xfId="16512"/>
    <cellStyle name="Input 2 2 6 12" xfId="16513"/>
    <cellStyle name="Input 2 2 6 12 2" xfId="16514"/>
    <cellStyle name="Input 2 2 6 12 3" xfId="16515"/>
    <cellStyle name="Input 2 2 6 12 4" xfId="16516"/>
    <cellStyle name="Input 2 2 6 13" xfId="16517"/>
    <cellStyle name="Input 2 2 6 13 2" xfId="16518"/>
    <cellStyle name="Input 2 2 6 13 3" xfId="16519"/>
    <cellStyle name="Input 2 2 6 13 4" xfId="16520"/>
    <cellStyle name="Input 2 2 6 14" xfId="16521"/>
    <cellStyle name="Input 2 2 6 15" xfId="16522"/>
    <cellStyle name="Input 2 2 6 16" xfId="16523"/>
    <cellStyle name="Input 2 2 6 17" xfId="16524"/>
    <cellStyle name="Input 2 2 6 2" xfId="532"/>
    <cellStyle name="Input 2 2 6 2 10" xfId="16525"/>
    <cellStyle name="Input 2 2 6 2 11" xfId="16526"/>
    <cellStyle name="Input 2 2 6 2 12" xfId="16527"/>
    <cellStyle name="Input 2 2 6 2 2" xfId="16528"/>
    <cellStyle name="Input 2 2 6 2 2 10" xfId="16529"/>
    <cellStyle name="Input 2 2 6 2 2 11" xfId="16530"/>
    <cellStyle name="Input 2 2 6 2 2 2" xfId="16531"/>
    <cellStyle name="Input 2 2 6 2 2 2 2" xfId="16532"/>
    <cellStyle name="Input 2 2 6 2 2 2 2 2" xfId="16533"/>
    <cellStyle name="Input 2 2 6 2 2 2 2 2 2" xfId="16534"/>
    <cellStyle name="Input 2 2 6 2 2 2 2 2 3" xfId="16535"/>
    <cellStyle name="Input 2 2 6 2 2 2 2 2 4" xfId="16536"/>
    <cellStyle name="Input 2 2 6 2 2 2 2 3" xfId="16537"/>
    <cellStyle name="Input 2 2 6 2 2 2 2 4" xfId="16538"/>
    <cellStyle name="Input 2 2 6 2 2 2 2 5" xfId="16539"/>
    <cellStyle name="Input 2 2 6 2 2 2 2 6" xfId="16540"/>
    <cellStyle name="Input 2 2 6 2 2 2 3" xfId="16541"/>
    <cellStyle name="Input 2 2 6 2 2 2 3 2" xfId="16542"/>
    <cellStyle name="Input 2 2 6 2 2 2 3 3" xfId="16543"/>
    <cellStyle name="Input 2 2 6 2 2 2 3 4" xfId="16544"/>
    <cellStyle name="Input 2 2 6 2 2 2 4" xfId="16545"/>
    <cellStyle name="Input 2 2 6 2 2 2 5" xfId="16546"/>
    <cellStyle name="Input 2 2 6 2 2 2 6" xfId="16547"/>
    <cellStyle name="Input 2 2 6 2 2 2 7" xfId="16548"/>
    <cellStyle name="Input 2 2 6 2 2 3" xfId="16549"/>
    <cellStyle name="Input 2 2 6 2 2 3 2" xfId="16550"/>
    <cellStyle name="Input 2 2 6 2 2 3 2 2" xfId="16551"/>
    <cellStyle name="Input 2 2 6 2 2 3 2 3" xfId="16552"/>
    <cellStyle name="Input 2 2 6 2 2 3 2 4" xfId="16553"/>
    <cellStyle name="Input 2 2 6 2 2 3 3" xfId="16554"/>
    <cellStyle name="Input 2 2 6 2 2 3 4" xfId="16555"/>
    <cellStyle name="Input 2 2 6 2 2 3 5" xfId="16556"/>
    <cellStyle name="Input 2 2 6 2 2 3 6" xfId="16557"/>
    <cellStyle name="Input 2 2 6 2 2 4" xfId="16558"/>
    <cellStyle name="Input 2 2 6 2 2 4 2" xfId="16559"/>
    <cellStyle name="Input 2 2 6 2 2 4 3" xfId="16560"/>
    <cellStyle name="Input 2 2 6 2 2 4 4" xfId="16561"/>
    <cellStyle name="Input 2 2 6 2 2 4 5" xfId="16562"/>
    <cellStyle name="Input 2 2 6 2 2 5" xfId="16563"/>
    <cellStyle name="Input 2 2 6 2 2 5 2" xfId="16564"/>
    <cellStyle name="Input 2 2 6 2 2 5 3" xfId="16565"/>
    <cellStyle name="Input 2 2 6 2 2 5 4" xfId="16566"/>
    <cellStyle name="Input 2 2 6 2 2 6" xfId="16567"/>
    <cellStyle name="Input 2 2 6 2 2 6 2" xfId="16568"/>
    <cellStyle name="Input 2 2 6 2 2 6 3" xfId="16569"/>
    <cellStyle name="Input 2 2 6 2 2 6 4" xfId="16570"/>
    <cellStyle name="Input 2 2 6 2 2 7" xfId="16571"/>
    <cellStyle name="Input 2 2 6 2 2 7 2" xfId="16572"/>
    <cellStyle name="Input 2 2 6 2 2 7 3" xfId="16573"/>
    <cellStyle name="Input 2 2 6 2 2 7 4" xfId="16574"/>
    <cellStyle name="Input 2 2 6 2 2 8" xfId="16575"/>
    <cellStyle name="Input 2 2 6 2 2 9" xfId="16576"/>
    <cellStyle name="Input 2 2 6 2 3" xfId="16577"/>
    <cellStyle name="Input 2 2 6 2 3 2" xfId="16578"/>
    <cellStyle name="Input 2 2 6 2 3 2 2" xfId="16579"/>
    <cellStyle name="Input 2 2 6 2 3 2 2 2" xfId="16580"/>
    <cellStyle name="Input 2 2 6 2 3 2 2 3" xfId="16581"/>
    <cellStyle name="Input 2 2 6 2 3 2 2 4" xfId="16582"/>
    <cellStyle name="Input 2 2 6 2 3 2 3" xfId="16583"/>
    <cellStyle name="Input 2 2 6 2 3 2 4" xfId="16584"/>
    <cellStyle name="Input 2 2 6 2 3 2 5" xfId="16585"/>
    <cellStyle name="Input 2 2 6 2 3 2 6" xfId="16586"/>
    <cellStyle name="Input 2 2 6 2 3 3" xfId="16587"/>
    <cellStyle name="Input 2 2 6 2 3 3 2" xfId="16588"/>
    <cellStyle name="Input 2 2 6 2 3 3 3" xfId="16589"/>
    <cellStyle name="Input 2 2 6 2 3 3 4" xfId="16590"/>
    <cellStyle name="Input 2 2 6 2 3 4" xfId="16591"/>
    <cellStyle name="Input 2 2 6 2 3 5" xfId="16592"/>
    <cellStyle name="Input 2 2 6 2 3 6" xfId="16593"/>
    <cellStyle name="Input 2 2 6 2 3 7" xfId="16594"/>
    <cellStyle name="Input 2 2 6 2 4" xfId="16595"/>
    <cellStyle name="Input 2 2 6 2 4 2" xfId="16596"/>
    <cellStyle name="Input 2 2 6 2 4 2 2" xfId="16597"/>
    <cellStyle name="Input 2 2 6 2 4 2 3" xfId="16598"/>
    <cellStyle name="Input 2 2 6 2 4 2 4" xfId="16599"/>
    <cellStyle name="Input 2 2 6 2 4 3" xfId="16600"/>
    <cellStyle name="Input 2 2 6 2 4 4" xfId="16601"/>
    <cellStyle name="Input 2 2 6 2 4 5" xfId="16602"/>
    <cellStyle name="Input 2 2 6 2 4 6" xfId="16603"/>
    <cellStyle name="Input 2 2 6 2 5" xfId="16604"/>
    <cellStyle name="Input 2 2 6 2 5 2" xfId="16605"/>
    <cellStyle name="Input 2 2 6 2 5 3" xfId="16606"/>
    <cellStyle name="Input 2 2 6 2 5 4" xfId="16607"/>
    <cellStyle name="Input 2 2 6 2 5 5" xfId="16608"/>
    <cellStyle name="Input 2 2 6 2 6" xfId="16609"/>
    <cellStyle name="Input 2 2 6 2 6 2" xfId="16610"/>
    <cellStyle name="Input 2 2 6 2 6 3" xfId="16611"/>
    <cellStyle name="Input 2 2 6 2 6 4" xfId="16612"/>
    <cellStyle name="Input 2 2 6 2 7" xfId="16613"/>
    <cellStyle name="Input 2 2 6 2 7 2" xfId="16614"/>
    <cellStyle name="Input 2 2 6 2 7 3" xfId="16615"/>
    <cellStyle name="Input 2 2 6 2 7 4" xfId="16616"/>
    <cellStyle name="Input 2 2 6 2 8" xfId="16617"/>
    <cellStyle name="Input 2 2 6 2 8 2" xfId="16618"/>
    <cellStyle name="Input 2 2 6 2 8 3" xfId="16619"/>
    <cellStyle name="Input 2 2 6 2 8 4" xfId="16620"/>
    <cellStyle name="Input 2 2 6 2 9" xfId="16621"/>
    <cellStyle name="Input 2 2 6 3" xfId="533"/>
    <cellStyle name="Input 2 2 6 3 10" xfId="16622"/>
    <cellStyle name="Input 2 2 6 3 11" xfId="16623"/>
    <cellStyle name="Input 2 2 6 3 2" xfId="16624"/>
    <cellStyle name="Input 2 2 6 3 2 2" xfId="16625"/>
    <cellStyle name="Input 2 2 6 3 2 2 2" xfId="16626"/>
    <cellStyle name="Input 2 2 6 3 2 2 2 2" xfId="16627"/>
    <cellStyle name="Input 2 2 6 3 2 2 2 3" xfId="16628"/>
    <cellStyle name="Input 2 2 6 3 2 2 2 4" xfId="16629"/>
    <cellStyle name="Input 2 2 6 3 2 2 3" xfId="16630"/>
    <cellStyle name="Input 2 2 6 3 2 2 4" xfId="16631"/>
    <cellStyle name="Input 2 2 6 3 2 2 5" xfId="16632"/>
    <cellStyle name="Input 2 2 6 3 2 2 6" xfId="16633"/>
    <cellStyle name="Input 2 2 6 3 2 3" xfId="16634"/>
    <cellStyle name="Input 2 2 6 3 2 3 2" xfId="16635"/>
    <cellStyle name="Input 2 2 6 3 2 3 3" xfId="16636"/>
    <cellStyle name="Input 2 2 6 3 2 3 4" xfId="16637"/>
    <cellStyle name="Input 2 2 6 3 2 4" xfId="16638"/>
    <cellStyle name="Input 2 2 6 3 2 5" xfId="16639"/>
    <cellStyle name="Input 2 2 6 3 2 6" xfId="16640"/>
    <cellStyle name="Input 2 2 6 3 2 7" xfId="16641"/>
    <cellStyle name="Input 2 2 6 3 3" xfId="16642"/>
    <cellStyle name="Input 2 2 6 3 3 2" xfId="16643"/>
    <cellStyle name="Input 2 2 6 3 3 2 2" xfId="16644"/>
    <cellStyle name="Input 2 2 6 3 3 2 3" xfId="16645"/>
    <cellStyle name="Input 2 2 6 3 3 2 4" xfId="16646"/>
    <cellStyle name="Input 2 2 6 3 3 3" xfId="16647"/>
    <cellStyle name="Input 2 2 6 3 3 4" xfId="16648"/>
    <cellStyle name="Input 2 2 6 3 3 5" xfId="16649"/>
    <cellStyle name="Input 2 2 6 3 3 6" xfId="16650"/>
    <cellStyle name="Input 2 2 6 3 4" xfId="16651"/>
    <cellStyle name="Input 2 2 6 3 4 2" xfId="16652"/>
    <cellStyle name="Input 2 2 6 3 4 3" xfId="16653"/>
    <cellStyle name="Input 2 2 6 3 4 4" xfId="16654"/>
    <cellStyle name="Input 2 2 6 3 4 5" xfId="16655"/>
    <cellStyle name="Input 2 2 6 3 5" xfId="16656"/>
    <cellStyle name="Input 2 2 6 3 5 2" xfId="16657"/>
    <cellStyle name="Input 2 2 6 3 5 3" xfId="16658"/>
    <cellStyle name="Input 2 2 6 3 5 4" xfId="16659"/>
    <cellStyle name="Input 2 2 6 3 6" xfId="16660"/>
    <cellStyle name="Input 2 2 6 3 6 2" xfId="16661"/>
    <cellStyle name="Input 2 2 6 3 6 3" xfId="16662"/>
    <cellStyle name="Input 2 2 6 3 6 4" xfId="16663"/>
    <cellStyle name="Input 2 2 6 3 7" xfId="16664"/>
    <cellStyle name="Input 2 2 6 3 7 2" xfId="16665"/>
    <cellStyle name="Input 2 2 6 3 7 3" xfId="16666"/>
    <cellStyle name="Input 2 2 6 3 7 4" xfId="16667"/>
    <cellStyle name="Input 2 2 6 3 8" xfId="16668"/>
    <cellStyle name="Input 2 2 6 3 9" xfId="16669"/>
    <cellStyle name="Input 2 2 6 4" xfId="16670"/>
    <cellStyle name="Input 2 2 6 4 2" xfId="16671"/>
    <cellStyle name="Input 2 2 6 4 2 2" xfId="16672"/>
    <cellStyle name="Input 2 2 6 4 2 2 2" xfId="16673"/>
    <cellStyle name="Input 2 2 6 4 2 2 3" xfId="16674"/>
    <cellStyle name="Input 2 2 6 4 2 2 4" xfId="16675"/>
    <cellStyle name="Input 2 2 6 4 2 3" xfId="16676"/>
    <cellStyle name="Input 2 2 6 4 2 4" xfId="16677"/>
    <cellStyle name="Input 2 2 6 4 2 5" xfId="16678"/>
    <cellStyle name="Input 2 2 6 4 2 6" xfId="16679"/>
    <cellStyle name="Input 2 2 6 4 3" xfId="16680"/>
    <cellStyle name="Input 2 2 6 4 3 2" xfId="16681"/>
    <cellStyle name="Input 2 2 6 4 3 3" xfId="16682"/>
    <cellStyle name="Input 2 2 6 4 3 4" xfId="16683"/>
    <cellStyle name="Input 2 2 6 4 4" xfId="16684"/>
    <cellStyle name="Input 2 2 6 4 5" xfId="16685"/>
    <cellStyle name="Input 2 2 6 4 6" xfId="16686"/>
    <cellStyle name="Input 2 2 6 4 7" xfId="16687"/>
    <cellStyle name="Input 2 2 6 5" xfId="16688"/>
    <cellStyle name="Input 2 2 6 5 2" xfId="16689"/>
    <cellStyle name="Input 2 2 6 5 2 2" xfId="16690"/>
    <cellStyle name="Input 2 2 6 5 2 3" xfId="16691"/>
    <cellStyle name="Input 2 2 6 5 2 4" xfId="16692"/>
    <cellStyle name="Input 2 2 6 5 3" xfId="16693"/>
    <cellStyle name="Input 2 2 6 5 3 2" xfId="16694"/>
    <cellStyle name="Input 2 2 6 5 3 3" xfId="16695"/>
    <cellStyle name="Input 2 2 6 5 3 4" xfId="16696"/>
    <cellStyle name="Input 2 2 6 5 4" xfId="16697"/>
    <cellStyle name="Input 2 2 6 5 5" xfId="16698"/>
    <cellStyle name="Input 2 2 6 5 6" xfId="16699"/>
    <cellStyle name="Input 2 2 6 5 7" xfId="16700"/>
    <cellStyle name="Input 2 2 6 6" xfId="16701"/>
    <cellStyle name="Input 2 2 6 6 2" xfId="16702"/>
    <cellStyle name="Input 2 2 6 6 2 2" xfId="16703"/>
    <cellStyle name="Input 2 2 6 6 2 3" xfId="16704"/>
    <cellStyle name="Input 2 2 6 6 2 4" xfId="16705"/>
    <cellStyle name="Input 2 2 6 6 3" xfId="16706"/>
    <cellStyle name="Input 2 2 6 6 3 2" xfId="16707"/>
    <cellStyle name="Input 2 2 6 6 3 3" xfId="16708"/>
    <cellStyle name="Input 2 2 6 6 3 4" xfId="16709"/>
    <cellStyle name="Input 2 2 6 6 4" xfId="16710"/>
    <cellStyle name="Input 2 2 6 6 5" xfId="16711"/>
    <cellStyle name="Input 2 2 6 6 6" xfId="16712"/>
    <cellStyle name="Input 2 2 6 6 7" xfId="16713"/>
    <cellStyle name="Input 2 2 6 7" xfId="16714"/>
    <cellStyle name="Input 2 2 6 7 2" xfId="16715"/>
    <cellStyle name="Input 2 2 6 7 2 2" xfId="16716"/>
    <cellStyle name="Input 2 2 6 7 2 3" xfId="16717"/>
    <cellStyle name="Input 2 2 6 7 2 4" xfId="16718"/>
    <cellStyle name="Input 2 2 6 7 3" xfId="16719"/>
    <cellStyle name="Input 2 2 6 7 3 2" xfId="16720"/>
    <cellStyle name="Input 2 2 6 7 3 3" xfId="16721"/>
    <cellStyle name="Input 2 2 6 7 3 4" xfId="16722"/>
    <cellStyle name="Input 2 2 6 7 4" xfId="16723"/>
    <cellStyle name="Input 2 2 6 7 5" xfId="16724"/>
    <cellStyle name="Input 2 2 6 7 6" xfId="16725"/>
    <cellStyle name="Input 2 2 6 7 7" xfId="16726"/>
    <cellStyle name="Input 2 2 6 8" xfId="16727"/>
    <cellStyle name="Input 2 2 6 8 2" xfId="16728"/>
    <cellStyle name="Input 2 2 6 8 2 2" xfId="16729"/>
    <cellStyle name="Input 2 2 6 8 2 3" xfId="16730"/>
    <cellStyle name="Input 2 2 6 8 2 4" xfId="16731"/>
    <cellStyle name="Input 2 2 6 8 3" xfId="16732"/>
    <cellStyle name="Input 2 2 6 8 4" xfId="16733"/>
    <cellStyle name="Input 2 2 6 8 5" xfId="16734"/>
    <cellStyle name="Input 2 2 6 8 6" xfId="16735"/>
    <cellStyle name="Input 2 2 6 9" xfId="16736"/>
    <cellStyle name="Input 2 2 6 9 2" xfId="16737"/>
    <cellStyle name="Input 2 2 6 9 3" xfId="16738"/>
    <cellStyle name="Input 2 2 6 9 4" xfId="16739"/>
    <cellStyle name="Input 2 2 6 9 5" xfId="16740"/>
    <cellStyle name="Input 2 2 7" xfId="534"/>
    <cellStyle name="Input 2 2 7 10" xfId="16741"/>
    <cellStyle name="Input 2 2 7 10 2" xfId="16742"/>
    <cellStyle name="Input 2 2 7 10 3" xfId="16743"/>
    <cellStyle name="Input 2 2 7 10 4" xfId="16744"/>
    <cellStyle name="Input 2 2 7 11" xfId="16745"/>
    <cellStyle name="Input 2 2 7 12" xfId="16746"/>
    <cellStyle name="Input 2 2 7 13" xfId="16747"/>
    <cellStyle name="Input 2 2 7 14" xfId="16748"/>
    <cellStyle name="Input 2 2 7 2" xfId="535"/>
    <cellStyle name="Input 2 2 7 2 10" xfId="16749"/>
    <cellStyle name="Input 2 2 7 2 11" xfId="16750"/>
    <cellStyle name="Input 2 2 7 2 2" xfId="16751"/>
    <cellStyle name="Input 2 2 7 2 2 2" xfId="16752"/>
    <cellStyle name="Input 2 2 7 2 2 2 2" xfId="16753"/>
    <cellStyle name="Input 2 2 7 2 2 2 2 2" xfId="16754"/>
    <cellStyle name="Input 2 2 7 2 2 2 2 3" xfId="16755"/>
    <cellStyle name="Input 2 2 7 2 2 2 2 4" xfId="16756"/>
    <cellStyle name="Input 2 2 7 2 2 2 3" xfId="16757"/>
    <cellStyle name="Input 2 2 7 2 2 2 4" xfId="16758"/>
    <cellStyle name="Input 2 2 7 2 2 2 5" xfId="16759"/>
    <cellStyle name="Input 2 2 7 2 2 2 6" xfId="16760"/>
    <cellStyle name="Input 2 2 7 2 2 3" xfId="16761"/>
    <cellStyle name="Input 2 2 7 2 2 3 2" xfId="16762"/>
    <cellStyle name="Input 2 2 7 2 2 3 3" xfId="16763"/>
    <cellStyle name="Input 2 2 7 2 2 3 4" xfId="16764"/>
    <cellStyle name="Input 2 2 7 2 2 4" xfId="16765"/>
    <cellStyle name="Input 2 2 7 2 2 5" xfId="16766"/>
    <cellStyle name="Input 2 2 7 2 2 6" xfId="16767"/>
    <cellStyle name="Input 2 2 7 2 2 7" xfId="16768"/>
    <cellStyle name="Input 2 2 7 2 3" xfId="16769"/>
    <cellStyle name="Input 2 2 7 2 3 2" xfId="16770"/>
    <cellStyle name="Input 2 2 7 2 3 2 2" xfId="16771"/>
    <cellStyle name="Input 2 2 7 2 3 2 3" xfId="16772"/>
    <cellStyle name="Input 2 2 7 2 3 2 4" xfId="16773"/>
    <cellStyle name="Input 2 2 7 2 3 3" xfId="16774"/>
    <cellStyle name="Input 2 2 7 2 3 4" xfId="16775"/>
    <cellStyle name="Input 2 2 7 2 3 5" xfId="16776"/>
    <cellStyle name="Input 2 2 7 2 3 6" xfId="16777"/>
    <cellStyle name="Input 2 2 7 2 4" xfId="16778"/>
    <cellStyle name="Input 2 2 7 2 4 2" xfId="16779"/>
    <cellStyle name="Input 2 2 7 2 4 3" xfId="16780"/>
    <cellStyle name="Input 2 2 7 2 4 4" xfId="16781"/>
    <cellStyle name="Input 2 2 7 2 4 5" xfId="16782"/>
    <cellStyle name="Input 2 2 7 2 5" xfId="16783"/>
    <cellStyle name="Input 2 2 7 2 5 2" xfId="16784"/>
    <cellStyle name="Input 2 2 7 2 5 3" xfId="16785"/>
    <cellStyle name="Input 2 2 7 2 5 4" xfId="16786"/>
    <cellStyle name="Input 2 2 7 2 6" xfId="16787"/>
    <cellStyle name="Input 2 2 7 2 6 2" xfId="16788"/>
    <cellStyle name="Input 2 2 7 2 6 3" xfId="16789"/>
    <cellStyle name="Input 2 2 7 2 6 4" xfId="16790"/>
    <cellStyle name="Input 2 2 7 2 7" xfId="16791"/>
    <cellStyle name="Input 2 2 7 2 7 2" xfId="16792"/>
    <cellStyle name="Input 2 2 7 2 7 3" xfId="16793"/>
    <cellStyle name="Input 2 2 7 2 7 4" xfId="16794"/>
    <cellStyle name="Input 2 2 7 2 8" xfId="16795"/>
    <cellStyle name="Input 2 2 7 2 9" xfId="16796"/>
    <cellStyle name="Input 2 2 7 3" xfId="536"/>
    <cellStyle name="Input 2 2 7 3 10" xfId="16797"/>
    <cellStyle name="Input 2 2 7 3 11" xfId="16798"/>
    <cellStyle name="Input 2 2 7 3 2" xfId="16799"/>
    <cellStyle name="Input 2 2 7 3 2 2" xfId="16800"/>
    <cellStyle name="Input 2 2 7 3 2 2 2" xfId="16801"/>
    <cellStyle name="Input 2 2 7 3 2 2 3" xfId="16802"/>
    <cellStyle name="Input 2 2 7 3 2 2 4" xfId="16803"/>
    <cellStyle name="Input 2 2 7 3 2 3" xfId="16804"/>
    <cellStyle name="Input 2 2 7 3 2 3 2" xfId="16805"/>
    <cellStyle name="Input 2 2 7 3 2 3 3" xfId="16806"/>
    <cellStyle name="Input 2 2 7 3 2 3 4" xfId="16807"/>
    <cellStyle name="Input 2 2 7 3 2 4" xfId="16808"/>
    <cellStyle name="Input 2 2 7 3 2 5" xfId="16809"/>
    <cellStyle name="Input 2 2 7 3 2 6" xfId="16810"/>
    <cellStyle name="Input 2 2 7 3 2 7" xfId="16811"/>
    <cellStyle name="Input 2 2 7 3 3" xfId="16812"/>
    <cellStyle name="Input 2 2 7 3 3 2" xfId="16813"/>
    <cellStyle name="Input 2 2 7 3 3 2 2" xfId="16814"/>
    <cellStyle name="Input 2 2 7 3 3 2 3" xfId="16815"/>
    <cellStyle name="Input 2 2 7 3 3 2 4" xfId="16816"/>
    <cellStyle name="Input 2 2 7 3 3 3" xfId="16817"/>
    <cellStyle name="Input 2 2 7 3 3 4" xfId="16818"/>
    <cellStyle name="Input 2 2 7 3 3 5" xfId="16819"/>
    <cellStyle name="Input 2 2 7 3 3 6" xfId="16820"/>
    <cellStyle name="Input 2 2 7 3 4" xfId="16821"/>
    <cellStyle name="Input 2 2 7 3 4 2" xfId="16822"/>
    <cellStyle name="Input 2 2 7 3 4 3" xfId="16823"/>
    <cellStyle name="Input 2 2 7 3 4 4" xfId="16824"/>
    <cellStyle name="Input 2 2 7 3 4 5" xfId="16825"/>
    <cellStyle name="Input 2 2 7 3 5" xfId="16826"/>
    <cellStyle name="Input 2 2 7 3 5 2" xfId="16827"/>
    <cellStyle name="Input 2 2 7 3 5 3" xfId="16828"/>
    <cellStyle name="Input 2 2 7 3 5 4" xfId="16829"/>
    <cellStyle name="Input 2 2 7 3 6" xfId="16830"/>
    <cellStyle name="Input 2 2 7 3 6 2" xfId="16831"/>
    <cellStyle name="Input 2 2 7 3 6 3" xfId="16832"/>
    <cellStyle name="Input 2 2 7 3 6 4" xfId="16833"/>
    <cellStyle name="Input 2 2 7 3 7" xfId="16834"/>
    <cellStyle name="Input 2 2 7 3 7 2" xfId="16835"/>
    <cellStyle name="Input 2 2 7 3 7 3" xfId="16836"/>
    <cellStyle name="Input 2 2 7 3 7 4" xfId="16837"/>
    <cellStyle name="Input 2 2 7 3 8" xfId="16838"/>
    <cellStyle name="Input 2 2 7 3 9" xfId="16839"/>
    <cellStyle name="Input 2 2 7 4" xfId="16840"/>
    <cellStyle name="Input 2 2 7 4 2" xfId="16841"/>
    <cellStyle name="Input 2 2 7 4 2 2" xfId="16842"/>
    <cellStyle name="Input 2 2 7 4 2 2 2" xfId="16843"/>
    <cellStyle name="Input 2 2 7 4 2 2 3" xfId="16844"/>
    <cellStyle name="Input 2 2 7 4 2 2 4" xfId="16845"/>
    <cellStyle name="Input 2 2 7 4 2 3" xfId="16846"/>
    <cellStyle name="Input 2 2 7 4 2 4" xfId="16847"/>
    <cellStyle name="Input 2 2 7 4 2 5" xfId="16848"/>
    <cellStyle name="Input 2 2 7 4 2 6" xfId="16849"/>
    <cellStyle name="Input 2 2 7 4 3" xfId="16850"/>
    <cellStyle name="Input 2 2 7 4 3 2" xfId="16851"/>
    <cellStyle name="Input 2 2 7 4 3 3" xfId="16852"/>
    <cellStyle name="Input 2 2 7 4 3 4" xfId="16853"/>
    <cellStyle name="Input 2 2 7 4 4" xfId="16854"/>
    <cellStyle name="Input 2 2 7 4 5" xfId="16855"/>
    <cellStyle name="Input 2 2 7 4 6" xfId="16856"/>
    <cellStyle name="Input 2 2 7 4 7" xfId="16857"/>
    <cellStyle name="Input 2 2 7 5" xfId="16858"/>
    <cellStyle name="Input 2 2 7 5 2" xfId="16859"/>
    <cellStyle name="Input 2 2 7 5 2 2" xfId="16860"/>
    <cellStyle name="Input 2 2 7 5 2 3" xfId="16861"/>
    <cellStyle name="Input 2 2 7 5 2 4" xfId="16862"/>
    <cellStyle name="Input 2 2 7 5 3" xfId="16863"/>
    <cellStyle name="Input 2 2 7 5 4" xfId="16864"/>
    <cellStyle name="Input 2 2 7 5 5" xfId="16865"/>
    <cellStyle name="Input 2 2 7 5 6" xfId="16866"/>
    <cellStyle name="Input 2 2 7 6" xfId="16867"/>
    <cellStyle name="Input 2 2 7 6 2" xfId="16868"/>
    <cellStyle name="Input 2 2 7 6 3" xfId="16869"/>
    <cellStyle name="Input 2 2 7 6 4" xfId="16870"/>
    <cellStyle name="Input 2 2 7 6 5" xfId="16871"/>
    <cellStyle name="Input 2 2 7 7" xfId="16872"/>
    <cellStyle name="Input 2 2 7 7 2" xfId="16873"/>
    <cellStyle name="Input 2 2 7 7 3" xfId="16874"/>
    <cellStyle name="Input 2 2 7 7 4" xfId="16875"/>
    <cellStyle name="Input 2 2 7 8" xfId="16876"/>
    <cellStyle name="Input 2 2 7 8 2" xfId="16877"/>
    <cellStyle name="Input 2 2 7 8 3" xfId="16878"/>
    <cellStyle name="Input 2 2 7 8 4" xfId="16879"/>
    <cellStyle name="Input 2 2 7 9" xfId="16880"/>
    <cellStyle name="Input 2 2 7 9 2" xfId="16881"/>
    <cellStyle name="Input 2 2 7 9 3" xfId="16882"/>
    <cellStyle name="Input 2 2 7 9 4" xfId="16883"/>
    <cellStyle name="Input 2 2 8" xfId="537"/>
    <cellStyle name="Input 2 2 8 10" xfId="16884"/>
    <cellStyle name="Input 2 2 8 11" xfId="16885"/>
    <cellStyle name="Input 2 2 8 12" xfId="16886"/>
    <cellStyle name="Input 2 2 8 13" xfId="16887"/>
    <cellStyle name="Input 2 2 8 2" xfId="538"/>
    <cellStyle name="Input 2 2 8 2 10" xfId="16888"/>
    <cellStyle name="Input 2 2 8 2 11" xfId="16889"/>
    <cellStyle name="Input 2 2 8 2 2" xfId="16890"/>
    <cellStyle name="Input 2 2 8 2 2 2" xfId="16891"/>
    <cellStyle name="Input 2 2 8 2 2 2 2" xfId="16892"/>
    <cellStyle name="Input 2 2 8 2 2 2 2 2" xfId="16893"/>
    <cellStyle name="Input 2 2 8 2 2 2 2 3" xfId="16894"/>
    <cellStyle name="Input 2 2 8 2 2 2 2 4" xfId="16895"/>
    <cellStyle name="Input 2 2 8 2 2 2 3" xfId="16896"/>
    <cellStyle name="Input 2 2 8 2 2 2 4" xfId="16897"/>
    <cellStyle name="Input 2 2 8 2 2 2 5" xfId="16898"/>
    <cellStyle name="Input 2 2 8 2 2 2 6" xfId="16899"/>
    <cellStyle name="Input 2 2 8 2 2 3" xfId="16900"/>
    <cellStyle name="Input 2 2 8 2 2 3 2" xfId="16901"/>
    <cellStyle name="Input 2 2 8 2 2 3 3" xfId="16902"/>
    <cellStyle name="Input 2 2 8 2 2 3 4" xfId="16903"/>
    <cellStyle name="Input 2 2 8 2 2 4" xfId="16904"/>
    <cellStyle name="Input 2 2 8 2 2 5" xfId="16905"/>
    <cellStyle name="Input 2 2 8 2 2 6" xfId="16906"/>
    <cellStyle name="Input 2 2 8 2 2 7" xfId="16907"/>
    <cellStyle name="Input 2 2 8 2 3" xfId="16908"/>
    <cellStyle name="Input 2 2 8 2 3 2" xfId="16909"/>
    <cellStyle name="Input 2 2 8 2 3 2 2" xfId="16910"/>
    <cellStyle name="Input 2 2 8 2 3 2 3" xfId="16911"/>
    <cellStyle name="Input 2 2 8 2 3 2 4" xfId="16912"/>
    <cellStyle name="Input 2 2 8 2 3 3" xfId="16913"/>
    <cellStyle name="Input 2 2 8 2 3 4" xfId="16914"/>
    <cellStyle name="Input 2 2 8 2 3 5" xfId="16915"/>
    <cellStyle name="Input 2 2 8 2 3 6" xfId="16916"/>
    <cellStyle name="Input 2 2 8 2 4" xfId="16917"/>
    <cellStyle name="Input 2 2 8 2 4 2" xfId="16918"/>
    <cellStyle name="Input 2 2 8 2 4 3" xfId="16919"/>
    <cellStyle name="Input 2 2 8 2 4 4" xfId="16920"/>
    <cellStyle name="Input 2 2 8 2 4 5" xfId="16921"/>
    <cellStyle name="Input 2 2 8 2 5" xfId="16922"/>
    <cellStyle name="Input 2 2 8 2 5 2" xfId="16923"/>
    <cellStyle name="Input 2 2 8 2 5 3" xfId="16924"/>
    <cellStyle name="Input 2 2 8 2 5 4" xfId="16925"/>
    <cellStyle name="Input 2 2 8 2 6" xfId="16926"/>
    <cellStyle name="Input 2 2 8 2 6 2" xfId="16927"/>
    <cellStyle name="Input 2 2 8 2 6 3" xfId="16928"/>
    <cellStyle name="Input 2 2 8 2 6 4" xfId="16929"/>
    <cellStyle name="Input 2 2 8 2 7" xfId="16930"/>
    <cellStyle name="Input 2 2 8 2 7 2" xfId="16931"/>
    <cellStyle name="Input 2 2 8 2 7 3" xfId="16932"/>
    <cellStyle name="Input 2 2 8 2 7 4" xfId="16933"/>
    <cellStyle name="Input 2 2 8 2 8" xfId="16934"/>
    <cellStyle name="Input 2 2 8 2 9" xfId="16935"/>
    <cellStyle name="Input 2 2 8 3" xfId="539"/>
    <cellStyle name="Input 2 2 8 3 2" xfId="16936"/>
    <cellStyle name="Input 2 2 8 3 2 2" xfId="16937"/>
    <cellStyle name="Input 2 2 8 3 2 2 2" xfId="16938"/>
    <cellStyle name="Input 2 2 8 3 2 2 3" xfId="16939"/>
    <cellStyle name="Input 2 2 8 3 2 2 4" xfId="16940"/>
    <cellStyle name="Input 2 2 8 3 2 3" xfId="16941"/>
    <cellStyle name="Input 2 2 8 3 2 4" xfId="16942"/>
    <cellStyle name="Input 2 2 8 3 2 5" xfId="16943"/>
    <cellStyle name="Input 2 2 8 3 2 6" xfId="16944"/>
    <cellStyle name="Input 2 2 8 3 3" xfId="16945"/>
    <cellStyle name="Input 2 2 8 3 3 2" xfId="16946"/>
    <cellStyle name="Input 2 2 8 3 3 3" xfId="16947"/>
    <cellStyle name="Input 2 2 8 3 3 4" xfId="16948"/>
    <cellStyle name="Input 2 2 8 3 4" xfId="16949"/>
    <cellStyle name="Input 2 2 8 3 5" xfId="16950"/>
    <cellStyle name="Input 2 2 8 3 6" xfId="16951"/>
    <cellStyle name="Input 2 2 8 3 7" xfId="16952"/>
    <cellStyle name="Input 2 2 8 4" xfId="16953"/>
    <cellStyle name="Input 2 2 8 4 2" xfId="16954"/>
    <cellStyle name="Input 2 2 8 4 2 2" xfId="16955"/>
    <cellStyle name="Input 2 2 8 4 2 3" xfId="16956"/>
    <cellStyle name="Input 2 2 8 4 2 4" xfId="16957"/>
    <cellStyle name="Input 2 2 8 4 3" xfId="16958"/>
    <cellStyle name="Input 2 2 8 4 4" xfId="16959"/>
    <cellStyle name="Input 2 2 8 4 5" xfId="16960"/>
    <cellStyle name="Input 2 2 8 4 6" xfId="16961"/>
    <cellStyle name="Input 2 2 8 5" xfId="16962"/>
    <cellStyle name="Input 2 2 8 5 2" xfId="16963"/>
    <cellStyle name="Input 2 2 8 5 3" xfId="16964"/>
    <cellStyle name="Input 2 2 8 5 4" xfId="16965"/>
    <cellStyle name="Input 2 2 8 5 5" xfId="16966"/>
    <cellStyle name="Input 2 2 8 6" xfId="16967"/>
    <cellStyle name="Input 2 2 8 6 2" xfId="16968"/>
    <cellStyle name="Input 2 2 8 6 3" xfId="16969"/>
    <cellStyle name="Input 2 2 8 6 4" xfId="16970"/>
    <cellStyle name="Input 2 2 8 7" xfId="16971"/>
    <cellStyle name="Input 2 2 8 7 2" xfId="16972"/>
    <cellStyle name="Input 2 2 8 7 3" xfId="16973"/>
    <cellStyle name="Input 2 2 8 7 4" xfId="16974"/>
    <cellStyle name="Input 2 2 8 8" xfId="16975"/>
    <cellStyle name="Input 2 2 8 8 2" xfId="16976"/>
    <cellStyle name="Input 2 2 8 8 3" xfId="16977"/>
    <cellStyle name="Input 2 2 8 8 4" xfId="16978"/>
    <cellStyle name="Input 2 2 8 9" xfId="16979"/>
    <cellStyle name="Input 2 2 8 9 2" xfId="16980"/>
    <cellStyle name="Input 2 2 8 9 3" xfId="16981"/>
    <cellStyle name="Input 2 2 8 9 4" xfId="16982"/>
    <cellStyle name="Input 2 2 9" xfId="540"/>
    <cellStyle name="Input 2 2 9 10" xfId="16983"/>
    <cellStyle name="Input 2 2 9 11" xfId="16984"/>
    <cellStyle name="Input 2 2 9 12" xfId="16985"/>
    <cellStyle name="Input 2 2 9 2" xfId="541"/>
    <cellStyle name="Input 2 2 9 2 2" xfId="16986"/>
    <cellStyle name="Input 2 2 9 2 2 2" xfId="16987"/>
    <cellStyle name="Input 2 2 9 2 2 2 2" xfId="16988"/>
    <cellStyle name="Input 2 2 9 2 2 2 3" xfId="16989"/>
    <cellStyle name="Input 2 2 9 2 2 2 4" xfId="16990"/>
    <cellStyle name="Input 2 2 9 2 2 3" xfId="16991"/>
    <cellStyle name="Input 2 2 9 2 2 4" xfId="16992"/>
    <cellStyle name="Input 2 2 9 2 2 5" xfId="16993"/>
    <cellStyle name="Input 2 2 9 2 2 6" xfId="16994"/>
    <cellStyle name="Input 2 2 9 2 3" xfId="16995"/>
    <cellStyle name="Input 2 2 9 2 3 2" xfId="16996"/>
    <cellStyle name="Input 2 2 9 2 3 3" xfId="16997"/>
    <cellStyle name="Input 2 2 9 2 3 4" xfId="16998"/>
    <cellStyle name="Input 2 2 9 2 4" xfId="16999"/>
    <cellStyle name="Input 2 2 9 2 5" xfId="17000"/>
    <cellStyle name="Input 2 2 9 2 6" xfId="17001"/>
    <cellStyle name="Input 2 2 9 2 7" xfId="17002"/>
    <cellStyle name="Input 2 2 9 3" xfId="542"/>
    <cellStyle name="Input 2 2 9 3 2" xfId="17003"/>
    <cellStyle name="Input 2 2 9 3 2 2" xfId="17004"/>
    <cellStyle name="Input 2 2 9 3 2 3" xfId="17005"/>
    <cellStyle name="Input 2 2 9 3 2 4" xfId="17006"/>
    <cellStyle name="Input 2 2 9 3 3" xfId="17007"/>
    <cellStyle name="Input 2 2 9 3 4" xfId="17008"/>
    <cellStyle name="Input 2 2 9 3 5" xfId="17009"/>
    <cellStyle name="Input 2 2 9 3 6" xfId="17010"/>
    <cellStyle name="Input 2 2 9 4" xfId="17011"/>
    <cellStyle name="Input 2 2 9 4 2" xfId="17012"/>
    <cellStyle name="Input 2 2 9 4 3" xfId="17013"/>
    <cellStyle name="Input 2 2 9 4 4" xfId="17014"/>
    <cellStyle name="Input 2 2 9 4 5" xfId="17015"/>
    <cellStyle name="Input 2 2 9 5" xfId="17016"/>
    <cellStyle name="Input 2 2 9 5 2" xfId="17017"/>
    <cellStyle name="Input 2 2 9 5 3" xfId="17018"/>
    <cellStyle name="Input 2 2 9 5 4" xfId="17019"/>
    <cellStyle name="Input 2 2 9 6" xfId="17020"/>
    <cellStyle name="Input 2 2 9 6 2" xfId="17021"/>
    <cellStyle name="Input 2 2 9 6 3" xfId="17022"/>
    <cellStyle name="Input 2 2 9 6 4" xfId="17023"/>
    <cellStyle name="Input 2 2 9 7" xfId="17024"/>
    <cellStyle name="Input 2 2 9 7 2" xfId="17025"/>
    <cellStyle name="Input 2 2 9 7 3" xfId="17026"/>
    <cellStyle name="Input 2 2 9 7 4" xfId="17027"/>
    <cellStyle name="Input 2 2 9 8" xfId="17028"/>
    <cellStyle name="Input 2 2 9 8 2" xfId="17029"/>
    <cellStyle name="Input 2 2 9 8 3" xfId="17030"/>
    <cellStyle name="Input 2 2 9 8 4" xfId="17031"/>
    <cellStyle name="Input 2 2 9 9" xfId="17032"/>
    <cellStyle name="Input 2 20" xfId="17033"/>
    <cellStyle name="Input 2 20 10" xfId="17034"/>
    <cellStyle name="Input 2 20 11" xfId="17035"/>
    <cellStyle name="Input 2 20 12" xfId="17036"/>
    <cellStyle name="Input 2 20 13" xfId="17037"/>
    <cellStyle name="Input 2 20 14" xfId="17038"/>
    <cellStyle name="Input 2 20 15" xfId="17039"/>
    <cellStyle name="Input 2 20 2" xfId="17040"/>
    <cellStyle name="Input 2 20 3" xfId="17041"/>
    <cellStyle name="Input 2 20 4" xfId="17042"/>
    <cellStyle name="Input 2 20 5" xfId="17043"/>
    <cellStyle name="Input 2 20 6" xfId="17044"/>
    <cellStyle name="Input 2 20 7" xfId="17045"/>
    <cellStyle name="Input 2 20 8" xfId="17046"/>
    <cellStyle name="Input 2 20 9" xfId="17047"/>
    <cellStyle name="Input 2 21" xfId="17048"/>
    <cellStyle name="Input 2 21 10" xfId="17049"/>
    <cellStyle name="Input 2 21 11" xfId="17050"/>
    <cellStyle name="Input 2 21 12" xfId="17051"/>
    <cellStyle name="Input 2 21 2" xfId="17052"/>
    <cellStyle name="Input 2 21 3" xfId="17053"/>
    <cellStyle name="Input 2 21 4" xfId="17054"/>
    <cellStyle name="Input 2 21 5" xfId="17055"/>
    <cellStyle name="Input 2 21 6" xfId="17056"/>
    <cellStyle name="Input 2 21 7" xfId="17057"/>
    <cellStyle name="Input 2 21 8" xfId="17058"/>
    <cellStyle name="Input 2 21 9" xfId="17059"/>
    <cellStyle name="Input 2 22" xfId="17060"/>
    <cellStyle name="Input 2 22 10" xfId="17061"/>
    <cellStyle name="Input 2 22 11" xfId="17062"/>
    <cellStyle name="Input 2 22 12" xfId="17063"/>
    <cellStyle name="Input 2 22 2" xfId="17064"/>
    <cellStyle name="Input 2 22 3" xfId="17065"/>
    <cellStyle name="Input 2 22 4" xfId="17066"/>
    <cellStyle name="Input 2 22 5" xfId="17067"/>
    <cellStyle name="Input 2 22 6" xfId="17068"/>
    <cellStyle name="Input 2 22 7" xfId="17069"/>
    <cellStyle name="Input 2 22 8" xfId="17070"/>
    <cellStyle name="Input 2 22 9" xfId="17071"/>
    <cellStyle name="Input 2 23" xfId="17072"/>
    <cellStyle name="Input 2 23 10" xfId="17073"/>
    <cellStyle name="Input 2 23 11" xfId="17074"/>
    <cellStyle name="Input 2 23 12" xfId="17075"/>
    <cellStyle name="Input 2 23 2" xfId="17076"/>
    <cellStyle name="Input 2 23 3" xfId="17077"/>
    <cellStyle name="Input 2 23 4" xfId="17078"/>
    <cellStyle name="Input 2 23 5" xfId="17079"/>
    <cellStyle name="Input 2 23 6" xfId="17080"/>
    <cellStyle name="Input 2 23 7" xfId="17081"/>
    <cellStyle name="Input 2 23 8" xfId="17082"/>
    <cellStyle name="Input 2 23 9" xfId="17083"/>
    <cellStyle name="Input 2 24" xfId="17084"/>
    <cellStyle name="Input 2 24 10" xfId="17085"/>
    <cellStyle name="Input 2 24 11" xfId="17086"/>
    <cellStyle name="Input 2 24 12" xfId="17087"/>
    <cellStyle name="Input 2 24 2" xfId="17088"/>
    <cellStyle name="Input 2 24 3" xfId="17089"/>
    <cellStyle name="Input 2 24 4" xfId="17090"/>
    <cellStyle name="Input 2 24 5" xfId="17091"/>
    <cellStyle name="Input 2 24 6" xfId="17092"/>
    <cellStyle name="Input 2 24 7" xfId="17093"/>
    <cellStyle name="Input 2 24 8" xfId="17094"/>
    <cellStyle name="Input 2 24 9" xfId="17095"/>
    <cellStyle name="Input 2 25" xfId="17096"/>
    <cellStyle name="Input 2 25 10" xfId="17097"/>
    <cellStyle name="Input 2 25 11" xfId="17098"/>
    <cellStyle name="Input 2 25 12" xfId="17099"/>
    <cellStyle name="Input 2 25 2" xfId="17100"/>
    <cellStyle name="Input 2 25 3" xfId="17101"/>
    <cellStyle name="Input 2 25 4" xfId="17102"/>
    <cellStyle name="Input 2 25 5" xfId="17103"/>
    <cellStyle name="Input 2 25 6" xfId="17104"/>
    <cellStyle name="Input 2 25 7" xfId="17105"/>
    <cellStyle name="Input 2 25 8" xfId="17106"/>
    <cellStyle name="Input 2 25 9" xfId="17107"/>
    <cellStyle name="Input 2 26" xfId="17108"/>
    <cellStyle name="Input 2 26 10" xfId="17109"/>
    <cellStyle name="Input 2 26 11" xfId="17110"/>
    <cellStyle name="Input 2 26 12" xfId="17111"/>
    <cellStyle name="Input 2 26 2" xfId="17112"/>
    <cellStyle name="Input 2 26 3" xfId="17113"/>
    <cellStyle name="Input 2 26 4" xfId="17114"/>
    <cellStyle name="Input 2 26 5" xfId="17115"/>
    <cellStyle name="Input 2 26 6" xfId="17116"/>
    <cellStyle name="Input 2 26 7" xfId="17117"/>
    <cellStyle name="Input 2 26 8" xfId="17118"/>
    <cellStyle name="Input 2 26 9" xfId="17119"/>
    <cellStyle name="Input 2 27" xfId="17120"/>
    <cellStyle name="Input 2 27 10" xfId="17121"/>
    <cellStyle name="Input 2 27 11" xfId="17122"/>
    <cellStyle name="Input 2 27 12" xfId="17123"/>
    <cellStyle name="Input 2 27 2" xfId="17124"/>
    <cellStyle name="Input 2 27 3" xfId="17125"/>
    <cellStyle name="Input 2 27 4" xfId="17126"/>
    <cellStyle name="Input 2 27 5" xfId="17127"/>
    <cellStyle name="Input 2 27 6" xfId="17128"/>
    <cellStyle name="Input 2 27 7" xfId="17129"/>
    <cellStyle name="Input 2 27 8" xfId="17130"/>
    <cellStyle name="Input 2 27 9" xfId="17131"/>
    <cellStyle name="Input 2 28" xfId="17132"/>
    <cellStyle name="Input 2 28 10" xfId="17133"/>
    <cellStyle name="Input 2 28 11" xfId="17134"/>
    <cellStyle name="Input 2 28 12" xfId="17135"/>
    <cellStyle name="Input 2 28 2" xfId="17136"/>
    <cellStyle name="Input 2 28 3" xfId="17137"/>
    <cellStyle name="Input 2 28 4" xfId="17138"/>
    <cellStyle name="Input 2 28 5" xfId="17139"/>
    <cellStyle name="Input 2 28 6" xfId="17140"/>
    <cellStyle name="Input 2 28 7" xfId="17141"/>
    <cellStyle name="Input 2 28 8" xfId="17142"/>
    <cellStyle name="Input 2 28 9" xfId="17143"/>
    <cellStyle name="Input 2 29" xfId="17144"/>
    <cellStyle name="Input 2 29 10" xfId="17145"/>
    <cellStyle name="Input 2 29 11" xfId="17146"/>
    <cellStyle name="Input 2 29 12" xfId="17147"/>
    <cellStyle name="Input 2 29 2" xfId="17148"/>
    <cellStyle name="Input 2 29 3" xfId="17149"/>
    <cellStyle name="Input 2 29 4" xfId="17150"/>
    <cellStyle name="Input 2 29 5" xfId="17151"/>
    <cellStyle name="Input 2 29 6" xfId="17152"/>
    <cellStyle name="Input 2 29 7" xfId="17153"/>
    <cellStyle name="Input 2 29 8" xfId="17154"/>
    <cellStyle name="Input 2 29 9" xfId="17155"/>
    <cellStyle name="Input 2 3" xfId="171"/>
    <cellStyle name="Input 2 3 10" xfId="543"/>
    <cellStyle name="Input 2 3 10 2" xfId="544"/>
    <cellStyle name="Input 2 3 10 2 2" xfId="17156"/>
    <cellStyle name="Input 2 3 10 2 3" xfId="17157"/>
    <cellStyle name="Input 2 3 10 2 4" xfId="17158"/>
    <cellStyle name="Input 2 3 10 3" xfId="545"/>
    <cellStyle name="Input 2 3 10 3 2" xfId="17159"/>
    <cellStyle name="Input 2 3 10 3 3" xfId="17160"/>
    <cellStyle name="Input 2 3 10 3 4" xfId="17161"/>
    <cellStyle name="Input 2 3 10 4" xfId="17162"/>
    <cellStyle name="Input 2 3 10 5" xfId="17163"/>
    <cellStyle name="Input 2 3 10 6" xfId="17164"/>
    <cellStyle name="Input 2 3 10 7" xfId="17165"/>
    <cellStyle name="Input 2 3 11" xfId="546"/>
    <cellStyle name="Input 2 3 11 2" xfId="547"/>
    <cellStyle name="Input 2 3 11 2 2" xfId="17166"/>
    <cellStyle name="Input 2 3 11 2 3" xfId="17167"/>
    <cellStyle name="Input 2 3 11 2 4" xfId="17168"/>
    <cellStyle name="Input 2 3 11 3" xfId="548"/>
    <cellStyle name="Input 2 3 11 3 2" xfId="17169"/>
    <cellStyle name="Input 2 3 11 3 3" xfId="17170"/>
    <cellStyle name="Input 2 3 11 3 4" xfId="17171"/>
    <cellStyle name="Input 2 3 11 4" xfId="17172"/>
    <cellStyle name="Input 2 3 11 5" xfId="17173"/>
    <cellStyle name="Input 2 3 11 6" xfId="17174"/>
    <cellStyle name="Input 2 3 11 7" xfId="17175"/>
    <cellStyle name="Input 2 3 12" xfId="549"/>
    <cellStyle name="Input 2 3 12 2" xfId="550"/>
    <cellStyle name="Input 2 3 12 2 2" xfId="17176"/>
    <cellStyle name="Input 2 3 12 2 3" xfId="17177"/>
    <cellStyle name="Input 2 3 12 2 4" xfId="17178"/>
    <cellStyle name="Input 2 3 12 3" xfId="551"/>
    <cellStyle name="Input 2 3 12 3 2" xfId="17179"/>
    <cellStyle name="Input 2 3 12 3 3" xfId="17180"/>
    <cellStyle name="Input 2 3 12 3 4" xfId="17181"/>
    <cellStyle name="Input 2 3 12 4" xfId="17182"/>
    <cellStyle name="Input 2 3 12 5" xfId="17183"/>
    <cellStyle name="Input 2 3 12 6" xfId="17184"/>
    <cellStyle name="Input 2 3 12 7" xfId="17185"/>
    <cellStyle name="Input 2 3 13" xfId="552"/>
    <cellStyle name="Input 2 3 13 2" xfId="553"/>
    <cellStyle name="Input 2 3 13 2 2" xfId="17186"/>
    <cellStyle name="Input 2 3 13 2 3" xfId="17187"/>
    <cellStyle name="Input 2 3 13 2 4" xfId="17188"/>
    <cellStyle name="Input 2 3 13 3" xfId="554"/>
    <cellStyle name="Input 2 3 13 3 2" xfId="17189"/>
    <cellStyle name="Input 2 3 13 3 3" xfId="17190"/>
    <cellStyle name="Input 2 3 13 3 4" xfId="17191"/>
    <cellStyle name="Input 2 3 13 4" xfId="17192"/>
    <cellStyle name="Input 2 3 13 5" xfId="17193"/>
    <cellStyle name="Input 2 3 13 6" xfId="17194"/>
    <cellStyle name="Input 2 3 13 7" xfId="17195"/>
    <cellStyle name="Input 2 3 14" xfId="555"/>
    <cellStyle name="Input 2 3 14 2" xfId="17196"/>
    <cellStyle name="Input 2 3 14 2 2" xfId="17197"/>
    <cellStyle name="Input 2 3 14 2 3" xfId="17198"/>
    <cellStyle name="Input 2 3 14 2 4" xfId="17199"/>
    <cellStyle name="Input 2 3 14 3" xfId="17200"/>
    <cellStyle name="Input 2 3 14 4" xfId="17201"/>
    <cellStyle name="Input 2 3 14 5" xfId="17202"/>
    <cellStyle name="Input 2 3 14 6" xfId="17203"/>
    <cellStyle name="Input 2 3 15" xfId="556"/>
    <cellStyle name="Input 2 3 15 2" xfId="17204"/>
    <cellStyle name="Input 2 3 15 3" xfId="17205"/>
    <cellStyle name="Input 2 3 15 4" xfId="17206"/>
    <cellStyle name="Input 2 3 15 5" xfId="17207"/>
    <cellStyle name="Input 2 3 16" xfId="17208"/>
    <cellStyle name="Input 2 3 16 2" xfId="17209"/>
    <cellStyle name="Input 2 3 16 3" xfId="17210"/>
    <cellStyle name="Input 2 3 16 4" xfId="17211"/>
    <cellStyle name="Input 2 3 17" xfId="17212"/>
    <cellStyle name="Input 2 3 17 2" xfId="17213"/>
    <cellStyle name="Input 2 3 17 3" xfId="17214"/>
    <cellStyle name="Input 2 3 17 4" xfId="17215"/>
    <cellStyle name="Input 2 3 18" xfId="17216"/>
    <cellStyle name="Input 2 3 18 2" xfId="17217"/>
    <cellStyle name="Input 2 3 18 3" xfId="17218"/>
    <cellStyle name="Input 2 3 18 4" xfId="17219"/>
    <cellStyle name="Input 2 3 19" xfId="17220"/>
    <cellStyle name="Input 2 3 2" xfId="557"/>
    <cellStyle name="Input 2 3 2 10" xfId="17221"/>
    <cellStyle name="Input 2 3 2 10 2" xfId="17222"/>
    <cellStyle name="Input 2 3 2 10 3" xfId="17223"/>
    <cellStyle name="Input 2 3 2 10 4" xfId="17224"/>
    <cellStyle name="Input 2 3 2 11" xfId="17225"/>
    <cellStyle name="Input 2 3 2 11 2" xfId="17226"/>
    <cellStyle name="Input 2 3 2 11 3" xfId="17227"/>
    <cellStyle name="Input 2 3 2 11 4" xfId="17228"/>
    <cellStyle name="Input 2 3 2 12" xfId="17229"/>
    <cellStyle name="Input 2 3 2 13" xfId="17230"/>
    <cellStyle name="Input 2 3 2 14" xfId="17231"/>
    <cellStyle name="Input 2 3 2 15" xfId="17232"/>
    <cellStyle name="Input 2 3 2 2" xfId="558"/>
    <cellStyle name="Input 2 3 2 2 10" xfId="17233"/>
    <cellStyle name="Input 2 3 2 2 11" xfId="17234"/>
    <cellStyle name="Input 2 3 2 2 12" xfId="17235"/>
    <cellStyle name="Input 2 3 2 2 2" xfId="17236"/>
    <cellStyle name="Input 2 3 2 2 2 10" xfId="17237"/>
    <cellStyle name="Input 2 3 2 2 2 11" xfId="17238"/>
    <cellStyle name="Input 2 3 2 2 2 2" xfId="17239"/>
    <cellStyle name="Input 2 3 2 2 2 2 2" xfId="17240"/>
    <cellStyle name="Input 2 3 2 2 2 2 2 2" xfId="17241"/>
    <cellStyle name="Input 2 3 2 2 2 2 2 2 2" xfId="17242"/>
    <cellStyle name="Input 2 3 2 2 2 2 2 2 3" xfId="17243"/>
    <cellStyle name="Input 2 3 2 2 2 2 2 2 4" xfId="17244"/>
    <cellStyle name="Input 2 3 2 2 2 2 2 3" xfId="17245"/>
    <cellStyle name="Input 2 3 2 2 2 2 2 4" xfId="17246"/>
    <cellStyle name="Input 2 3 2 2 2 2 2 5" xfId="17247"/>
    <cellStyle name="Input 2 3 2 2 2 2 2 6" xfId="17248"/>
    <cellStyle name="Input 2 3 2 2 2 2 3" xfId="17249"/>
    <cellStyle name="Input 2 3 2 2 2 2 3 2" xfId="17250"/>
    <cellStyle name="Input 2 3 2 2 2 2 3 3" xfId="17251"/>
    <cellStyle name="Input 2 3 2 2 2 2 3 4" xfId="17252"/>
    <cellStyle name="Input 2 3 2 2 2 2 4" xfId="17253"/>
    <cellStyle name="Input 2 3 2 2 2 2 5" xfId="17254"/>
    <cellStyle name="Input 2 3 2 2 2 2 6" xfId="17255"/>
    <cellStyle name="Input 2 3 2 2 2 2 7" xfId="17256"/>
    <cellStyle name="Input 2 3 2 2 2 3" xfId="17257"/>
    <cellStyle name="Input 2 3 2 2 2 3 2" xfId="17258"/>
    <cellStyle name="Input 2 3 2 2 2 3 2 2" xfId="17259"/>
    <cellStyle name="Input 2 3 2 2 2 3 2 3" xfId="17260"/>
    <cellStyle name="Input 2 3 2 2 2 3 2 4" xfId="17261"/>
    <cellStyle name="Input 2 3 2 2 2 3 3" xfId="17262"/>
    <cellStyle name="Input 2 3 2 2 2 3 4" xfId="17263"/>
    <cellStyle name="Input 2 3 2 2 2 3 5" xfId="17264"/>
    <cellStyle name="Input 2 3 2 2 2 3 6" xfId="17265"/>
    <cellStyle name="Input 2 3 2 2 2 4" xfId="17266"/>
    <cellStyle name="Input 2 3 2 2 2 4 2" xfId="17267"/>
    <cellStyle name="Input 2 3 2 2 2 4 3" xfId="17268"/>
    <cellStyle name="Input 2 3 2 2 2 4 4" xfId="17269"/>
    <cellStyle name="Input 2 3 2 2 2 4 5" xfId="17270"/>
    <cellStyle name="Input 2 3 2 2 2 5" xfId="17271"/>
    <cellStyle name="Input 2 3 2 2 2 5 2" xfId="17272"/>
    <cellStyle name="Input 2 3 2 2 2 5 3" xfId="17273"/>
    <cellStyle name="Input 2 3 2 2 2 5 4" xfId="17274"/>
    <cellStyle name="Input 2 3 2 2 2 6" xfId="17275"/>
    <cellStyle name="Input 2 3 2 2 2 6 2" xfId="17276"/>
    <cellStyle name="Input 2 3 2 2 2 6 3" xfId="17277"/>
    <cellStyle name="Input 2 3 2 2 2 6 4" xfId="17278"/>
    <cellStyle name="Input 2 3 2 2 2 7" xfId="17279"/>
    <cellStyle name="Input 2 3 2 2 2 7 2" xfId="17280"/>
    <cellStyle name="Input 2 3 2 2 2 7 3" xfId="17281"/>
    <cellStyle name="Input 2 3 2 2 2 7 4" xfId="17282"/>
    <cellStyle name="Input 2 3 2 2 2 8" xfId="17283"/>
    <cellStyle name="Input 2 3 2 2 2 9" xfId="17284"/>
    <cellStyle name="Input 2 3 2 2 3" xfId="17285"/>
    <cellStyle name="Input 2 3 2 2 3 2" xfId="17286"/>
    <cellStyle name="Input 2 3 2 2 3 2 2" xfId="17287"/>
    <cellStyle name="Input 2 3 2 2 3 2 2 2" xfId="17288"/>
    <cellStyle name="Input 2 3 2 2 3 2 2 3" xfId="17289"/>
    <cellStyle name="Input 2 3 2 2 3 2 2 4" xfId="17290"/>
    <cellStyle name="Input 2 3 2 2 3 2 3" xfId="17291"/>
    <cellStyle name="Input 2 3 2 2 3 2 4" xfId="17292"/>
    <cellStyle name="Input 2 3 2 2 3 2 5" xfId="17293"/>
    <cellStyle name="Input 2 3 2 2 3 2 6" xfId="17294"/>
    <cellStyle name="Input 2 3 2 2 3 3" xfId="17295"/>
    <cellStyle name="Input 2 3 2 2 3 3 2" xfId="17296"/>
    <cellStyle name="Input 2 3 2 2 3 3 3" xfId="17297"/>
    <cellStyle name="Input 2 3 2 2 3 3 4" xfId="17298"/>
    <cellStyle name="Input 2 3 2 2 3 4" xfId="17299"/>
    <cellStyle name="Input 2 3 2 2 3 5" xfId="17300"/>
    <cellStyle name="Input 2 3 2 2 3 6" xfId="17301"/>
    <cellStyle name="Input 2 3 2 2 3 7" xfId="17302"/>
    <cellStyle name="Input 2 3 2 2 4" xfId="17303"/>
    <cellStyle name="Input 2 3 2 2 4 2" xfId="17304"/>
    <cellStyle name="Input 2 3 2 2 4 2 2" xfId="17305"/>
    <cellStyle name="Input 2 3 2 2 4 2 3" xfId="17306"/>
    <cellStyle name="Input 2 3 2 2 4 2 4" xfId="17307"/>
    <cellStyle name="Input 2 3 2 2 4 3" xfId="17308"/>
    <cellStyle name="Input 2 3 2 2 4 4" xfId="17309"/>
    <cellStyle name="Input 2 3 2 2 4 5" xfId="17310"/>
    <cellStyle name="Input 2 3 2 2 4 6" xfId="17311"/>
    <cellStyle name="Input 2 3 2 2 5" xfId="17312"/>
    <cellStyle name="Input 2 3 2 2 5 2" xfId="17313"/>
    <cellStyle name="Input 2 3 2 2 5 3" xfId="17314"/>
    <cellStyle name="Input 2 3 2 2 5 4" xfId="17315"/>
    <cellStyle name="Input 2 3 2 2 5 5" xfId="17316"/>
    <cellStyle name="Input 2 3 2 2 6" xfId="17317"/>
    <cellStyle name="Input 2 3 2 2 6 2" xfId="17318"/>
    <cellStyle name="Input 2 3 2 2 6 3" xfId="17319"/>
    <cellStyle name="Input 2 3 2 2 6 4" xfId="17320"/>
    <cellStyle name="Input 2 3 2 2 7" xfId="17321"/>
    <cellStyle name="Input 2 3 2 2 7 2" xfId="17322"/>
    <cellStyle name="Input 2 3 2 2 7 3" xfId="17323"/>
    <cellStyle name="Input 2 3 2 2 7 4" xfId="17324"/>
    <cellStyle name="Input 2 3 2 2 8" xfId="17325"/>
    <cellStyle name="Input 2 3 2 2 8 2" xfId="17326"/>
    <cellStyle name="Input 2 3 2 2 8 3" xfId="17327"/>
    <cellStyle name="Input 2 3 2 2 8 4" xfId="17328"/>
    <cellStyle name="Input 2 3 2 2 9" xfId="17329"/>
    <cellStyle name="Input 2 3 2 3" xfId="17330"/>
    <cellStyle name="Input 2 3 2 3 10" xfId="17331"/>
    <cellStyle name="Input 2 3 2 3 11" xfId="17332"/>
    <cellStyle name="Input 2 3 2 3 2" xfId="17333"/>
    <cellStyle name="Input 2 3 2 3 2 2" xfId="17334"/>
    <cellStyle name="Input 2 3 2 3 2 2 2" xfId="17335"/>
    <cellStyle name="Input 2 3 2 3 2 2 2 2" xfId="17336"/>
    <cellStyle name="Input 2 3 2 3 2 2 2 3" xfId="17337"/>
    <cellStyle name="Input 2 3 2 3 2 2 2 4" xfId="17338"/>
    <cellStyle name="Input 2 3 2 3 2 2 3" xfId="17339"/>
    <cellStyle name="Input 2 3 2 3 2 2 4" xfId="17340"/>
    <cellStyle name="Input 2 3 2 3 2 2 5" xfId="17341"/>
    <cellStyle name="Input 2 3 2 3 2 2 6" xfId="17342"/>
    <cellStyle name="Input 2 3 2 3 2 3" xfId="17343"/>
    <cellStyle name="Input 2 3 2 3 2 3 2" xfId="17344"/>
    <cellStyle name="Input 2 3 2 3 2 3 3" xfId="17345"/>
    <cellStyle name="Input 2 3 2 3 2 3 4" xfId="17346"/>
    <cellStyle name="Input 2 3 2 3 2 4" xfId="17347"/>
    <cellStyle name="Input 2 3 2 3 2 5" xfId="17348"/>
    <cellStyle name="Input 2 3 2 3 2 6" xfId="17349"/>
    <cellStyle name="Input 2 3 2 3 2 7" xfId="17350"/>
    <cellStyle name="Input 2 3 2 3 3" xfId="17351"/>
    <cellStyle name="Input 2 3 2 3 3 2" xfId="17352"/>
    <cellStyle name="Input 2 3 2 3 3 2 2" xfId="17353"/>
    <cellStyle name="Input 2 3 2 3 3 2 3" xfId="17354"/>
    <cellStyle name="Input 2 3 2 3 3 2 4" xfId="17355"/>
    <cellStyle name="Input 2 3 2 3 3 3" xfId="17356"/>
    <cellStyle name="Input 2 3 2 3 3 4" xfId="17357"/>
    <cellStyle name="Input 2 3 2 3 3 5" xfId="17358"/>
    <cellStyle name="Input 2 3 2 3 3 6" xfId="17359"/>
    <cellStyle name="Input 2 3 2 3 4" xfId="17360"/>
    <cellStyle name="Input 2 3 2 3 4 2" xfId="17361"/>
    <cellStyle name="Input 2 3 2 3 4 3" xfId="17362"/>
    <cellStyle name="Input 2 3 2 3 4 4" xfId="17363"/>
    <cellStyle name="Input 2 3 2 3 4 5" xfId="17364"/>
    <cellStyle name="Input 2 3 2 3 5" xfId="17365"/>
    <cellStyle name="Input 2 3 2 3 5 2" xfId="17366"/>
    <cellStyle name="Input 2 3 2 3 5 3" xfId="17367"/>
    <cellStyle name="Input 2 3 2 3 5 4" xfId="17368"/>
    <cellStyle name="Input 2 3 2 3 6" xfId="17369"/>
    <cellStyle name="Input 2 3 2 3 6 2" xfId="17370"/>
    <cellStyle name="Input 2 3 2 3 6 3" xfId="17371"/>
    <cellStyle name="Input 2 3 2 3 6 4" xfId="17372"/>
    <cellStyle name="Input 2 3 2 3 7" xfId="17373"/>
    <cellStyle name="Input 2 3 2 3 7 2" xfId="17374"/>
    <cellStyle name="Input 2 3 2 3 7 3" xfId="17375"/>
    <cellStyle name="Input 2 3 2 3 7 4" xfId="17376"/>
    <cellStyle name="Input 2 3 2 3 8" xfId="17377"/>
    <cellStyle name="Input 2 3 2 3 9" xfId="17378"/>
    <cellStyle name="Input 2 3 2 4" xfId="17379"/>
    <cellStyle name="Input 2 3 2 4 2" xfId="17380"/>
    <cellStyle name="Input 2 3 2 4 2 2" xfId="17381"/>
    <cellStyle name="Input 2 3 2 4 2 2 2" xfId="17382"/>
    <cellStyle name="Input 2 3 2 4 2 2 3" xfId="17383"/>
    <cellStyle name="Input 2 3 2 4 2 2 4" xfId="17384"/>
    <cellStyle name="Input 2 3 2 4 2 3" xfId="17385"/>
    <cellStyle name="Input 2 3 2 4 2 4" xfId="17386"/>
    <cellStyle name="Input 2 3 2 4 2 5" xfId="17387"/>
    <cellStyle name="Input 2 3 2 4 2 6" xfId="17388"/>
    <cellStyle name="Input 2 3 2 4 3" xfId="17389"/>
    <cellStyle name="Input 2 3 2 4 3 2" xfId="17390"/>
    <cellStyle name="Input 2 3 2 4 3 3" xfId="17391"/>
    <cellStyle name="Input 2 3 2 4 3 4" xfId="17392"/>
    <cellStyle name="Input 2 3 2 4 4" xfId="17393"/>
    <cellStyle name="Input 2 3 2 4 5" xfId="17394"/>
    <cellStyle name="Input 2 3 2 4 6" xfId="17395"/>
    <cellStyle name="Input 2 3 2 4 7" xfId="17396"/>
    <cellStyle name="Input 2 3 2 5" xfId="17397"/>
    <cellStyle name="Input 2 3 2 5 2" xfId="17398"/>
    <cellStyle name="Input 2 3 2 5 2 2" xfId="17399"/>
    <cellStyle name="Input 2 3 2 5 2 3" xfId="17400"/>
    <cellStyle name="Input 2 3 2 5 2 4" xfId="17401"/>
    <cellStyle name="Input 2 3 2 5 3" xfId="17402"/>
    <cellStyle name="Input 2 3 2 5 3 2" xfId="17403"/>
    <cellStyle name="Input 2 3 2 5 3 3" xfId="17404"/>
    <cellStyle name="Input 2 3 2 5 3 4" xfId="17405"/>
    <cellStyle name="Input 2 3 2 5 4" xfId="17406"/>
    <cellStyle name="Input 2 3 2 5 5" xfId="17407"/>
    <cellStyle name="Input 2 3 2 5 6" xfId="17408"/>
    <cellStyle name="Input 2 3 2 5 7" xfId="17409"/>
    <cellStyle name="Input 2 3 2 6" xfId="17410"/>
    <cellStyle name="Input 2 3 2 6 2" xfId="17411"/>
    <cellStyle name="Input 2 3 2 6 2 2" xfId="17412"/>
    <cellStyle name="Input 2 3 2 6 2 3" xfId="17413"/>
    <cellStyle name="Input 2 3 2 6 2 4" xfId="17414"/>
    <cellStyle name="Input 2 3 2 6 3" xfId="17415"/>
    <cellStyle name="Input 2 3 2 6 3 2" xfId="17416"/>
    <cellStyle name="Input 2 3 2 6 3 3" xfId="17417"/>
    <cellStyle name="Input 2 3 2 6 3 4" xfId="17418"/>
    <cellStyle name="Input 2 3 2 6 4" xfId="17419"/>
    <cellStyle name="Input 2 3 2 6 5" xfId="17420"/>
    <cellStyle name="Input 2 3 2 6 6" xfId="17421"/>
    <cellStyle name="Input 2 3 2 6 7" xfId="17422"/>
    <cellStyle name="Input 2 3 2 7" xfId="17423"/>
    <cellStyle name="Input 2 3 2 7 2" xfId="17424"/>
    <cellStyle name="Input 2 3 2 7 2 2" xfId="17425"/>
    <cellStyle name="Input 2 3 2 7 2 3" xfId="17426"/>
    <cellStyle name="Input 2 3 2 7 2 4" xfId="17427"/>
    <cellStyle name="Input 2 3 2 7 3" xfId="17428"/>
    <cellStyle name="Input 2 3 2 7 3 2" xfId="17429"/>
    <cellStyle name="Input 2 3 2 7 3 3" xfId="17430"/>
    <cellStyle name="Input 2 3 2 7 3 4" xfId="17431"/>
    <cellStyle name="Input 2 3 2 7 4" xfId="17432"/>
    <cellStyle name="Input 2 3 2 7 5" xfId="17433"/>
    <cellStyle name="Input 2 3 2 7 6" xfId="17434"/>
    <cellStyle name="Input 2 3 2 7 7" xfId="17435"/>
    <cellStyle name="Input 2 3 2 8" xfId="17436"/>
    <cellStyle name="Input 2 3 2 8 2" xfId="17437"/>
    <cellStyle name="Input 2 3 2 8 2 2" xfId="17438"/>
    <cellStyle name="Input 2 3 2 8 2 3" xfId="17439"/>
    <cellStyle name="Input 2 3 2 8 2 4" xfId="17440"/>
    <cellStyle name="Input 2 3 2 8 3" xfId="17441"/>
    <cellStyle name="Input 2 3 2 8 4" xfId="17442"/>
    <cellStyle name="Input 2 3 2 8 5" xfId="17443"/>
    <cellStyle name="Input 2 3 2 8 6" xfId="17444"/>
    <cellStyle name="Input 2 3 2 9" xfId="17445"/>
    <cellStyle name="Input 2 3 2 9 2" xfId="17446"/>
    <cellStyle name="Input 2 3 2 9 3" xfId="17447"/>
    <cellStyle name="Input 2 3 2 9 4" xfId="17448"/>
    <cellStyle name="Input 2 3 2 9 5" xfId="17449"/>
    <cellStyle name="Input 2 3 20" xfId="17450"/>
    <cellStyle name="Input 2 3 21" xfId="17451"/>
    <cellStyle name="Input 2 3 22" xfId="17452"/>
    <cellStyle name="Input 2 3 23" xfId="17453"/>
    <cellStyle name="Input 2 3 24" xfId="17454"/>
    <cellStyle name="Input 2 3 25" xfId="17455"/>
    <cellStyle name="Input 2 3 26" xfId="17456"/>
    <cellStyle name="Input 2 3 27" xfId="17457"/>
    <cellStyle name="Input 2 3 28" xfId="17458"/>
    <cellStyle name="Input 2 3 29" xfId="17459"/>
    <cellStyle name="Input 2 3 3" xfId="559"/>
    <cellStyle name="Input 2 3 3 10" xfId="17460"/>
    <cellStyle name="Input 2 3 3 10 2" xfId="17461"/>
    <cellStyle name="Input 2 3 3 10 3" xfId="17462"/>
    <cellStyle name="Input 2 3 3 10 4" xfId="17463"/>
    <cellStyle name="Input 2 3 3 11" xfId="17464"/>
    <cellStyle name="Input 2 3 3 11 2" xfId="17465"/>
    <cellStyle name="Input 2 3 3 11 3" xfId="17466"/>
    <cellStyle name="Input 2 3 3 11 4" xfId="17467"/>
    <cellStyle name="Input 2 3 3 12" xfId="17468"/>
    <cellStyle name="Input 2 3 3 13" xfId="17469"/>
    <cellStyle name="Input 2 3 3 14" xfId="17470"/>
    <cellStyle name="Input 2 3 3 15" xfId="17471"/>
    <cellStyle name="Input 2 3 3 2" xfId="560"/>
    <cellStyle name="Input 2 3 3 2 10" xfId="17472"/>
    <cellStyle name="Input 2 3 3 2 11" xfId="17473"/>
    <cellStyle name="Input 2 3 3 2 12" xfId="17474"/>
    <cellStyle name="Input 2 3 3 2 2" xfId="17475"/>
    <cellStyle name="Input 2 3 3 2 2 10" xfId="17476"/>
    <cellStyle name="Input 2 3 3 2 2 11" xfId="17477"/>
    <cellStyle name="Input 2 3 3 2 2 2" xfId="17478"/>
    <cellStyle name="Input 2 3 3 2 2 2 2" xfId="17479"/>
    <cellStyle name="Input 2 3 3 2 2 2 2 2" xfId="17480"/>
    <cellStyle name="Input 2 3 3 2 2 2 2 2 2" xfId="17481"/>
    <cellStyle name="Input 2 3 3 2 2 2 2 2 3" xfId="17482"/>
    <cellStyle name="Input 2 3 3 2 2 2 2 2 4" xfId="17483"/>
    <cellStyle name="Input 2 3 3 2 2 2 2 3" xfId="17484"/>
    <cellStyle name="Input 2 3 3 2 2 2 2 4" xfId="17485"/>
    <cellStyle name="Input 2 3 3 2 2 2 2 5" xfId="17486"/>
    <cellStyle name="Input 2 3 3 2 2 2 2 6" xfId="17487"/>
    <cellStyle name="Input 2 3 3 2 2 2 3" xfId="17488"/>
    <cellStyle name="Input 2 3 3 2 2 2 3 2" xfId="17489"/>
    <cellStyle name="Input 2 3 3 2 2 2 3 3" xfId="17490"/>
    <cellStyle name="Input 2 3 3 2 2 2 3 4" xfId="17491"/>
    <cellStyle name="Input 2 3 3 2 2 2 4" xfId="17492"/>
    <cellStyle name="Input 2 3 3 2 2 2 5" xfId="17493"/>
    <cellStyle name="Input 2 3 3 2 2 2 6" xfId="17494"/>
    <cellStyle name="Input 2 3 3 2 2 2 7" xfId="17495"/>
    <cellStyle name="Input 2 3 3 2 2 3" xfId="17496"/>
    <cellStyle name="Input 2 3 3 2 2 3 2" xfId="17497"/>
    <cellStyle name="Input 2 3 3 2 2 3 2 2" xfId="17498"/>
    <cellStyle name="Input 2 3 3 2 2 3 2 3" xfId="17499"/>
    <cellStyle name="Input 2 3 3 2 2 3 2 4" xfId="17500"/>
    <cellStyle name="Input 2 3 3 2 2 3 3" xfId="17501"/>
    <cellStyle name="Input 2 3 3 2 2 3 4" xfId="17502"/>
    <cellStyle name="Input 2 3 3 2 2 3 5" xfId="17503"/>
    <cellStyle name="Input 2 3 3 2 2 3 6" xfId="17504"/>
    <cellStyle name="Input 2 3 3 2 2 4" xfId="17505"/>
    <cellStyle name="Input 2 3 3 2 2 4 2" xfId="17506"/>
    <cellStyle name="Input 2 3 3 2 2 4 3" xfId="17507"/>
    <cellStyle name="Input 2 3 3 2 2 4 4" xfId="17508"/>
    <cellStyle name="Input 2 3 3 2 2 4 5" xfId="17509"/>
    <cellStyle name="Input 2 3 3 2 2 5" xfId="17510"/>
    <cellStyle name="Input 2 3 3 2 2 5 2" xfId="17511"/>
    <cellStyle name="Input 2 3 3 2 2 5 3" xfId="17512"/>
    <cellStyle name="Input 2 3 3 2 2 5 4" xfId="17513"/>
    <cellStyle name="Input 2 3 3 2 2 6" xfId="17514"/>
    <cellStyle name="Input 2 3 3 2 2 6 2" xfId="17515"/>
    <cellStyle name="Input 2 3 3 2 2 6 3" xfId="17516"/>
    <cellStyle name="Input 2 3 3 2 2 6 4" xfId="17517"/>
    <cellStyle name="Input 2 3 3 2 2 7" xfId="17518"/>
    <cellStyle name="Input 2 3 3 2 2 7 2" xfId="17519"/>
    <cellStyle name="Input 2 3 3 2 2 7 3" xfId="17520"/>
    <cellStyle name="Input 2 3 3 2 2 7 4" xfId="17521"/>
    <cellStyle name="Input 2 3 3 2 2 8" xfId="17522"/>
    <cellStyle name="Input 2 3 3 2 2 9" xfId="17523"/>
    <cellStyle name="Input 2 3 3 2 3" xfId="17524"/>
    <cellStyle name="Input 2 3 3 2 3 2" xfId="17525"/>
    <cellStyle name="Input 2 3 3 2 3 2 2" xfId="17526"/>
    <cellStyle name="Input 2 3 3 2 3 2 2 2" xfId="17527"/>
    <cellStyle name="Input 2 3 3 2 3 2 2 3" xfId="17528"/>
    <cellStyle name="Input 2 3 3 2 3 2 2 4" xfId="17529"/>
    <cellStyle name="Input 2 3 3 2 3 2 3" xfId="17530"/>
    <cellStyle name="Input 2 3 3 2 3 2 4" xfId="17531"/>
    <cellStyle name="Input 2 3 3 2 3 2 5" xfId="17532"/>
    <cellStyle name="Input 2 3 3 2 3 2 6" xfId="17533"/>
    <cellStyle name="Input 2 3 3 2 3 3" xfId="17534"/>
    <cellStyle name="Input 2 3 3 2 3 3 2" xfId="17535"/>
    <cellStyle name="Input 2 3 3 2 3 3 3" xfId="17536"/>
    <cellStyle name="Input 2 3 3 2 3 3 4" xfId="17537"/>
    <cellStyle name="Input 2 3 3 2 3 4" xfId="17538"/>
    <cellStyle name="Input 2 3 3 2 3 5" xfId="17539"/>
    <cellStyle name="Input 2 3 3 2 3 6" xfId="17540"/>
    <cellStyle name="Input 2 3 3 2 3 7" xfId="17541"/>
    <cellStyle name="Input 2 3 3 2 4" xfId="17542"/>
    <cellStyle name="Input 2 3 3 2 4 2" xfId="17543"/>
    <cellStyle name="Input 2 3 3 2 4 2 2" xfId="17544"/>
    <cellStyle name="Input 2 3 3 2 4 2 3" xfId="17545"/>
    <cellStyle name="Input 2 3 3 2 4 2 4" xfId="17546"/>
    <cellStyle name="Input 2 3 3 2 4 3" xfId="17547"/>
    <cellStyle name="Input 2 3 3 2 4 4" xfId="17548"/>
    <cellStyle name="Input 2 3 3 2 4 5" xfId="17549"/>
    <cellStyle name="Input 2 3 3 2 4 6" xfId="17550"/>
    <cellStyle name="Input 2 3 3 2 5" xfId="17551"/>
    <cellStyle name="Input 2 3 3 2 5 2" xfId="17552"/>
    <cellStyle name="Input 2 3 3 2 5 3" xfId="17553"/>
    <cellStyle name="Input 2 3 3 2 5 4" xfId="17554"/>
    <cellStyle name="Input 2 3 3 2 5 5" xfId="17555"/>
    <cellStyle name="Input 2 3 3 2 6" xfId="17556"/>
    <cellStyle name="Input 2 3 3 2 6 2" xfId="17557"/>
    <cellStyle name="Input 2 3 3 2 6 3" xfId="17558"/>
    <cellStyle name="Input 2 3 3 2 6 4" xfId="17559"/>
    <cellStyle name="Input 2 3 3 2 7" xfId="17560"/>
    <cellStyle name="Input 2 3 3 2 7 2" xfId="17561"/>
    <cellStyle name="Input 2 3 3 2 7 3" xfId="17562"/>
    <cellStyle name="Input 2 3 3 2 7 4" xfId="17563"/>
    <cellStyle name="Input 2 3 3 2 8" xfId="17564"/>
    <cellStyle name="Input 2 3 3 2 8 2" xfId="17565"/>
    <cellStyle name="Input 2 3 3 2 8 3" xfId="17566"/>
    <cellStyle name="Input 2 3 3 2 8 4" xfId="17567"/>
    <cellStyle name="Input 2 3 3 2 9" xfId="17568"/>
    <cellStyle name="Input 2 3 3 3" xfId="17569"/>
    <cellStyle name="Input 2 3 3 3 10" xfId="17570"/>
    <cellStyle name="Input 2 3 3 3 11" xfId="17571"/>
    <cellStyle name="Input 2 3 3 3 2" xfId="17572"/>
    <cellStyle name="Input 2 3 3 3 2 2" xfId="17573"/>
    <cellStyle name="Input 2 3 3 3 2 2 2" xfId="17574"/>
    <cellStyle name="Input 2 3 3 3 2 2 2 2" xfId="17575"/>
    <cellStyle name="Input 2 3 3 3 2 2 2 3" xfId="17576"/>
    <cellStyle name="Input 2 3 3 3 2 2 2 4" xfId="17577"/>
    <cellStyle name="Input 2 3 3 3 2 2 3" xfId="17578"/>
    <cellStyle name="Input 2 3 3 3 2 2 4" xfId="17579"/>
    <cellStyle name="Input 2 3 3 3 2 2 5" xfId="17580"/>
    <cellStyle name="Input 2 3 3 3 2 2 6" xfId="17581"/>
    <cellStyle name="Input 2 3 3 3 2 3" xfId="17582"/>
    <cellStyle name="Input 2 3 3 3 2 3 2" xfId="17583"/>
    <cellStyle name="Input 2 3 3 3 2 3 3" xfId="17584"/>
    <cellStyle name="Input 2 3 3 3 2 3 4" xfId="17585"/>
    <cellStyle name="Input 2 3 3 3 2 4" xfId="17586"/>
    <cellStyle name="Input 2 3 3 3 2 5" xfId="17587"/>
    <cellStyle name="Input 2 3 3 3 2 6" xfId="17588"/>
    <cellStyle name="Input 2 3 3 3 2 7" xfId="17589"/>
    <cellStyle name="Input 2 3 3 3 3" xfId="17590"/>
    <cellStyle name="Input 2 3 3 3 3 2" xfId="17591"/>
    <cellStyle name="Input 2 3 3 3 3 2 2" xfId="17592"/>
    <cellStyle name="Input 2 3 3 3 3 2 3" xfId="17593"/>
    <cellStyle name="Input 2 3 3 3 3 2 4" xfId="17594"/>
    <cellStyle name="Input 2 3 3 3 3 3" xfId="17595"/>
    <cellStyle name="Input 2 3 3 3 3 4" xfId="17596"/>
    <cellStyle name="Input 2 3 3 3 3 5" xfId="17597"/>
    <cellStyle name="Input 2 3 3 3 3 6" xfId="17598"/>
    <cellStyle name="Input 2 3 3 3 4" xfId="17599"/>
    <cellStyle name="Input 2 3 3 3 4 2" xfId="17600"/>
    <cellStyle name="Input 2 3 3 3 4 3" xfId="17601"/>
    <cellStyle name="Input 2 3 3 3 4 4" xfId="17602"/>
    <cellStyle name="Input 2 3 3 3 4 5" xfId="17603"/>
    <cellStyle name="Input 2 3 3 3 5" xfId="17604"/>
    <cellStyle name="Input 2 3 3 3 5 2" xfId="17605"/>
    <cellStyle name="Input 2 3 3 3 5 3" xfId="17606"/>
    <cellStyle name="Input 2 3 3 3 5 4" xfId="17607"/>
    <cellStyle name="Input 2 3 3 3 6" xfId="17608"/>
    <cellStyle name="Input 2 3 3 3 6 2" xfId="17609"/>
    <cellStyle name="Input 2 3 3 3 6 3" xfId="17610"/>
    <cellStyle name="Input 2 3 3 3 6 4" xfId="17611"/>
    <cellStyle name="Input 2 3 3 3 7" xfId="17612"/>
    <cellStyle name="Input 2 3 3 3 7 2" xfId="17613"/>
    <cellStyle name="Input 2 3 3 3 7 3" xfId="17614"/>
    <cellStyle name="Input 2 3 3 3 7 4" xfId="17615"/>
    <cellStyle name="Input 2 3 3 3 8" xfId="17616"/>
    <cellStyle name="Input 2 3 3 3 9" xfId="17617"/>
    <cellStyle name="Input 2 3 3 4" xfId="17618"/>
    <cellStyle name="Input 2 3 3 4 2" xfId="17619"/>
    <cellStyle name="Input 2 3 3 4 2 2" xfId="17620"/>
    <cellStyle name="Input 2 3 3 4 2 2 2" xfId="17621"/>
    <cellStyle name="Input 2 3 3 4 2 2 3" xfId="17622"/>
    <cellStyle name="Input 2 3 3 4 2 2 4" xfId="17623"/>
    <cellStyle name="Input 2 3 3 4 2 3" xfId="17624"/>
    <cellStyle name="Input 2 3 3 4 2 4" xfId="17625"/>
    <cellStyle name="Input 2 3 3 4 2 5" xfId="17626"/>
    <cellStyle name="Input 2 3 3 4 2 6" xfId="17627"/>
    <cellStyle name="Input 2 3 3 4 3" xfId="17628"/>
    <cellStyle name="Input 2 3 3 4 3 2" xfId="17629"/>
    <cellStyle name="Input 2 3 3 4 3 3" xfId="17630"/>
    <cellStyle name="Input 2 3 3 4 3 4" xfId="17631"/>
    <cellStyle name="Input 2 3 3 4 4" xfId="17632"/>
    <cellStyle name="Input 2 3 3 4 5" xfId="17633"/>
    <cellStyle name="Input 2 3 3 4 6" xfId="17634"/>
    <cellStyle name="Input 2 3 3 4 7" xfId="17635"/>
    <cellStyle name="Input 2 3 3 5" xfId="17636"/>
    <cellStyle name="Input 2 3 3 5 2" xfId="17637"/>
    <cellStyle name="Input 2 3 3 5 2 2" xfId="17638"/>
    <cellStyle name="Input 2 3 3 5 2 3" xfId="17639"/>
    <cellStyle name="Input 2 3 3 5 2 4" xfId="17640"/>
    <cellStyle name="Input 2 3 3 5 3" xfId="17641"/>
    <cellStyle name="Input 2 3 3 5 3 2" xfId="17642"/>
    <cellStyle name="Input 2 3 3 5 3 3" xfId="17643"/>
    <cellStyle name="Input 2 3 3 5 3 4" xfId="17644"/>
    <cellStyle name="Input 2 3 3 5 4" xfId="17645"/>
    <cellStyle name="Input 2 3 3 5 5" xfId="17646"/>
    <cellStyle name="Input 2 3 3 5 6" xfId="17647"/>
    <cellStyle name="Input 2 3 3 5 7" xfId="17648"/>
    <cellStyle name="Input 2 3 3 6" xfId="17649"/>
    <cellStyle name="Input 2 3 3 6 2" xfId="17650"/>
    <cellStyle name="Input 2 3 3 6 2 2" xfId="17651"/>
    <cellStyle name="Input 2 3 3 6 2 3" xfId="17652"/>
    <cellStyle name="Input 2 3 3 6 2 4" xfId="17653"/>
    <cellStyle name="Input 2 3 3 6 3" xfId="17654"/>
    <cellStyle name="Input 2 3 3 6 3 2" xfId="17655"/>
    <cellStyle name="Input 2 3 3 6 3 3" xfId="17656"/>
    <cellStyle name="Input 2 3 3 6 3 4" xfId="17657"/>
    <cellStyle name="Input 2 3 3 6 4" xfId="17658"/>
    <cellStyle name="Input 2 3 3 6 5" xfId="17659"/>
    <cellStyle name="Input 2 3 3 6 6" xfId="17660"/>
    <cellStyle name="Input 2 3 3 6 7" xfId="17661"/>
    <cellStyle name="Input 2 3 3 7" xfId="17662"/>
    <cellStyle name="Input 2 3 3 7 2" xfId="17663"/>
    <cellStyle name="Input 2 3 3 7 2 2" xfId="17664"/>
    <cellStyle name="Input 2 3 3 7 2 3" xfId="17665"/>
    <cellStyle name="Input 2 3 3 7 2 4" xfId="17666"/>
    <cellStyle name="Input 2 3 3 7 3" xfId="17667"/>
    <cellStyle name="Input 2 3 3 7 3 2" xfId="17668"/>
    <cellStyle name="Input 2 3 3 7 3 3" xfId="17669"/>
    <cellStyle name="Input 2 3 3 7 3 4" xfId="17670"/>
    <cellStyle name="Input 2 3 3 7 4" xfId="17671"/>
    <cellStyle name="Input 2 3 3 7 5" xfId="17672"/>
    <cellStyle name="Input 2 3 3 7 6" xfId="17673"/>
    <cellStyle name="Input 2 3 3 7 7" xfId="17674"/>
    <cellStyle name="Input 2 3 3 8" xfId="17675"/>
    <cellStyle name="Input 2 3 3 8 2" xfId="17676"/>
    <cellStyle name="Input 2 3 3 8 2 2" xfId="17677"/>
    <cellStyle name="Input 2 3 3 8 2 3" xfId="17678"/>
    <cellStyle name="Input 2 3 3 8 2 4" xfId="17679"/>
    <cellStyle name="Input 2 3 3 8 3" xfId="17680"/>
    <cellStyle name="Input 2 3 3 8 4" xfId="17681"/>
    <cellStyle name="Input 2 3 3 8 5" xfId="17682"/>
    <cellStyle name="Input 2 3 3 8 6" xfId="17683"/>
    <cellStyle name="Input 2 3 3 9" xfId="17684"/>
    <cellStyle name="Input 2 3 3 9 2" xfId="17685"/>
    <cellStyle name="Input 2 3 3 9 3" xfId="17686"/>
    <cellStyle name="Input 2 3 3 9 4" xfId="17687"/>
    <cellStyle name="Input 2 3 3 9 5" xfId="17688"/>
    <cellStyle name="Input 2 3 30" xfId="17689"/>
    <cellStyle name="Input 2 3 31" xfId="17690"/>
    <cellStyle name="Input 2 3 32" xfId="17691"/>
    <cellStyle name="Input 2 3 33" xfId="17692"/>
    <cellStyle name="Input 2 3 34" xfId="17693"/>
    <cellStyle name="Input 2 3 35" xfId="53806"/>
    <cellStyle name="Input 2 3 36" xfId="53807"/>
    <cellStyle name="Input 2 3 37" xfId="53808"/>
    <cellStyle name="Input 2 3 38" xfId="53809"/>
    <cellStyle name="Input 2 3 39" xfId="53810"/>
    <cellStyle name="Input 2 3 4" xfId="561"/>
    <cellStyle name="Input 2 3 4 10" xfId="17694"/>
    <cellStyle name="Input 2 3 4 10 2" xfId="17695"/>
    <cellStyle name="Input 2 3 4 10 3" xfId="17696"/>
    <cellStyle name="Input 2 3 4 10 4" xfId="17697"/>
    <cellStyle name="Input 2 3 4 11" xfId="17698"/>
    <cellStyle name="Input 2 3 4 11 2" xfId="17699"/>
    <cellStyle name="Input 2 3 4 11 3" xfId="17700"/>
    <cellStyle name="Input 2 3 4 11 4" xfId="17701"/>
    <cellStyle name="Input 2 3 4 12" xfId="17702"/>
    <cellStyle name="Input 2 3 4 12 2" xfId="17703"/>
    <cellStyle name="Input 2 3 4 12 3" xfId="17704"/>
    <cellStyle name="Input 2 3 4 12 4" xfId="17705"/>
    <cellStyle name="Input 2 3 4 13" xfId="17706"/>
    <cellStyle name="Input 2 3 4 14" xfId="17707"/>
    <cellStyle name="Input 2 3 4 15" xfId="17708"/>
    <cellStyle name="Input 2 3 4 16" xfId="17709"/>
    <cellStyle name="Input 2 3 4 2" xfId="562"/>
    <cellStyle name="Input 2 3 4 2 10" xfId="17710"/>
    <cellStyle name="Input 2 3 4 2 11" xfId="17711"/>
    <cellStyle name="Input 2 3 4 2 12" xfId="17712"/>
    <cellStyle name="Input 2 3 4 2 2" xfId="17713"/>
    <cellStyle name="Input 2 3 4 2 2 10" xfId="17714"/>
    <cellStyle name="Input 2 3 4 2 2 11" xfId="17715"/>
    <cellStyle name="Input 2 3 4 2 2 2" xfId="17716"/>
    <cellStyle name="Input 2 3 4 2 2 2 2" xfId="17717"/>
    <cellStyle name="Input 2 3 4 2 2 2 2 2" xfId="17718"/>
    <cellStyle name="Input 2 3 4 2 2 2 2 2 2" xfId="17719"/>
    <cellStyle name="Input 2 3 4 2 2 2 2 2 3" xfId="17720"/>
    <cellStyle name="Input 2 3 4 2 2 2 2 2 4" xfId="17721"/>
    <cellStyle name="Input 2 3 4 2 2 2 2 3" xfId="17722"/>
    <cellStyle name="Input 2 3 4 2 2 2 2 4" xfId="17723"/>
    <cellStyle name="Input 2 3 4 2 2 2 2 5" xfId="17724"/>
    <cellStyle name="Input 2 3 4 2 2 2 2 6" xfId="17725"/>
    <cellStyle name="Input 2 3 4 2 2 2 3" xfId="17726"/>
    <cellStyle name="Input 2 3 4 2 2 2 3 2" xfId="17727"/>
    <cellStyle name="Input 2 3 4 2 2 2 3 3" xfId="17728"/>
    <cellStyle name="Input 2 3 4 2 2 2 3 4" xfId="17729"/>
    <cellStyle name="Input 2 3 4 2 2 2 4" xfId="17730"/>
    <cellStyle name="Input 2 3 4 2 2 2 5" xfId="17731"/>
    <cellStyle name="Input 2 3 4 2 2 2 6" xfId="17732"/>
    <cellStyle name="Input 2 3 4 2 2 2 7" xfId="17733"/>
    <cellStyle name="Input 2 3 4 2 2 3" xfId="17734"/>
    <cellStyle name="Input 2 3 4 2 2 3 2" xfId="17735"/>
    <cellStyle name="Input 2 3 4 2 2 3 2 2" xfId="17736"/>
    <cellStyle name="Input 2 3 4 2 2 3 2 3" xfId="17737"/>
    <cellStyle name="Input 2 3 4 2 2 3 2 4" xfId="17738"/>
    <cellStyle name="Input 2 3 4 2 2 3 3" xfId="17739"/>
    <cellStyle name="Input 2 3 4 2 2 3 4" xfId="17740"/>
    <cellStyle name="Input 2 3 4 2 2 3 5" xfId="17741"/>
    <cellStyle name="Input 2 3 4 2 2 3 6" xfId="17742"/>
    <cellStyle name="Input 2 3 4 2 2 4" xfId="17743"/>
    <cellStyle name="Input 2 3 4 2 2 4 2" xfId="17744"/>
    <cellStyle name="Input 2 3 4 2 2 4 3" xfId="17745"/>
    <cellStyle name="Input 2 3 4 2 2 4 4" xfId="17746"/>
    <cellStyle name="Input 2 3 4 2 2 4 5" xfId="17747"/>
    <cellStyle name="Input 2 3 4 2 2 5" xfId="17748"/>
    <cellStyle name="Input 2 3 4 2 2 5 2" xfId="17749"/>
    <cellStyle name="Input 2 3 4 2 2 5 3" xfId="17750"/>
    <cellStyle name="Input 2 3 4 2 2 5 4" xfId="17751"/>
    <cellStyle name="Input 2 3 4 2 2 6" xfId="17752"/>
    <cellStyle name="Input 2 3 4 2 2 6 2" xfId="17753"/>
    <cellStyle name="Input 2 3 4 2 2 6 3" xfId="17754"/>
    <cellStyle name="Input 2 3 4 2 2 6 4" xfId="17755"/>
    <cellStyle name="Input 2 3 4 2 2 7" xfId="17756"/>
    <cellStyle name="Input 2 3 4 2 2 7 2" xfId="17757"/>
    <cellStyle name="Input 2 3 4 2 2 7 3" xfId="17758"/>
    <cellStyle name="Input 2 3 4 2 2 7 4" xfId="17759"/>
    <cellStyle name="Input 2 3 4 2 2 8" xfId="17760"/>
    <cellStyle name="Input 2 3 4 2 2 9" xfId="17761"/>
    <cellStyle name="Input 2 3 4 2 3" xfId="17762"/>
    <cellStyle name="Input 2 3 4 2 3 2" xfId="17763"/>
    <cellStyle name="Input 2 3 4 2 3 2 2" xfId="17764"/>
    <cellStyle name="Input 2 3 4 2 3 2 2 2" xfId="17765"/>
    <cellStyle name="Input 2 3 4 2 3 2 2 3" xfId="17766"/>
    <cellStyle name="Input 2 3 4 2 3 2 2 4" xfId="17767"/>
    <cellStyle name="Input 2 3 4 2 3 2 3" xfId="17768"/>
    <cellStyle name="Input 2 3 4 2 3 2 4" xfId="17769"/>
    <cellStyle name="Input 2 3 4 2 3 2 5" xfId="17770"/>
    <cellStyle name="Input 2 3 4 2 3 2 6" xfId="17771"/>
    <cellStyle name="Input 2 3 4 2 3 3" xfId="17772"/>
    <cellStyle name="Input 2 3 4 2 3 3 2" xfId="17773"/>
    <cellStyle name="Input 2 3 4 2 3 3 3" xfId="17774"/>
    <cellStyle name="Input 2 3 4 2 3 3 4" xfId="17775"/>
    <cellStyle name="Input 2 3 4 2 3 4" xfId="17776"/>
    <cellStyle name="Input 2 3 4 2 3 5" xfId="17777"/>
    <cellStyle name="Input 2 3 4 2 3 6" xfId="17778"/>
    <cellStyle name="Input 2 3 4 2 3 7" xfId="17779"/>
    <cellStyle name="Input 2 3 4 2 4" xfId="17780"/>
    <cellStyle name="Input 2 3 4 2 4 2" xfId="17781"/>
    <cellStyle name="Input 2 3 4 2 4 2 2" xfId="17782"/>
    <cellStyle name="Input 2 3 4 2 4 2 3" xfId="17783"/>
    <cellStyle name="Input 2 3 4 2 4 2 4" xfId="17784"/>
    <cellStyle name="Input 2 3 4 2 4 3" xfId="17785"/>
    <cellStyle name="Input 2 3 4 2 4 4" xfId="17786"/>
    <cellStyle name="Input 2 3 4 2 4 5" xfId="17787"/>
    <cellStyle name="Input 2 3 4 2 4 6" xfId="17788"/>
    <cellStyle name="Input 2 3 4 2 5" xfId="17789"/>
    <cellStyle name="Input 2 3 4 2 5 2" xfId="17790"/>
    <cellStyle name="Input 2 3 4 2 5 3" xfId="17791"/>
    <cellStyle name="Input 2 3 4 2 5 4" xfId="17792"/>
    <cellStyle name="Input 2 3 4 2 5 5" xfId="17793"/>
    <cellStyle name="Input 2 3 4 2 6" xfId="17794"/>
    <cellStyle name="Input 2 3 4 2 6 2" xfId="17795"/>
    <cellStyle name="Input 2 3 4 2 6 3" xfId="17796"/>
    <cellStyle name="Input 2 3 4 2 6 4" xfId="17797"/>
    <cellStyle name="Input 2 3 4 2 7" xfId="17798"/>
    <cellStyle name="Input 2 3 4 2 7 2" xfId="17799"/>
    <cellStyle name="Input 2 3 4 2 7 3" xfId="17800"/>
    <cellStyle name="Input 2 3 4 2 7 4" xfId="17801"/>
    <cellStyle name="Input 2 3 4 2 8" xfId="17802"/>
    <cellStyle name="Input 2 3 4 2 8 2" xfId="17803"/>
    <cellStyle name="Input 2 3 4 2 8 3" xfId="17804"/>
    <cellStyle name="Input 2 3 4 2 8 4" xfId="17805"/>
    <cellStyle name="Input 2 3 4 2 9" xfId="17806"/>
    <cellStyle name="Input 2 3 4 3" xfId="563"/>
    <cellStyle name="Input 2 3 4 3 10" xfId="17807"/>
    <cellStyle name="Input 2 3 4 3 11" xfId="17808"/>
    <cellStyle name="Input 2 3 4 3 2" xfId="17809"/>
    <cellStyle name="Input 2 3 4 3 2 2" xfId="17810"/>
    <cellStyle name="Input 2 3 4 3 2 2 2" xfId="17811"/>
    <cellStyle name="Input 2 3 4 3 2 2 2 2" xfId="17812"/>
    <cellStyle name="Input 2 3 4 3 2 2 2 3" xfId="17813"/>
    <cellStyle name="Input 2 3 4 3 2 2 2 4" xfId="17814"/>
    <cellStyle name="Input 2 3 4 3 2 2 3" xfId="17815"/>
    <cellStyle name="Input 2 3 4 3 2 2 4" xfId="17816"/>
    <cellStyle name="Input 2 3 4 3 2 2 5" xfId="17817"/>
    <cellStyle name="Input 2 3 4 3 2 2 6" xfId="17818"/>
    <cellStyle name="Input 2 3 4 3 2 3" xfId="17819"/>
    <cellStyle name="Input 2 3 4 3 2 3 2" xfId="17820"/>
    <cellStyle name="Input 2 3 4 3 2 3 3" xfId="17821"/>
    <cellStyle name="Input 2 3 4 3 2 3 4" xfId="17822"/>
    <cellStyle name="Input 2 3 4 3 2 4" xfId="17823"/>
    <cellStyle name="Input 2 3 4 3 2 5" xfId="17824"/>
    <cellStyle name="Input 2 3 4 3 2 6" xfId="17825"/>
    <cellStyle name="Input 2 3 4 3 2 7" xfId="17826"/>
    <cellStyle name="Input 2 3 4 3 3" xfId="17827"/>
    <cellStyle name="Input 2 3 4 3 3 2" xfId="17828"/>
    <cellStyle name="Input 2 3 4 3 3 2 2" xfId="17829"/>
    <cellStyle name="Input 2 3 4 3 3 2 3" xfId="17830"/>
    <cellStyle name="Input 2 3 4 3 3 2 4" xfId="17831"/>
    <cellStyle name="Input 2 3 4 3 3 3" xfId="17832"/>
    <cellStyle name="Input 2 3 4 3 3 4" xfId="17833"/>
    <cellStyle name="Input 2 3 4 3 3 5" xfId="17834"/>
    <cellStyle name="Input 2 3 4 3 3 6" xfId="17835"/>
    <cellStyle name="Input 2 3 4 3 4" xfId="17836"/>
    <cellStyle name="Input 2 3 4 3 4 2" xfId="17837"/>
    <cellStyle name="Input 2 3 4 3 4 3" xfId="17838"/>
    <cellStyle name="Input 2 3 4 3 4 4" xfId="17839"/>
    <cellStyle name="Input 2 3 4 3 4 5" xfId="17840"/>
    <cellStyle name="Input 2 3 4 3 5" xfId="17841"/>
    <cellStyle name="Input 2 3 4 3 5 2" xfId="17842"/>
    <cellStyle name="Input 2 3 4 3 5 3" xfId="17843"/>
    <cellStyle name="Input 2 3 4 3 5 4" xfId="17844"/>
    <cellStyle name="Input 2 3 4 3 6" xfId="17845"/>
    <cellStyle name="Input 2 3 4 3 6 2" xfId="17846"/>
    <cellStyle name="Input 2 3 4 3 6 3" xfId="17847"/>
    <cellStyle name="Input 2 3 4 3 6 4" xfId="17848"/>
    <cellStyle name="Input 2 3 4 3 7" xfId="17849"/>
    <cellStyle name="Input 2 3 4 3 7 2" xfId="17850"/>
    <cellStyle name="Input 2 3 4 3 7 3" xfId="17851"/>
    <cellStyle name="Input 2 3 4 3 7 4" xfId="17852"/>
    <cellStyle name="Input 2 3 4 3 8" xfId="17853"/>
    <cellStyle name="Input 2 3 4 3 9" xfId="17854"/>
    <cellStyle name="Input 2 3 4 4" xfId="17855"/>
    <cellStyle name="Input 2 3 4 4 2" xfId="17856"/>
    <cellStyle name="Input 2 3 4 4 2 2" xfId="17857"/>
    <cellStyle name="Input 2 3 4 4 2 2 2" xfId="17858"/>
    <cellStyle name="Input 2 3 4 4 2 2 3" xfId="17859"/>
    <cellStyle name="Input 2 3 4 4 2 2 4" xfId="17860"/>
    <cellStyle name="Input 2 3 4 4 2 3" xfId="17861"/>
    <cellStyle name="Input 2 3 4 4 2 4" xfId="17862"/>
    <cellStyle name="Input 2 3 4 4 2 5" xfId="17863"/>
    <cellStyle name="Input 2 3 4 4 2 6" xfId="17864"/>
    <cellStyle name="Input 2 3 4 4 3" xfId="17865"/>
    <cellStyle name="Input 2 3 4 4 3 2" xfId="17866"/>
    <cellStyle name="Input 2 3 4 4 3 3" xfId="17867"/>
    <cellStyle name="Input 2 3 4 4 3 4" xfId="17868"/>
    <cellStyle name="Input 2 3 4 4 4" xfId="17869"/>
    <cellStyle name="Input 2 3 4 4 5" xfId="17870"/>
    <cellStyle name="Input 2 3 4 4 6" xfId="17871"/>
    <cellStyle name="Input 2 3 4 4 7" xfId="17872"/>
    <cellStyle name="Input 2 3 4 5" xfId="17873"/>
    <cellStyle name="Input 2 3 4 5 2" xfId="17874"/>
    <cellStyle name="Input 2 3 4 5 2 2" xfId="17875"/>
    <cellStyle name="Input 2 3 4 5 2 3" xfId="17876"/>
    <cellStyle name="Input 2 3 4 5 2 4" xfId="17877"/>
    <cellStyle name="Input 2 3 4 5 3" xfId="17878"/>
    <cellStyle name="Input 2 3 4 5 3 2" xfId="17879"/>
    <cellStyle name="Input 2 3 4 5 3 3" xfId="17880"/>
    <cellStyle name="Input 2 3 4 5 3 4" xfId="17881"/>
    <cellStyle name="Input 2 3 4 5 4" xfId="17882"/>
    <cellStyle name="Input 2 3 4 5 5" xfId="17883"/>
    <cellStyle name="Input 2 3 4 5 6" xfId="17884"/>
    <cellStyle name="Input 2 3 4 5 7" xfId="17885"/>
    <cellStyle name="Input 2 3 4 6" xfId="17886"/>
    <cellStyle name="Input 2 3 4 6 2" xfId="17887"/>
    <cellStyle name="Input 2 3 4 6 2 2" xfId="17888"/>
    <cellStyle name="Input 2 3 4 6 2 3" xfId="17889"/>
    <cellStyle name="Input 2 3 4 6 2 4" xfId="17890"/>
    <cellStyle name="Input 2 3 4 6 3" xfId="17891"/>
    <cellStyle name="Input 2 3 4 6 3 2" xfId="17892"/>
    <cellStyle name="Input 2 3 4 6 3 3" xfId="17893"/>
    <cellStyle name="Input 2 3 4 6 3 4" xfId="17894"/>
    <cellStyle name="Input 2 3 4 6 4" xfId="17895"/>
    <cellStyle name="Input 2 3 4 6 5" xfId="17896"/>
    <cellStyle name="Input 2 3 4 6 6" xfId="17897"/>
    <cellStyle name="Input 2 3 4 6 7" xfId="17898"/>
    <cellStyle name="Input 2 3 4 7" xfId="17899"/>
    <cellStyle name="Input 2 3 4 7 2" xfId="17900"/>
    <cellStyle name="Input 2 3 4 7 2 2" xfId="17901"/>
    <cellStyle name="Input 2 3 4 7 2 3" xfId="17902"/>
    <cellStyle name="Input 2 3 4 7 2 4" xfId="17903"/>
    <cellStyle name="Input 2 3 4 7 3" xfId="17904"/>
    <cellStyle name="Input 2 3 4 7 3 2" xfId="17905"/>
    <cellStyle name="Input 2 3 4 7 3 3" xfId="17906"/>
    <cellStyle name="Input 2 3 4 7 3 4" xfId="17907"/>
    <cellStyle name="Input 2 3 4 7 4" xfId="17908"/>
    <cellStyle name="Input 2 3 4 7 5" xfId="17909"/>
    <cellStyle name="Input 2 3 4 7 6" xfId="17910"/>
    <cellStyle name="Input 2 3 4 7 7" xfId="17911"/>
    <cellStyle name="Input 2 3 4 8" xfId="17912"/>
    <cellStyle name="Input 2 3 4 8 2" xfId="17913"/>
    <cellStyle name="Input 2 3 4 8 2 2" xfId="17914"/>
    <cellStyle name="Input 2 3 4 8 2 3" xfId="17915"/>
    <cellStyle name="Input 2 3 4 8 2 4" xfId="17916"/>
    <cellStyle name="Input 2 3 4 8 3" xfId="17917"/>
    <cellStyle name="Input 2 3 4 8 4" xfId="17918"/>
    <cellStyle name="Input 2 3 4 8 5" xfId="17919"/>
    <cellStyle name="Input 2 3 4 8 6" xfId="17920"/>
    <cellStyle name="Input 2 3 4 9" xfId="17921"/>
    <cellStyle name="Input 2 3 4 9 2" xfId="17922"/>
    <cellStyle name="Input 2 3 4 9 3" xfId="17923"/>
    <cellStyle name="Input 2 3 4 9 4" xfId="17924"/>
    <cellStyle name="Input 2 3 4 9 5" xfId="17925"/>
    <cellStyle name="Input 2 3 40" xfId="53811"/>
    <cellStyle name="Input 2 3 5" xfId="564"/>
    <cellStyle name="Input 2 3 5 10" xfId="17926"/>
    <cellStyle name="Input 2 3 5 11" xfId="17927"/>
    <cellStyle name="Input 2 3 5 12" xfId="17928"/>
    <cellStyle name="Input 2 3 5 13" xfId="17929"/>
    <cellStyle name="Input 2 3 5 2" xfId="565"/>
    <cellStyle name="Input 2 3 5 2 10" xfId="17930"/>
    <cellStyle name="Input 2 3 5 2 11" xfId="17931"/>
    <cellStyle name="Input 2 3 5 2 12" xfId="17932"/>
    <cellStyle name="Input 2 3 5 2 2" xfId="17933"/>
    <cellStyle name="Input 2 3 5 2 2 10" xfId="17934"/>
    <cellStyle name="Input 2 3 5 2 2 11" xfId="17935"/>
    <cellStyle name="Input 2 3 5 2 2 2" xfId="17936"/>
    <cellStyle name="Input 2 3 5 2 2 2 2" xfId="17937"/>
    <cellStyle name="Input 2 3 5 2 2 2 2 2" xfId="17938"/>
    <cellStyle name="Input 2 3 5 2 2 2 2 2 2" xfId="17939"/>
    <cellStyle name="Input 2 3 5 2 2 2 2 2 3" xfId="17940"/>
    <cellStyle name="Input 2 3 5 2 2 2 2 2 4" xfId="17941"/>
    <cellStyle name="Input 2 3 5 2 2 2 2 3" xfId="17942"/>
    <cellStyle name="Input 2 3 5 2 2 2 2 4" xfId="17943"/>
    <cellStyle name="Input 2 3 5 2 2 2 2 5" xfId="17944"/>
    <cellStyle name="Input 2 3 5 2 2 2 2 6" xfId="17945"/>
    <cellStyle name="Input 2 3 5 2 2 2 3" xfId="17946"/>
    <cellStyle name="Input 2 3 5 2 2 2 3 2" xfId="17947"/>
    <cellStyle name="Input 2 3 5 2 2 2 3 3" xfId="17948"/>
    <cellStyle name="Input 2 3 5 2 2 2 3 4" xfId="17949"/>
    <cellStyle name="Input 2 3 5 2 2 2 4" xfId="17950"/>
    <cellStyle name="Input 2 3 5 2 2 2 5" xfId="17951"/>
    <cellStyle name="Input 2 3 5 2 2 2 6" xfId="17952"/>
    <cellStyle name="Input 2 3 5 2 2 2 7" xfId="17953"/>
    <cellStyle name="Input 2 3 5 2 2 3" xfId="17954"/>
    <cellStyle name="Input 2 3 5 2 2 3 2" xfId="17955"/>
    <cellStyle name="Input 2 3 5 2 2 3 2 2" xfId="17956"/>
    <cellStyle name="Input 2 3 5 2 2 3 2 3" xfId="17957"/>
    <cellStyle name="Input 2 3 5 2 2 3 2 4" xfId="17958"/>
    <cellStyle name="Input 2 3 5 2 2 3 3" xfId="17959"/>
    <cellStyle name="Input 2 3 5 2 2 3 4" xfId="17960"/>
    <cellStyle name="Input 2 3 5 2 2 3 5" xfId="17961"/>
    <cellStyle name="Input 2 3 5 2 2 3 6" xfId="17962"/>
    <cellStyle name="Input 2 3 5 2 2 4" xfId="17963"/>
    <cellStyle name="Input 2 3 5 2 2 4 2" xfId="17964"/>
    <cellStyle name="Input 2 3 5 2 2 4 3" xfId="17965"/>
    <cellStyle name="Input 2 3 5 2 2 4 4" xfId="17966"/>
    <cellStyle name="Input 2 3 5 2 2 4 5" xfId="17967"/>
    <cellStyle name="Input 2 3 5 2 2 5" xfId="17968"/>
    <cellStyle name="Input 2 3 5 2 2 5 2" xfId="17969"/>
    <cellStyle name="Input 2 3 5 2 2 5 3" xfId="17970"/>
    <cellStyle name="Input 2 3 5 2 2 5 4" xfId="17971"/>
    <cellStyle name="Input 2 3 5 2 2 6" xfId="17972"/>
    <cellStyle name="Input 2 3 5 2 2 6 2" xfId="17973"/>
    <cellStyle name="Input 2 3 5 2 2 6 3" xfId="17974"/>
    <cellStyle name="Input 2 3 5 2 2 6 4" xfId="17975"/>
    <cellStyle name="Input 2 3 5 2 2 7" xfId="17976"/>
    <cellStyle name="Input 2 3 5 2 2 7 2" xfId="17977"/>
    <cellStyle name="Input 2 3 5 2 2 7 3" xfId="17978"/>
    <cellStyle name="Input 2 3 5 2 2 7 4" xfId="17979"/>
    <cellStyle name="Input 2 3 5 2 2 8" xfId="17980"/>
    <cellStyle name="Input 2 3 5 2 2 9" xfId="17981"/>
    <cellStyle name="Input 2 3 5 2 3" xfId="17982"/>
    <cellStyle name="Input 2 3 5 2 3 2" xfId="17983"/>
    <cellStyle name="Input 2 3 5 2 3 2 2" xfId="17984"/>
    <cellStyle name="Input 2 3 5 2 3 2 2 2" xfId="17985"/>
    <cellStyle name="Input 2 3 5 2 3 2 2 3" xfId="17986"/>
    <cellStyle name="Input 2 3 5 2 3 2 2 4" xfId="17987"/>
    <cellStyle name="Input 2 3 5 2 3 2 3" xfId="17988"/>
    <cellStyle name="Input 2 3 5 2 3 2 4" xfId="17989"/>
    <cellStyle name="Input 2 3 5 2 3 2 5" xfId="17990"/>
    <cellStyle name="Input 2 3 5 2 3 2 6" xfId="17991"/>
    <cellStyle name="Input 2 3 5 2 3 3" xfId="17992"/>
    <cellStyle name="Input 2 3 5 2 3 3 2" xfId="17993"/>
    <cellStyle name="Input 2 3 5 2 3 3 3" xfId="17994"/>
    <cellStyle name="Input 2 3 5 2 3 3 4" xfId="17995"/>
    <cellStyle name="Input 2 3 5 2 3 4" xfId="17996"/>
    <cellStyle name="Input 2 3 5 2 3 5" xfId="17997"/>
    <cellStyle name="Input 2 3 5 2 3 6" xfId="17998"/>
    <cellStyle name="Input 2 3 5 2 3 7" xfId="17999"/>
    <cellStyle name="Input 2 3 5 2 4" xfId="18000"/>
    <cellStyle name="Input 2 3 5 2 4 2" xfId="18001"/>
    <cellStyle name="Input 2 3 5 2 4 2 2" xfId="18002"/>
    <cellStyle name="Input 2 3 5 2 4 2 3" xfId="18003"/>
    <cellStyle name="Input 2 3 5 2 4 2 4" xfId="18004"/>
    <cellStyle name="Input 2 3 5 2 4 3" xfId="18005"/>
    <cellStyle name="Input 2 3 5 2 4 4" xfId="18006"/>
    <cellStyle name="Input 2 3 5 2 4 5" xfId="18007"/>
    <cellStyle name="Input 2 3 5 2 4 6" xfId="18008"/>
    <cellStyle name="Input 2 3 5 2 5" xfId="18009"/>
    <cellStyle name="Input 2 3 5 2 5 2" xfId="18010"/>
    <cellStyle name="Input 2 3 5 2 5 3" xfId="18011"/>
    <cellStyle name="Input 2 3 5 2 5 4" xfId="18012"/>
    <cellStyle name="Input 2 3 5 2 5 5" xfId="18013"/>
    <cellStyle name="Input 2 3 5 2 6" xfId="18014"/>
    <cellStyle name="Input 2 3 5 2 6 2" xfId="18015"/>
    <cellStyle name="Input 2 3 5 2 6 3" xfId="18016"/>
    <cellStyle name="Input 2 3 5 2 6 4" xfId="18017"/>
    <cellStyle name="Input 2 3 5 2 7" xfId="18018"/>
    <cellStyle name="Input 2 3 5 2 7 2" xfId="18019"/>
    <cellStyle name="Input 2 3 5 2 7 3" xfId="18020"/>
    <cellStyle name="Input 2 3 5 2 7 4" xfId="18021"/>
    <cellStyle name="Input 2 3 5 2 8" xfId="18022"/>
    <cellStyle name="Input 2 3 5 2 8 2" xfId="18023"/>
    <cellStyle name="Input 2 3 5 2 8 3" xfId="18024"/>
    <cellStyle name="Input 2 3 5 2 8 4" xfId="18025"/>
    <cellStyle name="Input 2 3 5 2 9" xfId="18026"/>
    <cellStyle name="Input 2 3 5 3" xfId="566"/>
    <cellStyle name="Input 2 3 5 3 10" xfId="18027"/>
    <cellStyle name="Input 2 3 5 3 11" xfId="18028"/>
    <cellStyle name="Input 2 3 5 3 2" xfId="18029"/>
    <cellStyle name="Input 2 3 5 3 2 2" xfId="18030"/>
    <cellStyle name="Input 2 3 5 3 2 2 2" xfId="18031"/>
    <cellStyle name="Input 2 3 5 3 2 2 2 2" xfId="18032"/>
    <cellStyle name="Input 2 3 5 3 2 2 2 3" xfId="18033"/>
    <cellStyle name="Input 2 3 5 3 2 2 2 4" xfId="18034"/>
    <cellStyle name="Input 2 3 5 3 2 2 3" xfId="18035"/>
    <cellStyle name="Input 2 3 5 3 2 2 4" xfId="18036"/>
    <cellStyle name="Input 2 3 5 3 2 2 5" xfId="18037"/>
    <cellStyle name="Input 2 3 5 3 2 2 6" xfId="18038"/>
    <cellStyle name="Input 2 3 5 3 2 3" xfId="18039"/>
    <cellStyle name="Input 2 3 5 3 2 3 2" xfId="18040"/>
    <cellStyle name="Input 2 3 5 3 2 3 3" xfId="18041"/>
    <cellStyle name="Input 2 3 5 3 2 3 4" xfId="18042"/>
    <cellStyle name="Input 2 3 5 3 2 4" xfId="18043"/>
    <cellStyle name="Input 2 3 5 3 2 5" xfId="18044"/>
    <cellStyle name="Input 2 3 5 3 2 6" xfId="18045"/>
    <cellStyle name="Input 2 3 5 3 2 7" xfId="18046"/>
    <cellStyle name="Input 2 3 5 3 3" xfId="18047"/>
    <cellStyle name="Input 2 3 5 3 3 2" xfId="18048"/>
    <cellStyle name="Input 2 3 5 3 3 2 2" xfId="18049"/>
    <cellStyle name="Input 2 3 5 3 3 2 3" xfId="18050"/>
    <cellStyle name="Input 2 3 5 3 3 2 4" xfId="18051"/>
    <cellStyle name="Input 2 3 5 3 3 3" xfId="18052"/>
    <cellStyle name="Input 2 3 5 3 3 4" xfId="18053"/>
    <cellStyle name="Input 2 3 5 3 3 5" xfId="18054"/>
    <cellStyle name="Input 2 3 5 3 3 6" xfId="18055"/>
    <cellStyle name="Input 2 3 5 3 4" xfId="18056"/>
    <cellStyle name="Input 2 3 5 3 4 2" xfId="18057"/>
    <cellStyle name="Input 2 3 5 3 4 3" xfId="18058"/>
    <cellStyle name="Input 2 3 5 3 4 4" xfId="18059"/>
    <cellStyle name="Input 2 3 5 3 4 5" xfId="18060"/>
    <cellStyle name="Input 2 3 5 3 5" xfId="18061"/>
    <cellStyle name="Input 2 3 5 3 5 2" xfId="18062"/>
    <cellStyle name="Input 2 3 5 3 5 3" xfId="18063"/>
    <cellStyle name="Input 2 3 5 3 5 4" xfId="18064"/>
    <cellStyle name="Input 2 3 5 3 6" xfId="18065"/>
    <cellStyle name="Input 2 3 5 3 6 2" xfId="18066"/>
    <cellStyle name="Input 2 3 5 3 6 3" xfId="18067"/>
    <cellStyle name="Input 2 3 5 3 6 4" xfId="18068"/>
    <cellStyle name="Input 2 3 5 3 7" xfId="18069"/>
    <cellStyle name="Input 2 3 5 3 7 2" xfId="18070"/>
    <cellStyle name="Input 2 3 5 3 7 3" xfId="18071"/>
    <cellStyle name="Input 2 3 5 3 7 4" xfId="18072"/>
    <cellStyle name="Input 2 3 5 3 8" xfId="18073"/>
    <cellStyle name="Input 2 3 5 3 9" xfId="18074"/>
    <cellStyle name="Input 2 3 5 4" xfId="18075"/>
    <cellStyle name="Input 2 3 5 4 2" xfId="18076"/>
    <cellStyle name="Input 2 3 5 4 2 2" xfId="18077"/>
    <cellStyle name="Input 2 3 5 4 2 2 2" xfId="18078"/>
    <cellStyle name="Input 2 3 5 4 2 2 3" xfId="18079"/>
    <cellStyle name="Input 2 3 5 4 2 2 4" xfId="18080"/>
    <cellStyle name="Input 2 3 5 4 2 3" xfId="18081"/>
    <cellStyle name="Input 2 3 5 4 2 4" xfId="18082"/>
    <cellStyle name="Input 2 3 5 4 2 5" xfId="18083"/>
    <cellStyle name="Input 2 3 5 4 2 6" xfId="18084"/>
    <cellStyle name="Input 2 3 5 4 3" xfId="18085"/>
    <cellStyle name="Input 2 3 5 4 3 2" xfId="18086"/>
    <cellStyle name="Input 2 3 5 4 3 3" xfId="18087"/>
    <cellStyle name="Input 2 3 5 4 3 4" xfId="18088"/>
    <cellStyle name="Input 2 3 5 4 4" xfId="18089"/>
    <cellStyle name="Input 2 3 5 4 5" xfId="18090"/>
    <cellStyle name="Input 2 3 5 4 6" xfId="18091"/>
    <cellStyle name="Input 2 3 5 4 7" xfId="18092"/>
    <cellStyle name="Input 2 3 5 5" xfId="18093"/>
    <cellStyle name="Input 2 3 5 5 2" xfId="18094"/>
    <cellStyle name="Input 2 3 5 5 2 2" xfId="18095"/>
    <cellStyle name="Input 2 3 5 5 2 3" xfId="18096"/>
    <cellStyle name="Input 2 3 5 5 2 4" xfId="18097"/>
    <cellStyle name="Input 2 3 5 5 3" xfId="18098"/>
    <cellStyle name="Input 2 3 5 5 4" xfId="18099"/>
    <cellStyle name="Input 2 3 5 5 5" xfId="18100"/>
    <cellStyle name="Input 2 3 5 5 6" xfId="18101"/>
    <cellStyle name="Input 2 3 5 6" xfId="18102"/>
    <cellStyle name="Input 2 3 5 6 2" xfId="18103"/>
    <cellStyle name="Input 2 3 5 6 3" xfId="18104"/>
    <cellStyle name="Input 2 3 5 6 4" xfId="18105"/>
    <cellStyle name="Input 2 3 5 6 5" xfId="18106"/>
    <cellStyle name="Input 2 3 5 7" xfId="18107"/>
    <cellStyle name="Input 2 3 5 7 2" xfId="18108"/>
    <cellStyle name="Input 2 3 5 7 3" xfId="18109"/>
    <cellStyle name="Input 2 3 5 7 4" xfId="18110"/>
    <cellStyle name="Input 2 3 5 8" xfId="18111"/>
    <cellStyle name="Input 2 3 5 8 2" xfId="18112"/>
    <cellStyle name="Input 2 3 5 8 3" xfId="18113"/>
    <cellStyle name="Input 2 3 5 8 4" xfId="18114"/>
    <cellStyle name="Input 2 3 5 9" xfId="18115"/>
    <cellStyle name="Input 2 3 5 9 2" xfId="18116"/>
    <cellStyle name="Input 2 3 5 9 3" xfId="18117"/>
    <cellStyle name="Input 2 3 5 9 4" xfId="18118"/>
    <cellStyle name="Input 2 3 6" xfId="567"/>
    <cellStyle name="Input 2 3 6 10" xfId="18119"/>
    <cellStyle name="Input 2 3 6 11" xfId="18120"/>
    <cellStyle name="Input 2 3 6 12" xfId="18121"/>
    <cellStyle name="Input 2 3 6 13" xfId="18122"/>
    <cellStyle name="Input 2 3 6 2" xfId="568"/>
    <cellStyle name="Input 2 3 6 2 10" xfId="18123"/>
    <cellStyle name="Input 2 3 6 2 11" xfId="18124"/>
    <cellStyle name="Input 2 3 6 2 2" xfId="18125"/>
    <cellStyle name="Input 2 3 6 2 2 2" xfId="18126"/>
    <cellStyle name="Input 2 3 6 2 2 2 2" xfId="18127"/>
    <cellStyle name="Input 2 3 6 2 2 2 2 2" xfId="18128"/>
    <cellStyle name="Input 2 3 6 2 2 2 2 3" xfId="18129"/>
    <cellStyle name="Input 2 3 6 2 2 2 2 4" xfId="18130"/>
    <cellStyle name="Input 2 3 6 2 2 2 3" xfId="18131"/>
    <cellStyle name="Input 2 3 6 2 2 2 4" xfId="18132"/>
    <cellStyle name="Input 2 3 6 2 2 2 5" xfId="18133"/>
    <cellStyle name="Input 2 3 6 2 2 2 6" xfId="18134"/>
    <cellStyle name="Input 2 3 6 2 2 3" xfId="18135"/>
    <cellStyle name="Input 2 3 6 2 2 3 2" xfId="18136"/>
    <cellStyle name="Input 2 3 6 2 2 3 3" xfId="18137"/>
    <cellStyle name="Input 2 3 6 2 2 3 4" xfId="18138"/>
    <cellStyle name="Input 2 3 6 2 2 4" xfId="18139"/>
    <cellStyle name="Input 2 3 6 2 2 5" xfId="18140"/>
    <cellStyle name="Input 2 3 6 2 2 6" xfId="18141"/>
    <cellStyle name="Input 2 3 6 2 2 7" xfId="18142"/>
    <cellStyle name="Input 2 3 6 2 3" xfId="18143"/>
    <cellStyle name="Input 2 3 6 2 3 2" xfId="18144"/>
    <cellStyle name="Input 2 3 6 2 3 2 2" xfId="18145"/>
    <cellStyle name="Input 2 3 6 2 3 2 3" xfId="18146"/>
    <cellStyle name="Input 2 3 6 2 3 2 4" xfId="18147"/>
    <cellStyle name="Input 2 3 6 2 3 3" xfId="18148"/>
    <cellStyle name="Input 2 3 6 2 3 4" xfId="18149"/>
    <cellStyle name="Input 2 3 6 2 3 5" xfId="18150"/>
    <cellStyle name="Input 2 3 6 2 3 6" xfId="18151"/>
    <cellStyle name="Input 2 3 6 2 4" xfId="18152"/>
    <cellStyle name="Input 2 3 6 2 4 2" xfId="18153"/>
    <cellStyle name="Input 2 3 6 2 4 3" xfId="18154"/>
    <cellStyle name="Input 2 3 6 2 4 4" xfId="18155"/>
    <cellStyle name="Input 2 3 6 2 4 5" xfId="18156"/>
    <cellStyle name="Input 2 3 6 2 5" xfId="18157"/>
    <cellStyle name="Input 2 3 6 2 5 2" xfId="18158"/>
    <cellStyle name="Input 2 3 6 2 5 3" xfId="18159"/>
    <cellStyle name="Input 2 3 6 2 5 4" xfId="18160"/>
    <cellStyle name="Input 2 3 6 2 6" xfId="18161"/>
    <cellStyle name="Input 2 3 6 2 6 2" xfId="18162"/>
    <cellStyle name="Input 2 3 6 2 6 3" xfId="18163"/>
    <cellStyle name="Input 2 3 6 2 6 4" xfId="18164"/>
    <cellStyle name="Input 2 3 6 2 7" xfId="18165"/>
    <cellStyle name="Input 2 3 6 2 7 2" xfId="18166"/>
    <cellStyle name="Input 2 3 6 2 7 3" xfId="18167"/>
    <cellStyle name="Input 2 3 6 2 7 4" xfId="18168"/>
    <cellStyle name="Input 2 3 6 2 8" xfId="18169"/>
    <cellStyle name="Input 2 3 6 2 9" xfId="18170"/>
    <cellStyle name="Input 2 3 6 3" xfId="569"/>
    <cellStyle name="Input 2 3 6 3 10" xfId="18171"/>
    <cellStyle name="Input 2 3 6 3 11" xfId="18172"/>
    <cellStyle name="Input 2 3 6 3 2" xfId="18173"/>
    <cellStyle name="Input 2 3 6 3 2 2" xfId="18174"/>
    <cellStyle name="Input 2 3 6 3 2 2 2" xfId="18175"/>
    <cellStyle name="Input 2 3 6 3 2 2 3" xfId="18176"/>
    <cellStyle name="Input 2 3 6 3 2 2 4" xfId="18177"/>
    <cellStyle name="Input 2 3 6 3 2 3" xfId="18178"/>
    <cellStyle name="Input 2 3 6 3 2 3 2" xfId="18179"/>
    <cellStyle name="Input 2 3 6 3 2 3 3" xfId="18180"/>
    <cellStyle name="Input 2 3 6 3 2 3 4" xfId="18181"/>
    <cellStyle name="Input 2 3 6 3 2 4" xfId="18182"/>
    <cellStyle name="Input 2 3 6 3 2 5" xfId="18183"/>
    <cellStyle name="Input 2 3 6 3 2 6" xfId="18184"/>
    <cellStyle name="Input 2 3 6 3 2 7" xfId="18185"/>
    <cellStyle name="Input 2 3 6 3 3" xfId="18186"/>
    <cellStyle name="Input 2 3 6 3 3 2" xfId="18187"/>
    <cellStyle name="Input 2 3 6 3 3 2 2" xfId="18188"/>
    <cellStyle name="Input 2 3 6 3 3 2 3" xfId="18189"/>
    <cellStyle name="Input 2 3 6 3 3 2 4" xfId="18190"/>
    <cellStyle name="Input 2 3 6 3 3 3" xfId="18191"/>
    <cellStyle name="Input 2 3 6 3 3 4" xfId="18192"/>
    <cellStyle name="Input 2 3 6 3 3 5" xfId="18193"/>
    <cellStyle name="Input 2 3 6 3 3 6" xfId="18194"/>
    <cellStyle name="Input 2 3 6 3 4" xfId="18195"/>
    <cellStyle name="Input 2 3 6 3 4 2" xfId="18196"/>
    <cellStyle name="Input 2 3 6 3 4 3" xfId="18197"/>
    <cellStyle name="Input 2 3 6 3 4 4" xfId="18198"/>
    <cellStyle name="Input 2 3 6 3 4 5" xfId="18199"/>
    <cellStyle name="Input 2 3 6 3 5" xfId="18200"/>
    <cellStyle name="Input 2 3 6 3 5 2" xfId="18201"/>
    <cellStyle name="Input 2 3 6 3 5 3" xfId="18202"/>
    <cellStyle name="Input 2 3 6 3 5 4" xfId="18203"/>
    <cellStyle name="Input 2 3 6 3 6" xfId="18204"/>
    <cellStyle name="Input 2 3 6 3 6 2" xfId="18205"/>
    <cellStyle name="Input 2 3 6 3 6 3" xfId="18206"/>
    <cellStyle name="Input 2 3 6 3 6 4" xfId="18207"/>
    <cellStyle name="Input 2 3 6 3 7" xfId="18208"/>
    <cellStyle name="Input 2 3 6 3 7 2" xfId="18209"/>
    <cellStyle name="Input 2 3 6 3 7 3" xfId="18210"/>
    <cellStyle name="Input 2 3 6 3 7 4" xfId="18211"/>
    <cellStyle name="Input 2 3 6 3 8" xfId="18212"/>
    <cellStyle name="Input 2 3 6 3 9" xfId="18213"/>
    <cellStyle name="Input 2 3 6 4" xfId="18214"/>
    <cellStyle name="Input 2 3 6 4 2" xfId="18215"/>
    <cellStyle name="Input 2 3 6 4 2 2" xfId="18216"/>
    <cellStyle name="Input 2 3 6 4 2 2 2" xfId="18217"/>
    <cellStyle name="Input 2 3 6 4 2 2 3" xfId="18218"/>
    <cellStyle name="Input 2 3 6 4 2 2 4" xfId="18219"/>
    <cellStyle name="Input 2 3 6 4 2 3" xfId="18220"/>
    <cellStyle name="Input 2 3 6 4 2 4" xfId="18221"/>
    <cellStyle name="Input 2 3 6 4 2 5" xfId="18222"/>
    <cellStyle name="Input 2 3 6 4 2 6" xfId="18223"/>
    <cellStyle name="Input 2 3 6 4 3" xfId="18224"/>
    <cellStyle name="Input 2 3 6 4 3 2" xfId="18225"/>
    <cellStyle name="Input 2 3 6 4 3 3" xfId="18226"/>
    <cellStyle name="Input 2 3 6 4 3 4" xfId="18227"/>
    <cellStyle name="Input 2 3 6 4 4" xfId="18228"/>
    <cellStyle name="Input 2 3 6 4 5" xfId="18229"/>
    <cellStyle name="Input 2 3 6 4 6" xfId="18230"/>
    <cellStyle name="Input 2 3 6 4 7" xfId="18231"/>
    <cellStyle name="Input 2 3 6 5" xfId="18232"/>
    <cellStyle name="Input 2 3 6 5 2" xfId="18233"/>
    <cellStyle name="Input 2 3 6 5 2 2" xfId="18234"/>
    <cellStyle name="Input 2 3 6 5 2 3" xfId="18235"/>
    <cellStyle name="Input 2 3 6 5 2 4" xfId="18236"/>
    <cellStyle name="Input 2 3 6 5 3" xfId="18237"/>
    <cellStyle name="Input 2 3 6 5 4" xfId="18238"/>
    <cellStyle name="Input 2 3 6 5 5" xfId="18239"/>
    <cellStyle name="Input 2 3 6 5 6" xfId="18240"/>
    <cellStyle name="Input 2 3 6 6" xfId="18241"/>
    <cellStyle name="Input 2 3 6 6 2" xfId="18242"/>
    <cellStyle name="Input 2 3 6 6 3" xfId="18243"/>
    <cellStyle name="Input 2 3 6 6 4" xfId="18244"/>
    <cellStyle name="Input 2 3 6 6 5" xfId="18245"/>
    <cellStyle name="Input 2 3 6 7" xfId="18246"/>
    <cellStyle name="Input 2 3 6 7 2" xfId="18247"/>
    <cellStyle name="Input 2 3 6 7 3" xfId="18248"/>
    <cellStyle name="Input 2 3 6 7 4" xfId="18249"/>
    <cellStyle name="Input 2 3 6 8" xfId="18250"/>
    <cellStyle name="Input 2 3 6 8 2" xfId="18251"/>
    <cellStyle name="Input 2 3 6 8 3" xfId="18252"/>
    <cellStyle name="Input 2 3 6 8 4" xfId="18253"/>
    <cellStyle name="Input 2 3 6 9" xfId="18254"/>
    <cellStyle name="Input 2 3 6 9 2" xfId="18255"/>
    <cellStyle name="Input 2 3 6 9 3" xfId="18256"/>
    <cellStyle name="Input 2 3 6 9 4" xfId="18257"/>
    <cellStyle name="Input 2 3 7" xfId="570"/>
    <cellStyle name="Input 2 3 7 10" xfId="18258"/>
    <cellStyle name="Input 2 3 7 11" xfId="18259"/>
    <cellStyle name="Input 2 3 7 12" xfId="18260"/>
    <cellStyle name="Input 2 3 7 2" xfId="571"/>
    <cellStyle name="Input 2 3 7 2 10" xfId="18261"/>
    <cellStyle name="Input 2 3 7 2 11" xfId="18262"/>
    <cellStyle name="Input 2 3 7 2 2" xfId="18263"/>
    <cellStyle name="Input 2 3 7 2 2 2" xfId="18264"/>
    <cellStyle name="Input 2 3 7 2 2 2 2" xfId="18265"/>
    <cellStyle name="Input 2 3 7 2 2 2 2 2" xfId="18266"/>
    <cellStyle name="Input 2 3 7 2 2 2 2 3" xfId="18267"/>
    <cellStyle name="Input 2 3 7 2 2 2 2 4" xfId="18268"/>
    <cellStyle name="Input 2 3 7 2 2 2 3" xfId="18269"/>
    <cellStyle name="Input 2 3 7 2 2 2 4" xfId="18270"/>
    <cellStyle name="Input 2 3 7 2 2 2 5" xfId="18271"/>
    <cellStyle name="Input 2 3 7 2 2 2 6" xfId="18272"/>
    <cellStyle name="Input 2 3 7 2 2 3" xfId="18273"/>
    <cellStyle name="Input 2 3 7 2 2 3 2" xfId="18274"/>
    <cellStyle name="Input 2 3 7 2 2 3 3" xfId="18275"/>
    <cellStyle name="Input 2 3 7 2 2 3 4" xfId="18276"/>
    <cellStyle name="Input 2 3 7 2 2 4" xfId="18277"/>
    <cellStyle name="Input 2 3 7 2 2 5" xfId="18278"/>
    <cellStyle name="Input 2 3 7 2 2 6" xfId="18279"/>
    <cellStyle name="Input 2 3 7 2 2 7" xfId="18280"/>
    <cellStyle name="Input 2 3 7 2 3" xfId="18281"/>
    <cellStyle name="Input 2 3 7 2 3 2" xfId="18282"/>
    <cellStyle name="Input 2 3 7 2 3 2 2" xfId="18283"/>
    <cellStyle name="Input 2 3 7 2 3 2 3" xfId="18284"/>
    <cellStyle name="Input 2 3 7 2 3 2 4" xfId="18285"/>
    <cellStyle name="Input 2 3 7 2 3 3" xfId="18286"/>
    <cellStyle name="Input 2 3 7 2 3 4" xfId="18287"/>
    <cellStyle name="Input 2 3 7 2 3 5" xfId="18288"/>
    <cellStyle name="Input 2 3 7 2 3 6" xfId="18289"/>
    <cellStyle name="Input 2 3 7 2 4" xfId="18290"/>
    <cellStyle name="Input 2 3 7 2 4 2" xfId="18291"/>
    <cellStyle name="Input 2 3 7 2 4 3" xfId="18292"/>
    <cellStyle name="Input 2 3 7 2 4 4" xfId="18293"/>
    <cellStyle name="Input 2 3 7 2 4 5" xfId="18294"/>
    <cellStyle name="Input 2 3 7 2 5" xfId="18295"/>
    <cellStyle name="Input 2 3 7 2 5 2" xfId="18296"/>
    <cellStyle name="Input 2 3 7 2 5 3" xfId="18297"/>
    <cellStyle name="Input 2 3 7 2 5 4" xfId="18298"/>
    <cellStyle name="Input 2 3 7 2 6" xfId="18299"/>
    <cellStyle name="Input 2 3 7 2 6 2" xfId="18300"/>
    <cellStyle name="Input 2 3 7 2 6 3" xfId="18301"/>
    <cellStyle name="Input 2 3 7 2 6 4" xfId="18302"/>
    <cellStyle name="Input 2 3 7 2 7" xfId="18303"/>
    <cellStyle name="Input 2 3 7 2 7 2" xfId="18304"/>
    <cellStyle name="Input 2 3 7 2 7 3" xfId="18305"/>
    <cellStyle name="Input 2 3 7 2 7 4" xfId="18306"/>
    <cellStyle name="Input 2 3 7 2 8" xfId="18307"/>
    <cellStyle name="Input 2 3 7 2 9" xfId="18308"/>
    <cellStyle name="Input 2 3 7 3" xfId="572"/>
    <cellStyle name="Input 2 3 7 3 2" xfId="18309"/>
    <cellStyle name="Input 2 3 7 3 2 2" xfId="18310"/>
    <cellStyle name="Input 2 3 7 3 2 2 2" xfId="18311"/>
    <cellStyle name="Input 2 3 7 3 2 2 3" xfId="18312"/>
    <cellStyle name="Input 2 3 7 3 2 2 4" xfId="18313"/>
    <cellStyle name="Input 2 3 7 3 2 3" xfId="18314"/>
    <cellStyle name="Input 2 3 7 3 2 4" xfId="18315"/>
    <cellStyle name="Input 2 3 7 3 2 5" xfId="18316"/>
    <cellStyle name="Input 2 3 7 3 2 6" xfId="18317"/>
    <cellStyle name="Input 2 3 7 3 3" xfId="18318"/>
    <cellStyle name="Input 2 3 7 3 3 2" xfId="18319"/>
    <cellStyle name="Input 2 3 7 3 3 3" xfId="18320"/>
    <cellStyle name="Input 2 3 7 3 3 4" xfId="18321"/>
    <cellStyle name="Input 2 3 7 3 4" xfId="18322"/>
    <cellStyle name="Input 2 3 7 3 5" xfId="18323"/>
    <cellStyle name="Input 2 3 7 3 6" xfId="18324"/>
    <cellStyle name="Input 2 3 7 3 7" xfId="18325"/>
    <cellStyle name="Input 2 3 7 4" xfId="18326"/>
    <cellStyle name="Input 2 3 7 4 2" xfId="18327"/>
    <cellStyle name="Input 2 3 7 4 2 2" xfId="18328"/>
    <cellStyle name="Input 2 3 7 4 2 3" xfId="18329"/>
    <cellStyle name="Input 2 3 7 4 2 4" xfId="18330"/>
    <cellStyle name="Input 2 3 7 4 3" xfId="18331"/>
    <cellStyle name="Input 2 3 7 4 4" xfId="18332"/>
    <cellStyle name="Input 2 3 7 4 5" xfId="18333"/>
    <cellStyle name="Input 2 3 7 4 6" xfId="18334"/>
    <cellStyle name="Input 2 3 7 5" xfId="18335"/>
    <cellStyle name="Input 2 3 7 5 2" xfId="18336"/>
    <cellStyle name="Input 2 3 7 5 3" xfId="18337"/>
    <cellStyle name="Input 2 3 7 5 4" xfId="18338"/>
    <cellStyle name="Input 2 3 7 5 5" xfId="18339"/>
    <cellStyle name="Input 2 3 7 6" xfId="18340"/>
    <cellStyle name="Input 2 3 7 6 2" xfId="18341"/>
    <cellStyle name="Input 2 3 7 6 3" xfId="18342"/>
    <cellStyle name="Input 2 3 7 6 4" xfId="18343"/>
    <cellStyle name="Input 2 3 7 7" xfId="18344"/>
    <cellStyle name="Input 2 3 7 7 2" xfId="18345"/>
    <cellStyle name="Input 2 3 7 7 3" xfId="18346"/>
    <cellStyle name="Input 2 3 7 7 4" xfId="18347"/>
    <cellStyle name="Input 2 3 7 8" xfId="18348"/>
    <cellStyle name="Input 2 3 7 8 2" xfId="18349"/>
    <cellStyle name="Input 2 3 7 8 3" xfId="18350"/>
    <cellStyle name="Input 2 3 7 8 4" xfId="18351"/>
    <cellStyle name="Input 2 3 7 9" xfId="18352"/>
    <cellStyle name="Input 2 3 8" xfId="573"/>
    <cellStyle name="Input 2 3 8 10" xfId="18353"/>
    <cellStyle name="Input 2 3 8 11" xfId="18354"/>
    <cellStyle name="Input 2 3 8 2" xfId="574"/>
    <cellStyle name="Input 2 3 8 2 2" xfId="18355"/>
    <cellStyle name="Input 2 3 8 2 2 2" xfId="18356"/>
    <cellStyle name="Input 2 3 8 2 2 2 2" xfId="18357"/>
    <cellStyle name="Input 2 3 8 2 2 2 3" xfId="18358"/>
    <cellStyle name="Input 2 3 8 2 2 2 4" xfId="18359"/>
    <cellStyle name="Input 2 3 8 2 2 3" xfId="18360"/>
    <cellStyle name="Input 2 3 8 2 2 4" xfId="18361"/>
    <cellStyle name="Input 2 3 8 2 2 5" xfId="18362"/>
    <cellStyle name="Input 2 3 8 2 2 6" xfId="18363"/>
    <cellStyle name="Input 2 3 8 2 3" xfId="18364"/>
    <cellStyle name="Input 2 3 8 2 3 2" xfId="18365"/>
    <cellStyle name="Input 2 3 8 2 3 3" xfId="18366"/>
    <cellStyle name="Input 2 3 8 2 3 4" xfId="18367"/>
    <cellStyle name="Input 2 3 8 2 4" xfId="18368"/>
    <cellStyle name="Input 2 3 8 2 5" xfId="18369"/>
    <cellStyle name="Input 2 3 8 2 6" xfId="18370"/>
    <cellStyle name="Input 2 3 8 2 7" xfId="18371"/>
    <cellStyle name="Input 2 3 8 3" xfId="575"/>
    <cellStyle name="Input 2 3 8 3 2" xfId="18372"/>
    <cellStyle name="Input 2 3 8 3 2 2" xfId="18373"/>
    <cellStyle name="Input 2 3 8 3 2 3" xfId="18374"/>
    <cellStyle name="Input 2 3 8 3 2 4" xfId="18375"/>
    <cellStyle name="Input 2 3 8 3 3" xfId="18376"/>
    <cellStyle name="Input 2 3 8 3 4" xfId="18377"/>
    <cellStyle name="Input 2 3 8 3 5" xfId="18378"/>
    <cellStyle name="Input 2 3 8 3 6" xfId="18379"/>
    <cellStyle name="Input 2 3 8 4" xfId="18380"/>
    <cellStyle name="Input 2 3 8 4 2" xfId="18381"/>
    <cellStyle name="Input 2 3 8 4 3" xfId="18382"/>
    <cellStyle name="Input 2 3 8 4 4" xfId="18383"/>
    <cellStyle name="Input 2 3 8 4 5" xfId="18384"/>
    <cellStyle name="Input 2 3 8 5" xfId="18385"/>
    <cellStyle name="Input 2 3 8 5 2" xfId="18386"/>
    <cellStyle name="Input 2 3 8 5 3" xfId="18387"/>
    <cellStyle name="Input 2 3 8 5 4" xfId="18388"/>
    <cellStyle name="Input 2 3 8 6" xfId="18389"/>
    <cellStyle name="Input 2 3 8 6 2" xfId="18390"/>
    <cellStyle name="Input 2 3 8 6 3" xfId="18391"/>
    <cellStyle name="Input 2 3 8 6 4" xfId="18392"/>
    <cellStyle name="Input 2 3 8 7" xfId="18393"/>
    <cellStyle name="Input 2 3 8 7 2" xfId="18394"/>
    <cellStyle name="Input 2 3 8 7 3" xfId="18395"/>
    <cellStyle name="Input 2 3 8 7 4" xfId="18396"/>
    <cellStyle name="Input 2 3 8 8" xfId="18397"/>
    <cellStyle name="Input 2 3 8 9" xfId="18398"/>
    <cellStyle name="Input 2 3 9" xfId="576"/>
    <cellStyle name="Input 2 3 9 10" xfId="18399"/>
    <cellStyle name="Input 2 3 9 2" xfId="577"/>
    <cellStyle name="Input 2 3 9 2 2" xfId="18400"/>
    <cellStyle name="Input 2 3 9 2 2 2" xfId="18401"/>
    <cellStyle name="Input 2 3 9 2 2 3" xfId="18402"/>
    <cellStyle name="Input 2 3 9 2 2 4" xfId="18403"/>
    <cellStyle name="Input 2 3 9 2 3" xfId="18404"/>
    <cellStyle name="Input 2 3 9 2 4" xfId="18405"/>
    <cellStyle name="Input 2 3 9 2 5" xfId="18406"/>
    <cellStyle name="Input 2 3 9 2 6" xfId="18407"/>
    <cellStyle name="Input 2 3 9 3" xfId="578"/>
    <cellStyle name="Input 2 3 9 3 2" xfId="18408"/>
    <cellStyle name="Input 2 3 9 3 3" xfId="18409"/>
    <cellStyle name="Input 2 3 9 3 4" xfId="18410"/>
    <cellStyle name="Input 2 3 9 4" xfId="18411"/>
    <cellStyle name="Input 2 3 9 4 2" xfId="18412"/>
    <cellStyle name="Input 2 3 9 4 3" xfId="18413"/>
    <cellStyle name="Input 2 3 9 4 4" xfId="18414"/>
    <cellStyle name="Input 2 3 9 5" xfId="18415"/>
    <cellStyle name="Input 2 3 9 5 2" xfId="18416"/>
    <cellStyle name="Input 2 3 9 5 3" xfId="18417"/>
    <cellStyle name="Input 2 3 9 5 4" xfId="18418"/>
    <cellStyle name="Input 2 3 9 6" xfId="18419"/>
    <cellStyle name="Input 2 3 9 6 2" xfId="18420"/>
    <cellStyle name="Input 2 3 9 6 3" xfId="18421"/>
    <cellStyle name="Input 2 3 9 6 4" xfId="18422"/>
    <cellStyle name="Input 2 3 9 7" xfId="18423"/>
    <cellStyle name="Input 2 3 9 8" xfId="18424"/>
    <cellStyle name="Input 2 3 9 9" xfId="18425"/>
    <cellStyle name="Input 2 30" xfId="18426"/>
    <cellStyle name="Input 2 31" xfId="18427"/>
    <cellStyle name="Input 2 32" xfId="18428"/>
    <cellStyle name="Input 2 33" xfId="18429"/>
    <cellStyle name="Input 2 34" xfId="18430"/>
    <cellStyle name="Input 2 35" xfId="18431"/>
    <cellStyle name="Input 2 36" xfId="18432"/>
    <cellStyle name="Input 2 37" xfId="18433"/>
    <cellStyle name="Input 2 38" xfId="18434"/>
    <cellStyle name="Input 2 39" xfId="18435"/>
    <cellStyle name="Input 2 4" xfId="172"/>
    <cellStyle name="Input 2 4 10" xfId="579"/>
    <cellStyle name="Input 2 4 10 2" xfId="580"/>
    <cellStyle name="Input 2 4 10 3" xfId="581"/>
    <cellStyle name="Input 2 4 10 4" xfId="18436"/>
    <cellStyle name="Input 2 4 11" xfId="582"/>
    <cellStyle name="Input 2 4 11 2" xfId="583"/>
    <cellStyle name="Input 2 4 11 3" xfId="584"/>
    <cellStyle name="Input 2 4 11 4" xfId="18437"/>
    <cellStyle name="Input 2 4 12" xfId="585"/>
    <cellStyle name="Input 2 4 12 2" xfId="586"/>
    <cellStyle name="Input 2 4 12 3" xfId="587"/>
    <cellStyle name="Input 2 4 12 4" xfId="18438"/>
    <cellStyle name="Input 2 4 13" xfId="588"/>
    <cellStyle name="Input 2 4 13 2" xfId="589"/>
    <cellStyle name="Input 2 4 13 3" xfId="590"/>
    <cellStyle name="Input 2 4 14" xfId="591"/>
    <cellStyle name="Input 2 4 15" xfId="592"/>
    <cellStyle name="Input 2 4 16" xfId="18439"/>
    <cellStyle name="Input 2 4 17" xfId="18440"/>
    <cellStyle name="Input 2 4 18" xfId="18441"/>
    <cellStyle name="Input 2 4 19" xfId="18442"/>
    <cellStyle name="Input 2 4 2" xfId="593"/>
    <cellStyle name="Input 2 4 2 10" xfId="18443"/>
    <cellStyle name="Input 2 4 2 11" xfId="18444"/>
    <cellStyle name="Input 2 4 2 12" xfId="18445"/>
    <cellStyle name="Input 2 4 2 2" xfId="594"/>
    <cellStyle name="Input 2 4 2 2 10" xfId="18446"/>
    <cellStyle name="Input 2 4 2 2 11" xfId="18447"/>
    <cellStyle name="Input 2 4 2 2 2" xfId="18448"/>
    <cellStyle name="Input 2 4 2 2 2 2" xfId="18449"/>
    <cellStyle name="Input 2 4 2 2 2 2 2" xfId="18450"/>
    <cellStyle name="Input 2 4 2 2 2 2 2 2" xfId="18451"/>
    <cellStyle name="Input 2 4 2 2 2 2 2 3" xfId="18452"/>
    <cellStyle name="Input 2 4 2 2 2 2 2 4" xfId="18453"/>
    <cellStyle name="Input 2 4 2 2 2 2 3" xfId="18454"/>
    <cellStyle name="Input 2 4 2 2 2 2 4" xfId="18455"/>
    <cellStyle name="Input 2 4 2 2 2 2 5" xfId="18456"/>
    <cellStyle name="Input 2 4 2 2 2 2 6" xfId="18457"/>
    <cellStyle name="Input 2 4 2 2 2 3" xfId="18458"/>
    <cellStyle name="Input 2 4 2 2 2 3 2" xfId="18459"/>
    <cellStyle name="Input 2 4 2 2 2 3 3" xfId="18460"/>
    <cellStyle name="Input 2 4 2 2 2 3 4" xfId="18461"/>
    <cellStyle name="Input 2 4 2 2 2 4" xfId="18462"/>
    <cellStyle name="Input 2 4 2 2 2 5" xfId="18463"/>
    <cellStyle name="Input 2 4 2 2 2 6" xfId="18464"/>
    <cellStyle name="Input 2 4 2 2 2 7" xfId="18465"/>
    <cellStyle name="Input 2 4 2 2 3" xfId="18466"/>
    <cellStyle name="Input 2 4 2 2 3 2" xfId="18467"/>
    <cellStyle name="Input 2 4 2 2 3 2 2" xfId="18468"/>
    <cellStyle name="Input 2 4 2 2 3 2 3" xfId="18469"/>
    <cellStyle name="Input 2 4 2 2 3 2 4" xfId="18470"/>
    <cellStyle name="Input 2 4 2 2 3 3" xfId="18471"/>
    <cellStyle name="Input 2 4 2 2 3 4" xfId="18472"/>
    <cellStyle name="Input 2 4 2 2 3 5" xfId="18473"/>
    <cellStyle name="Input 2 4 2 2 3 6" xfId="18474"/>
    <cellStyle name="Input 2 4 2 2 4" xfId="18475"/>
    <cellStyle name="Input 2 4 2 2 4 2" xfId="18476"/>
    <cellStyle name="Input 2 4 2 2 4 3" xfId="18477"/>
    <cellStyle name="Input 2 4 2 2 4 4" xfId="18478"/>
    <cellStyle name="Input 2 4 2 2 4 5" xfId="18479"/>
    <cellStyle name="Input 2 4 2 2 5" xfId="18480"/>
    <cellStyle name="Input 2 4 2 2 5 2" xfId="18481"/>
    <cellStyle name="Input 2 4 2 2 5 3" xfId="18482"/>
    <cellStyle name="Input 2 4 2 2 5 4" xfId="18483"/>
    <cellStyle name="Input 2 4 2 2 6" xfId="18484"/>
    <cellStyle name="Input 2 4 2 2 6 2" xfId="18485"/>
    <cellStyle name="Input 2 4 2 2 6 3" xfId="18486"/>
    <cellStyle name="Input 2 4 2 2 6 4" xfId="18487"/>
    <cellStyle name="Input 2 4 2 2 7" xfId="18488"/>
    <cellStyle name="Input 2 4 2 2 7 2" xfId="18489"/>
    <cellStyle name="Input 2 4 2 2 7 3" xfId="18490"/>
    <cellStyle name="Input 2 4 2 2 7 4" xfId="18491"/>
    <cellStyle name="Input 2 4 2 2 8" xfId="18492"/>
    <cellStyle name="Input 2 4 2 2 9" xfId="18493"/>
    <cellStyle name="Input 2 4 2 3" xfId="18494"/>
    <cellStyle name="Input 2 4 2 3 2" xfId="18495"/>
    <cellStyle name="Input 2 4 2 3 2 2" xfId="18496"/>
    <cellStyle name="Input 2 4 2 3 2 2 2" xfId="18497"/>
    <cellStyle name="Input 2 4 2 3 2 2 3" xfId="18498"/>
    <cellStyle name="Input 2 4 2 3 2 2 4" xfId="18499"/>
    <cellStyle name="Input 2 4 2 3 2 3" xfId="18500"/>
    <cellStyle name="Input 2 4 2 3 2 4" xfId="18501"/>
    <cellStyle name="Input 2 4 2 3 2 5" xfId="18502"/>
    <cellStyle name="Input 2 4 2 3 2 6" xfId="18503"/>
    <cellStyle name="Input 2 4 2 3 3" xfId="18504"/>
    <cellStyle name="Input 2 4 2 3 3 2" xfId="18505"/>
    <cellStyle name="Input 2 4 2 3 3 3" xfId="18506"/>
    <cellStyle name="Input 2 4 2 3 3 4" xfId="18507"/>
    <cellStyle name="Input 2 4 2 3 4" xfId="18508"/>
    <cellStyle name="Input 2 4 2 3 5" xfId="18509"/>
    <cellStyle name="Input 2 4 2 3 6" xfId="18510"/>
    <cellStyle name="Input 2 4 2 3 7" xfId="18511"/>
    <cellStyle name="Input 2 4 2 4" xfId="18512"/>
    <cellStyle name="Input 2 4 2 4 2" xfId="18513"/>
    <cellStyle name="Input 2 4 2 4 2 2" xfId="18514"/>
    <cellStyle name="Input 2 4 2 4 2 3" xfId="18515"/>
    <cellStyle name="Input 2 4 2 4 2 4" xfId="18516"/>
    <cellStyle name="Input 2 4 2 4 3" xfId="18517"/>
    <cellStyle name="Input 2 4 2 4 4" xfId="18518"/>
    <cellStyle name="Input 2 4 2 4 5" xfId="18519"/>
    <cellStyle name="Input 2 4 2 4 6" xfId="18520"/>
    <cellStyle name="Input 2 4 2 5" xfId="18521"/>
    <cellStyle name="Input 2 4 2 5 2" xfId="18522"/>
    <cellStyle name="Input 2 4 2 5 3" xfId="18523"/>
    <cellStyle name="Input 2 4 2 5 4" xfId="18524"/>
    <cellStyle name="Input 2 4 2 5 5" xfId="18525"/>
    <cellStyle name="Input 2 4 2 6" xfId="18526"/>
    <cellStyle name="Input 2 4 2 6 2" xfId="18527"/>
    <cellStyle name="Input 2 4 2 6 3" xfId="18528"/>
    <cellStyle name="Input 2 4 2 6 4" xfId="18529"/>
    <cellStyle name="Input 2 4 2 7" xfId="18530"/>
    <cellStyle name="Input 2 4 2 7 2" xfId="18531"/>
    <cellStyle name="Input 2 4 2 7 3" xfId="18532"/>
    <cellStyle name="Input 2 4 2 7 4" xfId="18533"/>
    <cellStyle name="Input 2 4 2 8" xfId="18534"/>
    <cellStyle name="Input 2 4 2 8 2" xfId="18535"/>
    <cellStyle name="Input 2 4 2 8 3" xfId="18536"/>
    <cellStyle name="Input 2 4 2 8 4" xfId="18537"/>
    <cellStyle name="Input 2 4 2 9" xfId="18538"/>
    <cellStyle name="Input 2 4 20" xfId="18539"/>
    <cellStyle name="Input 2 4 21" xfId="18540"/>
    <cellStyle name="Input 2 4 22" xfId="18541"/>
    <cellStyle name="Input 2 4 23" xfId="18542"/>
    <cellStyle name="Input 2 4 24" xfId="18543"/>
    <cellStyle name="Input 2 4 25" xfId="18544"/>
    <cellStyle name="Input 2 4 26" xfId="18545"/>
    <cellStyle name="Input 2 4 27" xfId="18546"/>
    <cellStyle name="Input 2 4 28" xfId="18547"/>
    <cellStyle name="Input 2 4 29" xfId="53812"/>
    <cellStyle name="Input 2 4 3" xfId="595"/>
    <cellStyle name="Input 2 4 3 10" xfId="18548"/>
    <cellStyle name="Input 2 4 3 11" xfId="18549"/>
    <cellStyle name="Input 2 4 3 2" xfId="596"/>
    <cellStyle name="Input 2 4 3 2 2" xfId="18550"/>
    <cellStyle name="Input 2 4 3 2 2 2" xfId="18551"/>
    <cellStyle name="Input 2 4 3 2 2 2 2" xfId="18552"/>
    <cellStyle name="Input 2 4 3 2 2 2 3" xfId="18553"/>
    <cellStyle name="Input 2 4 3 2 2 2 4" xfId="18554"/>
    <cellStyle name="Input 2 4 3 2 2 3" xfId="18555"/>
    <cellStyle name="Input 2 4 3 2 2 4" xfId="18556"/>
    <cellStyle name="Input 2 4 3 2 2 5" xfId="18557"/>
    <cellStyle name="Input 2 4 3 2 2 6" xfId="18558"/>
    <cellStyle name="Input 2 4 3 2 3" xfId="18559"/>
    <cellStyle name="Input 2 4 3 2 3 2" xfId="18560"/>
    <cellStyle name="Input 2 4 3 2 3 3" xfId="18561"/>
    <cellStyle name="Input 2 4 3 2 3 4" xfId="18562"/>
    <cellStyle name="Input 2 4 3 2 4" xfId="18563"/>
    <cellStyle name="Input 2 4 3 2 5" xfId="18564"/>
    <cellStyle name="Input 2 4 3 2 6" xfId="18565"/>
    <cellStyle name="Input 2 4 3 2 7" xfId="18566"/>
    <cellStyle name="Input 2 4 3 3" xfId="18567"/>
    <cellStyle name="Input 2 4 3 3 2" xfId="18568"/>
    <cellStyle name="Input 2 4 3 3 2 2" xfId="18569"/>
    <cellStyle name="Input 2 4 3 3 2 3" xfId="18570"/>
    <cellStyle name="Input 2 4 3 3 2 4" xfId="18571"/>
    <cellStyle name="Input 2 4 3 3 3" xfId="18572"/>
    <cellStyle name="Input 2 4 3 3 4" xfId="18573"/>
    <cellStyle name="Input 2 4 3 3 5" xfId="18574"/>
    <cellStyle name="Input 2 4 3 3 6" xfId="18575"/>
    <cellStyle name="Input 2 4 3 4" xfId="18576"/>
    <cellStyle name="Input 2 4 3 4 2" xfId="18577"/>
    <cellStyle name="Input 2 4 3 4 3" xfId="18578"/>
    <cellStyle name="Input 2 4 3 4 4" xfId="18579"/>
    <cellStyle name="Input 2 4 3 4 5" xfId="18580"/>
    <cellStyle name="Input 2 4 3 5" xfId="18581"/>
    <cellStyle name="Input 2 4 3 5 2" xfId="18582"/>
    <cellStyle name="Input 2 4 3 5 3" xfId="18583"/>
    <cellStyle name="Input 2 4 3 5 4" xfId="18584"/>
    <cellStyle name="Input 2 4 3 6" xfId="18585"/>
    <cellStyle name="Input 2 4 3 6 2" xfId="18586"/>
    <cellStyle name="Input 2 4 3 6 3" xfId="18587"/>
    <cellStyle name="Input 2 4 3 6 4" xfId="18588"/>
    <cellStyle name="Input 2 4 3 7" xfId="18589"/>
    <cellStyle name="Input 2 4 3 7 2" xfId="18590"/>
    <cellStyle name="Input 2 4 3 7 3" xfId="18591"/>
    <cellStyle name="Input 2 4 3 7 4" xfId="18592"/>
    <cellStyle name="Input 2 4 3 8" xfId="18593"/>
    <cellStyle name="Input 2 4 3 9" xfId="18594"/>
    <cellStyle name="Input 2 4 30" xfId="53813"/>
    <cellStyle name="Input 2 4 31" xfId="53814"/>
    <cellStyle name="Input 2 4 32" xfId="53815"/>
    <cellStyle name="Input 2 4 33" xfId="53816"/>
    <cellStyle name="Input 2 4 34" xfId="53817"/>
    <cellStyle name="Input 2 4 35" xfId="53818"/>
    <cellStyle name="Input 2 4 36" xfId="53819"/>
    <cellStyle name="Input 2 4 37" xfId="53820"/>
    <cellStyle name="Input 2 4 38" xfId="53821"/>
    <cellStyle name="Input 2 4 39" xfId="53822"/>
    <cellStyle name="Input 2 4 4" xfId="597"/>
    <cellStyle name="Input 2 4 4 2" xfId="598"/>
    <cellStyle name="Input 2 4 4 2 2" xfId="18595"/>
    <cellStyle name="Input 2 4 4 2 2 2" xfId="18596"/>
    <cellStyle name="Input 2 4 4 2 2 3" xfId="18597"/>
    <cellStyle name="Input 2 4 4 2 2 4" xfId="18598"/>
    <cellStyle name="Input 2 4 4 2 3" xfId="18599"/>
    <cellStyle name="Input 2 4 4 2 4" xfId="18600"/>
    <cellStyle name="Input 2 4 4 2 5" xfId="18601"/>
    <cellStyle name="Input 2 4 4 2 6" xfId="18602"/>
    <cellStyle name="Input 2 4 4 3" xfId="599"/>
    <cellStyle name="Input 2 4 4 3 2" xfId="18603"/>
    <cellStyle name="Input 2 4 4 3 3" xfId="18604"/>
    <cellStyle name="Input 2 4 4 3 4" xfId="18605"/>
    <cellStyle name="Input 2 4 4 4" xfId="18606"/>
    <cellStyle name="Input 2 4 4 5" xfId="18607"/>
    <cellStyle name="Input 2 4 4 6" xfId="18608"/>
    <cellStyle name="Input 2 4 4 7" xfId="18609"/>
    <cellStyle name="Input 2 4 40" xfId="53823"/>
    <cellStyle name="Input 2 4 5" xfId="600"/>
    <cellStyle name="Input 2 4 5 2" xfId="601"/>
    <cellStyle name="Input 2 4 5 2 2" xfId="18610"/>
    <cellStyle name="Input 2 4 5 2 3" xfId="18611"/>
    <cellStyle name="Input 2 4 5 2 4" xfId="18612"/>
    <cellStyle name="Input 2 4 5 3" xfId="602"/>
    <cellStyle name="Input 2 4 5 3 2" xfId="18613"/>
    <cellStyle name="Input 2 4 5 3 3" xfId="18614"/>
    <cellStyle name="Input 2 4 5 3 4" xfId="18615"/>
    <cellStyle name="Input 2 4 5 4" xfId="18616"/>
    <cellStyle name="Input 2 4 5 5" xfId="18617"/>
    <cellStyle name="Input 2 4 5 6" xfId="18618"/>
    <cellStyle name="Input 2 4 5 7" xfId="18619"/>
    <cellStyle name="Input 2 4 6" xfId="603"/>
    <cellStyle name="Input 2 4 6 2" xfId="604"/>
    <cellStyle name="Input 2 4 6 2 2" xfId="18620"/>
    <cellStyle name="Input 2 4 6 2 3" xfId="18621"/>
    <cellStyle name="Input 2 4 6 2 4" xfId="18622"/>
    <cellStyle name="Input 2 4 6 3" xfId="605"/>
    <cellStyle name="Input 2 4 6 3 2" xfId="18623"/>
    <cellStyle name="Input 2 4 6 3 3" xfId="18624"/>
    <cellStyle name="Input 2 4 6 3 4" xfId="18625"/>
    <cellStyle name="Input 2 4 6 4" xfId="18626"/>
    <cellStyle name="Input 2 4 6 5" xfId="18627"/>
    <cellStyle name="Input 2 4 6 6" xfId="18628"/>
    <cellStyle name="Input 2 4 6 7" xfId="18629"/>
    <cellStyle name="Input 2 4 7" xfId="606"/>
    <cellStyle name="Input 2 4 7 2" xfId="607"/>
    <cellStyle name="Input 2 4 7 2 2" xfId="18630"/>
    <cellStyle name="Input 2 4 7 2 3" xfId="18631"/>
    <cellStyle name="Input 2 4 7 2 4" xfId="18632"/>
    <cellStyle name="Input 2 4 7 3" xfId="608"/>
    <cellStyle name="Input 2 4 7 3 2" xfId="18633"/>
    <cellStyle name="Input 2 4 7 3 3" xfId="18634"/>
    <cellStyle name="Input 2 4 7 3 4" xfId="18635"/>
    <cellStyle name="Input 2 4 7 4" xfId="18636"/>
    <cellStyle name="Input 2 4 7 5" xfId="18637"/>
    <cellStyle name="Input 2 4 7 6" xfId="18638"/>
    <cellStyle name="Input 2 4 7 7" xfId="18639"/>
    <cellStyle name="Input 2 4 8" xfId="609"/>
    <cellStyle name="Input 2 4 8 2" xfId="610"/>
    <cellStyle name="Input 2 4 8 2 2" xfId="18640"/>
    <cellStyle name="Input 2 4 8 2 3" xfId="18641"/>
    <cellStyle name="Input 2 4 8 2 4" xfId="18642"/>
    <cellStyle name="Input 2 4 8 3" xfId="611"/>
    <cellStyle name="Input 2 4 8 4" xfId="18643"/>
    <cellStyle name="Input 2 4 8 5" xfId="18644"/>
    <cellStyle name="Input 2 4 8 6" xfId="18645"/>
    <cellStyle name="Input 2 4 9" xfId="612"/>
    <cellStyle name="Input 2 4 9 2" xfId="613"/>
    <cellStyle name="Input 2 4 9 3" xfId="614"/>
    <cellStyle name="Input 2 4 9 4" xfId="18646"/>
    <cellStyle name="Input 2 4 9 5" xfId="18647"/>
    <cellStyle name="Input 2 40" xfId="18648"/>
    <cellStyle name="Input 2 41" xfId="18649"/>
    <cellStyle name="Input 2 42" xfId="18650"/>
    <cellStyle name="Input 2 43" xfId="18651"/>
    <cellStyle name="Input 2 44" xfId="18652"/>
    <cellStyle name="Input 2 45" xfId="18653"/>
    <cellStyle name="Input 2 46" xfId="18654"/>
    <cellStyle name="Input 2 47" xfId="53824"/>
    <cellStyle name="Input 2 48" xfId="53825"/>
    <cellStyle name="Input 2 49" xfId="53826"/>
    <cellStyle name="Input 2 5" xfId="173"/>
    <cellStyle name="Input 2 5 10" xfId="18655"/>
    <cellStyle name="Input 2 5 10 2" xfId="18656"/>
    <cellStyle name="Input 2 5 10 3" xfId="18657"/>
    <cellStyle name="Input 2 5 10 4" xfId="18658"/>
    <cellStyle name="Input 2 5 11" xfId="18659"/>
    <cellStyle name="Input 2 5 11 2" xfId="18660"/>
    <cellStyle name="Input 2 5 11 3" xfId="18661"/>
    <cellStyle name="Input 2 5 11 4" xfId="18662"/>
    <cellStyle name="Input 2 5 12" xfId="18663"/>
    <cellStyle name="Input 2 5 12 2" xfId="18664"/>
    <cellStyle name="Input 2 5 12 3" xfId="18665"/>
    <cellStyle name="Input 2 5 12 4" xfId="18666"/>
    <cellStyle name="Input 2 5 13" xfId="18667"/>
    <cellStyle name="Input 2 5 14" xfId="18668"/>
    <cellStyle name="Input 2 5 15" xfId="18669"/>
    <cellStyle name="Input 2 5 16" xfId="18670"/>
    <cellStyle name="Input 2 5 17" xfId="18671"/>
    <cellStyle name="Input 2 5 18" xfId="18672"/>
    <cellStyle name="Input 2 5 19" xfId="18673"/>
    <cellStyle name="Input 2 5 2" xfId="615"/>
    <cellStyle name="Input 2 5 2 10" xfId="18674"/>
    <cellStyle name="Input 2 5 2 11" xfId="18675"/>
    <cellStyle name="Input 2 5 2 12" xfId="18676"/>
    <cellStyle name="Input 2 5 2 2" xfId="18677"/>
    <cellStyle name="Input 2 5 2 2 10" xfId="18678"/>
    <cellStyle name="Input 2 5 2 2 11" xfId="18679"/>
    <cellStyle name="Input 2 5 2 2 2" xfId="18680"/>
    <cellStyle name="Input 2 5 2 2 2 2" xfId="18681"/>
    <cellStyle name="Input 2 5 2 2 2 2 2" xfId="18682"/>
    <cellStyle name="Input 2 5 2 2 2 2 2 2" xfId="18683"/>
    <cellStyle name="Input 2 5 2 2 2 2 2 3" xfId="18684"/>
    <cellStyle name="Input 2 5 2 2 2 2 2 4" xfId="18685"/>
    <cellStyle name="Input 2 5 2 2 2 2 3" xfId="18686"/>
    <cellStyle name="Input 2 5 2 2 2 2 4" xfId="18687"/>
    <cellStyle name="Input 2 5 2 2 2 2 5" xfId="18688"/>
    <cellStyle name="Input 2 5 2 2 2 2 6" xfId="18689"/>
    <cellStyle name="Input 2 5 2 2 2 3" xfId="18690"/>
    <cellStyle name="Input 2 5 2 2 2 3 2" xfId="18691"/>
    <cellStyle name="Input 2 5 2 2 2 3 3" xfId="18692"/>
    <cellStyle name="Input 2 5 2 2 2 3 4" xfId="18693"/>
    <cellStyle name="Input 2 5 2 2 2 4" xfId="18694"/>
    <cellStyle name="Input 2 5 2 2 2 5" xfId="18695"/>
    <cellStyle name="Input 2 5 2 2 2 6" xfId="18696"/>
    <cellStyle name="Input 2 5 2 2 2 7" xfId="18697"/>
    <cellStyle name="Input 2 5 2 2 3" xfId="18698"/>
    <cellStyle name="Input 2 5 2 2 3 2" xfId="18699"/>
    <cellStyle name="Input 2 5 2 2 3 2 2" xfId="18700"/>
    <cellStyle name="Input 2 5 2 2 3 2 3" xfId="18701"/>
    <cellStyle name="Input 2 5 2 2 3 2 4" xfId="18702"/>
    <cellStyle name="Input 2 5 2 2 3 3" xfId="18703"/>
    <cellStyle name="Input 2 5 2 2 3 4" xfId="18704"/>
    <cellStyle name="Input 2 5 2 2 3 5" xfId="18705"/>
    <cellStyle name="Input 2 5 2 2 3 6" xfId="18706"/>
    <cellStyle name="Input 2 5 2 2 4" xfId="18707"/>
    <cellStyle name="Input 2 5 2 2 4 2" xfId="18708"/>
    <cellStyle name="Input 2 5 2 2 4 3" xfId="18709"/>
    <cellStyle name="Input 2 5 2 2 4 4" xfId="18710"/>
    <cellStyle name="Input 2 5 2 2 4 5" xfId="18711"/>
    <cellStyle name="Input 2 5 2 2 5" xfId="18712"/>
    <cellStyle name="Input 2 5 2 2 5 2" xfId="18713"/>
    <cellStyle name="Input 2 5 2 2 5 3" xfId="18714"/>
    <cellStyle name="Input 2 5 2 2 5 4" xfId="18715"/>
    <cellStyle name="Input 2 5 2 2 6" xfId="18716"/>
    <cellStyle name="Input 2 5 2 2 6 2" xfId="18717"/>
    <cellStyle name="Input 2 5 2 2 6 3" xfId="18718"/>
    <cellStyle name="Input 2 5 2 2 6 4" xfId="18719"/>
    <cellStyle name="Input 2 5 2 2 7" xfId="18720"/>
    <cellStyle name="Input 2 5 2 2 7 2" xfId="18721"/>
    <cellStyle name="Input 2 5 2 2 7 3" xfId="18722"/>
    <cellStyle name="Input 2 5 2 2 7 4" xfId="18723"/>
    <cellStyle name="Input 2 5 2 2 8" xfId="18724"/>
    <cellStyle name="Input 2 5 2 2 9" xfId="18725"/>
    <cellStyle name="Input 2 5 2 3" xfId="18726"/>
    <cellStyle name="Input 2 5 2 3 2" xfId="18727"/>
    <cellStyle name="Input 2 5 2 3 2 2" xfId="18728"/>
    <cellStyle name="Input 2 5 2 3 2 2 2" xfId="18729"/>
    <cellStyle name="Input 2 5 2 3 2 2 3" xfId="18730"/>
    <cellStyle name="Input 2 5 2 3 2 2 4" xfId="18731"/>
    <cellStyle name="Input 2 5 2 3 2 3" xfId="18732"/>
    <cellStyle name="Input 2 5 2 3 2 4" xfId="18733"/>
    <cellStyle name="Input 2 5 2 3 2 5" xfId="18734"/>
    <cellStyle name="Input 2 5 2 3 2 6" xfId="18735"/>
    <cellStyle name="Input 2 5 2 3 3" xfId="18736"/>
    <cellStyle name="Input 2 5 2 3 3 2" xfId="18737"/>
    <cellStyle name="Input 2 5 2 3 3 3" xfId="18738"/>
    <cellStyle name="Input 2 5 2 3 3 4" xfId="18739"/>
    <cellStyle name="Input 2 5 2 3 4" xfId="18740"/>
    <cellStyle name="Input 2 5 2 3 5" xfId="18741"/>
    <cellStyle name="Input 2 5 2 3 6" xfId="18742"/>
    <cellStyle name="Input 2 5 2 3 7" xfId="18743"/>
    <cellStyle name="Input 2 5 2 4" xfId="18744"/>
    <cellStyle name="Input 2 5 2 4 2" xfId="18745"/>
    <cellStyle name="Input 2 5 2 4 2 2" xfId="18746"/>
    <cellStyle name="Input 2 5 2 4 2 3" xfId="18747"/>
    <cellStyle name="Input 2 5 2 4 2 4" xfId="18748"/>
    <cellStyle name="Input 2 5 2 4 3" xfId="18749"/>
    <cellStyle name="Input 2 5 2 4 4" xfId="18750"/>
    <cellStyle name="Input 2 5 2 4 5" xfId="18751"/>
    <cellStyle name="Input 2 5 2 4 6" xfId="18752"/>
    <cellStyle name="Input 2 5 2 5" xfId="18753"/>
    <cellStyle name="Input 2 5 2 5 2" xfId="18754"/>
    <cellStyle name="Input 2 5 2 5 3" xfId="18755"/>
    <cellStyle name="Input 2 5 2 5 4" xfId="18756"/>
    <cellStyle name="Input 2 5 2 5 5" xfId="18757"/>
    <cellStyle name="Input 2 5 2 6" xfId="18758"/>
    <cellStyle name="Input 2 5 2 6 2" xfId="18759"/>
    <cellStyle name="Input 2 5 2 6 3" xfId="18760"/>
    <cellStyle name="Input 2 5 2 6 4" xfId="18761"/>
    <cellStyle name="Input 2 5 2 7" xfId="18762"/>
    <cellStyle name="Input 2 5 2 7 2" xfId="18763"/>
    <cellStyle name="Input 2 5 2 7 3" xfId="18764"/>
    <cellStyle name="Input 2 5 2 7 4" xfId="18765"/>
    <cellStyle name="Input 2 5 2 8" xfId="18766"/>
    <cellStyle name="Input 2 5 2 8 2" xfId="18767"/>
    <cellStyle name="Input 2 5 2 8 3" xfId="18768"/>
    <cellStyle name="Input 2 5 2 8 4" xfId="18769"/>
    <cellStyle name="Input 2 5 2 9" xfId="18770"/>
    <cellStyle name="Input 2 5 20" xfId="18771"/>
    <cellStyle name="Input 2 5 21" xfId="18772"/>
    <cellStyle name="Input 2 5 22" xfId="18773"/>
    <cellStyle name="Input 2 5 23" xfId="18774"/>
    <cellStyle name="Input 2 5 24" xfId="18775"/>
    <cellStyle name="Input 2 5 25" xfId="18776"/>
    <cellStyle name="Input 2 5 26" xfId="18777"/>
    <cellStyle name="Input 2 5 27" xfId="18778"/>
    <cellStyle name="Input 2 5 28" xfId="18779"/>
    <cellStyle name="Input 2 5 29" xfId="53827"/>
    <cellStyle name="Input 2 5 3" xfId="616"/>
    <cellStyle name="Input 2 5 3 10" xfId="18780"/>
    <cellStyle name="Input 2 5 3 11" xfId="18781"/>
    <cellStyle name="Input 2 5 3 2" xfId="18782"/>
    <cellStyle name="Input 2 5 3 2 2" xfId="18783"/>
    <cellStyle name="Input 2 5 3 2 2 2" xfId="18784"/>
    <cellStyle name="Input 2 5 3 2 2 2 2" xfId="18785"/>
    <cellStyle name="Input 2 5 3 2 2 2 3" xfId="18786"/>
    <cellStyle name="Input 2 5 3 2 2 2 4" xfId="18787"/>
    <cellStyle name="Input 2 5 3 2 2 3" xfId="18788"/>
    <cellStyle name="Input 2 5 3 2 2 4" xfId="18789"/>
    <cellStyle name="Input 2 5 3 2 2 5" xfId="18790"/>
    <cellStyle name="Input 2 5 3 2 2 6" xfId="18791"/>
    <cellStyle name="Input 2 5 3 2 3" xfId="18792"/>
    <cellStyle name="Input 2 5 3 2 3 2" xfId="18793"/>
    <cellStyle name="Input 2 5 3 2 3 3" xfId="18794"/>
    <cellStyle name="Input 2 5 3 2 3 4" xfId="18795"/>
    <cellStyle name="Input 2 5 3 2 4" xfId="18796"/>
    <cellStyle name="Input 2 5 3 2 5" xfId="18797"/>
    <cellStyle name="Input 2 5 3 2 6" xfId="18798"/>
    <cellStyle name="Input 2 5 3 2 7" xfId="18799"/>
    <cellStyle name="Input 2 5 3 3" xfId="18800"/>
    <cellStyle name="Input 2 5 3 3 2" xfId="18801"/>
    <cellStyle name="Input 2 5 3 3 2 2" xfId="18802"/>
    <cellStyle name="Input 2 5 3 3 2 3" xfId="18803"/>
    <cellStyle name="Input 2 5 3 3 2 4" xfId="18804"/>
    <cellStyle name="Input 2 5 3 3 3" xfId="18805"/>
    <cellStyle name="Input 2 5 3 3 4" xfId="18806"/>
    <cellStyle name="Input 2 5 3 3 5" xfId="18807"/>
    <cellStyle name="Input 2 5 3 3 6" xfId="18808"/>
    <cellStyle name="Input 2 5 3 4" xfId="18809"/>
    <cellStyle name="Input 2 5 3 4 2" xfId="18810"/>
    <cellStyle name="Input 2 5 3 4 3" xfId="18811"/>
    <cellStyle name="Input 2 5 3 4 4" xfId="18812"/>
    <cellStyle name="Input 2 5 3 4 5" xfId="18813"/>
    <cellStyle name="Input 2 5 3 5" xfId="18814"/>
    <cellStyle name="Input 2 5 3 5 2" xfId="18815"/>
    <cellStyle name="Input 2 5 3 5 3" xfId="18816"/>
    <cellStyle name="Input 2 5 3 5 4" xfId="18817"/>
    <cellStyle name="Input 2 5 3 6" xfId="18818"/>
    <cellStyle name="Input 2 5 3 6 2" xfId="18819"/>
    <cellStyle name="Input 2 5 3 6 3" xfId="18820"/>
    <cellStyle name="Input 2 5 3 6 4" xfId="18821"/>
    <cellStyle name="Input 2 5 3 7" xfId="18822"/>
    <cellStyle name="Input 2 5 3 7 2" xfId="18823"/>
    <cellStyle name="Input 2 5 3 7 3" xfId="18824"/>
    <cellStyle name="Input 2 5 3 7 4" xfId="18825"/>
    <cellStyle name="Input 2 5 3 8" xfId="18826"/>
    <cellStyle name="Input 2 5 3 9" xfId="18827"/>
    <cellStyle name="Input 2 5 30" xfId="53828"/>
    <cellStyle name="Input 2 5 31" xfId="53829"/>
    <cellStyle name="Input 2 5 32" xfId="53830"/>
    <cellStyle name="Input 2 5 33" xfId="53831"/>
    <cellStyle name="Input 2 5 34" xfId="53832"/>
    <cellStyle name="Input 2 5 35" xfId="53833"/>
    <cellStyle name="Input 2 5 36" xfId="53834"/>
    <cellStyle name="Input 2 5 37" xfId="53835"/>
    <cellStyle name="Input 2 5 38" xfId="53836"/>
    <cellStyle name="Input 2 5 39" xfId="53837"/>
    <cellStyle name="Input 2 5 4" xfId="18828"/>
    <cellStyle name="Input 2 5 4 2" xfId="18829"/>
    <cellStyle name="Input 2 5 4 2 2" xfId="18830"/>
    <cellStyle name="Input 2 5 4 2 2 2" xfId="18831"/>
    <cellStyle name="Input 2 5 4 2 2 3" xfId="18832"/>
    <cellStyle name="Input 2 5 4 2 2 4" xfId="18833"/>
    <cellStyle name="Input 2 5 4 2 3" xfId="18834"/>
    <cellStyle name="Input 2 5 4 2 4" xfId="18835"/>
    <cellStyle name="Input 2 5 4 2 5" xfId="18836"/>
    <cellStyle name="Input 2 5 4 2 6" xfId="18837"/>
    <cellStyle name="Input 2 5 4 3" xfId="18838"/>
    <cellStyle name="Input 2 5 4 3 2" xfId="18839"/>
    <cellStyle name="Input 2 5 4 3 3" xfId="18840"/>
    <cellStyle name="Input 2 5 4 3 4" xfId="18841"/>
    <cellStyle name="Input 2 5 4 4" xfId="18842"/>
    <cellStyle name="Input 2 5 4 5" xfId="18843"/>
    <cellStyle name="Input 2 5 4 6" xfId="18844"/>
    <cellStyle name="Input 2 5 4 7" xfId="18845"/>
    <cellStyle name="Input 2 5 40" xfId="53838"/>
    <cellStyle name="Input 2 5 5" xfId="18846"/>
    <cellStyle name="Input 2 5 5 2" xfId="18847"/>
    <cellStyle name="Input 2 5 5 2 2" xfId="18848"/>
    <cellStyle name="Input 2 5 5 2 3" xfId="18849"/>
    <cellStyle name="Input 2 5 5 2 4" xfId="18850"/>
    <cellStyle name="Input 2 5 5 3" xfId="18851"/>
    <cellStyle name="Input 2 5 5 3 2" xfId="18852"/>
    <cellStyle name="Input 2 5 5 3 3" xfId="18853"/>
    <cellStyle name="Input 2 5 5 3 4" xfId="18854"/>
    <cellStyle name="Input 2 5 5 4" xfId="18855"/>
    <cellStyle name="Input 2 5 5 5" xfId="18856"/>
    <cellStyle name="Input 2 5 5 6" xfId="18857"/>
    <cellStyle name="Input 2 5 5 7" xfId="18858"/>
    <cellStyle name="Input 2 5 6" xfId="18859"/>
    <cellStyle name="Input 2 5 6 2" xfId="18860"/>
    <cellStyle name="Input 2 5 6 2 2" xfId="18861"/>
    <cellStyle name="Input 2 5 6 2 3" xfId="18862"/>
    <cellStyle name="Input 2 5 6 2 4" xfId="18863"/>
    <cellStyle name="Input 2 5 6 3" xfId="18864"/>
    <cellStyle name="Input 2 5 6 3 2" xfId="18865"/>
    <cellStyle name="Input 2 5 6 3 3" xfId="18866"/>
    <cellStyle name="Input 2 5 6 3 4" xfId="18867"/>
    <cellStyle name="Input 2 5 6 4" xfId="18868"/>
    <cellStyle name="Input 2 5 6 5" xfId="18869"/>
    <cellStyle name="Input 2 5 6 6" xfId="18870"/>
    <cellStyle name="Input 2 5 6 7" xfId="18871"/>
    <cellStyle name="Input 2 5 7" xfId="18872"/>
    <cellStyle name="Input 2 5 7 2" xfId="18873"/>
    <cellStyle name="Input 2 5 7 2 2" xfId="18874"/>
    <cellStyle name="Input 2 5 7 2 3" xfId="18875"/>
    <cellStyle name="Input 2 5 7 2 4" xfId="18876"/>
    <cellStyle name="Input 2 5 7 3" xfId="18877"/>
    <cellStyle name="Input 2 5 7 3 2" xfId="18878"/>
    <cellStyle name="Input 2 5 7 3 3" xfId="18879"/>
    <cellStyle name="Input 2 5 7 3 4" xfId="18880"/>
    <cellStyle name="Input 2 5 7 4" xfId="18881"/>
    <cellStyle name="Input 2 5 7 5" xfId="18882"/>
    <cellStyle name="Input 2 5 7 6" xfId="18883"/>
    <cellStyle name="Input 2 5 7 7" xfId="18884"/>
    <cellStyle name="Input 2 5 8" xfId="18885"/>
    <cellStyle name="Input 2 5 8 2" xfId="18886"/>
    <cellStyle name="Input 2 5 8 2 2" xfId="18887"/>
    <cellStyle name="Input 2 5 8 2 3" xfId="18888"/>
    <cellStyle name="Input 2 5 8 2 4" xfId="18889"/>
    <cellStyle name="Input 2 5 8 3" xfId="18890"/>
    <cellStyle name="Input 2 5 8 4" xfId="18891"/>
    <cellStyle name="Input 2 5 8 5" xfId="18892"/>
    <cellStyle name="Input 2 5 8 6" xfId="18893"/>
    <cellStyle name="Input 2 5 9" xfId="18894"/>
    <cellStyle name="Input 2 5 9 2" xfId="18895"/>
    <cellStyle name="Input 2 5 9 3" xfId="18896"/>
    <cellStyle name="Input 2 5 9 4" xfId="18897"/>
    <cellStyle name="Input 2 5 9 5" xfId="18898"/>
    <cellStyle name="Input 2 50" xfId="53839"/>
    <cellStyle name="Input 2 51" xfId="53840"/>
    <cellStyle name="Input 2 52" xfId="53841"/>
    <cellStyle name="Input 2 53" xfId="53842"/>
    <cellStyle name="Input 2 54" xfId="53843"/>
    <cellStyle name="Input 2 55" xfId="53844"/>
    <cellStyle name="Input 2 56" xfId="53845"/>
    <cellStyle name="Input 2 57" xfId="53846"/>
    <cellStyle name="Input 2 58" xfId="53847"/>
    <cellStyle name="Input 2 59" xfId="53848"/>
    <cellStyle name="Input 2 6" xfId="617"/>
    <cellStyle name="Input 2 6 10" xfId="18899"/>
    <cellStyle name="Input 2 6 10 2" xfId="18900"/>
    <cellStyle name="Input 2 6 10 3" xfId="18901"/>
    <cellStyle name="Input 2 6 10 4" xfId="18902"/>
    <cellStyle name="Input 2 6 11" xfId="18903"/>
    <cellStyle name="Input 2 6 11 2" xfId="18904"/>
    <cellStyle name="Input 2 6 11 3" xfId="18905"/>
    <cellStyle name="Input 2 6 11 4" xfId="18906"/>
    <cellStyle name="Input 2 6 12" xfId="18907"/>
    <cellStyle name="Input 2 6 12 2" xfId="18908"/>
    <cellStyle name="Input 2 6 12 3" xfId="18909"/>
    <cellStyle name="Input 2 6 12 4" xfId="18910"/>
    <cellStyle name="Input 2 6 13" xfId="18911"/>
    <cellStyle name="Input 2 6 14" xfId="18912"/>
    <cellStyle name="Input 2 6 15" xfId="18913"/>
    <cellStyle name="Input 2 6 16" xfId="18914"/>
    <cellStyle name="Input 2 6 17" xfId="18915"/>
    <cellStyle name="Input 2 6 18" xfId="18916"/>
    <cellStyle name="Input 2 6 19" xfId="18917"/>
    <cellStyle name="Input 2 6 2" xfId="618"/>
    <cellStyle name="Input 2 6 2 10" xfId="18918"/>
    <cellStyle name="Input 2 6 2 11" xfId="18919"/>
    <cellStyle name="Input 2 6 2 12" xfId="18920"/>
    <cellStyle name="Input 2 6 2 2" xfId="18921"/>
    <cellStyle name="Input 2 6 2 2 10" xfId="18922"/>
    <cellStyle name="Input 2 6 2 2 11" xfId="18923"/>
    <cellStyle name="Input 2 6 2 2 2" xfId="18924"/>
    <cellStyle name="Input 2 6 2 2 2 2" xfId="18925"/>
    <cellStyle name="Input 2 6 2 2 2 2 2" xfId="18926"/>
    <cellStyle name="Input 2 6 2 2 2 2 2 2" xfId="18927"/>
    <cellStyle name="Input 2 6 2 2 2 2 2 3" xfId="18928"/>
    <cellStyle name="Input 2 6 2 2 2 2 2 4" xfId="18929"/>
    <cellStyle name="Input 2 6 2 2 2 2 3" xfId="18930"/>
    <cellStyle name="Input 2 6 2 2 2 2 4" xfId="18931"/>
    <cellStyle name="Input 2 6 2 2 2 2 5" xfId="18932"/>
    <cellStyle name="Input 2 6 2 2 2 2 6" xfId="18933"/>
    <cellStyle name="Input 2 6 2 2 2 3" xfId="18934"/>
    <cellStyle name="Input 2 6 2 2 2 3 2" xfId="18935"/>
    <cellStyle name="Input 2 6 2 2 2 3 3" xfId="18936"/>
    <cellStyle name="Input 2 6 2 2 2 3 4" xfId="18937"/>
    <cellStyle name="Input 2 6 2 2 2 4" xfId="18938"/>
    <cellStyle name="Input 2 6 2 2 2 5" xfId="18939"/>
    <cellStyle name="Input 2 6 2 2 2 6" xfId="18940"/>
    <cellStyle name="Input 2 6 2 2 2 7" xfId="18941"/>
    <cellStyle name="Input 2 6 2 2 3" xfId="18942"/>
    <cellStyle name="Input 2 6 2 2 3 2" xfId="18943"/>
    <cellStyle name="Input 2 6 2 2 3 2 2" xfId="18944"/>
    <cellStyle name="Input 2 6 2 2 3 2 3" xfId="18945"/>
    <cellStyle name="Input 2 6 2 2 3 2 4" xfId="18946"/>
    <cellStyle name="Input 2 6 2 2 3 3" xfId="18947"/>
    <cellStyle name="Input 2 6 2 2 3 4" xfId="18948"/>
    <cellStyle name="Input 2 6 2 2 3 5" xfId="18949"/>
    <cellStyle name="Input 2 6 2 2 3 6" xfId="18950"/>
    <cellStyle name="Input 2 6 2 2 4" xfId="18951"/>
    <cellStyle name="Input 2 6 2 2 4 2" xfId="18952"/>
    <cellStyle name="Input 2 6 2 2 4 3" xfId="18953"/>
    <cellStyle name="Input 2 6 2 2 4 4" xfId="18954"/>
    <cellStyle name="Input 2 6 2 2 4 5" xfId="18955"/>
    <cellStyle name="Input 2 6 2 2 5" xfId="18956"/>
    <cellStyle name="Input 2 6 2 2 5 2" xfId="18957"/>
    <cellStyle name="Input 2 6 2 2 5 3" xfId="18958"/>
    <cellStyle name="Input 2 6 2 2 5 4" xfId="18959"/>
    <cellStyle name="Input 2 6 2 2 6" xfId="18960"/>
    <cellStyle name="Input 2 6 2 2 6 2" xfId="18961"/>
    <cellStyle name="Input 2 6 2 2 6 3" xfId="18962"/>
    <cellStyle name="Input 2 6 2 2 6 4" xfId="18963"/>
    <cellStyle name="Input 2 6 2 2 7" xfId="18964"/>
    <cellStyle name="Input 2 6 2 2 7 2" xfId="18965"/>
    <cellStyle name="Input 2 6 2 2 7 3" xfId="18966"/>
    <cellStyle name="Input 2 6 2 2 7 4" xfId="18967"/>
    <cellStyle name="Input 2 6 2 2 8" xfId="18968"/>
    <cellStyle name="Input 2 6 2 2 9" xfId="18969"/>
    <cellStyle name="Input 2 6 2 3" xfId="18970"/>
    <cellStyle name="Input 2 6 2 3 2" xfId="18971"/>
    <cellStyle name="Input 2 6 2 3 2 2" xfId="18972"/>
    <cellStyle name="Input 2 6 2 3 2 2 2" xfId="18973"/>
    <cellStyle name="Input 2 6 2 3 2 2 3" xfId="18974"/>
    <cellStyle name="Input 2 6 2 3 2 2 4" xfId="18975"/>
    <cellStyle name="Input 2 6 2 3 2 3" xfId="18976"/>
    <cellStyle name="Input 2 6 2 3 2 4" xfId="18977"/>
    <cellStyle name="Input 2 6 2 3 2 5" xfId="18978"/>
    <cellStyle name="Input 2 6 2 3 2 6" xfId="18979"/>
    <cellStyle name="Input 2 6 2 3 3" xfId="18980"/>
    <cellStyle name="Input 2 6 2 3 3 2" xfId="18981"/>
    <cellStyle name="Input 2 6 2 3 3 3" xfId="18982"/>
    <cellStyle name="Input 2 6 2 3 3 4" xfId="18983"/>
    <cellStyle name="Input 2 6 2 3 4" xfId="18984"/>
    <cellStyle name="Input 2 6 2 3 5" xfId="18985"/>
    <cellStyle name="Input 2 6 2 3 6" xfId="18986"/>
    <cellStyle name="Input 2 6 2 3 7" xfId="18987"/>
    <cellStyle name="Input 2 6 2 4" xfId="18988"/>
    <cellStyle name="Input 2 6 2 4 2" xfId="18989"/>
    <cellStyle name="Input 2 6 2 4 2 2" xfId="18990"/>
    <cellStyle name="Input 2 6 2 4 2 3" xfId="18991"/>
    <cellStyle name="Input 2 6 2 4 2 4" xfId="18992"/>
    <cellStyle name="Input 2 6 2 4 3" xfId="18993"/>
    <cellStyle name="Input 2 6 2 4 4" xfId="18994"/>
    <cellStyle name="Input 2 6 2 4 5" xfId="18995"/>
    <cellStyle name="Input 2 6 2 4 6" xfId="18996"/>
    <cellStyle name="Input 2 6 2 5" xfId="18997"/>
    <cellStyle name="Input 2 6 2 5 2" xfId="18998"/>
    <cellStyle name="Input 2 6 2 5 3" xfId="18999"/>
    <cellStyle name="Input 2 6 2 5 4" xfId="19000"/>
    <cellStyle name="Input 2 6 2 5 5" xfId="19001"/>
    <cellStyle name="Input 2 6 2 6" xfId="19002"/>
    <cellStyle name="Input 2 6 2 6 2" xfId="19003"/>
    <cellStyle name="Input 2 6 2 6 3" xfId="19004"/>
    <cellStyle name="Input 2 6 2 6 4" xfId="19005"/>
    <cellStyle name="Input 2 6 2 7" xfId="19006"/>
    <cellStyle name="Input 2 6 2 7 2" xfId="19007"/>
    <cellStyle name="Input 2 6 2 7 3" xfId="19008"/>
    <cellStyle name="Input 2 6 2 7 4" xfId="19009"/>
    <cellStyle name="Input 2 6 2 8" xfId="19010"/>
    <cellStyle name="Input 2 6 2 8 2" xfId="19011"/>
    <cellStyle name="Input 2 6 2 8 3" xfId="19012"/>
    <cellStyle name="Input 2 6 2 8 4" xfId="19013"/>
    <cellStyle name="Input 2 6 2 9" xfId="19014"/>
    <cellStyle name="Input 2 6 20" xfId="19015"/>
    <cellStyle name="Input 2 6 21" xfId="19016"/>
    <cellStyle name="Input 2 6 22" xfId="19017"/>
    <cellStyle name="Input 2 6 23" xfId="19018"/>
    <cellStyle name="Input 2 6 24" xfId="19019"/>
    <cellStyle name="Input 2 6 25" xfId="19020"/>
    <cellStyle name="Input 2 6 26" xfId="19021"/>
    <cellStyle name="Input 2 6 27" xfId="19022"/>
    <cellStyle name="Input 2 6 28" xfId="19023"/>
    <cellStyle name="Input 2 6 29" xfId="53849"/>
    <cellStyle name="Input 2 6 3" xfId="19024"/>
    <cellStyle name="Input 2 6 3 10" xfId="19025"/>
    <cellStyle name="Input 2 6 3 11" xfId="19026"/>
    <cellStyle name="Input 2 6 3 2" xfId="19027"/>
    <cellStyle name="Input 2 6 3 2 2" xfId="19028"/>
    <cellStyle name="Input 2 6 3 2 2 2" xfId="19029"/>
    <cellStyle name="Input 2 6 3 2 2 2 2" xfId="19030"/>
    <cellStyle name="Input 2 6 3 2 2 2 3" xfId="19031"/>
    <cellStyle name="Input 2 6 3 2 2 2 4" xfId="19032"/>
    <cellStyle name="Input 2 6 3 2 2 3" xfId="19033"/>
    <cellStyle name="Input 2 6 3 2 2 4" xfId="19034"/>
    <cellStyle name="Input 2 6 3 2 2 5" xfId="19035"/>
    <cellStyle name="Input 2 6 3 2 2 6" xfId="19036"/>
    <cellStyle name="Input 2 6 3 2 3" xfId="19037"/>
    <cellStyle name="Input 2 6 3 2 3 2" xfId="19038"/>
    <cellStyle name="Input 2 6 3 2 3 3" xfId="19039"/>
    <cellStyle name="Input 2 6 3 2 3 4" xfId="19040"/>
    <cellStyle name="Input 2 6 3 2 4" xfId="19041"/>
    <cellStyle name="Input 2 6 3 2 5" xfId="19042"/>
    <cellStyle name="Input 2 6 3 2 6" xfId="19043"/>
    <cellStyle name="Input 2 6 3 2 7" xfId="19044"/>
    <cellStyle name="Input 2 6 3 3" xfId="19045"/>
    <cellStyle name="Input 2 6 3 3 2" xfId="19046"/>
    <cellStyle name="Input 2 6 3 3 2 2" xfId="19047"/>
    <cellStyle name="Input 2 6 3 3 2 3" xfId="19048"/>
    <cellStyle name="Input 2 6 3 3 2 4" xfId="19049"/>
    <cellStyle name="Input 2 6 3 3 3" xfId="19050"/>
    <cellStyle name="Input 2 6 3 3 4" xfId="19051"/>
    <cellStyle name="Input 2 6 3 3 5" xfId="19052"/>
    <cellStyle name="Input 2 6 3 3 6" xfId="19053"/>
    <cellStyle name="Input 2 6 3 4" xfId="19054"/>
    <cellStyle name="Input 2 6 3 4 2" xfId="19055"/>
    <cellStyle name="Input 2 6 3 4 3" xfId="19056"/>
    <cellStyle name="Input 2 6 3 4 4" xfId="19057"/>
    <cellStyle name="Input 2 6 3 4 5" xfId="19058"/>
    <cellStyle name="Input 2 6 3 5" xfId="19059"/>
    <cellStyle name="Input 2 6 3 5 2" xfId="19060"/>
    <cellStyle name="Input 2 6 3 5 3" xfId="19061"/>
    <cellStyle name="Input 2 6 3 5 4" xfId="19062"/>
    <cellStyle name="Input 2 6 3 6" xfId="19063"/>
    <cellStyle name="Input 2 6 3 6 2" xfId="19064"/>
    <cellStyle name="Input 2 6 3 6 3" xfId="19065"/>
    <cellStyle name="Input 2 6 3 6 4" xfId="19066"/>
    <cellStyle name="Input 2 6 3 7" xfId="19067"/>
    <cellStyle name="Input 2 6 3 7 2" xfId="19068"/>
    <cellStyle name="Input 2 6 3 7 3" xfId="19069"/>
    <cellStyle name="Input 2 6 3 7 4" xfId="19070"/>
    <cellStyle name="Input 2 6 3 8" xfId="19071"/>
    <cellStyle name="Input 2 6 3 9" xfId="19072"/>
    <cellStyle name="Input 2 6 30" xfId="53850"/>
    <cellStyle name="Input 2 6 31" xfId="53851"/>
    <cellStyle name="Input 2 6 32" xfId="53852"/>
    <cellStyle name="Input 2 6 33" xfId="53853"/>
    <cellStyle name="Input 2 6 34" xfId="53854"/>
    <cellStyle name="Input 2 6 35" xfId="53855"/>
    <cellStyle name="Input 2 6 36" xfId="53856"/>
    <cellStyle name="Input 2 6 37" xfId="53857"/>
    <cellStyle name="Input 2 6 38" xfId="53858"/>
    <cellStyle name="Input 2 6 39" xfId="53859"/>
    <cellStyle name="Input 2 6 4" xfId="19073"/>
    <cellStyle name="Input 2 6 4 2" xfId="19074"/>
    <cellStyle name="Input 2 6 4 2 2" xfId="19075"/>
    <cellStyle name="Input 2 6 4 2 2 2" xfId="19076"/>
    <cellStyle name="Input 2 6 4 2 2 3" xfId="19077"/>
    <cellStyle name="Input 2 6 4 2 2 4" xfId="19078"/>
    <cellStyle name="Input 2 6 4 2 3" xfId="19079"/>
    <cellStyle name="Input 2 6 4 2 4" xfId="19080"/>
    <cellStyle name="Input 2 6 4 2 5" xfId="19081"/>
    <cellStyle name="Input 2 6 4 2 6" xfId="19082"/>
    <cellStyle name="Input 2 6 4 3" xfId="19083"/>
    <cellStyle name="Input 2 6 4 3 2" xfId="19084"/>
    <cellStyle name="Input 2 6 4 3 3" xfId="19085"/>
    <cellStyle name="Input 2 6 4 3 4" xfId="19086"/>
    <cellStyle name="Input 2 6 4 4" xfId="19087"/>
    <cellStyle name="Input 2 6 4 5" xfId="19088"/>
    <cellStyle name="Input 2 6 4 6" xfId="19089"/>
    <cellStyle name="Input 2 6 4 7" xfId="19090"/>
    <cellStyle name="Input 2 6 40" xfId="53860"/>
    <cellStyle name="Input 2 6 5" xfId="19091"/>
    <cellStyle name="Input 2 6 5 2" xfId="19092"/>
    <cellStyle name="Input 2 6 5 2 2" xfId="19093"/>
    <cellStyle name="Input 2 6 5 2 3" xfId="19094"/>
    <cellStyle name="Input 2 6 5 2 4" xfId="19095"/>
    <cellStyle name="Input 2 6 5 3" xfId="19096"/>
    <cellStyle name="Input 2 6 5 3 2" xfId="19097"/>
    <cellStyle name="Input 2 6 5 3 3" xfId="19098"/>
    <cellStyle name="Input 2 6 5 3 4" xfId="19099"/>
    <cellStyle name="Input 2 6 5 4" xfId="19100"/>
    <cellStyle name="Input 2 6 5 5" xfId="19101"/>
    <cellStyle name="Input 2 6 5 6" xfId="19102"/>
    <cellStyle name="Input 2 6 5 7" xfId="19103"/>
    <cellStyle name="Input 2 6 6" xfId="19104"/>
    <cellStyle name="Input 2 6 6 2" xfId="19105"/>
    <cellStyle name="Input 2 6 6 2 2" xfId="19106"/>
    <cellStyle name="Input 2 6 6 2 3" xfId="19107"/>
    <cellStyle name="Input 2 6 6 2 4" xfId="19108"/>
    <cellStyle name="Input 2 6 6 3" xfId="19109"/>
    <cellStyle name="Input 2 6 6 3 2" xfId="19110"/>
    <cellStyle name="Input 2 6 6 3 3" xfId="19111"/>
    <cellStyle name="Input 2 6 6 3 4" xfId="19112"/>
    <cellStyle name="Input 2 6 6 4" xfId="19113"/>
    <cellStyle name="Input 2 6 6 5" xfId="19114"/>
    <cellStyle name="Input 2 6 6 6" xfId="19115"/>
    <cellStyle name="Input 2 6 6 7" xfId="19116"/>
    <cellStyle name="Input 2 6 7" xfId="19117"/>
    <cellStyle name="Input 2 6 7 2" xfId="19118"/>
    <cellStyle name="Input 2 6 7 2 2" xfId="19119"/>
    <cellStyle name="Input 2 6 7 2 3" xfId="19120"/>
    <cellStyle name="Input 2 6 7 2 4" xfId="19121"/>
    <cellStyle name="Input 2 6 7 3" xfId="19122"/>
    <cellStyle name="Input 2 6 7 3 2" xfId="19123"/>
    <cellStyle name="Input 2 6 7 3 3" xfId="19124"/>
    <cellStyle name="Input 2 6 7 3 4" xfId="19125"/>
    <cellStyle name="Input 2 6 7 4" xfId="19126"/>
    <cellStyle name="Input 2 6 7 5" xfId="19127"/>
    <cellStyle name="Input 2 6 7 6" xfId="19128"/>
    <cellStyle name="Input 2 6 7 7" xfId="19129"/>
    <cellStyle name="Input 2 6 8" xfId="19130"/>
    <cellStyle name="Input 2 6 8 2" xfId="19131"/>
    <cellStyle name="Input 2 6 8 2 2" xfId="19132"/>
    <cellStyle name="Input 2 6 8 2 3" xfId="19133"/>
    <cellStyle name="Input 2 6 8 2 4" xfId="19134"/>
    <cellStyle name="Input 2 6 8 3" xfId="19135"/>
    <cellStyle name="Input 2 6 8 4" xfId="19136"/>
    <cellStyle name="Input 2 6 8 5" xfId="19137"/>
    <cellStyle name="Input 2 6 8 6" xfId="19138"/>
    <cellStyle name="Input 2 6 9" xfId="19139"/>
    <cellStyle name="Input 2 6 9 2" xfId="19140"/>
    <cellStyle name="Input 2 6 9 3" xfId="19141"/>
    <cellStyle name="Input 2 6 9 4" xfId="19142"/>
    <cellStyle name="Input 2 6 9 5" xfId="19143"/>
    <cellStyle name="Input 2 60" xfId="53861"/>
    <cellStyle name="Input 2 61" xfId="53862"/>
    <cellStyle name="Input 2 62" xfId="53863"/>
    <cellStyle name="Input 2 7" xfId="619"/>
    <cellStyle name="Input 2 7 10" xfId="19144"/>
    <cellStyle name="Input 2 7 10 2" xfId="19145"/>
    <cellStyle name="Input 2 7 10 3" xfId="19146"/>
    <cellStyle name="Input 2 7 10 4" xfId="19147"/>
    <cellStyle name="Input 2 7 11" xfId="19148"/>
    <cellStyle name="Input 2 7 11 2" xfId="19149"/>
    <cellStyle name="Input 2 7 11 3" xfId="19150"/>
    <cellStyle name="Input 2 7 11 4" xfId="19151"/>
    <cellStyle name="Input 2 7 12" xfId="19152"/>
    <cellStyle name="Input 2 7 12 2" xfId="19153"/>
    <cellStyle name="Input 2 7 12 3" xfId="19154"/>
    <cellStyle name="Input 2 7 12 4" xfId="19155"/>
    <cellStyle name="Input 2 7 13" xfId="19156"/>
    <cellStyle name="Input 2 7 13 2" xfId="19157"/>
    <cellStyle name="Input 2 7 13 3" xfId="19158"/>
    <cellStyle name="Input 2 7 13 4" xfId="19159"/>
    <cellStyle name="Input 2 7 14" xfId="19160"/>
    <cellStyle name="Input 2 7 15" xfId="19161"/>
    <cellStyle name="Input 2 7 16" xfId="19162"/>
    <cellStyle name="Input 2 7 17" xfId="19163"/>
    <cellStyle name="Input 2 7 18" xfId="19164"/>
    <cellStyle name="Input 2 7 19" xfId="19165"/>
    <cellStyle name="Input 2 7 2" xfId="620"/>
    <cellStyle name="Input 2 7 2 10" xfId="19166"/>
    <cellStyle name="Input 2 7 2 11" xfId="19167"/>
    <cellStyle name="Input 2 7 2 12" xfId="19168"/>
    <cellStyle name="Input 2 7 2 2" xfId="19169"/>
    <cellStyle name="Input 2 7 2 2 10" xfId="19170"/>
    <cellStyle name="Input 2 7 2 2 11" xfId="19171"/>
    <cellStyle name="Input 2 7 2 2 2" xfId="19172"/>
    <cellStyle name="Input 2 7 2 2 2 2" xfId="19173"/>
    <cellStyle name="Input 2 7 2 2 2 2 2" xfId="19174"/>
    <cellStyle name="Input 2 7 2 2 2 2 2 2" xfId="19175"/>
    <cellStyle name="Input 2 7 2 2 2 2 2 3" xfId="19176"/>
    <cellStyle name="Input 2 7 2 2 2 2 2 4" xfId="19177"/>
    <cellStyle name="Input 2 7 2 2 2 2 3" xfId="19178"/>
    <cellStyle name="Input 2 7 2 2 2 2 4" xfId="19179"/>
    <cellStyle name="Input 2 7 2 2 2 2 5" xfId="19180"/>
    <cellStyle name="Input 2 7 2 2 2 2 6" xfId="19181"/>
    <cellStyle name="Input 2 7 2 2 2 3" xfId="19182"/>
    <cellStyle name="Input 2 7 2 2 2 3 2" xfId="19183"/>
    <cellStyle name="Input 2 7 2 2 2 3 3" xfId="19184"/>
    <cellStyle name="Input 2 7 2 2 2 3 4" xfId="19185"/>
    <cellStyle name="Input 2 7 2 2 2 4" xfId="19186"/>
    <cellStyle name="Input 2 7 2 2 2 5" xfId="19187"/>
    <cellStyle name="Input 2 7 2 2 2 6" xfId="19188"/>
    <cellStyle name="Input 2 7 2 2 2 7" xfId="19189"/>
    <cellStyle name="Input 2 7 2 2 3" xfId="19190"/>
    <cellStyle name="Input 2 7 2 2 3 2" xfId="19191"/>
    <cellStyle name="Input 2 7 2 2 3 2 2" xfId="19192"/>
    <cellStyle name="Input 2 7 2 2 3 2 3" xfId="19193"/>
    <cellStyle name="Input 2 7 2 2 3 2 4" xfId="19194"/>
    <cellStyle name="Input 2 7 2 2 3 3" xfId="19195"/>
    <cellStyle name="Input 2 7 2 2 3 4" xfId="19196"/>
    <cellStyle name="Input 2 7 2 2 3 5" xfId="19197"/>
    <cellStyle name="Input 2 7 2 2 3 6" xfId="19198"/>
    <cellStyle name="Input 2 7 2 2 4" xfId="19199"/>
    <cellStyle name="Input 2 7 2 2 4 2" xfId="19200"/>
    <cellStyle name="Input 2 7 2 2 4 3" xfId="19201"/>
    <cellStyle name="Input 2 7 2 2 4 4" xfId="19202"/>
    <cellStyle name="Input 2 7 2 2 4 5" xfId="19203"/>
    <cellStyle name="Input 2 7 2 2 5" xfId="19204"/>
    <cellStyle name="Input 2 7 2 2 5 2" xfId="19205"/>
    <cellStyle name="Input 2 7 2 2 5 3" xfId="19206"/>
    <cellStyle name="Input 2 7 2 2 5 4" xfId="19207"/>
    <cellStyle name="Input 2 7 2 2 6" xfId="19208"/>
    <cellStyle name="Input 2 7 2 2 6 2" xfId="19209"/>
    <cellStyle name="Input 2 7 2 2 6 3" xfId="19210"/>
    <cellStyle name="Input 2 7 2 2 6 4" xfId="19211"/>
    <cellStyle name="Input 2 7 2 2 7" xfId="19212"/>
    <cellStyle name="Input 2 7 2 2 7 2" xfId="19213"/>
    <cellStyle name="Input 2 7 2 2 7 3" xfId="19214"/>
    <cellStyle name="Input 2 7 2 2 7 4" xfId="19215"/>
    <cellStyle name="Input 2 7 2 2 8" xfId="19216"/>
    <cellStyle name="Input 2 7 2 2 9" xfId="19217"/>
    <cellStyle name="Input 2 7 2 3" xfId="19218"/>
    <cellStyle name="Input 2 7 2 3 2" xfId="19219"/>
    <cellStyle name="Input 2 7 2 3 2 2" xfId="19220"/>
    <cellStyle name="Input 2 7 2 3 2 2 2" xfId="19221"/>
    <cellStyle name="Input 2 7 2 3 2 2 3" xfId="19222"/>
    <cellStyle name="Input 2 7 2 3 2 2 4" xfId="19223"/>
    <cellStyle name="Input 2 7 2 3 2 3" xfId="19224"/>
    <cellStyle name="Input 2 7 2 3 2 4" xfId="19225"/>
    <cellStyle name="Input 2 7 2 3 2 5" xfId="19226"/>
    <cellStyle name="Input 2 7 2 3 2 6" xfId="19227"/>
    <cellStyle name="Input 2 7 2 3 3" xfId="19228"/>
    <cellStyle name="Input 2 7 2 3 3 2" xfId="19229"/>
    <cellStyle name="Input 2 7 2 3 3 3" xfId="19230"/>
    <cellStyle name="Input 2 7 2 3 3 4" xfId="19231"/>
    <cellStyle name="Input 2 7 2 3 4" xfId="19232"/>
    <cellStyle name="Input 2 7 2 3 5" xfId="19233"/>
    <cellStyle name="Input 2 7 2 3 6" xfId="19234"/>
    <cellStyle name="Input 2 7 2 3 7" xfId="19235"/>
    <cellStyle name="Input 2 7 2 4" xfId="19236"/>
    <cellStyle name="Input 2 7 2 4 2" xfId="19237"/>
    <cellStyle name="Input 2 7 2 4 2 2" xfId="19238"/>
    <cellStyle name="Input 2 7 2 4 2 3" xfId="19239"/>
    <cellStyle name="Input 2 7 2 4 2 4" xfId="19240"/>
    <cellStyle name="Input 2 7 2 4 3" xfId="19241"/>
    <cellStyle name="Input 2 7 2 4 4" xfId="19242"/>
    <cellStyle name="Input 2 7 2 4 5" xfId="19243"/>
    <cellStyle name="Input 2 7 2 4 6" xfId="19244"/>
    <cellStyle name="Input 2 7 2 5" xfId="19245"/>
    <cellStyle name="Input 2 7 2 5 2" xfId="19246"/>
    <cellStyle name="Input 2 7 2 5 3" xfId="19247"/>
    <cellStyle name="Input 2 7 2 5 4" xfId="19248"/>
    <cellStyle name="Input 2 7 2 5 5" xfId="19249"/>
    <cellStyle name="Input 2 7 2 6" xfId="19250"/>
    <cellStyle name="Input 2 7 2 6 2" xfId="19251"/>
    <cellStyle name="Input 2 7 2 6 3" xfId="19252"/>
    <cellStyle name="Input 2 7 2 6 4" xfId="19253"/>
    <cellStyle name="Input 2 7 2 7" xfId="19254"/>
    <cellStyle name="Input 2 7 2 7 2" xfId="19255"/>
    <cellStyle name="Input 2 7 2 7 3" xfId="19256"/>
    <cellStyle name="Input 2 7 2 7 4" xfId="19257"/>
    <cellStyle name="Input 2 7 2 8" xfId="19258"/>
    <cellStyle name="Input 2 7 2 8 2" xfId="19259"/>
    <cellStyle name="Input 2 7 2 8 3" xfId="19260"/>
    <cellStyle name="Input 2 7 2 8 4" xfId="19261"/>
    <cellStyle name="Input 2 7 2 9" xfId="19262"/>
    <cellStyle name="Input 2 7 20" xfId="19263"/>
    <cellStyle name="Input 2 7 21" xfId="19264"/>
    <cellStyle name="Input 2 7 22" xfId="19265"/>
    <cellStyle name="Input 2 7 23" xfId="19266"/>
    <cellStyle name="Input 2 7 24" xfId="19267"/>
    <cellStyle name="Input 2 7 25" xfId="19268"/>
    <cellStyle name="Input 2 7 26" xfId="19269"/>
    <cellStyle name="Input 2 7 27" xfId="19270"/>
    <cellStyle name="Input 2 7 28" xfId="19271"/>
    <cellStyle name="Input 2 7 29" xfId="19272"/>
    <cellStyle name="Input 2 7 3" xfId="19273"/>
    <cellStyle name="Input 2 7 3 10" xfId="19274"/>
    <cellStyle name="Input 2 7 3 11" xfId="19275"/>
    <cellStyle name="Input 2 7 3 2" xfId="19276"/>
    <cellStyle name="Input 2 7 3 2 2" xfId="19277"/>
    <cellStyle name="Input 2 7 3 2 2 2" xfId="19278"/>
    <cellStyle name="Input 2 7 3 2 2 2 2" xfId="19279"/>
    <cellStyle name="Input 2 7 3 2 2 2 3" xfId="19280"/>
    <cellStyle name="Input 2 7 3 2 2 2 4" xfId="19281"/>
    <cellStyle name="Input 2 7 3 2 2 3" xfId="19282"/>
    <cellStyle name="Input 2 7 3 2 2 4" xfId="19283"/>
    <cellStyle name="Input 2 7 3 2 2 5" xfId="19284"/>
    <cellStyle name="Input 2 7 3 2 2 6" xfId="19285"/>
    <cellStyle name="Input 2 7 3 2 3" xfId="19286"/>
    <cellStyle name="Input 2 7 3 2 3 2" xfId="19287"/>
    <cellStyle name="Input 2 7 3 2 3 3" xfId="19288"/>
    <cellStyle name="Input 2 7 3 2 3 4" xfId="19289"/>
    <cellStyle name="Input 2 7 3 2 4" xfId="19290"/>
    <cellStyle name="Input 2 7 3 2 5" xfId="19291"/>
    <cellStyle name="Input 2 7 3 2 6" xfId="19292"/>
    <cellStyle name="Input 2 7 3 2 7" xfId="19293"/>
    <cellStyle name="Input 2 7 3 3" xfId="19294"/>
    <cellStyle name="Input 2 7 3 3 2" xfId="19295"/>
    <cellStyle name="Input 2 7 3 3 2 2" xfId="19296"/>
    <cellStyle name="Input 2 7 3 3 2 3" xfId="19297"/>
    <cellStyle name="Input 2 7 3 3 2 4" xfId="19298"/>
    <cellStyle name="Input 2 7 3 3 3" xfId="19299"/>
    <cellStyle name="Input 2 7 3 3 4" xfId="19300"/>
    <cellStyle name="Input 2 7 3 3 5" xfId="19301"/>
    <cellStyle name="Input 2 7 3 3 6" xfId="19302"/>
    <cellStyle name="Input 2 7 3 4" xfId="19303"/>
    <cellStyle name="Input 2 7 3 4 2" xfId="19304"/>
    <cellStyle name="Input 2 7 3 4 3" xfId="19305"/>
    <cellStyle name="Input 2 7 3 4 4" xfId="19306"/>
    <cellStyle name="Input 2 7 3 4 5" xfId="19307"/>
    <cellStyle name="Input 2 7 3 5" xfId="19308"/>
    <cellStyle name="Input 2 7 3 5 2" xfId="19309"/>
    <cellStyle name="Input 2 7 3 5 3" xfId="19310"/>
    <cellStyle name="Input 2 7 3 5 4" xfId="19311"/>
    <cellStyle name="Input 2 7 3 6" xfId="19312"/>
    <cellStyle name="Input 2 7 3 6 2" xfId="19313"/>
    <cellStyle name="Input 2 7 3 6 3" xfId="19314"/>
    <cellStyle name="Input 2 7 3 6 4" xfId="19315"/>
    <cellStyle name="Input 2 7 3 7" xfId="19316"/>
    <cellStyle name="Input 2 7 3 7 2" xfId="19317"/>
    <cellStyle name="Input 2 7 3 7 3" xfId="19318"/>
    <cellStyle name="Input 2 7 3 7 4" xfId="19319"/>
    <cellStyle name="Input 2 7 3 8" xfId="19320"/>
    <cellStyle name="Input 2 7 3 9" xfId="19321"/>
    <cellStyle name="Input 2 7 30" xfId="53864"/>
    <cellStyle name="Input 2 7 31" xfId="53865"/>
    <cellStyle name="Input 2 7 32" xfId="53866"/>
    <cellStyle name="Input 2 7 33" xfId="53867"/>
    <cellStyle name="Input 2 7 34" xfId="53868"/>
    <cellStyle name="Input 2 7 35" xfId="53869"/>
    <cellStyle name="Input 2 7 36" xfId="53870"/>
    <cellStyle name="Input 2 7 37" xfId="53871"/>
    <cellStyle name="Input 2 7 38" xfId="53872"/>
    <cellStyle name="Input 2 7 39" xfId="53873"/>
    <cellStyle name="Input 2 7 4" xfId="19322"/>
    <cellStyle name="Input 2 7 4 2" xfId="19323"/>
    <cellStyle name="Input 2 7 4 2 2" xfId="19324"/>
    <cellStyle name="Input 2 7 4 2 2 2" xfId="19325"/>
    <cellStyle name="Input 2 7 4 2 2 3" xfId="19326"/>
    <cellStyle name="Input 2 7 4 2 2 4" xfId="19327"/>
    <cellStyle name="Input 2 7 4 2 3" xfId="19328"/>
    <cellStyle name="Input 2 7 4 2 4" xfId="19329"/>
    <cellStyle name="Input 2 7 4 2 5" xfId="19330"/>
    <cellStyle name="Input 2 7 4 2 6" xfId="19331"/>
    <cellStyle name="Input 2 7 4 3" xfId="19332"/>
    <cellStyle name="Input 2 7 4 3 2" xfId="19333"/>
    <cellStyle name="Input 2 7 4 3 3" xfId="19334"/>
    <cellStyle name="Input 2 7 4 3 4" xfId="19335"/>
    <cellStyle name="Input 2 7 4 4" xfId="19336"/>
    <cellStyle name="Input 2 7 4 5" xfId="19337"/>
    <cellStyle name="Input 2 7 4 6" xfId="19338"/>
    <cellStyle name="Input 2 7 4 7" xfId="19339"/>
    <cellStyle name="Input 2 7 40" xfId="53874"/>
    <cellStyle name="Input 2 7 5" xfId="19340"/>
    <cellStyle name="Input 2 7 5 2" xfId="19341"/>
    <cellStyle name="Input 2 7 5 2 2" xfId="19342"/>
    <cellStyle name="Input 2 7 5 2 3" xfId="19343"/>
    <cellStyle name="Input 2 7 5 2 4" xfId="19344"/>
    <cellStyle name="Input 2 7 5 3" xfId="19345"/>
    <cellStyle name="Input 2 7 5 3 2" xfId="19346"/>
    <cellStyle name="Input 2 7 5 3 3" xfId="19347"/>
    <cellStyle name="Input 2 7 5 3 4" xfId="19348"/>
    <cellStyle name="Input 2 7 5 4" xfId="19349"/>
    <cellStyle name="Input 2 7 5 5" xfId="19350"/>
    <cellStyle name="Input 2 7 5 6" xfId="19351"/>
    <cellStyle name="Input 2 7 5 7" xfId="19352"/>
    <cellStyle name="Input 2 7 6" xfId="19353"/>
    <cellStyle name="Input 2 7 6 2" xfId="19354"/>
    <cellStyle name="Input 2 7 6 2 2" xfId="19355"/>
    <cellStyle name="Input 2 7 6 2 3" xfId="19356"/>
    <cellStyle name="Input 2 7 6 2 4" xfId="19357"/>
    <cellStyle name="Input 2 7 6 3" xfId="19358"/>
    <cellStyle name="Input 2 7 6 3 2" xfId="19359"/>
    <cellStyle name="Input 2 7 6 3 3" xfId="19360"/>
    <cellStyle name="Input 2 7 6 3 4" xfId="19361"/>
    <cellStyle name="Input 2 7 6 4" xfId="19362"/>
    <cellStyle name="Input 2 7 6 5" xfId="19363"/>
    <cellStyle name="Input 2 7 6 6" xfId="19364"/>
    <cellStyle name="Input 2 7 6 7" xfId="19365"/>
    <cellStyle name="Input 2 7 7" xfId="19366"/>
    <cellStyle name="Input 2 7 7 2" xfId="19367"/>
    <cellStyle name="Input 2 7 7 2 2" xfId="19368"/>
    <cellStyle name="Input 2 7 7 2 3" xfId="19369"/>
    <cellStyle name="Input 2 7 7 2 4" xfId="19370"/>
    <cellStyle name="Input 2 7 7 3" xfId="19371"/>
    <cellStyle name="Input 2 7 7 3 2" xfId="19372"/>
    <cellStyle name="Input 2 7 7 3 3" xfId="19373"/>
    <cellStyle name="Input 2 7 7 3 4" xfId="19374"/>
    <cellStyle name="Input 2 7 7 4" xfId="19375"/>
    <cellStyle name="Input 2 7 7 5" xfId="19376"/>
    <cellStyle name="Input 2 7 7 6" xfId="19377"/>
    <cellStyle name="Input 2 7 7 7" xfId="19378"/>
    <cellStyle name="Input 2 7 8" xfId="19379"/>
    <cellStyle name="Input 2 7 8 2" xfId="19380"/>
    <cellStyle name="Input 2 7 8 2 2" xfId="19381"/>
    <cellStyle name="Input 2 7 8 2 3" xfId="19382"/>
    <cellStyle name="Input 2 7 8 2 4" xfId="19383"/>
    <cellStyle name="Input 2 7 8 3" xfId="19384"/>
    <cellStyle name="Input 2 7 8 4" xfId="19385"/>
    <cellStyle name="Input 2 7 8 5" xfId="19386"/>
    <cellStyle name="Input 2 7 8 6" xfId="19387"/>
    <cellStyle name="Input 2 7 9" xfId="19388"/>
    <cellStyle name="Input 2 7 9 2" xfId="19389"/>
    <cellStyle name="Input 2 7 9 3" xfId="19390"/>
    <cellStyle name="Input 2 7 9 4" xfId="19391"/>
    <cellStyle name="Input 2 7 9 5" xfId="19392"/>
    <cellStyle name="Input 2 8" xfId="621"/>
    <cellStyle name="Input 2 8 10" xfId="19393"/>
    <cellStyle name="Input 2 8 10 2" xfId="19394"/>
    <cellStyle name="Input 2 8 10 3" xfId="19395"/>
    <cellStyle name="Input 2 8 10 4" xfId="19396"/>
    <cellStyle name="Input 2 8 11" xfId="19397"/>
    <cellStyle name="Input 2 8 12" xfId="19398"/>
    <cellStyle name="Input 2 8 13" xfId="19399"/>
    <cellStyle name="Input 2 8 14" xfId="19400"/>
    <cellStyle name="Input 2 8 15" xfId="19401"/>
    <cellStyle name="Input 2 8 16" xfId="19402"/>
    <cellStyle name="Input 2 8 17" xfId="19403"/>
    <cellStyle name="Input 2 8 18" xfId="19404"/>
    <cellStyle name="Input 2 8 19" xfId="19405"/>
    <cellStyle name="Input 2 8 2" xfId="622"/>
    <cellStyle name="Input 2 8 2 10" xfId="19406"/>
    <cellStyle name="Input 2 8 2 11" xfId="19407"/>
    <cellStyle name="Input 2 8 2 2" xfId="19408"/>
    <cellStyle name="Input 2 8 2 2 2" xfId="19409"/>
    <cellStyle name="Input 2 8 2 2 2 2" xfId="19410"/>
    <cellStyle name="Input 2 8 2 2 2 2 2" xfId="19411"/>
    <cellStyle name="Input 2 8 2 2 2 2 3" xfId="19412"/>
    <cellStyle name="Input 2 8 2 2 2 2 4" xfId="19413"/>
    <cellStyle name="Input 2 8 2 2 2 3" xfId="19414"/>
    <cellStyle name="Input 2 8 2 2 2 4" xfId="19415"/>
    <cellStyle name="Input 2 8 2 2 2 5" xfId="19416"/>
    <cellStyle name="Input 2 8 2 2 2 6" xfId="19417"/>
    <cellStyle name="Input 2 8 2 2 3" xfId="19418"/>
    <cellStyle name="Input 2 8 2 2 3 2" xfId="19419"/>
    <cellStyle name="Input 2 8 2 2 3 3" xfId="19420"/>
    <cellStyle name="Input 2 8 2 2 3 4" xfId="19421"/>
    <cellStyle name="Input 2 8 2 2 4" xfId="19422"/>
    <cellStyle name="Input 2 8 2 2 5" xfId="19423"/>
    <cellStyle name="Input 2 8 2 2 6" xfId="19424"/>
    <cellStyle name="Input 2 8 2 2 7" xfId="19425"/>
    <cellStyle name="Input 2 8 2 3" xfId="19426"/>
    <cellStyle name="Input 2 8 2 3 2" xfId="19427"/>
    <cellStyle name="Input 2 8 2 3 2 2" xfId="19428"/>
    <cellStyle name="Input 2 8 2 3 2 3" xfId="19429"/>
    <cellStyle name="Input 2 8 2 3 2 4" xfId="19430"/>
    <cellStyle name="Input 2 8 2 3 3" xfId="19431"/>
    <cellStyle name="Input 2 8 2 3 4" xfId="19432"/>
    <cellStyle name="Input 2 8 2 3 5" xfId="19433"/>
    <cellStyle name="Input 2 8 2 3 6" xfId="19434"/>
    <cellStyle name="Input 2 8 2 4" xfId="19435"/>
    <cellStyle name="Input 2 8 2 4 2" xfId="19436"/>
    <cellStyle name="Input 2 8 2 4 3" xfId="19437"/>
    <cellStyle name="Input 2 8 2 4 4" xfId="19438"/>
    <cellStyle name="Input 2 8 2 4 5" xfId="19439"/>
    <cellStyle name="Input 2 8 2 5" xfId="19440"/>
    <cellStyle name="Input 2 8 2 5 2" xfId="19441"/>
    <cellStyle name="Input 2 8 2 5 3" xfId="19442"/>
    <cellStyle name="Input 2 8 2 5 4" xfId="19443"/>
    <cellStyle name="Input 2 8 2 6" xfId="19444"/>
    <cellStyle name="Input 2 8 2 6 2" xfId="19445"/>
    <cellStyle name="Input 2 8 2 6 3" xfId="19446"/>
    <cellStyle name="Input 2 8 2 6 4" xfId="19447"/>
    <cellStyle name="Input 2 8 2 7" xfId="19448"/>
    <cellStyle name="Input 2 8 2 7 2" xfId="19449"/>
    <cellStyle name="Input 2 8 2 7 3" xfId="19450"/>
    <cellStyle name="Input 2 8 2 7 4" xfId="19451"/>
    <cellStyle name="Input 2 8 2 8" xfId="19452"/>
    <cellStyle name="Input 2 8 2 9" xfId="19453"/>
    <cellStyle name="Input 2 8 20" xfId="19454"/>
    <cellStyle name="Input 2 8 21" xfId="19455"/>
    <cellStyle name="Input 2 8 22" xfId="19456"/>
    <cellStyle name="Input 2 8 23" xfId="19457"/>
    <cellStyle name="Input 2 8 24" xfId="19458"/>
    <cellStyle name="Input 2 8 25" xfId="19459"/>
    <cellStyle name="Input 2 8 26" xfId="19460"/>
    <cellStyle name="Input 2 8 27" xfId="53875"/>
    <cellStyle name="Input 2 8 28" xfId="53876"/>
    <cellStyle name="Input 2 8 29" xfId="53877"/>
    <cellStyle name="Input 2 8 3" xfId="623"/>
    <cellStyle name="Input 2 8 3 10" xfId="19461"/>
    <cellStyle name="Input 2 8 3 11" xfId="19462"/>
    <cellStyle name="Input 2 8 3 2" xfId="19463"/>
    <cellStyle name="Input 2 8 3 2 2" xfId="19464"/>
    <cellStyle name="Input 2 8 3 2 2 2" xfId="19465"/>
    <cellStyle name="Input 2 8 3 2 2 3" xfId="19466"/>
    <cellStyle name="Input 2 8 3 2 2 4" xfId="19467"/>
    <cellStyle name="Input 2 8 3 2 3" xfId="19468"/>
    <cellStyle name="Input 2 8 3 2 3 2" xfId="19469"/>
    <cellStyle name="Input 2 8 3 2 3 3" xfId="19470"/>
    <cellStyle name="Input 2 8 3 2 3 4" xfId="19471"/>
    <cellStyle name="Input 2 8 3 2 4" xfId="19472"/>
    <cellStyle name="Input 2 8 3 2 5" xfId="19473"/>
    <cellStyle name="Input 2 8 3 2 6" xfId="19474"/>
    <cellStyle name="Input 2 8 3 2 7" xfId="19475"/>
    <cellStyle name="Input 2 8 3 3" xfId="19476"/>
    <cellStyle name="Input 2 8 3 3 2" xfId="19477"/>
    <cellStyle name="Input 2 8 3 3 2 2" xfId="19478"/>
    <cellStyle name="Input 2 8 3 3 2 3" xfId="19479"/>
    <cellStyle name="Input 2 8 3 3 2 4" xfId="19480"/>
    <cellStyle name="Input 2 8 3 3 3" xfId="19481"/>
    <cellStyle name="Input 2 8 3 3 4" xfId="19482"/>
    <cellStyle name="Input 2 8 3 3 5" xfId="19483"/>
    <cellStyle name="Input 2 8 3 3 6" xfId="19484"/>
    <cellStyle name="Input 2 8 3 4" xfId="19485"/>
    <cellStyle name="Input 2 8 3 4 2" xfId="19486"/>
    <cellStyle name="Input 2 8 3 4 3" xfId="19487"/>
    <cellStyle name="Input 2 8 3 4 4" xfId="19488"/>
    <cellStyle name="Input 2 8 3 4 5" xfId="19489"/>
    <cellStyle name="Input 2 8 3 5" xfId="19490"/>
    <cellStyle name="Input 2 8 3 5 2" xfId="19491"/>
    <cellStyle name="Input 2 8 3 5 3" xfId="19492"/>
    <cellStyle name="Input 2 8 3 5 4" xfId="19493"/>
    <cellStyle name="Input 2 8 3 6" xfId="19494"/>
    <cellStyle name="Input 2 8 3 6 2" xfId="19495"/>
    <cellStyle name="Input 2 8 3 6 3" xfId="19496"/>
    <cellStyle name="Input 2 8 3 6 4" xfId="19497"/>
    <cellStyle name="Input 2 8 3 7" xfId="19498"/>
    <cellStyle name="Input 2 8 3 7 2" xfId="19499"/>
    <cellStyle name="Input 2 8 3 7 3" xfId="19500"/>
    <cellStyle name="Input 2 8 3 7 4" xfId="19501"/>
    <cellStyle name="Input 2 8 3 8" xfId="19502"/>
    <cellStyle name="Input 2 8 3 9" xfId="19503"/>
    <cellStyle name="Input 2 8 30" xfId="53878"/>
    <cellStyle name="Input 2 8 31" xfId="53879"/>
    <cellStyle name="Input 2 8 32" xfId="53880"/>
    <cellStyle name="Input 2 8 33" xfId="53881"/>
    <cellStyle name="Input 2 8 34" xfId="53882"/>
    <cellStyle name="Input 2 8 35" xfId="53883"/>
    <cellStyle name="Input 2 8 36" xfId="53884"/>
    <cellStyle name="Input 2 8 37" xfId="53885"/>
    <cellStyle name="Input 2 8 38" xfId="53886"/>
    <cellStyle name="Input 2 8 39" xfId="53887"/>
    <cellStyle name="Input 2 8 4" xfId="19504"/>
    <cellStyle name="Input 2 8 4 2" xfId="19505"/>
    <cellStyle name="Input 2 8 4 2 2" xfId="19506"/>
    <cellStyle name="Input 2 8 4 2 2 2" xfId="19507"/>
    <cellStyle name="Input 2 8 4 2 2 3" xfId="19508"/>
    <cellStyle name="Input 2 8 4 2 2 4" xfId="19509"/>
    <cellStyle name="Input 2 8 4 2 3" xfId="19510"/>
    <cellStyle name="Input 2 8 4 2 4" xfId="19511"/>
    <cellStyle name="Input 2 8 4 2 5" xfId="19512"/>
    <cellStyle name="Input 2 8 4 2 6" xfId="19513"/>
    <cellStyle name="Input 2 8 4 3" xfId="19514"/>
    <cellStyle name="Input 2 8 4 3 2" xfId="19515"/>
    <cellStyle name="Input 2 8 4 3 3" xfId="19516"/>
    <cellStyle name="Input 2 8 4 3 4" xfId="19517"/>
    <cellStyle name="Input 2 8 4 4" xfId="19518"/>
    <cellStyle name="Input 2 8 4 5" xfId="19519"/>
    <cellStyle name="Input 2 8 4 6" xfId="19520"/>
    <cellStyle name="Input 2 8 4 7" xfId="19521"/>
    <cellStyle name="Input 2 8 40" xfId="53888"/>
    <cellStyle name="Input 2 8 5" xfId="19522"/>
    <cellStyle name="Input 2 8 5 2" xfId="19523"/>
    <cellStyle name="Input 2 8 5 2 2" xfId="19524"/>
    <cellStyle name="Input 2 8 5 2 3" xfId="19525"/>
    <cellStyle name="Input 2 8 5 2 4" xfId="19526"/>
    <cellStyle name="Input 2 8 5 3" xfId="19527"/>
    <cellStyle name="Input 2 8 5 4" xfId="19528"/>
    <cellStyle name="Input 2 8 5 5" xfId="19529"/>
    <cellStyle name="Input 2 8 5 6" xfId="19530"/>
    <cellStyle name="Input 2 8 6" xfId="19531"/>
    <cellStyle name="Input 2 8 6 2" xfId="19532"/>
    <cellStyle name="Input 2 8 6 3" xfId="19533"/>
    <cellStyle name="Input 2 8 6 4" xfId="19534"/>
    <cellStyle name="Input 2 8 6 5" xfId="19535"/>
    <cellStyle name="Input 2 8 7" xfId="19536"/>
    <cellStyle name="Input 2 8 7 2" xfId="19537"/>
    <cellStyle name="Input 2 8 7 3" xfId="19538"/>
    <cellStyle name="Input 2 8 7 4" xfId="19539"/>
    <cellStyle name="Input 2 8 8" xfId="19540"/>
    <cellStyle name="Input 2 8 8 2" xfId="19541"/>
    <cellStyle name="Input 2 8 8 3" xfId="19542"/>
    <cellStyle name="Input 2 8 8 4" xfId="19543"/>
    <cellStyle name="Input 2 8 9" xfId="19544"/>
    <cellStyle name="Input 2 8 9 2" xfId="19545"/>
    <cellStyle name="Input 2 8 9 3" xfId="19546"/>
    <cellStyle name="Input 2 8 9 4" xfId="19547"/>
    <cellStyle name="Input 2 9" xfId="624"/>
    <cellStyle name="Input 2 9 10" xfId="19548"/>
    <cellStyle name="Input 2 9 11" xfId="19549"/>
    <cellStyle name="Input 2 9 12" xfId="19550"/>
    <cellStyle name="Input 2 9 13" xfId="19551"/>
    <cellStyle name="Input 2 9 14" xfId="19552"/>
    <cellStyle name="Input 2 9 15" xfId="19553"/>
    <cellStyle name="Input 2 9 16" xfId="19554"/>
    <cellStyle name="Input 2 9 17" xfId="19555"/>
    <cellStyle name="Input 2 9 18" xfId="19556"/>
    <cellStyle name="Input 2 9 19" xfId="19557"/>
    <cellStyle name="Input 2 9 2" xfId="625"/>
    <cellStyle name="Input 2 9 2 10" xfId="19558"/>
    <cellStyle name="Input 2 9 2 11" xfId="19559"/>
    <cellStyle name="Input 2 9 2 2" xfId="19560"/>
    <cellStyle name="Input 2 9 2 2 2" xfId="19561"/>
    <cellStyle name="Input 2 9 2 2 2 2" xfId="19562"/>
    <cellStyle name="Input 2 9 2 2 2 2 2" xfId="19563"/>
    <cellStyle name="Input 2 9 2 2 2 2 3" xfId="19564"/>
    <cellStyle name="Input 2 9 2 2 2 2 4" xfId="19565"/>
    <cellStyle name="Input 2 9 2 2 2 3" xfId="19566"/>
    <cellStyle name="Input 2 9 2 2 2 4" xfId="19567"/>
    <cellStyle name="Input 2 9 2 2 2 5" xfId="19568"/>
    <cellStyle name="Input 2 9 2 2 2 6" xfId="19569"/>
    <cellStyle name="Input 2 9 2 2 3" xfId="19570"/>
    <cellStyle name="Input 2 9 2 2 3 2" xfId="19571"/>
    <cellStyle name="Input 2 9 2 2 3 3" xfId="19572"/>
    <cellStyle name="Input 2 9 2 2 3 4" xfId="19573"/>
    <cellStyle name="Input 2 9 2 2 4" xfId="19574"/>
    <cellStyle name="Input 2 9 2 2 5" xfId="19575"/>
    <cellStyle name="Input 2 9 2 2 6" xfId="19576"/>
    <cellStyle name="Input 2 9 2 2 7" xfId="19577"/>
    <cellStyle name="Input 2 9 2 3" xfId="19578"/>
    <cellStyle name="Input 2 9 2 3 2" xfId="19579"/>
    <cellStyle name="Input 2 9 2 3 2 2" xfId="19580"/>
    <cellStyle name="Input 2 9 2 3 2 3" xfId="19581"/>
    <cellStyle name="Input 2 9 2 3 2 4" xfId="19582"/>
    <cellStyle name="Input 2 9 2 3 3" xfId="19583"/>
    <cellStyle name="Input 2 9 2 3 4" xfId="19584"/>
    <cellStyle name="Input 2 9 2 3 5" xfId="19585"/>
    <cellStyle name="Input 2 9 2 3 6" xfId="19586"/>
    <cellStyle name="Input 2 9 2 4" xfId="19587"/>
    <cellStyle name="Input 2 9 2 4 2" xfId="19588"/>
    <cellStyle name="Input 2 9 2 4 3" xfId="19589"/>
    <cellStyle name="Input 2 9 2 4 4" xfId="19590"/>
    <cellStyle name="Input 2 9 2 4 5" xfId="19591"/>
    <cellStyle name="Input 2 9 2 5" xfId="19592"/>
    <cellStyle name="Input 2 9 2 5 2" xfId="19593"/>
    <cellStyle name="Input 2 9 2 5 3" xfId="19594"/>
    <cellStyle name="Input 2 9 2 5 4" xfId="19595"/>
    <cellStyle name="Input 2 9 2 6" xfId="19596"/>
    <cellStyle name="Input 2 9 2 6 2" xfId="19597"/>
    <cellStyle name="Input 2 9 2 6 3" xfId="19598"/>
    <cellStyle name="Input 2 9 2 6 4" xfId="19599"/>
    <cellStyle name="Input 2 9 2 7" xfId="19600"/>
    <cellStyle name="Input 2 9 2 7 2" xfId="19601"/>
    <cellStyle name="Input 2 9 2 7 3" xfId="19602"/>
    <cellStyle name="Input 2 9 2 7 4" xfId="19603"/>
    <cellStyle name="Input 2 9 2 8" xfId="19604"/>
    <cellStyle name="Input 2 9 2 9" xfId="19605"/>
    <cellStyle name="Input 2 9 20" xfId="19606"/>
    <cellStyle name="Input 2 9 21" xfId="19607"/>
    <cellStyle name="Input 2 9 22" xfId="19608"/>
    <cellStyle name="Input 2 9 23" xfId="19609"/>
    <cellStyle name="Input 2 9 24" xfId="19610"/>
    <cellStyle name="Input 2 9 25" xfId="19611"/>
    <cellStyle name="Input 2 9 26" xfId="53889"/>
    <cellStyle name="Input 2 9 27" xfId="53890"/>
    <cellStyle name="Input 2 9 28" xfId="53891"/>
    <cellStyle name="Input 2 9 29" xfId="53892"/>
    <cellStyle name="Input 2 9 3" xfId="626"/>
    <cellStyle name="Input 2 9 3 2" xfId="19612"/>
    <cellStyle name="Input 2 9 3 2 2" xfId="19613"/>
    <cellStyle name="Input 2 9 3 2 2 2" xfId="19614"/>
    <cellStyle name="Input 2 9 3 2 2 3" xfId="19615"/>
    <cellStyle name="Input 2 9 3 2 2 4" xfId="19616"/>
    <cellStyle name="Input 2 9 3 2 3" xfId="19617"/>
    <cellStyle name="Input 2 9 3 2 4" xfId="19618"/>
    <cellStyle name="Input 2 9 3 2 5" xfId="19619"/>
    <cellStyle name="Input 2 9 3 2 6" xfId="19620"/>
    <cellStyle name="Input 2 9 3 3" xfId="19621"/>
    <cellStyle name="Input 2 9 3 3 2" xfId="19622"/>
    <cellStyle name="Input 2 9 3 3 3" xfId="19623"/>
    <cellStyle name="Input 2 9 3 3 4" xfId="19624"/>
    <cellStyle name="Input 2 9 3 4" xfId="19625"/>
    <cellStyle name="Input 2 9 3 5" xfId="19626"/>
    <cellStyle name="Input 2 9 3 6" xfId="19627"/>
    <cellStyle name="Input 2 9 3 7" xfId="19628"/>
    <cellStyle name="Input 2 9 30" xfId="53893"/>
    <cellStyle name="Input 2 9 31" xfId="53894"/>
    <cellStyle name="Input 2 9 32" xfId="53895"/>
    <cellStyle name="Input 2 9 33" xfId="53896"/>
    <cellStyle name="Input 2 9 34" xfId="53897"/>
    <cellStyle name="Input 2 9 35" xfId="53898"/>
    <cellStyle name="Input 2 9 36" xfId="53899"/>
    <cellStyle name="Input 2 9 37" xfId="53900"/>
    <cellStyle name="Input 2 9 38" xfId="53901"/>
    <cellStyle name="Input 2 9 39" xfId="53902"/>
    <cellStyle name="Input 2 9 4" xfId="19629"/>
    <cellStyle name="Input 2 9 4 2" xfId="19630"/>
    <cellStyle name="Input 2 9 4 2 2" xfId="19631"/>
    <cellStyle name="Input 2 9 4 2 3" xfId="19632"/>
    <cellStyle name="Input 2 9 4 2 4" xfId="19633"/>
    <cellStyle name="Input 2 9 4 3" xfId="19634"/>
    <cellStyle name="Input 2 9 4 4" xfId="19635"/>
    <cellStyle name="Input 2 9 4 5" xfId="19636"/>
    <cellStyle name="Input 2 9 4 6" xfId="19637"/>
    <cellStyle name="Input 2 9 40" xfId="53903"/>
    <cellStyle name="Input 2 9 5" xfId="19638"/>
    <cellStyle name="Input 2 9 5 2" xfId="19639"/>
    <cellStyle name="Input 2 9 5 3" xfId="19640"/>
    <cellStyle name="Input 2 9 5 4" xfId="19641"/>
    <cellStyle name="Input 2 9 5 5" xfId="19642"/>
    <cellStyle name="Input 2 9 5 6" xfId="53904"/>
    <cellStyle name="Input 2 9 6" xfId="19643"/>
    <cellStyle name="Input 2 9 6 2" xfId="19644"/>
    <cellStyle name="Input 2 9 6 3" xfId="19645"/>
    <cellStyle name="Input 2 9 6 4" xfId="19646"/>
    <cellStyle name="Input 2 9 7" xfId="19647"/>
    <cellStyle name="Input 2 9 7 2" xfId="19648"/>
    <cellStyle name="Input 2 9 7 3" xfId="19649"/>
    <cellStyle name="Input 2 9 7 4" xfId="19650"/>
    <cellStyle name="Input 2 9 8" xfId="19651"/>
    <cellStyle name="Input 2 9 8 2" xfId="19652"/>
    <cellStyle name="Input 2 9 8 3" xfId="19653"/>
    <cellStyle name="Input 2 9 8 4" xfId="19654"/>
    <cellStyle name="Input 2 9 9" xfId="19655"/>
    <cellStyle name="Input 2 9 9 2" xfId="19656"/>
    <cellStyle name="Input 2 9 9 3" xfId="19657"/>
    <cellStyle name="Input 2 9 9 4" xfId="19658"/>
    <cellStyle name="Input 2_~9868926" xfId="53905"/>
    <cellStyle name="Input 20" xfId="53906"/>
    <cellStyle name="Input 21" xfId="53907"/>
    <cellStyle name="Input 22" xfId="53908"/>
    <cellStyle name="Input 23" xfId="53909"/>
    <cellStyle name="Input 24" xfId="53910"/>
    <cellStyle name="Input 25" xfId="53911"/>
    <cellStyle name="Input 26" xfId="53912"/>
    <cellStyle name="Input 27" xfId="53913"/>
    <cellStyle name="Input 28" xfId="53914"/>
    <cellStyle name="Input 29" xfId="53915"/>
    <cellStyle name="Input 3" xfId="174"/>
    <cellStyle name="Input 3 2" xfId="175"/>
    <cellStyle name="Input 3 2 2" xfId="53916"/>
    <cellStyle name="Input 3 2 2 2" xfId="53917"/>
    <cellStyle name="Input 3 2 2 3" xfId="53918"/>
    <cellStyle name="Input 3 2 2 4" xfId="53919"/>
    <cellStyle name="Input 3 2 3" xfId="53920"/>
    <cellStyle name="Input 3 2 3 2" xfId="53921"/>
    <cellStyle name="Input 3 2 3 3" xfId="53922"/>
    <cellStyle name="Input 3 2 3 4" xfId="53923"/>
    <cellStyle name="Input 3 2 4" xfId="53924"/>
    <cellStyle name="Input 3 2 5" xfId="53925"/>
    <cellStyle name="Input 3 2 6" xfId="53926"/>
    <cellStyle name="Input 3 2 7" xfId="53927"/>
    <cellStyle name="Input 3 3" xfId="176"/>
    <cellStyle name="Input 3 4" xfId="53928"/>
    <cellStyle name="Input 3_~9868926" xfId="53929"/>
    <cellStyle name="Input 30" xfId="53930"/>
    <cellStyle name="Input 31" xfId="53931"/>
    <cellStyle name="Input 32" xfId="53932"/>
    <cellStyle name="Input 33" xfId="53933"/>
    <cellStyle name="Input 34" xfId="53934"/>
    <cellStyle name="Input 35" xfId="53935"/>
    <cellStyle name="Input 36" xfId="53936"/>
    <cellStyle name="Input 37" xfId="53937"/>
    <cellStyle name="Input 38" xfId="53938"/>
    <cellStyle name="Input 39" xfId="53939"/>
    <cellStyle name="Input 4" xfId="177"/>
    <cellStyle name="Input 4 2" xfId="53940"/>
    <cellStyle name="Input 40" xfId="53941"/>
    <cellStyle name="Input 41" xfId="53942"/>
    <cellStyle name="Input 42" xfId="53943"/>
    <cellStyle name="Input 43" xfId="53944"/>
    <cellStyle name="Input 44" xfId="53945"/>
    <cellStyle name="Input 45" xfId="53946"/>
    <cellStyle name="Input 46" xfId="53947"/>
    <cellStyle name="Input 47" xfId="53948"/>
    <cellStyle name="Input 48" xfId="53949"/>
    <cellStyle name="Input 49" xfId="53950"/>
    <cellStyle name="Input 5" xfId="178"/>
    <cellStyle name="Input 50" xfId="53951"/>
    <cellStyle name="Input 6" xfId="179"/>
    <cellStyle name="Input 6 2" xfId="53952"/>
    <cellStyle name="Input 6 2 2" xfId="53953"/>
    <cellStyle name="Input 6 2 3" xfId="53954"/>
    <cellStyle name="Input 6 2 4" xfId="53955"/>
    <cellStyle name="Input 6 3" xfId="53956"/>
    <cellStyle name="Input 6 3 2" xfId="53957"/>
    <cellStyle name="Input 6 3 3" xfId="53958"/>
    <cellStyle name="Input 6 3 4" xfId="53959"/>
    <cellStyle name="Input 6 4" xfId="53960"/>
    <cellStyle name="Input 6 5" xfId="53961"/>
    <cellStyle name="Input 6 6" xfId="53962"/>
    <cellStyle name="Input 6 7" xfId="53963"/>
    <cellStyle name="Input 7" xfId="53964"/>
    <cellStyle name="Input 7 2" xfId="53965"/>
    <cellStyle name="Input 7 2 2" xfId="53966"/>
    <cellStyle name="Input 7 2 3" xfId="53967"/>
    <cellStyle name="Input 7 2 4" xfId="53968"/>
    <cellStyle name="Input 7 3" xfId="53969"/>
    <cellStyle name="Input 7 3 2" xfId="53970"/>
    <cellStyle name="Input 7 3 3" xfId="53971"/>
    <cellStyle name="Input 7 3 4" xfId="53972"/>
    <cellStyle name="Input 7 4" xfId="53973"/>
    <cellStyle name="Input 7 5" xfId="53974"/>
    <cellStyle name="Input 7 6" xfId="53975"/>
    <cellStyle name="Input 7 7" xfId="53976"/>
    <cellStyle name="Input 8" xfId="53977"/>
    <cellStyle name="Input 8 2" xfId="53978"/>
    <cellStyle name="Input 8 2 2" xfId="53979"/>
    <cellStyle name="Input 8 2 3" xfId="53980"/>
    <cellStyle name="Input 8 2 4" xfId="53981"/>
    <cellStyle name="Input 8 3" xfId="53982"/>
    <cellStyle name="Input 8 3 2" xfId="53983"/>
    <cellStyle name="Input 8 3 3" xfId="53984"/>
    <cellStyle name="Input 8 3 4" xfId="53985"/>
    <cellStyle name="Input 8 4" xfId="53986"/>
    <cellStyle name="Input 8 5" xfId="53987"/>
    <cellStyle name="Input 8 6" xfId="53988"/>
    <cellStyle name="Input 8 7" xfId="53989"/>
    <cellStyle name="Input 9" xfId="53990"/>
    <cellStyle name="Input 9 2" xfId="53991"/>
    <cellStyle name="Input 9 2 2" xfId="53992"/>
    <cellStyle name="Input 9 2 3" xfId="53993"/>
    <cellStyle name="Input 9 2 4" xfId="53994"/>
    <cellStyle name="Input 9 3" xfId="53995"/>
    <cellStyle name="Input 9 3 2" xfId="53996"/>
    <cellStyle name="Input 9 3 3" xfId="53997"/>
    <cellStyle name="Input 9 3 4" xfId="53998"/>
    <cellStyle name="Input 9 4" xfId="53999"/>
    <cellStyle name="Input 9 5" xfId="54000"/>
    <cellStyle name="Input 9 6" xfId="54001"/>
    <cellStyle name="Input 9 7" xfId="54002"/>
    <cellStyle name="Input Cells" xfId="54003"/>
    <cellStyle name="Input dates" xfId="54004"/>
    <cellStyle name="Input multiple" xfId="54005"/>
    <cellStyle name="Input normal" xfId="54006"/>
    <cellStyle name="Input percent" xfId="54007"/>
    <cellStyle name="Input years" xfId="54008"/>
    <cellStyle name="InputCells12_BBorder_CRFReport-template" xfId="54009"/>
    <cellStyle name="InputPercent" xfId="54010"/>
    <cellStyle name="Inputs" xfId="54011"/>
    <cellStyle name="InputValue" xfId="54012"/>
    <cellStyle name="Insatisfaisant" xfId="54013"/>
    <cellStyle name="Integer" xfId="54014"/>
    <cellStyle name="Integer 2" xfId="54015"/>
    <cellStyle name="Integer 3" xfId="54016"/>
    <cellStyle name="Integer 4" xfId="54017"/>
    <cellStyle name="Integer 5" xfId="54018"/>
    <cellStyle name="Integer 6" xfId="54019"/>
    <cellStyle name="Integer_AffinPartner" xfId="54020"/>
    <cellStyle name="JB_OLDVERSION" xfId="54021"/>
    <cellStyle name="keyin_Sample OS Model" xfId="54022"/>
    <cellStyle name="Klärung!?" xfId="54023"/>
    <cellStyle name="Klärung!? 2" xfId="54024"/>
    <cellStyle name="Klärung!? 3" xfId="54025"/>
    <cellStyle name="Koblet celle" xfId="54026"/>
    <cellStyle name="Koblet celle 2" xfId="54027"/>
    <cellStyle name="Kontrollcelle" xfId="54028"/>
    <cellStyle name="Kontrollcelle 2" xfId="54029"/>
    <cellStyle name="KPMG Heading 1" xfId="54030"/>
    <cellStyle name="KPMG Heading 2" xfId="54031"/>
    <cellStyle name="KPMG Heading 3" xfId="54032"/>
    <cellStyle name="KPMG Heading 4" xfId="54033"/>
    <cellStyle name="KPMG Normal" xfId="54034"/>
    <cellStyle name="KPMG Normal 2" xfId="54035"/>
    <cellStyle name="KPMG Normal Text" xfId="54036"/>
    <cellStyle name="KPMG Normal Text 2" xfId="54037"/>
    <cellStyle name="Label" xfId="54038"/>
    <cellStyle name="LABEL Note" xfId="54039"/>
    <cellStyle name="LABEL Note 2" xfId="54040"/>
    <cellStyle name="LABELS" xfId="54041"/>
    <cellStyle name="LABELS 2" xfId="54042"/>
    <cellStyle name="left" xfId="54043"/>
    <cellStyle name="left 2" xfId="54044"/>
    <cellStyle name="LEVEL20-30" xfId="54045"/>
    <cellStyle name="LEVEL20-30 2" xfId="54046"/>
    <cellStyle name="LEVEL20-30 3" xfId="54047"/>
    <cellStyle name="LEVEL20-30 4" xfId="54048"/>
    <cellStyle name="LEVEL20-30 5" xfId="54049"/>
    <cellStyle name="LEVEL20-30 6" xfId="54050"/>
    <cellStyle name="LEVEL60-90" xfId="54051"/>
    <cellStyle name="LEVEL60-90 2" xfId="54052"/>
    <cellStyle name="LEVEL60-90 3" xfId="54053"/>
    <cellStyle name="LEVEL60-90 4" xfId="54054"/>
    <cellStyle name="LEVEL60-90 5" xfId="54055"/>
    <cellStyle name="LEVEL60-90 6" xfId="54056"/>
    <cellStyle name="Line" xfId="54057"/>
    <cellStyle name="Line 2" xfId="54058"/>
    <cellStyle name="Lines" xfId="54059"/>
    <cellStyle name="Lines 2" xfId="54060"/>
    <cellStyle name="Lines 2 2" xfId="54061"/>
    <cellStyle name="Lines 3" xfId="54062"/>
    <cellStyle name="Link" xfId="54063"/>
    <cellStyle name="Link 2" xfId="54064"/>
    <cellStyle name="Link 2 2" xfId="54065"/>
    <cellStyle name="Link 2 2 2" xfId="54066"/>
    <cellStyle name="Link 2 2 3" xfId="54067"/>
    <cellStyle name="Link 2 2 4" xfId="54068"/>
    <cellStyle name="Link 2 3" xfId="54069"/>
    <cellStyle name="Link 2 3 2" xfId="54070"/>
    <cellStyle name="Link 2 3 3" xfId="54071"/>
    <cellStyle name="Link 2 3 4" xfId="54072"/>
    <cellStyle name="Link 2 4" xfId="54073"/>
    <cellStyle name="Link 2 5" xfId="54074"/>
    <cellStyle name="Link 2 6" xfId="54075"/>
    <cellStyle name="Link 3" xfId="54076"/>
    <cellStyle name="Link 3 2" xfId="54077"/>
    <cellStyle name="Link 3 2 2" xfId="54078"/>
    <cellStyle name="Link 3 2 3" xfId="54079"/>
    <cellStyle name="Link 3 2 4" xfId="54080"/>
    <cellStyle name="Link 3 3" xfId="54081"/>
    <cellStyle name="Link 3 3 2" xfId="54082"/>
    <cellStyle name="Link 3 3 3" xfId="54083"/>
    <cellStyle name="Link 3 3 4" xfId="54084"/>
    <cellStyle name="Link 3 4" xfId="54085"/>
    <cellStyle name="Link 3 5" xfId="54086"/>
    <cellStyle name="Link 3 6" xfId="54087"/>
    <cellStyle name="Link 4" xfId="54088"/>
    <cellStyle name="Link 5" xfId="54089"/>
    <cellStyle name="Link 6" xfId="54090"/>
    <cellStyle name="Link 7" xfId="54091"/>
    <cellStyle name="Link Currency (0)" xfId="54092"/>
    <cellStyle name="Link Currency (0) 2" xfId="54093"/>
    <cellStyle name="Link Currency (2)" xfId="54094"/>
    <cellStyle name="Link Currency (2) 2" xfId="54095"/>
    <cellStyle name="Link Units (0)" xfId="54096"/>
    <cellStyle name="Link Units (0) 2" xfId="54097"/>
    <cellStyle name="Link Units (1)" xfId="54098"/>
    <cellStyle name="Link Units (1) 2" xfId="54099"/>
    <cellStyle name="Link Units (2)" xfId="54100"/>
    <cellStyle name="Link Units (2) 2" xfId="54101"/>
    <cellStyle name="Link_~9868926" xfId="54102"/>
    <cellStyle name="Linked Cell" xfId="40" builtinId="24" customBuiltin="1"/>
    <cellStyle name="Linked Cell 10" xfId="54103"/>
    <cellStyle name="Linked Cell 10 2" xfId="54104"/>
    <cellStyle name="Linked Cell 2" xfId="180"/>
    <cellStyle name="Linked Cell 2 2" xfId="54105"/>
    <cellStyle name="Linked Cell 2 3" xfId="54106"/>
    <cellStyle name="Linked Cell 2 4" xfId="54107"/>
    <cellStyle name="Linked Cell 2_~9868926" xfId="54108"/>
    <cellStyle name="Linked Cell 3" xfId="181"/>
    <cellStyle name="Linked Cell 3 2" xfId="54109"/>
    <cellStyle name="Linked Cell 3 3" xfId="54110"/>
    <cellStyle name="Linked Cell 3 4" xfId="54111"/>
    <cellStyle name="Linked Cell 3_~9868926" xfId="54112"/>
    <cellStyle name="Linked Cell 4" xfId="19659"/>
    <cellStyle name="Linked Cell 5" xfId="19660"/>
    <cellStyle name="Linked Cell 5 2" xfId="54113"/>
    <cellStyle name="Linked Cell 6" xfId="54114"/>
    <cellStyle name="Linked Cell 6 2" xfId="54115"/>
    <cellStyle name="Linked Cell 7" xfId="54116"/>
    <cellStyle name="Linked Cell 7 2" xfId="54117"/>
    <cellStyle name="Linked Cell 8" xfId="54118"/>
    <cellStyle name="Linked Cell 8 2" xfId="54119"/>
    <cellStyle name="Linked Cell 9" xfId="54120"/>
    <cellStyle name="Linked Cell 9 2" xfId="54121"/>
    <cellStyle name="Linked Cells" xfId="54122"/>
    <cellStyle name="LongDate" xfId="54123"/>
    <cellStyle name="Lookup Table Heading" xfId="54124"/>
    <cellStyle name="Lookup Table Heading 2" xfId="54125"/>
    <cellStyle name="Lookup Table Heading 2 2" xfId="54126"/>
    <cellStyle name="Lookup Table Heading 2 2 2" xfId="54127"/>
    <cellStyle name="Lookup Table Heading 2 2 3" xfId="54128"/>
    <cellStyle name="Lookup Table Heading 2 2 4" xfId="54129"/>
    <cellStyle name="Lookup Table Heading 2 3" xfId="54130"/>
    <cellStyle name="Lookup Table Heading 2 3 2" xfId="54131"/>
    <cellStyle name="Lookup Table Heading 2 3 3" xfId="54132"/>
    <cellStyle name="Lookup Table Heading 2 3 4" xfId="54133"/>
    <cellStyle name="Lookup Table Heading 2 4" xfId="54134"/>
    <cellStyle name="Lookup Table Heading 2 5" xfId="54135"/>
    <cellStyle name="Lookup Table Heading 2 6" xfId="54136"/>
    <cellStyle name="Lookup Table Heading 2 7" xfId="54137"/>
    <cellStyle name="Lookup Table Heading 3" xfId="54138"/>
    <cellStyle name="Lookup Table Heading 3 2" xfId="54139"/>
    <cellStyle name="Lookup Table Heading 3 2 2" xfId="54140"/>
    <cellStyle name="Lookup Table Heading 3 2 3" xfId="54141"/>
    <cellStyle name="Lookup Table Heading 3 2 4" xfId="54142"/>
    <cellStyle name="Lookup Table Heading 3 3" xfId="54143"/>
    <cellStyle name="Lookup Table Heading 3 3 2" xfId="54144"/>
    <cellStyle name="Lookup Table Heading 3 3 3" xfId="54145"/>
    <cellStyle name="Lookup Table Heading 3 3 4" xfId="54146"/>
    <cellStyle name="Lookup Table Heading 3 4" xfId="54147"/>
    <cellStyle name="Lookup Table Heading 3 5" xfId="54148"/>
    <cellStyle name="Lookup Table Heading 4" xfId="54149"/>
    <cellStyle name="Lookup Table Heading 4 2" xfId="54150"/>
    <cellStyle name="Lookup Table Heading 4 3" xfId="54151"/>
    <cellStyle name="Lookup Table Heading 4 4" xfId="54152"/>
    <cellStyle name="Lookup Table Heading 5" xfId="54153"/>
    <cellStyle name="Lookup Table Heading 5 2" xfId="54154"/>
    <cellStyle name="Lookup Table Heading 5 3" xfId="54155"/>
    <cellStyle name="Lookup Table Heading 5 4" xfId="54156"/>
    <cellStyle name="Lookup Table Heading 6" xfId="54157"/>
    <cellStyle name="Lookup Table Heading 7" xfId="54158"/>
    <cellStyle name="Lookup Table Heading 8" xfId="54159"/>
    <cellStyle name="Lookup Table Heading 9" xfId="54160"/>
    <cellStyle name="Lookup Table Heading." xfId="54161"/>
    <cellStyle name="Lookup Table Heading. 2" xfId="54162"/>
    <cellStyle name="Lookup Table Heading. 3" xfId="54163"/>
    <cellStyle name="Lookup Table Heading. 4" xfId="54164"/>
    <cellStyle name="Lookup Table Heading. 5" xfId="54165"/>
    <cellStyle name="Lookup Table Heading. 6" xfId="54166"/>
    <cellStyle name="Lookup Table Heading_~9868926" xfId="54167"/>
    <cellStyle name="Lookup Table Label" xfId="54168"/>
    <cellStyle name="Lookup Table Label 2" xfId="54169"/>
    <cellStyle name="Lookup Table Label 2 2" xfId="54170"/>
    <cellStyle name="Lookup Table Label 2 2 2" xfId="54171"/>
    <cellStyle name="Lookup Table Label 2 2 2 2" xfId="54172"/>
    <cellStyle name="Lookup Table Label 2 2 2 3" xfId="54173"/>
    <cellStyle name="Lookup Table Label 2 2 2 4" xfId="54174"/>
    <cellStyle name="Lookup Table Label 2 2 3" xfId="54175"/>
    <cellStyle name="Lookup Table Label 2 2 3 2" xfId="54176"/>
    <cellStyle name="Lookup Table Label 2 2 3 3" xfId="54177"/>
    <cellStyle name="Lookup Table Label 2 2 3 4" xfId="54178"/>
    <cellStyle name="Lookup Table Label 2 2 4" xfId="54179"/>
    <cellStyle name="Lookup Table Label 2 2 5" xfId="54180"/>
    <cellStyle name="Lookup Table Label 2 3" xfId="54181"/>
    <cellStyle name="Lookup Table Label 2 3 2" xfId="54182"/>
    <cellStyle name="Lookup Table Label 2 3 3" xfId="54183"/>
    <cellStyle name="Lookup Table Label 2 3 4" xfId="54184"/>
    <cellStyle name="Lookup Table Label 2 4" xfId="54185"/>
    <cellStyle name="Lookup Table Label 2 4 2" xfId="54186"/>
    <cellStyle name="Lookup Table Label 2 4 3" xfId="54187"/>
    <cellStyle name="Lookup Table Label 2 4 4" xfId="54188"/>
    <cellStyle name="Lookup Table Label 2 5" xfId="54189"/>
    <cellStyle name="Lookup Table Label 2 6" xfId="54190"/>
    <cellStyle name="Lookup Table Label 2 7" xfId="54191"/>
    <cellStyle name="Lookup Table Label 2 8" xfId="54192"/>
    <cellStyle name="Lookup Table Label 3" xfId="54193"/>
    <cellStyle name="Lookup Table Label 3 2" xfId="54194"/>
    <cellStyle name="Lookup Table Label 3 2 2" xfId="54195"/>
    <cellStyle name="Lookup Table Label 3 2 3" xfId="54196"/>
    <cellStyle name="Lookup Table Label 3 2 4" xfId="54197"/>
    <cellStyle name="Lookup Table Label 3 3" xfId="54198"/>
    <cellStyle name="Lookup Table Label 3 3 2" xfId="54199"/>
    <cellStyle name="Lookup Table Label 3 3 3" xfId="54200"/>
    <cellStyle name="Lookup Table Label 3 3 4" xfId="54201"/>
    <cellStyle name="Lookup Table Label 3 4" xfId="54202"/>
    <cellStyle name="Lookup Table Label 3 5" xfId="54203"/>
    <cellStyle name="Lookup Table Label 3 6" xfId="54204"/>
    <cellStyle name="Lookup Table Label 3 7" xfId="54205"/>
    <cellStyle name="Lookup Table Label 4" xfId="54206"/>
    <cellStyle name="Lookup Table Label 4 2" xfId="54207"/>
    <cellStyle name="Lookup Table Label 4 3" xfId="54208"/>
    <cellStyle name="Lookup Table Label 4 4" xfId="54209"/>
    <cellStyle name="Lookup Table Label 5" xfId="54210"/>
    <cellStyle name="Lookup Table Label 5 2" xfId="54211"/>
    <cellStyle name="Lookup Table Label 5 3" xfId="54212"/>
    <cellStyle name="Lookup Table Label 5 4" xfId="54213"/>
    <cellStyle name="Lookup Table Label 6" xfId="54214"/>
    <cellStyle name="Lookup Table Label 7" xfId="54215"/>
    <cellStyle name="Lookup Table Label 8" xfId="54216"/>
    <cellStyle name="Lookup Table Label 9" xfId="54217"/>
    <cellStyle name="Lookup Table Label." xfId="54218"/>
    <cellStyle name="Lookup Table Label. 2" xfId="54219"/>
    <cellStyle name="Lookup Table Label. 3" xfId="54220"/>
    <cellStyle name="Lookup Table Label. 4" xfId="54221"/>
    <cellStyle name="Lookup Table Label. 5" xfId="54222"/>
    <cellStyle name="Lookup Table Label. 6" xfId="54223"/>
    <cellStyle name="Lookup Table Label_~9868926" xfId="54224"/>
    <cellStyle name="Lookup Table Number" xfId="54225"/>
    <cellStyle name="Lookup Table Number 2" xfId="54226"/>
    <cellStyle name="Lookup Table Number 2 2" xfId="54227"/>
    <cellStyle name="Lookup Table Number 2 2 2" xfId="54228"/>
    <cellStyle name="Lookup Table Number 2 2 2 2" xfId="54229"/>
    <cellStyle name="Lookup Table Number 2 2 2 3" xfId="54230"/>
    <cellStyle name="Lookup Table Number 2 2 2 4" xfId="54231"/>
    <cellStyle name="Lookup Table Number 2 2 3" xfId="54232"/>
    <cellStyle name="Lookup Table Number 2 2 3 2" xfId="54233"/>
    <cellStyle name="Lookup Table Number 2 2 3 3" xfId="54234"/>
    <cellStyle name="Lookup Table Number 2 2 3 4" xfId="54235"/>
    <cellStyle name="Lookup Table Number 2 2 4" xfId="54236"/>
    <cellStyle name="Lookup Table Number 2 2 5" xfId="54237"/>
    <cellStyle name="Lookup Table Number 2 3" xfId="54238"/>
    <cellStyle name="Lookup Table Number 2 4" xfId="54239"/>
    <cellStyle name="Lookup Table Number 2 5" xfId="54240"/>
    <cellStyle name="Lookup Table Number 3" xfId="54241"/>
    <cellStyle name="Lookup Table Number 3 2" xfId="54242"/>
    <cellStyle name="Lookup Table Number 3 2 2" xfId="54243"/>
    <cellStyle name="Lookup Table Number 3 2 3" xfId="54244"/>
    <cellStyle name="Lookup Table Number 3 2 4" xfId="54245"/>
    <cellStyle name="Lookup Table Number 3 3" xfId="54246"/>
    <cellStyle name="Lookup Table Number 3 3 2" xfId="54247"/>
    <cellStyle name="Lookup Table Number 3 3 3" xfId="54248"/>
    <cellStyle name="Lookup Table Number 3 3 4" xfId="54249"/>
    <cellStyle name="Lookup Table Number 3 4" xfId="54250"/>
    <cellStyle name="Lookup Table Number 3 5" xfId="54251"/>
    <cellStyle name="Lookup Table Number 4" xfId="54252"/>
    <cellStyle name="Lookup Table Number 5" xfId="54253"/>
    <cellStyle name="Lookup Table Number 6" xfId="54254"/>
    <cellStyle name="Lookup Table Number." xfId="54255"/>
    <cellStyle name="Lookup Table Number. 2" xfId="54256"/>
    <cellStyle name="Lookup Table Number. 3" xfId="54257"/>
    <cellStyle name="Lookup Table Number. 4" xfId="54258"/>
    <cellStyle name="Lookup Table Number. 5" xfId="54259"/>
    <cellStyle name="Lookup Table Number. 6" xfId="54260"/>
    <cellStyle name="Lookup Table Number_~9868926" xfId="54261"/>
    <cellStyle name="m/d/yy" xfId="54262"/>
    <cellStyle name="m/d/yy 2" xfId="54263"/>
    <cellStyle name="m/d/yy 2 2" xfId="54264"/>
    <cellStyle name="m/d/yy 2 3" xfId="54265"/>
    <cellStyle name="m/d/yy 2 4" xfId="54266"/>
    <cellStyle name="m/d/yy 3" xfId="54267"/>
    <cellStyle name="m/d/yy 3 2" xfId="54268"/>
    <cellStyle name="m/d/yy 4" xfId="54269"/>
    <cellStyle name="macroname" xfId="54270"/>
    <cellStyle name="macroname 2" xfId="54271"/>
    <cellStyle name="Map Labels" xfId="54272"/>
    <cellStyle name="Map Labels 2" xfId="54273"/>
    <cellStyle name="Map Legend" xfId="54274"/>
    <cellStyle name="Map Legend 2" xfId="54275"/>
    <cellStyle name="Map Title" xfId="54276"/>
    <cellStyle name="Map Title 2" xfId="54277"/>
    <cellStyle name="Menu" xfId="54278"/>
    <cellStyle name="Merknad" xfId="54279"/>
    <cellStyle name="Merknad 2" xfId="54280"/>
    <cellStyle name="Merknad 2 2" xfId="54281"/>
    <cellStyle name="Merknad 2 3" xfId="54282"/>
    <cellStyle name="Merknad 2 4" xfId="54283"/>
    <cellStyle name="Merknad 3" xfId="54284"/>
    <cellStyle name="Merknad 3 2" xfId="54285"/>
    <cellStyle name="Merknad 3 3" xfId="54286"/>
    <cellStyle name="Merknad 3 4" xfId="54287"/>
    <cellStyle name="Merknad 4" xfId="54288"/>
    <cellStyle name="Merknad 5" xfId="54289"/>
    <cellStyle name="Merknad 6" xfId="54290"/>
    <cellStyle name="Merknad 7" xfId="54291"/>
    <cellStyle name="Merknad 8" xfId="54292"/>
    <cellStyle name="Microsoft Excel found an error in the formula you entered. Do you want to accept the correction proposed below?_x000a__x000a_|_x000a__x000a_• To accept the correction, click Yes._x000a_• To close this message and correct the formula yourself, click No." xfId="54293"/>
    <cellStyle name="Microsoft Excel found an error in the formula you entered. Do you want to accept the correction proposed below?_x000a__x000a_|_x000a__x000a_• To accept the correction, click Yes._x000a_• To close this message and correct the formula yourself, click No. 2" xfId="54294"/>
    <cellStyle name="Migliaia (0)_ac1.xls Grafico 1" xfId="54295"/>
    <cellStyle name="Migliaia_Air-Sicilia" xfId="54296"/>
    <cellStyle name="Millares [0]_1" xfId="54297"/>
    <cellStyle name="Millares_1" xfId="54298"/>
    <cellStyle name="Milliers [0]_!!!GO" xfId="54299"/>
    <cellStyle name="Milliers_!!!GO" xfId="54300"/>
    <cellStyle name="million" xfId="54301"/>
    <cellStyle name="million [1]" xfId="54302"/>
    <cellStyle name="million [1] 2" xfId="54303"/>
    <cellStyle name="million [1] 2 2" xfId="54304"/>
    <cellStyle name="million [1] 3" xfId="54305"/>
    <cellStyle name="million [1] 3 2" xfId="54306"/>
    <cellStyle name="million [1] 4" xfId="54307"/>
    <cellStyle name="million [1] 4 2" xfId="54308"/>
    <cellStyle name="million [1] 5" xfId="54309"/>
    <cellStyle name="million [1] 5 2" xfId="54310"/>
    <cellStyle name="million [1] 6" xfId="54311"/>
    <cellStyle name="million [1] 6 2" xfId="54312"/>
    <cellStyle name="million [1] 7" xfId="54313"/>
    <cellStyle name="million 10" xfId="54314"/>
    <cellStyle name="million 11" xfId="54315"/>
    <cellStyle name="million 2" xfId="54316"/>
    <cellStyle name="million 2 2" xfId="54317"/>
    <cellStyle name="million 3" xfId="54318"/>
    <cellStyle name="million 3 2" xfId="54319"/>
    <cellStyle name="million 4" xfId="54320"/>
    <cellStyle name="million 4 2" xfId="54321"/>
    <cellStyle name="million 5" xfId="54322"/>
    <cellStyle name="million 5 2" xfId="54323"/>
    <cellStyle name="million 6" xfId="54324"/>
    <cellStyle name="million 6 2" xfId="54325"/>
    <cellStyle name="million 7" xfId="54326"/>
    <cellStyle name="million 8" xfId="54327"/>
    <cellStyle name="million 9" xfId="54328"/>
    <cellStyle name="mine" xfId="54329"/>
    <cellStyle name="mine 2" xfId="54330"/>
    <cellStyle name="mine 3" xfId="54331"/>
    <cellStyle name="mine 4" xfId="54332"/>
    <cellStyle name="mine 5" xfId="54333"/>
    <cellStyle name="mine 6" xfId="54334"/>
    <cellStyle name="MLComma0" xfId="54335"/>
    <cellStyle name="Model Name" xfId="54336"/>
    <cellStyle name="Model Name 2" xfId="54337"/>
    <cellStyle name="Model Name." xfId="54338"/>
    <cellStyle name="Moeda [0]_%MGEC" xfId="54339"/>
    <cellStyle name="Moeda_%MGEC" xfId="54340"/>
    <cellStyle name="Moneda [0]_1" xfId="54341"/>
    <cellStyle name="Moneda_1" xfId="54342"/>
    <cellStyle name="Monétaire [0]_!!!GO" xfId="54343"/>
    <cellStyle name="Monétaire_!!!GO" xfId="54344"/>
    <cellStyle name="Monetario0" xfId="54345"/>
    <cellStyle name="Month" xfId="54346"/>
    <cellStyle name="Month 2" xfId="54347"/>
    <cellStyle name="Month2" xfId="54348"/>
    <cellStyle name="Month2 2" xfId="54349"/>
    <cellStyle name="MS_COL_STYLE" xfId="54350"/>
    <cellStyle name="Multiple" xfId="54351"/>
    <cellStyle name="Multiple [0]" xfId="54352"/>
    <cellStyle name="Multiple [1]" xfId="54353"/>
    <cellStyle name="Multiple." xfId="54354"/>
    <cellStyle name="Multiple_DCF III 04.7" xfId="54355"/>
    <cellStyle name="MultipleBelow" xfId="54356"/>
    <cellStyle name="Naira" xfId="54357"/>
    <cellStyle name="Names" xfId="54358"/>
    <cellStyle name="NavStyleDefault" xfId="54359"/>
    <cellStyle name="NavStyleDefault 2" xfId="54360"/>
    <cellStyle name="NavStyleDefault 3" xfId="54361"/>
    <cellStyle name="Needs Work" xfId="54362"/>
    <cellStyle name="Negatives" xfId="54363"/>
    <cellStyle name="Neutral" xfId="41" builtinId="28" customBuiltin="1"/>
    <cellStyle name="Neutral 10" xfId="54364"/>
    <cellStyle name="Neutral 10 2" xfId="54365"/>
    <cellStyle name="Neutral 2" xfId="182"/>
    <cellStyle name="Neutral 2 2" xfId="19661"/>
    <cellStyle name="Neutral 2 3" xfId="19662"/>
    <cellStyle name="Neutral 2 4" xfId="54366"/>
    <cellStyle name="Neutral 3" xfId="183"/>
    <cellStyle name="Neutral 3 2" xfId="19663"/>
    <cellStyle name="Neutral 3 3" xfId="54367"/>
    <cellStyle name="Neutral 3 4" xfId="54368"/>
    <cellStyle name="Neutral 4" xfId="287"/>
    <cellStyle name="Neutral 5" xfId="19664"/>
    <cellStyle name="Neutral 5 2" xfId="54369"/>
    <cellStyle name="Neutral 6" xfId="54370"/>
    <cellStyle name="Neutral 6 2" xfId="54371"/>
    <cellStyle name="Neutral 7" xfId="54372"/>
    <cellStyle name="Neutral 7 2" xfId="54373"/>
    <cellStyle name="Neutral 8" xfId="54374"/>
    <cellStyle name="Neutral 8 2" xfId="54375"/>
    <cellStyle name="Neutral 9" xfId="54376"/>
    <cellStyle name="Neutral 9 2" xfId="54377"/>
    <cellStyle name="Neutre" xfId="54378"/>
    <cellStyle name="NEW" xfId="54379"/>
    <cellStyle name="NEW 2" xfId="54380"/>
    <cellStyle name="New Times Roman" xfId="54381"/>
    <cellStyle name="New Times Roman 2" xfId="54382"/>
    <cellStyle name="NJS" xfId="42"/>
    <cellStyle name="NJS 2" xfId="54383"/>
    <cellStyle name="No Border" xfId="54384"/>
    <cellStyle name="No Border 2" xfId="54385"/>
    <cellStyle name="no dec" xfId="54386"/>
    <cellStyle name="Nor}al" xfId="54387"/>
    <cellStyle name="Nor}al 2" xfId="54388"/>
    <cellStyle name="Nor}al 3" xfId="54389"/>
    <cellStyle name="Norm??" xfId="54390"/>
    <cellStyle name="Norm?? 2" xfId="54391"/>
    <cellStyle name="Normal" xfId="0" builtinId="0"/>
    <cellStyle name="Normal - Style1" xfId="54392"/>
    <cellStyle name="Normal - Style2" xfId="54393"/>
    <cellStyle name="Normal - Style2 2" xfId="54394"/>
    <cellStyle name="Normal - Style3" xfId="54395"/>
    <cellStyle name="Normal - Style3 2" xfId="54396"/>
    <cellStyle name="Normal - Style4" xfId="54397"/>
    <cellStyle name="Normal - Style4 2" xfId="54398"/>
    <cellStyle name="Normal - Style5" xfId="54399"/>
    <cellStyle name="Normal - Style5 2" xfId="54400"/>
    <cellStyle name="Normal - Style6" xfId="54401"/>
    <cellStyle name="Normal - Style6 2" xfId="54402"/>
    <cellStyle name="Normal - Style7" xfId="54403"/>
    <cellStyle name="Normal - Style7 2" xfId="54404"/>
    <cellStyle name="Normal - Style8" xfId="54405"/>
    <cellStyle name="Normal - Style8 2" xfId="54406"/>
    <cellStyle name="Normal [0]" xfId="54407"/>
    <cellStyle name="Normal [0] 2" xfId="54408"/>
    <cellStyle name="Normal [0] 2 2" xfId="54409"/>
    <cellStyle name="Normal [0] 2 3" xfId="54410"/>
    <cellStyle name="Normal [0] 2 4" xfId="54411"/>
    <cellStyle name="Normal [0] 2 5" xfId="54412"/>
    <cellStyle name="Normal [0] 2 6" xfId="54413"/>
    <cellStyle name="Normal [0] 3" xfId="54414"/>
    <cellStyle name="Normal [0] 4" xfId="54415"/>
    <cellStyle name="Normal [0] 5" xfId="54416"/>
    <cellStyle name="Normal [0] 6" xfId="54417"/>
    <cellStyle name="Normal [0] 7" xfId="54418"/>
    <cellStyle name="Normal [3]" xfId="54419"/>
    <cellStyle name="Normal [3] 2" xfId="54420"/>
    <cellStyle name="Normal 10" xfId="184"/>
    <cellStyle name="Normal 10 10" xfId="19665"/>
    <cellStyle name="Normal 10 11" xfId="19666"/>
    <cellStyle name="Normal 10 11 2" xfId="19667"/>
    <cellStyle name="Normal 10 11 2 2" xfId="19668"/>
    <cellStyle name="Normal 10 11 3" xfId="19669"/>
    <cellStyle name="Normal 10 12" xfId="19670"/>
    <cellStyle name="Normal 10 12 2" xfId="19671"/>
    <cellStyle name="Normal 10 12 2 2" xfId="19672"/>
    <cellStyle name="Normal 10 12 2 2 2" xfId="19673"/>
    <cellStyle name="Normal 10 12 2 2 3" xfId="19674"/>
    <cellStyle name="Normal 10 12 3" xfId="19675"/>
    <cellStyle name="Normal 10 13" xfId="19676"/>
    <cellStyle name="Normal 10 14" xfId="19677"/>
    <cellStyle name="Normal 10 15" xfId="19678"/>
    <cellStyle name="Normal 10 15 2" xfId="19679"/>
    <cellStyle name="Normal 10 16" xfId="19680"/>
    <cellStyle name="Normal 10 17" xfId="19681"/>
    <cellStyle name="Normal 10 2" xfId="19682"/>
    <cellStyle name="Normal 10 2 10" xfId="19683"/>
    <cellStyle name="Normal 10 2 2" xfId="19684"/>
    <cellStyle name="Normal 10 2 2 2" xfId="19685"/>
    <cellStyle name="Normal 10 2 2 2 2" xfId="19686"/>
    <cellStyle name="Normal 10 2 2 2 2 2" xfId="19687"/>
    <cellStyle name="Normal 10 2 2 2 3" xfId="19688"/>
    <cellStyle name="Normal 10 2 2 2 4" xfId="19689"/>
    <cellStyle name="Normal 10 2 2 3" xfId="19690"/>
    <cellStyle name="Normal 10 2 2 3 2" xfId="19691"/>
    <cellStyle name="Normal 10 2 2 3 2 2" xfId="19692"/>
    <cellStyle name="Normal 10 2 2 3 3" xfId="19693"/>
    <cellStyle name="Normal 10 2 2 4" xfId="19694"/>
    <cellStyle name="Normal 10 2 2 4 2" xfId="19695"/>
    <cellStyle name="Normal 10 2 2 5" xfId="19696"/>
    <cellStyle name="Normal 10 2 2 6" xfId="19697"/>
    <cellStyle name="Normal 10 2 2 7" xfId="19698"/>
    <cellStyle name="Normal 10 2 3" xfId="19699"/>
    <cellStyle name="Normal 10 2 3 2" xfId="19700"/>
    <cellStyle name="Normal 10 2 3 2 2" xfId="19701"/>
    <cellStyle name="Normal 10 2 3 3" xfId="19702"/>
    <cellStyle name="Normal 10 2 3 4" xfId="19703"/>
    <cellStyle name="Normal 10 2 3 5" xfId="19704"/>
    <cellStyle name="Normal 10 2 4" xfId="19705"/>
    <cellStyle name="Normal 10 2 4 2" xfId="19706"/>
    <cellStyle name="Normal 10 2 4 2 2" xfId="19707"/>
    <cellStyle name="Normal 10 2 4 3" xfId="19708"/>
    <cellStyle name="Normal 10 2 5" xfId="19709"/>
    <cellStyle name="Normal 10 2 5 2" xfId="19710"/>
    <cellStyle name="Normal 10 2 6" xfId="19711"/>
    <cellStyle name="Normal 10 2 7" xfId="19712"/>
    <cellStyle name="Normal 10 2 8" xfId="19713"/>
    <cellStyle name="Normal 10 2 9" xfId="19714"/>
    <cellStyle name="Normal 10 3" xfId="19715"/>
    <cellStyle name="Normal 10 3 2" xfId="19716"/>
    <cellStyle name="Normal 10 3 2 2" xfId="19717"/>
    <cellStyle name="Normal 10 3 2 2 2" xfId="19718"/>
    <cellStyle name="Normal 10 3 2 2 2 2" xfId="19719"/>
    <cellStyle name="Normal 10 3 2 2 3" xfId="19720"/>
    <cellStyle name="Normal 10 3 2 2 4" xfId="19721"/>
    <cellStyle name="Normal 10 3 2 3" xfId="19722"/>
    <cellStyle name="Normal 10 3 2 3 2" xfId="19723"/>
    <cellStyle name="Normal 10 3 2 3 2 2" xfId="19724"/>
    <cellStyle name="Normal 10 3 2 3 3" xfId="19725"/>
    <cellStyle name="Normal 10 3 2 4" xfId="19726"/>
    <cellStyle name="Normal 10 3 2 4 2" xfId="19727"/>
    <cellStyle name="Normal 10 3 2 5" xfId="19728"/>
    <cellStyle name="Normal 10 3 2 6" xfId="19729"/>
    <cellStyle name="Normal 10 3 3" xfId="19730"/>
    <cellStyle name="Normal 10 3 3 2" xfId="19731"/>
    <cellStyle name="Normal 10 3 3 2 2" xfId="19732"/>
    <cellStyle name="Normal 10 3 3 3" xfId="19733"/>
    <cellStyle name="Normal 10 3 3 4" xfId="19734"/>
    <cellStyle name="Normal 10 3 4" xfId="19735"/>
    <cellStyle name="Normal 10 3 4 2" xfId="19736"/>
    <cellStyle name="Normal 10 3 4 2 2" xfId="19737"/>
    <cellStyle name="Normal 10 3 4 3" xfId="19738"/>
    <cellStyle name="Normal 10 3 5" xfId="19739"/>
    <cellStyle name="Normal 10 3 5 2" xfId="19740"/>
    <cellStyle name="Normal 10 3 6" xfId="19741"/>
    <cellStyle name="Normal 10 3 7" xfId="19742"/>
    <cellStyle name="Normal 10 3 8" xfId="19743"/>
    <cellStyle name="Normal 10 3 9" xfId="19744"/>
    <cellStyle name="Normal 10 4" xfId="19745"/>
    <cellStyle name="Normal 10 4 2" xfId="19746"/>
    <cellStyle name="Normal 10 4 2 2" xfId="19747"/>
    <cellStyle name="Normal 10 4 2 2 2" xfId="19748"/>
    <cellStyle name="Normal 10 4 2 2 2 2" xfId="19749"/>
    <cellStyle name="Normal 10 4 2 2 3" xfId="19750"/>
    <cellStyle name="Normal 10 4 2 2 4" xfId="19751"/>
    <cellStyle name="Normal 10 4 2 3" xfId="19752"/>
    <cellStyle name="Normal 10 4 2 3 2" xfId="19753"/>
    <cellStyle name="Normal 10 4 2 3 2 2" xfId="19754"/>
    <cellStyle name="Normal 10 4 2 3 3" xfId="19755"/>
    <cellStyle name="Normal 10 4 2 4" xfId="19756"/>
    <cellStyle name="Normal 10 4 2 4 2" xfId="19757"/>
    <cellStyle name="Normal 10 4 2 5" xfId="19758"/>
    <cellStyle name="Normal 10 4 2 6" xfId="19759"/>
    <cellStyle name="Normal 10 4 3" xfId="19760"/>
    <cellStyle name="Normal 10 4 3 2" xfId="19761"/>
    <cellStyle name="Normal 10 4 3 2 2" xfId="19762"/>
    <cellStyle name="Normal 10 4 3 3" xfId="19763"/>
    <cellStyle name="Normal 10 4 3 4" xfId="19764"/>
    <cellStyle name="Normal 10 4 4" xfId="19765"/>
    <cellStyle name="Normal 10 4 4 2" xfId="19766"/>
    <cellStyle name="Normal 10 4 4 2 2" xfId="19767"/>
    <cellStyle name="Normal 10 4 4 3" xfId="19768"/>
    <cellStyle name="Normal 10 4 5" xfId="19769"/>
    <cellStyle name="Normal 10 4 5 2" xfId="19770"/>
    <cellStyle name="Normal 10 4 6" xfId="19771"/>
    <cellStyle name="Normal 10 4 7" xfId="19772"/>
    <cellStyle name="Normal 10 4 8" xfId="19773"/>
    <cellStyle name="Normal 10 5" xfId="19774"/>
    <cellStyle name="Normal 10 5 2" xfId="19775"/>
    <cellStyle name="Normal 10 5 2 2" xfId="19776"/>
    <cellStyle name="Normal 10 5 2 2 2" xfId="19777"/>
    <cellStyle name="Normal 10 5 2 2 2 2" xfId="19778"/>
    <cellStyle name="Normal 10 5 2 2 3" xfId="19779"/>
    <cellStyle name="Normal 10 5 2 2 4" xfId="19780"/>
    <cellStyle name="Normal 10 5 2 3" xfId="19781"/>
    <cellStyle name="Normal 10 5 2 3 2" xfId="19782"/>
    <cellStyle name="Normal 10 5 2 3 2 2" xfId="19783"/>
    <cellStyle name="Normal 10 5 2 3 3" xfId="19784"/>
    <cellStyle name="Normal 10 5 2 4" xfId="19785"/>
    <cellStyle name="Normal 10 5 2 4 2" xfId="19786"/>
    <cellStyle name="Normal 10 5 2 5" xfId="19787"/>
    <cellStyle name="Normal 10 5 2 6" xfId="19788"/>
    <cellStyle name="Normal 10 5 3" xfId="19789"/>
    <cellStyle name="Normal 10 5 3 2" xfId="19790"/>
    <cellStyle name="Normal 10 5 3 2 2" xfId="19791"/>
    <cellStyle name="Normal 10 5 3 3" xfId="19792"/>
    <cellStyle name="Normal 10 5 3 4" xfId="19793"/>
    <cellStyle name="Normal 10 5 4" xfId="19794"/>
    <cellStyle name="Normal 10 5 4 2" xfId="19795"/>
    <cellStyle name="Normal 10 5 4 2 2" xfId="19796"/>
    <cellStyle name="Normal 10 5 4 3" xfId="19797"/>
    <cellStyle name="Normal 10 5 5" xfId="19798"/>
    <cellStyle name="Normal 10 5 5 2" xfId="19799"/>
    <cellStyle name="Normal 10 5 6" xfId="19800"/>
    <cellStyle name="Normal 10 5 7" xfId="19801"/>
    <cellStyle name="Normal 10 5 8" xfId="19802"/>
    <cellStyle name="Normal 10 6" xfId="19803"/>
    <cellStyle name="Normal 10 6 2" xfId="19804"/>
    <cellStyle name="Normal 10 6 2 2" xfId="19805"/>
    <cellStyle name="Normal 10 6 2 2 2" xfId="19806"/>
    <cellStyle name="Normal 10 6 2 3" xfId="19807"/>
    <cellStyle name="Normal 10 6 2 4" xfId="19808"/>
    <cellStyle name="Normal 10 6 3" xfId="19809"/>
    <cellStyle name="Normal 10 6 3 2" xfId="19810"/>
    <cellStyle name="Normal 10 6 3 2 2" xfId="19811"/>
    <cellStyle name="Normal 10 6 3 3" xfId="19812"/>
    <cellStyle name="Normal 10 6 4" xfId="19813"/>
    <cellStyle name="Normal 10 6 4 2" xfId="19814"/>
    <cellStyle name="Normal 10 6 5" xfId="19815"/>
    <cellStyle name="Normal 10 6 6" xfId="19816"/>
    <cellStyle name="Normal 10 6 7" xfId="19817"/>
    <cellStyle name="Normal 10 7" xfId="19818"/>
    <cellStyle name="Normal 10 7 2" xfId="19819"/>
    <cellStyle name="Normal 10 8" xfId="19820"/>
    <cellStyle name="Normal 10 8 2" xfId="19821"/>
    <cellStyle name="Normal 10 8 2 2" xfId="19822"/>
    <cellStyle name="Normal 10 8 2 2 2" xfId="19823"/>
    <cellStyle name="Normal 10 8 2 3" xfId="19824"/>
    <cellStyle name="Normal 10 8 2 4" xfId="19825"/>
    <cellStyle name="Normal 10 8 3" xfId="19826"/>
    <cellStyle name="Normal 10 8 3 2" xfId="19827"/>
    <cellStyle name="Normal 10 8 3 2 2" xfId="19828"/>
    <cellStyle name="Normal 10 8 3 3" xfId="19829"/>
    <cellStyle name="Normal 10 8 4" xfId="19830"/>
    <cellStyle name="Normal 10 8 4 2" xfId="19831"/>
    <cellStyle name="Normal 10 8 5" xfId="19832"/>
    <cellStyle name="Normal 10 8 6" xfId="19833"/>
    <cellStyle name="Normal 10 9" xfId="19834"/>
    <cellStyle name="Normal 10 9 2" xfId="19835"/>
    <cellStyle name="Normal 10 9 2 2" xfId="19836"/>
    <cellStyle name="Normal 10 9 2 2 2" xfId="19837"/>
    <cellStyle name="Normal 10 9 2 3" xfId="19838"/>
    <cellStyle name="Normal 10 9 2 4" xfId="19839"/>
    <cellStyle name="Normal 10 9 3" xfId="19840"/>
    <cellStyle name="Normal 10 9 3 2" xfId="19841"/>
    <cellStyle name="Normal 10 9 3 2 2" xfId="19842"/>
    <cellStyle name="Normal 10 9 3 3" xfId="19843"/>
    <cellStyle name="Normal 10 9 4" xfId="19844"/>
    <cellStyle name="Normal 10 9 4 2" xfId="19845"/>
    <cellStyle name="Normal 10 9 5" xfId="19846"/>
    <cellStyle name="Normal 10 9 6" xfId="19847"/>
    <cellStyle name="Normal 11" xfId="185"/>
    <cellStyle name="Normal 11 2" xfId="19848"/>
    <cellStyle name="Normal 11 2 2" xfId="54421"/>
    <cellStyle name="Normal 11 3" xfId="54422"/>
    <cellStyle name="Normal 11 3 2" xfId="54423"/>
    <cellStyle name="Normal 11 4" xfId="54424"/>
    <cellStyle name="Normal 112" xfId="54425"/>
    <cellStyle name="Normal 112 2" xfId="54426"/>
    <cellStyle name="Normal 12" xfId="186"/>
    <cellStyle name="Normal 12 2" xfId="187"/>
    <cellStyle name="Normal 12 2 2" xfId="19849"/>
    <cellStyle name="Normal 12 2 2 2" xfId="19850"/>
    <cellStyle name="Normal 12 2 3" xfId="19851"/>
    <cellStyle name="Normal 12 2 4" xfId="19852"/>
    <cellStyle name="Normal 12 2 5" xfId="19853"/>
    <cellStyle name="Normal 12 2 6" xfId="19854"/>
    <cellStyle name="Normal 12 3" xfId="19855"/>
    <cellStyle name="Normal 12 3 2" xfId="54427"/>
    <cellStyle name="Normal 12 4" xfId="19856"/>
    <cellStyle name="Normal 12_pricing SKY Italia  -" xfId="54428"/>
    <cellStyle name="Normal 13" xfId="188"/>
    <cellStyle name="Normal 13 2" xfId="19857"/>
    <cellStyle name="Normal 13 2 2" xfId="19858"/>
    <cellStyle name="Normal 13 2 2 2" xfId="19859"/>
    <cellStyle name="Normal 13 2 3" xfId="19860"/>
    <cellStyle name="Normal 13 2 4" xfId="19861"/>
    <cellStyle name="Normal 13 2 5" xfId="19862"/>
    <cellStyle name="Normal 13 3" xfId="19863"/>
    <cellStyle name="Normal 13 3 2" xfId="19864"/>
    <cellStyle name="Normal 13 3 2 2" xfId="19865"/>
    <cellStyle name="Normal 13 3 3" xfId="19866"/>
    <cellStyle name="Normal 13 4" xfId="19867"/>
    <cellStyle name="Normal 13 4 2" xfId="19868"/>
    <cellStyle name="Normal 13 5" xfId="19869"/>
    <cellStyle name="Normal 13 6" xfId="19870"/>
    <cellStyle name="Normal 13 7" xfId="19871"/>
    <cellStyle name="Normal 13 8" xfId="19872"/>
    <cellStyle name="Normal 13 9" xfId="19873"/>
    <cellStyle name="Normal 14" xfId="189"/>
    <cellStyle name="Normal 14 2" xfId="19874"/>
    <cellStyle name="Normal 14 2 2" xfId="19875"/>
    <cellStyle name="Normal 14 2 3" xfId="19876"/>
    <cellStyle name="Normal 14 3" xfId="19877"/>
    <cellStyle name="Normal 14 3 2" xfId="54429"/>
    <cellStyle name="Normal 14 4" xfId="19878"/>
    <cellStyle name="Normal 14 5" xfId="19879"/>
    <cellStyle name="Normal 15" xfId="264"/>
    <cellStyle name="Normal 15 2" xfId="19880"/>
    <cellStyle name="Normal 15 2 2" xfId="19881"/>
    <cellStyle name="Normal 15 3" xfId="19882"/>
    <cellStyle name="Normal 15 3 2" xfId="54430"/>
    <cellStyle name="Normal 15 4" xfId="19883"/>
    <cellStyle name="Normal 15 5" xfId="19884"/>
    <cellStyle name="Normal 16" xfId="267"/>
    <cellStyle name="Normal 16 10" xfId="54431"/>
    <cellStyle name="Normal 16 2" xfId="19885"/>
    <cellStyle name="Normal 16 2 2" xfId="54432"/>
    <cellStyle name="Normal 16 2 3" xfId="54433"/>
    <cellStyle name="Normal 16 3" xfId="19886"/>
    <cellStyle name="Normal 16 3 2" xfId="19887"/>
    <cellStyle name="Normal 16 3 2 2" xfId="19888"/>
    <cellStyle name="Normal 16 3 2 3" xfId="19889"/>
    <cellStyle name="Normal 16 3 3" xfId="19890"/>
    <cellStyle name="Normal 16 4" xfId="19891"/>
    <cellStyle name="Normal 16 5" xfId="19892"/>
    <cellStyle name="Normal 16 6" xfId="54434"/>
    <cellStyle name="Normal 16 7" xfId="54435"/>
    <cellStyle name="Normal 16 8" xfId="54436"/>
    <cellStyle name="Normal 16 9" xfId="54437"/>
    <cellStyle name="Normal 16_IBP - COPI Uplift at Investment Area Level 01Feb12" xfId="54438"/>
    <cellStyle name="Normal 17" xfId="284"/>
    <cellStyle name="Normal 17 10" xfId="54439"/>
    <cellStyle name="Normal 17 2" xfId="19893"/>
    <cellStyle name="Normal 17 2 2" xfId="54440"/>
    <cellStyle name="Normal 17 2 3" xfId="54441"/>
    <cellStyle name="Normal 17 3" xfId="19894"/>
    <cellStyle name="Normal 17 3 2" xfId="54442"/>
    <cellStyle name="Normal 17 4" xfId="19895"/>
    <cellStyle name="Normal 17 5" xfId="54443"/>
    <cellStyle name="Normal 17 6" xfId="54444"/>
    <cellStyle name="Normal 17 7" xfId="54445"/>
    <cellStyle name="Normal 17 8" xfId="54446"/>
    <cellStyle name="Normal 17 9" xfId="54447"/>
    <cellStyle name="Normal 17_IBP - COPI Uplift at Investment Area Level 01Feb12" xfId="54448"/>
    <cellStyle name="Normal 18" xfId="285"/>
    <cellStyle name="Normal 18 10" xfId="54449"/>
    <cellStyle name="Normal 18 2" xfId="19896"/>
    <cellStyle name="Normal 18 2 2" xfId="54450"/>
    <cellStyle name="Normal 18 2 3" xfId="54451"/>
    <cellStyle name="Normal 18 3" xfId="54452"/>
    <cellStyle name="Normal 18 3 2" xfId="54453"/>
    <cellStyle name="Normal 18 4" xfId="54454"/>
    <cellStyle name="Normal 18 5" xfId="54455"/>
    <cellStyle name="Normal 18 6" xfId="54456"/>
    <cellStyle name="Normal 18 7" xfId="54457"/>
    <cellStyle name="Normal 18 8" xfId="54458"/>
    <cellStyle name="Normal 18 9" xfId="54459"/>
    <cellStyle name="Normal 18_IBP - COPI Uplift at Investment Area Level 01Feb12" xfId="54460"/>
    <cellStyle name="Normal 19" xfId="289"/>
    <cellStyle name="Normal 19 2" xfId="19897"/>
    <cellStyle name="Normal 19 2 2" xfId="54461"/>
    <cellStyle name="Normal 19 3" xfId="54462"/>
    <cellStyle name="Normal 19 3 2" xfId="54463"/>
    <cellStyle name="Normal 19 4" xfId="54464"/>
    <cellStyle name="Normal 2" xfId="53"/>
    <cellStyle name="Normal 2 2" xfId="190"/>
    <cellStyle name="Normal 2 2 10" xfId="54465"/>
    <cellStyle name="Normal 2 2 11" xfId="54466"/>
    <cellStyle name="Normal 2 2 12" xfId="54467"/>
    <cellStyle name="Normal 2 2 13" xfId="54468"/>
    <cellStyle name="Normal 2 2 14" xfId="54469"/>
    <cellStyle name="Normal 2 2 15" xfId="54470"/>
    <cellStyle name="Normal 2 2 16" xfId="54471"/>
    <cellStyle name="Normal 2 2 17" xfId="54472"/>
    <cellStyle name="Normal 2 2 18" xfId="54473"/>
    <cellStyle name="Normal 2 2 19" xfId="54474"/>
    <cellStyle name="Normal 2 2 2" xfId="291"/>
    <cellStyle name="Normal 2 2 2 2" xfId="54475"/>
    <cellStyle name="Normal 2 2 2 2 2" xfId="54476"/>
    <cellStyle name="Normal 2 2 2 2 3" xfId="54477"/>
    <cellStyle name="Normal 2 2 2 2 4" xfId="54478"/>
    <cellStyle name="Normal 2 2 2 2 5" xfId="54479"/>
    <cellStyle name="Normal 2 2 2 2 6" xfId="54480"/>
    <cellStyle name="Normal 2 2 2 2 7" xfId="54481"/>
    <cellStyle name="Normal 2 2 2 2 8" xfId="54482"/>
    <cellStyle name="Normal 2 2 2 2 9" xfId="54483"/>
    <cellStyle name="Normal 2 2 2 2_IBP - COPI Uplift at Investment Area Level 01Feb12" xfId="54484"/>
    <cellStyle name="Normal 2 2 2 3" xfId="54485"/>
    <cellStyle name="Normal 2 2 2 3 2" xfId="54486"/>
    <cellStyle name="Normal 2 2 2 3 3" xfId="54487"/>
    <cellStyle name="Normal 2 2 2 3 4" xfId="54488"/>
    <cellStyle name="Normal 2 2 2 3 5" xfId="54489"/>
    <cellStyle name="Normal 2 2 2 3 6" xfId="54490"/>
    <cellStyle name="Normal 2 2 2 3 7" xfId="54491"/>
    <cellStyle name="Normal 2 2 2 3 8" xfId="54492"/>
    <cellStyle name="Normal 2 2 2 3 9" xfId="54493"/>
    <cellStyle name="Normal 2 2 2 3_IBP - COPI Uplift at Investment Area Level 01Feb12" xfId="54494"/>
    <cellStyle name="Normal 2 2 20" xfId="54495"/>
    <cellStyle name="Normal 2 2 21" xfId="54496"/>
    <cellStyle name="Normal 2 2 22" xfId="54497"/>
    <cellStyle name="Normal 2 2 23" xfId="54498"/>
    <cellStyle name="Normal 2 2 24" xfId="54499"/>
    <cellStyle name="Normal 2 2 25" xfId="54500"/>
    <cellStyle name="Normal 2 2 26" xfId="54501"/>
    <cellStyle name="Normal 2 2 27" xfId="54502"/>
    <cellStyle name="Normal 2 2 28" xfId="54503"/>
    <cellStyle name="Normal 2 2 29" xfId="54504"/>
    <cellStyle name="Normal 2 2 3" xfId="54505"/>
    <cellStyle name="Normal 2 2 3 2" xfId="54506"/>
    <cellStyle name="Normal 2 2 3 2 2" xfId="54507"/>
    <cellStyle name="Normal 2 2 3 2 3" xfId="54508"/>
    <cellStyle name="Normal 2 2 3 2 4" xfId="54509"/>
    <cellStyle name="Normal 2 2 3 2 5" xfId="54510"/>
    <cellStyle name="Normal 2 2 3 2 6" xfId="54511"/>
    <cellStyle name="Normal 2 2 3 2 7" xfId="54512"/>
    <cellStyle name="Normal 2 2 3 2 8" xfId="54513"/>
    <cellStyle name="Normal 2 2 3 2 9" xfId="54514"/>
    <cellStyle name="Normal 2 2 3 2_IBP - COPI Uplift at Investment Area Level 01Feb12" xfId="54515"/>
    <cellStyle name="Normal 2 2 3 3" xfId="54516"/>
    <cellStyle name="Normal 2 2 3 3 2" xfId="54517"/>
    <cellStyle name="Normal 2 2 3 3 3" xfId="54518"/>
    <cellStyle name="Normal 2 2 3 3 4" xfId="54519"/>
    <cellStyle name="Normal 2 2 3 3 5" xfId="54520"/>
    <cellStyle name="Normal 2 2 3 3 6" xfId="54521"/>
    <cellStyle name="Normal 2 2 3 3 7" xfId="54522"/>
    <cellStyle name="Normal 2 2 3 3 8" xfId="54523"/>
    <cellStyle name="Normal 2 2 3 3 9" xfId="54524"/>
    <cellStyle name="Normal 2 2 3 3_IBP - COPI Uplift at Investment Area Level 01Feb12" xfId="54525"/>
    <cellStyle name="Normal 2 2 30" xfId="54526"/>
    <cellStyle name="Normal 2 2 31" xfId="54527"/>
    <cellStyle name="Normal 2 2 32" xfId="54528"/>
    <cellStyle name="Normal 2 2 33" xfId="54529"/>
    <cellStyle name="Normal 2 2 4" xfId="54530"/>
    <cellStyle name="Normal 2 2 5" xfId="54531"/>
    <cellStyle name="Normal 2 2 6" xfId="54532"/>
    <cellStyle name="Normal 2 2 7" xfId="54533"/>
    <cellStyle name="Normal 2 2 8" xfId="54534"/>
    <cellStyle name="Normal 2 2 9" xfId="54535"/>
    <cellStyle name="Normal 2 2_2012 04 April R&amp;O Register IC Reporting" xfId="54536"/>
    <cellStyle name="Normal 2 3" xfId="191"/>
    <cellStyle name="Normal 2 3 10" xfId="54537"/>
    <cellStyle name="Normal 2 3 11" xfId="54538"/>
    <cellStyle name="Normal 2 3 12" xfId="54539"/>
    <cellStyle name="Normal 2 3 13" xfId="54540"/>
    <cellStyle name="Normal 2 3 14" xfId="54541"/>
    <cellStyle name="Normal 2 3 15" xfId="54542"/>
    <cellStyle name="Normal 2 3 16" xfId="54543"/>
    <cellStyle name="Normal 2 3 17" xfId="54544"/>
    <cellStyle name="Normal 2 3 18" xfId="54545"/>
    <cellStyle name="Normal 2 3 19" xfId="54546"/>
    <cellStyle name="Normal 2 3 2" xfId="192"/>
    <cellStyle name="Normal 2 3 20" xfId="54547"/>
    <cellStyle name="Normal 2 3 21" xfId="54548"/>
    <cellStyle name="Normal 2 3 22" xfId="54549"/>
    <cellStyle name="Normal 2 3 23" xfId="54550"/>
    <cellStyle name="Normal 2 3 24" xfId="54551"/>
    <cellStyle name="Normal 2 3 25" xfId="54552"/>
    <cellStyle name="Normal 2 3 26" xfId="54553"/>
    <cellStyle name="Normal 2 3 27" xfId="54554"/>
    <cellStyle name="Normal 2 3 28" xfId="54555"/>
    <cellStyle name="Normal 2 3 29" xfId="54556"/>
    <cellStyle name="Normal 2 3 3" xfId="19898"/>
    <cellStyle name="Normal 2 3 30" xfId="54557"/>
    <cellStyle name="Normal 2 3 31" xfId="54558"/>
    <cellStyle name="Normal 2 3 32" xfId="54559"/>
    <cellStyle name="Normal 2 3 4" xfId="54560"/>
    <cellStyle name="Normal 2 3 5" xfId="54561"/>
    <cellStyle name="Normal 2 3 6" xfId="54562"/>
    <cellStyle name="Normal 2 3 7" xfId="54563"/>
    <cellStyle name="Normal 2 3 8" xfId="54564"/>
    <cellStyle name="Normal 2 3 9" xfId="54565"/>
    <cellStyle name="Normal 2 3_IBP - COPI Uplift at Investment Area Level 01Feb12" xfId="54566"/>
    <cellStyle name="Normal 2 4" xfId="193"/>
    <cellStyle name="Normal 2 4 10" xfId="54567"/>
    <cellStyle name="Normal 2 4 2" xfId="54568"/>
    <cellStyle name="Normal 2 4 3" xfId="54569"/>
    <cellStyle name="Normal 2 4 4" xfId="54570"/>
    <cellStyle name="Normal 2 4 5" xfId="54571"/>
    <cellStyle name="Normal 2 4 6" xfId="54572"/>
    <cellStyle name="Normal 2 4 7" xfId="54573"/>
    <cellStyle name="Normal 2 4 8" xfId="54574"/>
    <cellStyle name="Normal 2 4 9" xfId="54575"/>
    <cellStyle name="Normal 2 4_IBP - COPI Uplift at Investment Area Level 01Feb12" xfId="54576"/>
    <cellStyle name="Normal 2 5" xfId="194"/>
    <cellStyle name="Normal 2 5 2" xfId="54577"/>
    <cellStyle name="Normal 2 5 3" xfId="54578"/>
    <cellStyle name="Normal 2 5 4" xfId="54579"/>
    <cellStyle name="Normal 2 5 5" xfId="54580"/>
    <cellStyle name="Normal 2 5 6" xfId="54581"/>
    <cellStyle name="Normal 2 5 7" xfId="54582"/>
    <cellStyle name="Normal 2 5 8" xfId="54583"/>
    <cellStyle name="Normal 2 5 9" xfId="54584"/>
    <cellStyle name="Normal 2 5_IBP - COPI Uplift at Investment Area Level 01Feb12" xfId="54585"/>
    <cellStyle name="Normal 2 6" xfId="54586"/>
    <cellStyle name="Normal 2 7" xfId="54587"/>
    <cellStyle name="Normal 2 8" xfId="54588"/>
    <cellStyle name="Normal 2_11th  Nov Transition Plan" xfId="54589"/>
    <cellStyle name="Normal 20" xfId="19899"/>
    <cellStyle name="Normal 20 2" xfId="19900"/>
    <cellStyle name="Normal 20 2 2" xfId="54590"/>
    <cellStyle name="Normal 20 3" xfId="54591"/>
    <cellStyle name="Normal 20 3 2" xfId="54592"/>
    <cellStyle name="Normal 20 4" xfId="54593"/>
    <cellStyle name="Normal 21" xfId="19901"/>
    <cellStyle name="Normal 21 2" xfId="54594"/>
    <cellStyle name="Normal 21 2 2" xfId="54595"/>
    <cellStyle name="Normal 21 3" xfId="54596"/>
    <cellStyle name="Normal 21 3 2" xfId="54597"/>
    <cellStyle name="Normal 21 4" xfId="54598"/>
    <cellStyle name="Normal 22" xfId="19902"/>
    <cellStyle name="Normal 22 2" xfId="54599"/>
    <cellStyle name="Normal 22 2 2" xfId="54600"/>
    <cellStyle name="Normal 22 2 3" xfId="54601"/>
    <cellStyle name="Normal 22 3" xfId="54602"/>
    <cellStyle name="Normal 22 3 2" xfId="54603"/>
    <cellStyle name="Normal 22 4" xfId="54604"/>
    <cellStyle name="Normal 22 4 2" xfId="54605"/>
    <cellStyle name="Normal 22 4 2 2" xfId="54606"/>
    <cellStyle name="Normal 22 4 3" xfId="54607"/>
    <cellStyle name="Normal 22 5" xfId="54608"/>
    <cellStyle name="Normal 23" xfId="19903"/>
    <cellStyle name="Normal 23 2" xfId="54609"/>
    <cellStyle name="Normal 23 3" xfId="54610"/>
    <cellStyle name="Normal 24" xfId="19904"/>
    <cellStyle name="Normal 24 2" xfId="54611"/>
    <cellStyle name="Normal 24 2 2" xfId="54612"/>
    <cellStyle name="Normal 24 3" xfId="54613"/>
    <cellStyle name="Normal 24 4" xfId="54614"/>
    <cellStyle name="Normal 25" xfId="19905"/>
    <cellStyle name="Normal 25 2" xfId="54615"/>
    <cellStyle name="Normal 25 2 2" xfId="54616"/>
    <cellStyle name="Normal 25 3" xfId="54617"/>
    <cellStyle name="Normal 25 4" xfId="54618"/>
    <cellStyle name="Normal 26" xfId="40202"/>
    <cellStyle name="Normal 26 2" xfId="40204"/>
    <cellStyle name="Normal 26 2 2" xfId="54619"/>
    <cellStyle name="Normal 26 3" xfId="54620"/>
    <cellStyle name="Normal 26 4" xfId="54621"/>
    <cellStyle name="Normal 27" xfId="40203"/>
    <cellStyle name="Normal 27 2" xfId="54622"/>
    <cellStyle name="Normal 27 2 2" xfId="54623"/>
    <cellStyle name="Normal 27 3" xfId="54624"/>
    <cellStyle name="Normal 27 4" xfId="54625"/>
    <cellStyle name="Normal 28" xfId="54626"/>
    <cellStyle name="Normal 28 2" xfId="54627"/>
    <cellStyle name="Normal 28 3" xfId="54628"/>
    <cellStyle name="Normal 29" xfId="54629"/>
    <cellStyle name="Normal 29 2" xfId="54630"/>
    <cellStyle name="Normal 29 2 2" xfId="54631"/>
    <cellStyle name="Normal 29 3" xfId="54632"/>
    <cellStyle name="Normal 3" xfId="56"/>
    <cellStyle name="Normal 3 10" xfId="54633"/>
    <cellStyle name="Normal 3 11" xfId="54634"/>
    <cellStyle name="Normal 3 12" xfId="54635"/>
    <cellStyle name="Normal 3 13" xfId="54636"/>
    <cellStyle name="Normal 3 14" xfId="54637"/>
    <cellStyle name="Normal 3 15" xfId="54638"/>
    <cellStyle name="Normal 3 16" xfId="54639"/>
    <cellStyle name="Normal 3 17" xfId="54640"/>
    <cellStyle name="Normal 3 18" xfId="54641"/>
    <cellStyle name="Normal 3 19" xfId="54642"/>
    <cellStyle name="Normal 3 2" xfId="195"/>
    <cellStyle name="Normal 3 2 2" xfId="19906"/>
    <cellStyle name="Normal 3 2 2 2" xfId="54643"/>
    <cellStyle name="Normal 3 2 2 3" xfId="54644"/>
    <cellStyle name="Normal 3 2 3" xfId="19907"/>
    <cellStyle name="Normal 3 2 3 2" xfId="19908"/>
    <cellStyle name="Normal 3 2 4" xfId="19909"/>
    <cellStyle name="Normal 3 2 4 2" xfId="19910"/>
    <cellStyle name="Normal 3 2 5" xfId="19911"/>
    <cellStyle name="Normal 3 20" xfId="54645"/>
    <cellStyle name="Normal 3 21" xfId="54646"/>
    <cellStyle name="Normal 3 22" xfId="54647"/>
    <cellStyle name="Normal 3 23" xfId="54648"/>
    <cellStyle name="Normal 3 24" xfId="54649"/>
    <cellStyle name="Normal 3 25" xfId="54650"/>
    <cellStyle name="Normal 3 26" xfId="54651"/>
    <cellStyle name="Normal 3 27" xfId="54652"/>
    <cellStyle name="Normal 3 28" xfId="54653"/>
    <cellStyle name="Normal 3 29" xfId="54654"/>
    <cellStyle name="Normal 3 3" xfId="196"/>
    <cellStyle name="Normal 3 3 2" xfId="54655"/>
    <cellStyle name="Normal 3 3 3" xfId="54656"/>
    <cellStyle name="Normal 3 3 3 2" xfId="54657"/>
    <cellStyle name="Normal 3 3 4" xfId="54658"/>
    <cellStyle name="Normal 3 30" xfId="54659"/>
    <cellStyle name="Normal 3 31" xfId="54660"/>
    <cellStyle name="Normal 3 4" xfId="197"/>
    <cellStyle name="Normal 3 5" xfId="198"/>
    <cellStyle name="Normal 3 6" xfId="54661"/>
    <cellStyle name="Normal 3 7" xfId="54662"/>
    <cellStyle name="Normal 3 8" xfId="54663"/>
    <cellStyle name="Normal 3 9" xfId="54664"/>
    <cellStyle name="Normal 3_5-11 Contract 895 A1_Optimise_Section_E_Tables_091005" xfId="54665"/>
    <cellStyle name="Normal 30" xfId="54666"/>
    <cellStyle name="Normal 30 2" xfId="54667"/>
    <cellStyle name="Normal 31" xfId="54668"/>
    <cellStyle name="Normal 31 2" xfId="54669"/>
    <cellStyle name="Normal 31 2 2" xfId="54670"/>
    <cellStyle name="Normal 31 3" xfId="54671"/>
    <cellStyle name="Normal 32" xfId="54672"/>
    <cellStyle name="Normal 32 2" xfId="54673"/>
    <cellStyle name="Normal 32 2 2" xfId="54674"/>
    <cellStyle name="Normal 33" xfId="54675"/>
    <cellStyle name="Normal 33 2" xfId="54676"/>
    <cellStyle name="Normal 34" xfId="54677"/>
    <cellStyle name="Normal 34 2" xfId="54678"/>
    <cellStyle name="Normal 35" xfId="54679"/>
    <cellStyle name="Normal 35 2" xfId="54680"/>
    <cellStyle name="Normal 35 2 2" xfId="54681"/>
    <cellStyle name="Normal 35 3" xfId="54682"/>
    <cellStyle name="Normal 36" xfId="54683"/>
    <cellStyle name="Normal 36 2" xfId="54684"/>
    <cellStyle name="Normal 37" xfId="54685"/>
    <cellStyle name="Normal 37 2" xfId="54686"/>
    <cellStyle name="Normal 37 3" xfId="54687"/>
    <cellStyle name="Normal 38" xfId="54688"/>
    <cellStyle name="Normal 38 2" xfId="54689"/>
    <cellStyle name="Normal 38 3" xfId="54690"/>
    <cellStyle name="Normal 39" xfId="54691"/>
    <cellStyle name="Normal 39 2" xfId="54692"/>
    <cellStyle name="Normal 39 3" xfId="54693"/>
    <cellStyle name="Normal 4" xfId="60"/>
    <cellStyle name="Normal 4 2" xfId="64"/>
    <cellStyle name="Normal 4 2 10" xfId="54694"/>
    <cellStyle name="Normal 4 2 2" xfId="19912"/>
    <cellStyle name="Normal 4 2 2 2" xfId="54695"/>
    <cellStyle name="Normal 4 2 3" xfId="54696"/>
    <cellStyle name="Normal 4 2 4" xfId="54697"/>
    <cellStyle name="Normal 4 2 5" xfId="54698"/>
    <cellStyle name="Normal 4 2 6" xfId="54699"/>
    <cellStyle name="Normal 4 2 7" xfId="54700"/>
    <cellStyle name="Normal 4 2 8" xfId="54701"/>
    <cellStyle name="Normal 4 2 9" xfId="54702"/>
    <cellStyle name="Normal 4 2_IBP - COPI Uplift at Investment Area Level 01Feb12" xfId="54703"/>
    <cellStyle name="Normal 4 3" xfId="266"/>
    <cellStyle name="Normal 4 3 2" xfId="54704"/>
    <cellStyle name="Normal 4 3 3" xfId="54705"/>
    <cellStyle name="Normal 4 3 4" xfId="54706"/>
    <cellStyle name="Normal 4 3 5" xfId="54707"/>
    <cellStyle name="Normal 4 3 6" xfId="54708"/>
    <cellStyle name="Normal 4 3 7" xfId="54709"/>
    <cellStyle name="Normal 4 3 8" xfId="54710"/>
    <cellStyle name="Normal 4 3 9" xfId="54711"/>
    <cellStyle name="Normal 4 3_IBP - COPI Uplift at Investment Area Level 01Feb12" xfId="54712"/>
    <cellStyle name="Normal 4 4" xfId="19913"/>
    <cellStyle name="Normal 4_IBP by Inv Area" xfId="54713"/>
    <cellStyle name="Normal 40" xfId="54714"/>
    <cellStyle name="Normal 40 2" xfId="54715"/>
    <cellStyle name="Normal 40 2 2" xfId="54716"/>
    <cellStyle name="Normal 40 3" xfId="54717"/>
    <cellStyle name="Normal 41" xfId="54718"/>
    <cellStyle name="Normal 41 2" xfId="54719"/>
    <cellStyle name="Normal 42" xfId="54720"/>
    <cellStyle name="Normal 42 2" xfId="54721"/>
    <cellStyle name="Normal 43" xfId="54722"/>
    <cellStyle name="Normal 43 2" xfId="54723"/>
    <cellStyle name="Normal 44" xfId="54724"/>
    <cellStyle name="Normal 44 2" xfId="54725"/>
    <cellStyle name="Normal 45" xfId="54726"/>
    <cellStyle name="Normal 45 2" xfId="54727"/>
    <cellStyle name="Normal 45 3" xfId="54728"/>
    <cellStyle name="Normal 46" xfId="54729"/>
    <cellStyle name="Normal 46 2" xfId="54730"/>
    <cellStyle name="Normal 46 3" xfId="54731"/>
    <cellStyle name="Normal 47" xfId="54732"/>
    <cellStyle name="Normal 47 2" xfId="54733"/>
    <cellStyle name="Normal 47 3" xfId="54734"/>
    <cellStyle name="Normal 48" xfId="54735"/>
    <cellStyle name="Normal 48 2" xfId="54736"/>
    <cellStyle name="Normal 49" xfId="54737"/>
    <cellStyle name="Normal 49 2" xfId="54738"/>
    <cellStyle name="Normal 5" xfId="62"/>
    <cellStyle name="Normal 5 2" xfId="66"/>
    <cellStyle name="Normal 5 2 2" xfId="19914"/>
    <cellStyle name="Normal 5 2 2 2" xfId="19915"/>
    <cellStyle name="Normal 5 2 3" xfId="54739"/>
    <cellStyle name="Normal 5 2 4" xfId="54740"/>
    <cellStyle name="Normal 5 3" xfId="54741"/>
    <cellStyle name="Normal 5 4" xfId="54742"/>
    <cellStyle name="Normal 50" xfId="54743"/>
    <cellStyle name="Normal 50 2" xfId="54744"/>
    <cellStyle name="Normal 51" xfId="54745"/>
    <cellStyle name="Normal 51 2" xfId="54746"/>
    <cellStyle name="Normal 52" xfId="54747"/>
    <cellStyle name="Normal 52 2" xfId="54748"/>
    <cellStyle name="Normal 53" xfId="54749"/>
    <cellStyle name="Normal 53 2" xfId="54750"/>
    <cellStyle name="Normal 54" xfId="54751"/>
    <cellStyle name="Normal 54 2" xfId="54752"/>
    <cellStyle name="Normal 55" xfId="54753"/>
    <cellStyle name="Normal 55 2" xfId="54754"/>
    <cellStyle name="Normal 55 3" xfId="54755"/>
    <cellStyle name="Normal 56" xfId="54756"/>
    <cellStyle name="Normal 56 2" xfId="54757"/>
    <cellStyle name="Normal 56 3" xfId="54758"/>
    <cellStyle name="Normal 57" xfId="54759"/>
    <cellStyle name="Normal 57 2" xfId="54760"/>
    <cellStyle name="Normal 58" xfId="54761"/>
    <cellStyle name="Normal 58 2" xfId="54762"/>
    <cellStyle name="Normal 59" xfId="54763"/>
    <cellStyle name="Normal 59 2" xfId="54764"/>
    <cellStyle name="Normal 6" xfId="199"/>
    <cellStyle name="Normal 6 2" xfId="200"/>
    <cellStyle name="Normal 6 2 2" xfId="19916"/>
    <cellStyle name="Normal 6 2 3" xfId="19917"/>
    <cellStyle name="Normal 6 2 3 2" xfId="19918"/>
    <cellStyle name="Normal 6 2 4" xfId="19919"/>
    <cellStyle name="Normal 6 3" xfId="19920"/>
    <cellStyle name="Normal 6 3 2" xfId="54765"/>
    <cellStyle name="Normal 6 4" xfId="19921"/>
    <cellStyle name="Normal 6 5" xfId="54766"/>
    <cellStyle name="Normal 60" xfId="54767"/>
    <cellStyle name="Normal 60 2" xfId="54768"/>
    <cellStyle name="Normal 60 3" xfId="54769"/>
    <cellStyle name="Normal 61" xfId="54770"/>
    <cellStyle name="Normal 61 2" xfId="54771"/>
    <cellStyle name="Normal 62" xfId="54772"/>
    <cellStyle name="Normal 62 2" xfId="54773"/>
    <cellStyle name="Normal 63" xfId="54774"/>
    <cellStyle name="Normal 64" xfId="54775"/>
    <cellStyle name="Normal 64 2" xfId="54776"/>
    <cellStyle name="Normal 64 2 2" xfId="54777"/>
    <cellStyle name="Normal 64 3" xfId="54778"/>
    <cellStyle name="Normal 65" xfId="54779"/>
    <cellStyle name="Normal 65 2" xfId="54780"/>
    <cellStyle name="Normal 65 2 2" xfId="54781"/>
    <cellStyle name="Normal 65 3" xfId="54782"/>
    <cellStyle name="Normal 66" xfId="54783"/>
    <cellStyle name="Normal 66 2" xfId="54784"/>
    <cellStyle name="Normal 67" xfId="54785"/>
    <cellStyle name="Normal 67 2" xfId="54786"/>
    <cellStyle name="Normal 68" xfId="54787"/>
    <cellStyle name="Normal 68 2" xfId="54788"/>
    <cellStyle name="Normal 69" xfId="54789"/>
    <cellStyle name="Normal 69 2" xfId="54790"/>
    <cellStyle name="Normal 7" xfId="201"/>
    <cellStyle name="Normal 7 10" xfId="19922"/>
    <cellStyle name="Normal 7 10 2" xfId="19923"/>
    <cellStyle name="Normal 7 10 2 2" xfId="19924"/>
    <cellStyle name="Normal 7 10 2 2 2" xfId="19925"/>
    <cellStyle name="Normal 7 10 2 3" xfId="19926"/>
    <cellStyle name="Normal 7 10 2 4" xfId="19927"/>
    <cellStyle name="Normal 7 10 3" xfId="19928"/>
    <cellStyle name="Normal 7 10 3 2" xfId="19929"/>
    <cellStyle name="Normal 7 10 3 2 2" xfId="19930"/>
    <cellStyle name="Normal 7 10 3 3" xfId="19931"/>
    <cellStyle name="Normal 7 10 4" xfId="19932"/>
    <cellStyle name="Normal 7 10 4 2" xfId="19933"/>
    <cellStyle name="Normal 7 10 5" xfId="19934"/>
    <cellStyle name="Normal 7 10 6" xfId="19935"/>
    <cellStyle name="Normal 7 11" xfId="19936"/>
    <cellStyle name="Normal 7 11 2" xfId="19937"/>
    <cellStyle name="Normal 7 11 2 2" xfId="19938"/>
    <cellStyle name="Normal 7 11 3" xfId="19939"/>
    <cellStyle name="Normal 7 11 4" xfId="19940"/>
    <cellStyle name="Normal 7 12" xfId="19941"/>
    <cellStyle name="Normal 7 12 2" xfId="19942"/>
    <cellStyle name="Normal 7 12 2 2" xfId="19943"/>
    <cellStyle name="Normal 7 12 3" xfId="19944"/>
    <cellStyle name="Normal 7 13" xfId="19945"/>
    <cellStyle name="Normal 7 13 2" xfId="19946"/>
    <cellStyle name="Normal 7 14" xfId="19947"/>
    <cellStyle name="Normal 7 14 2" xfId="19948"/>
    <cellStyle name="Normal 7 15" xfId="19949"/>
    <cellStyle name="Normal 7 15 2" xfId="19950"/>
    <cellStyle name="Normal 7 16" xfId="19951"/>
    <cellStyle name="Normal 7 17" xfId="19952"/>
    <cellStyle name="Normal 7 18" xfId="19953"/>
    <cellStyle name="Normal 7 19" xfId="19954"/>
    <cellStyle name="Normal 7 2" xfId="271"/>
    <cellStyle name="Normal 7 2 10" xfId="19955"/>
    <cellStyle name="Normal 7 2 10 2" xfId="19956"/>
    <cellStyle name="Normal 7 2 10 2 2" xfId="19957"/>
    <cellStyle name="Normal 7 2 10 3" xfId="19958"/>
    <cellStyle name="Normal 7 2 10 4" xfId="19959"/>
    <cellStyle name="Normal 7 2 11" xfId="19960"/>
    <cellStyle name="Normal 7 2 11 2" xfId="19961"/>
    <cellStyle name="Normal 7 2 11 2 2" xfId="19962"/>
    <cellStyle name="Normal 7 2 11 3" xfId="19963"/>
    <cellStyle name="Normal 7 2 12" xfId="19964"/>
    <cellStyle name="Normal 7 2 12 2" xfId="19965"/>
    <cellStyle name="Normal 7 2 13" xfId="19966"/>
    <cellStyle name="Normal 7 2 13 2" xfId="19967"/>
    <cellStyle name="Normal 7 2 14" xfId="19968"/>
    <cellStyle name="Normal 7 2 15" xfId="19969"/>
    <cellStyle name="Normal 7 2 16" xfId="19970"/>
    <cellStyle name="Normal 7 2 17" xfId="19971"/>
    <cellStyle name="Normal 7 2 18" xfId="19972"/>
    <cellStyle name="Normal 7 2 19" xfId="19973"/>
    <cellStyle name="Normal 7 2 2" xfId="627"/>
    <cellStyle name="Normal 7 2 2 10" xfId="19974"/>
    <cellStyle name="Normal 7 2 2 11" xfId="19975"/>
    <cellStyle name="Normal 7 2 2 12" xfId="19976"/>
    <cellStyle name="Normal 7 2 2 13" xfId="19977"/>
    <cellStyle name="Normal 7 2 2 14" xfId="19978"/>
    <cellStyle name="Normal 7 2 2 2" xfId="628"/>
    <cellStyle name="Normal 7 2 2 2 2" xfId="19979"/>
    <cellStyle name="Normal 7 2 2 2 2 2" xfId="19980"/>
    <cellStyle name="Normal 7 2 2 2 2 2 2" xfId="19981"/>
    <cellStyle name="Normal 7 2 2 2 2 3" xfId="19982"/>
    <cellStyle name="Normal 7 2 2 2 2 4" xfId="19983"/>
    <cellStyle name="Normal 7 2 2 2 3" xfId="19984"/>
    <cellStyle name="Normal 7 2 2 2 3 2" xfId="19985"/>
    <cellStyle name="Normal 7 2 2 2 3 2 2" xfId="19986"/>
    <cellStyle name="Normal 7 2 2 2 3 3" xfId="19987"/>
    <cellStyle name="Normal 7 2 2 2 4" xfId="19988"/>
    <cellStyle name="Normal 7 2 2 2 4 2" xfId="19989"/>
    <cellStyle name="Normal 7 2 2 2 5" xfId="19990"/>
    <cellStyle name="Normal 7 2 2 2 6" xfId="19991"/>
    <cellStyle name="Normal 7 2 2 2 7" xfId="19992"/>
    <cellStyle name="Normal 7 2 2 3" xfId="19993"/>
    <cellStyle name="Normal 7 2 2 3 2" xfId="19994"/>
    <cellStyle name="Normal 7 2 2 3 2 2" xfId="19995"/>
    <cellStyle name="Normal 7 2 2 3 3" xfId="19996"/>
    <cellStyle name="Normal 7 2 2 3 4" xfId="19997"/>
    <cellStyle name="Normal 7 2 2 3 5" xfId="19998"/>
    <cellStyle name="Normal 7 2 2 4" xfId="19999"/>
    <cellStyle name="Normal 7 2 2 4 2" xfId="20000"/>
    <cellStyle name="Normal 7 2 2 4 2 2" xfId="20001"/>
    <cellStyle name="Normal 7 2 2 4 3" xfId="20002"/>
    <cellStyle name="Normal 7 2 2 5" xfId="20003"/>
    <cellStyle name="Normal 7 2 2 5 2" xfId="20004"/>
    <cellStyle name="Normal 7 2 2 6" xfId="20005"/>
    <cellStyle name="Normal 7 2 2 7" xfId="20006"/>
    <cellStyle name="Normal 7 2 2 8" xfId="20007"/>
    <cellStyle name="Normal 7 2 2 9" xfId="20008"/>
    <cellStyle name="Normal 7 2 20" xfId="20009"/>
    <cellStyle name="Normal 7 2 21" xfId="20010"/>
    <cellStyle name="Normal 7 2 22" xfId="20011"/>
    <cellStyle name="Normal 7 2 23" xfId="20012"/>
    <cellStyle name="Normal 7 2 3" xfId="629"/>
    <cellStyle name="Normal 7 2 3 10" xfId="20013"/>
    <cellStyle name="Normal 7 2 3 11" xfId="20014"/>
    <cellStyle name="Normal 7 2 3 12" xfId="20015"/>
    <cellStyle name="Normal 7 2 3 13" xfId="20016"/>
    <cellStyle name="Normal 7 2 3 2" xfId="630"/>
    <cellStyle name="Normal 7 2 3 2 2" xfId="20017"/>
    <cellStyle name="Normal 7 2 3 2 2 2" xfId="20018"/>
    <cellStyle name="Normal 7 2 3 2 2 2 2" xfId="20019"/>
    <cellStyle name="Normal 7 2 3 2 2 3" xfId="20020"/>
    <cellStyle name="Normal 7 2 3 2 2 4" xfId="20021"/>
    <cellStyle name="Normal 7 2 3 2 3" xfId="20022"/>
    <cellStyle name="Normal 7 2 3 2 3 2" xfId="20023"/>
    <cellStyle name="Normal 7 2 3 2 3 2 2" xfId="20024"/>
    <cellStyle name="Normal 7 2 3 2 3 3" xfId="20025"/>
    <cellStyle name="Normal 7 2 3 2 4" xfId="20026"/>
    <cellStyle name="Normal 7 2 3 2 4 2" xfId="20027"/>
    <cellStyle name="Normal 7 2 3 2 5" xfId="20028"/>
    <cellStyle name="Normal 7 2 3 2 6" xfId="20029"/>
    <cellStyle name="Normal 7 2 3 3" xfId="20030"/>
    <cellStyle name="Normal 7 2 3 3 2" xfId="20031"/>
    <cellStyle name="Normal 7 2 3 3 2 2" xfId="20032"/>
    <cellStyle name="Normal 7 2 3 3 3" xfId="20033"/>
    <cellStyle name="Normal 7 2 3 3 4" xfId="20034"/>
    <cellStyle name="Normal 7 2 3 4" xfId="20035"/>
    <cellStyle name="Normal 7 2 3 4 2" xfId="20036"/>
    <cellStyle name="Normal 7 2 3 4 2 2" xfId="20037"/>
    <cellStyle name="Normal 7 2 3 4 3" xfId="20038"/>
    <cellStyle name="Normal 7 2 3 5" xfId="20039"/>
    <cellStyle name="Normal 7 2 3 5 2" xfId="20040"/>
    <cellStyle name="Normal 7 2 3 6" xfId="20041"/>
    <cellStyle name="Normal 7 2 3 7" xfId="20042"/>
    <cellStyle name="Normal 7 2 3 8" xfId="20043"/>
    <cellStyle name="Normal 7 2 3 9" xfId="20044"/>
    <cellStyle name="Normal 7 2 4" xfId="631"/>
    <cellStyle name="Normal 7 2 4 10" xfId="20045"/>
    <cellStyle name="Normal 7 2 4 11" xfId="20046"/>
    <cellStyle name="Normal 7 2 4 2" xfId="20047"/>
    <cellStyle name="Normal 7 2 4 2 2" xfId="20048"/>
    <cellStyle name="Normal 7 2 4 2 2 2" xfId="20049"/>
    <cellStyle name="Normal 7 2 4 2 2 2 2" xfId="20050"/>
    <cellStyle name="Normal 7 2 4 2 2 3" xfId="20051"/>
    <cellStyle name="Normal 7 2 4 2 2 4" xfId="20052"/>
    <cellStyle name="Normal 7 2 4 2 3" xfId="20053"/>
    <cellStyle name="Normal 7 2 4 2 3 2" xfId="20054"/>
    <cellStyle name="Normal 7 2 4 2 3 2 2" xfId="20055"/>
    <cellStyle name="Normal 7 2 4 2 3 3" xfId="20056"/>
    <cellStyle name="Normal 7 2 4 2 4" xfId="20057"/>
    <cellStyle name="Normal 7 2 4 2 4 2" xfId="20058"/>
    <cellStyle name="Normal 7 2 4 2 5" xfId="20059"/>
    <cellStyle name="Normal 7 2 4 2 6" xfId="20060"/>
    <cellStyle name="Normal 7 2 4 3" xfId="20061"/>
    <cellStyle name="Normal 7 2 4 3 2" xfId="20062"/>
    <cellStyle name="Normal 7 2 4 3 2 2" xfId="20063"/>
    <cellStyle name="Normal 7 2 4 3 3" xfId="20064"/>
    <cellStyle name="Normal 7 2 4 3 4" xfId="20065"/>
    <cellStyle name="Normal 7 2 4 4" xfId="20066"/>
    <cellStyle name="Normal 7 2 4 4 2" xfId="20067"/>
    <cellStyle name="Normal 7 2 4 4 2 2" xfId="20068"/>
    <cellStyle name="Normal 7 2 4 4 3" xfId="20069"/>
    <cellStyle name="Normal 7 2 4 5" xfId="20070"/>
    <cellStyle name="Normal 7 2 4 5 2" xfId="20071"/>
    <cellStyle name="Normal 7 2 4 6" xfId="20072"/>
    <cellStyle name="Normal 7 2 4 7" xfId="20073"/>
    <cellStyle name="Normal 7 2 4 8" xfId="20074"/>
    <cellStyle name="Normal 7 2 4 9" xfId="20075"/>
    <cellStyle name="Normal 7 2 5" xfId="20076"/>
    <cellStyle name="Normal 7 2 5 2" xfId="20077"/>
    <cellStyle name="Normal 7 2 5 2 2" xfId="20078"/>
    <cellStyle name="Normal 7 2 5 2 2 2" xfId="20079"/>
    <cellStyle name="Normal 7 2 5 2 2 2 2" xfId="20080"/>
    <cellStyle name="Normal 7 2 5 2 2 3" xfId="20081"/>
    <cellStyle name="Normal 7 2 5 2 2 4" xfId="20082"/>
    <cellStyle name="Normal 7 2 5 2 3" xfId="20083"/>
    <cellStyle name="Normal 7 2 5 2 3 2" xfId="20084"/>
    <cellStyle name="Normal 7 2 5 2 3 2 2" xfId="20085"/>
    <cellStyle name="Normal 7 2 5 2 3 3" xfId="20086"/>
    <cellStyle name="Normal 7 2 5 2 4" xfId="20087"/>
    <cellStyle name="Normal 7 2 5 2 4 2" xfId="20088"/>
    <cellStyle name="Normal 7 2 5 2 5" xfId="20089"/>
    <cellStyle name="Normal 7 2 5 2 6" xfId="20090"/>
    <cellStyle name="Normal 7 2 5 3" xfId="20091"/>
    <cellStyle name="Normal 7 2 5 3 2" xfId="20092"/>
    <cellStyle name="Normal 7 2 5 3 2 2" xfId="20093"/>
    <cellStyle name="Normal 7 2 5 3 3" xfId="20094"/>
    <cellStyle name="Normal 7 2 5 3 4" xfId="20095"/>
    <cellStyle name="Normal 7 2 5 4" xfId="20096"/>
    <cellStyle name="Normal 7 2 5 4 2" xfId="20097"/>
    <cellStyle name="Normal 7 2 5 4 2 2" xfId="20098"/>
    <cellStyle name="Normal 7 2 5 4 3" xfId="20099"/>
    <cellStyle name="Normal 7 2 5 5" xfId="20100"/>
    <cellStyle name="Normal 7 2 5 5 2" xfId="20101"/>
    <cellStyle name="Normal 7 2 5 6" xfId="20102"/>
    <cellStyle name="Normal 7 2 5 7" xfId="20103"/>
    <cellStyle name="Normal 7 2 5 8" xfId="20104"/>
    <cellStyle name="Normal 7 2 6" xfId="20105"/>
    <cellStyle name="Normal 7 2 6 2" xfId="20106"/>
    <cellStyle name="Normal 7 2 6 2 2" xfId="20107"/>
    <cellStyle name="Normal 7 2 6 2 2 2" xfId="20108"/>
    <cellStyle name="Normal 7 2 6 2 3" xfId="20109"/>
    <cellStyle name="Normal 7 2 6 2 4" xfId="20110"/>
    <cellStyle name="Normal 7 2 6 3" xfId="20111"/>
    <cellStyle name="Normal 7 2 6 3 2" xfId="20112"/>
    <cellStyle name="Normal 7 2 6 3 2 2" xfId="20113"/>
    <cellStyle name="Normal 7 2 6 3 3" xfId="20114"/>
    <cellStyle name="Normal 7 2 6 4" xfId="20115"/>
    <cellStyle name="Normal 7 2 6 4 2" xfId="20116"/>
    <cellStyle name="Normal 7 2 6 5" xfId="20117"/>
    <cellStyle name="Normal 7 2 6 6" xfId="20118"/>
    <cellStyle name="Normal 7 2 6 7" xfId="20119"/>
    <cellStyle name="Normal 7 2 7" xfId="20120"/>
    <cellStyle name="Normal 7 2 7 2" xfId="20121"/>
    <cellStyle name="Normal 7 2 7 2 2" xfId="20122"/>
    <cellStyle name="Normal 7 2 7 2 2 2" xfId="20123"/>
    <cellStyle name="Normal 7 2 7 2 3" xfId="20124"/>
    <cellStyle name="Normal 7 2 7 2 4" xfId="20125"/>
    <cellStyle name="Normal 7 2 7 3" xfId="20126"/>
    <cellStyle name="Normal 7 2 7 3 2" xfId="20127"/>
    <cellStyle name="Normal 7 2 7 3 2 2" xfId="20128"/>
    <cellStyle name="Normal 7 2 7 3 3" xfId="20129"/>
    <cellStyle name="Normal 7 2 7 4" xfId="20130"/>
    <cellStyle name="Normal 7 2 7 4 2" xfId="20131"/>
    <cellStyle name="Normal 7 2 7 5" xfId="20132"/>
    <cellStyle name="Normal 7 2 7 6" xfId="20133"/>
    <cellStyle name="Normal 7 2 7 7" xfId="20134"/>
    <cellStyle name="Normal 7 2 8" xfId="20135"/>
    <cellStyle name="Normal 7 2 8 2" xfId="20136"/>
    <cellStyle name="Normal 7 2 8 2 2" xfId="20137"/>
    <cellStyle name="Normal 7 2 8 2 2 2" xfId="20138"/>
    <cellStyle name="Normal 7 2 8 2 3" xfId="20139"/>
    <cellStyle name="Normal 7 2 8 2 4" xfId="20140"/>
    <cellStyle name="Normal 7 2 8 3" xfId="20141"/>
    <cellStyle name="Normal 7 2 8 3 2" xfId="20142"/>
    <cellStyle name="Normal 7 2 8 3 2 2" xfId="20143"/>
    <cellStyle name="Normal 7 2 8 3 3" xfId="20144"/>
    <cellStyle name="Normal 7 2 8 4" xfId="20145"/>
    <cellStyle name="Normal 7 2 8 4 2" xfId="20146"/>
    <cellStyle name="Normal 7 2 8 5" xfId="20147"/>
    <cellStyle name="Normal 7 2 8 6" xfId="20148"/>
    <cellStyle name="Normal 7 2 8 7" xfId="20149"/>
    <cellStyle name="Normal 7 2 9" xfId="20150"/>
    <cellStyle name="Normal 7 2 9 2" xfId="20151"/>
    <cellStyle name="Normal 7 2 9 2 2" xfId="20152"/>
    <cellStyle name="Normal 7 2 9 2 2 2" xfId="20153"/>
    <cellStyle name="Normal 7 2 9 2 3" xfId="20154"/>
    <cellStyle name="Normal 7 2 9 2 4" xfId="20155"/>
    <cellStyle name="Normal 7 2 9 3" xfId="20156"/>
    <cellStyle name="Normal 7 2 9 3 2" xfId="20157"/>
    <cellStyle name="Normal 7 2 9 3 2 2" xfId="20158"/>
    <cellStyle name="Normal 7 2 9 3 3" xfId="20159"/>
    <cellStyle name="Normal 7 2 9 4" xfId="20160"/>
    <cellStyle name="Normal 7 2 9 4 2" xfId="20161"/>
    <cellStyle name="Normal 7 2 9 5" xfId="20162"/>
    <cellStyle name="Normal 7 2 9 6" xfId="20163"/>
    <cellStyle name="Normal 7 20" xfId="20164"/>
    <cellStyle name="Normal 7 3" xfId="20165"/>
    <cellStyle name="Normal 7 3 10" xfId="20166"/>
    <cellStyle name="Normal 7 3 2" xfId="20167"/>
    <cellStyle name="Normal 7 3 2 2" xfId="20168"/>
    <cellStyle name="Normal 7 3 2 2 2" xfId="20169"/>
    <cellStyle name="Normal 7 3 2 2 2 2" xfId="20170"/>
    <cellStyle name="Normal 7 3 2 2 3" xfId="20171"/>
    <cellStyle name="Normal 7 3 2 2 4" xfId="20172"/>
    <cellStyle name="Normal 7 3 2 3" xfId="20173"/>
    <cellStyle name="Normal 7 3 2 3 2" xfId="20174"/>
    <cellStyle name="Normal 7 3 2 3 2 2" xfId="20175"/>
    <cellStyle name="Normal 7 3 2 3 3" xfId="20176"/>
    <cellStyle name="Normal 7 3 2 4" xfId="20177"/>
    <cellStyle name="Normal 7 3 2 4 2" xfId="20178"/>
    <cellStyle name="Normal 7 3 2 5" xfId="20179"/>
    <cellStyle name="Normal 7 3 2 6" xfId="20180"/>
    <cellStyle name="Normal 7 3 2 7" xfId="20181"/>
    <cellStyle name="Normal 7 3 3" xfId="20182"/>
    <cellStyle name="Normal 7 3 3 2" xfId="20183"/>
    <cellStyle name="Normal 7 3 3 2 2" xfId="20184"/>
    <cellStyle name="Normal 7 3 3 3" xfId="20185"/>
    <cellStyle name="Normal 7 3 3 4" xfId="20186"/>
    <cellStyle name="Normal 7 3 3 5" xfId="20187"/>
    <cellStyle name="Normal 7 3 4" xfId="20188"/>
    <cellStyle name="Normal 7 3 4 2" xfId="20189"/>
    <cellStyle name="Normal 7 3 4 2 2" xfId="20190"/>
    <cellStyle name="Normal 7 3 4 3" xfId="20191"/>
    <cellStyle name="Normal 7 3 5" xfId="20192"/>
    <cellStyle name="Normal 7 3 5 2" xfId="20193"/>
    <cellStyle name="Normal 7 3 6" xfId="20194"/>
    <cellStyle name="Normal 7 3 7" xfId="20195"/>
    <cellStyle name="Normal 7 3 8" xfId="20196"/>
    <cellStyle name="Normal 7 3 9" xfId="20197"/>
    <cellStyle name="Normal 7 4" xfId="20198"/>
    <cellStyle name="Normal 7 4 10" xfId="20199"/>
    <cellStyle name="Normal 7 4 2" xfId="20200"/>
    <cellStyle name="Normal 7 4 2 2" xfId="20201"/>
    <cellStyle name="Normal 7 4 2 2 2" xfId="20202"/>
    <cellStyle name="Normal 7 4 2 2 2 2" xfId="20203"/>
    <cellStyle name="Normal 7 4 2 2 3" xfId="20204"/>
    <cellStyle name="Normal 7 4 2 2 4" xfId="20205"/>
    <cellStyle name="Normal 7 4 2 3" xfId="20206"/>
    <cellStyle name="Normal 7 4 2 3 2" xfId="20207"/>
    <cellStyle name="Normal 7 4 2 3 2 2" xfId="20208"/>
    <cellStyle name="Normal 7 4 2 3 3" xfId="20209"/>
    <cellStyle name="Normal 7 4 2 4" xfId="20210"/>
    <cellStyle name="Normal 7 4 2 4 2" xfId="20211"/>
    <cellStyle name="Normal 7 4 2 5" xfId="20212"/>
    <cellStyle name="Normal 7 4 2 6" xfId="20213"/>
    <cellStyle name="Normal 7 4 2 7" xfId="20214"/>
    <cellStyle name="Normal 7 4 3" xfId="20215"/>
    <cellStyle name="Normal 7 4 3 2" xfId="20216"/>
    <cellStyle name="Normal 7 4 3 2 2" xfId="20217"/>
    <cellStyle name="Normal 7 4 3 3" xfId="20218"/>
    <cellStyle name="Normal 7 4 3 4" xfId="20219"/>
    <cellStyle name="Normal 7 4 3 5" xfId="20220"/>
    <cellStyle name="Normal 7 4 4" xfId="20221"/>
    <cellStyle name="Normal 7 4 4 2" xfId="20222"/>
    <cellStyle name="Normal 7 4 4 2 2" xfId="20223"/>
    <cellStyle name="Normal 7 4 4 3" xfId="20224"/>
    <cellStyle name="Normal 7 4 5" xfId="20225"/>
    <cellStyle name="Normal 7 4 5 2" xfId="20226"/>
    <cellStyle name="Normal 7 4 6" xfId="20227"/>
    <cellStyle name="Normal 7 4 7" xfId="20228"/>
    <cellStyle name="Normal 7 4 8" xfId="20229"/>
    <cellStyle name="Normal 7 4 9" xfId="20230"/>
    <cellStyle name="Normal 7 5" xfId="20231"/>
    <cellStyle name="Normal 7 5 10" xfId="20232"/>
    <cellStyle name="Normal 7 5 2" xfId="20233"/>
    <cellStyle name="Normal 7 5 2 2" xfId="20234"/>
    <cellStyle name="Normal 7 5 2 2 2" xfId="20235"/>
    <cellStyle name="Normal 7 5 2 2 2 2" xfId="20236"/>
    <cellStyle name="Normal 7 5 2 2 3" xfId="20237"/>
    <cellStyle name="Normal 7 5 2 2 4" xfId="20238"/>
    <cellStyle name="Normal 7 5 2 3" xfId="20239"/>
    <cellStyle name="Normal 7 5 2 3 2" xfId="20240"/>
    <cellStyle name="Normal 7 5 2 3 2 2" xfId="20241"/>
    <cellStyle name="Normal 7 5 2 3 3" xfId="20242"/>
    <cellStyle name="Normal 7 5 2 4" xfId="20243"/>
    <cellStyle name="Normal 7 5 2 4 2" xfId="20244"/>
    <cellStyle name="Normal 7 5 2 5" xfId="20245"/>
    <cellStyle name="Normal 7 5 2 6" xfId="20246"/>
    <cellStyle name="Normal 7 5 2 7" xfId="20247"/>
    <cellStyle name="Normal 7 5 3" xfId="20248"/>
    <cellStyle name="Normal 7 5 3 2" xfId="20249"/>
    <cellStyle name="Normal 7 5 3 2 2" xfId="20250"/>
    <cellStyle name="Normal 7 5 3 3" xfId="20251"/>
    <cellStyle name="Normal 7 5 3 4" xfId="20252"/>
    <cellStyle name="Normal 7 5 4" xfId="20253"/>
    <cellStyle name="Normal 7 5 4 2" xfId="20254"/>
    <cellStyle name="Normal 7 5 4 2 2" xfId="20255"/>
    <cellStyle name="Normal 7 5 4 3" xfId="20256"/>
    <cellStyle name="Normal 7 5 5" xfId="20257"/>
    <cellStyle name="Normal 7 5 5 2" xfId="20258"/>
    <cellStyle name="Normal 7 5 6" xfId="20259"/>
    <cellStyle name="Normal 7 5 7" xfId="20260"/>
    <cellStyle name="Normal 7 5 8" xfId="20261"/>
    <cellStyle name="Normal 7 5 9" xfId="20262"/>
    <cellStyle name="Normal 7 6" xfId="20263"/>
    <cellStyle name="Normal 7 6 10" xfId="20264"/>
    <cellStyle name="Normal 7 6 2" xfId="20265"/>
    <cellStyle name="Normal 7 6 2 2" xfId="20266"/>
    <cellStyle name="Normal 7 6 2 2 2" xfId="20267"/>
    <cellStyle name="Normal 7 6 2 2 2 2" xfId="20268"/>
    <cellStyle name="Normal 7 6 2 2 3" xfId="20269"/>
    <cellStyle name="Normal 7 6 2 2 4" xfId="20270"/>
    <cellStyle name="Normal 7 6 2 3" xfId="20271"/>
    <cellStyle name="Normal 7 6 2 3 2" xfId="20272"/>
    <cellStyle name="Normal 7 6 2 3 2 2" xfId="20273"/>
    <cellStyle name="Normal 7 6 2 3 3" xfId="20274"/>
    <cellStyle name="Normal 7 6 2 4" xfId="20275"/>
    <cellStyle name="Normal 7 6 2 4 2" xfId="20276"/>
    <cellStyle name="Normal 7 6 2 5" xfId="20277"/>
    <cellStyle name="Normal 7 6 2 6" xfId="20278"/>
    <cellStyle name="Normal 7 6 3" xfId="20279"/>
    <cellStyle name="Normal 7 6 3 2" xfId="20280"/>
    <cellStyle name="Normal 7 6 3 2 2" xfId="20281"/>
    <cellStyle name="Normal 7 6 3 3" xfId="20282"/>
    <cellStyle name="Normal 7 6 3 4" xfId="20283"/>
    <cellStyle name="Normal 7 6 4" xfId="20284"/>
    <cellStyle name="Normal 7 6 4 2" xfId="20285"/>
    <cellStyle name="Normal 7 6 4 2 2" xfId="20286"/>
    <cellStyle name="Normal 7 6 4 3" xfId="20287"/>
    <cellStyle name="Normal 7 6 5" xfId="20288"/>
    <cellStyle name="Normal 7 6 5 2" xfId="20289"/>
    <cellStyle name="Normal 7 6 6" xfId="20290"/>
    <cellStyle name="Normal 7 6 7" xfId="20291"/>
    <cellStyle name="Normal 7 6 8" xfId="20292"/>
    <cellStyle name="Normal 7 6 9" xfId="20293"/>
    <cellStyle name="Normal 7 7" xfId="20294"/>
    <cellStyle name="Normal 7 7 2" xfId="20295"/>
    <cellStyle name="Normal 7 7 2 2" xfId="20296"/>
    <cellStyle name="Normal 7 7 2 2 2" xfId="20297"/>
    <cellStyle name="Normal 7 7 2 3" xfId="20298"/>
    <cellStyle name="Normal 7 7 2 4" xfId="20299"/>
    <cellStyle name="Normal 7 7 3" xfId="20300"/>
    <cellStyle name="Normal 7 7 3 2" xfId="20301"/>
    <cellStyle name="Normal 7 7 3 2 2" xfId="20302"/>
    <cellStyle name="Normal 7 7 3 3" xfId="20303"/>
    <cellStyle name="Normal 7 7 4" xfId="20304"/>
    <cellStyle name="Normal 7 7 4 2" xfId="20305"/>
    <cellStyle name="Normal 7 7 5" xfId="20306"/>
    <cellStyle name="Normal 7 7 6" xfId="20307"/>
    <cellStyle name="Normal 7 7 7" xfId="20308"/>
    <cellStyle name="Normal 7 7 8" xfId="20309"/>
    <cellStyle name="Normal 7 8" xfId="20310"/>
    <cellStyle name="Normal 7 8 2" xfId="20311"/>
    <cellStyle name="Normal 7 8 2 2" xfId="20312"/>
    <cellStyle name="Normal 7 8 2 2 2" xfId="20313"/>
    <cellStyle name="Normal 7 8 2 3" xfId="20314"/>
    <cellStyle name="Normal 7 8 2 4" xfId="20315"/>
    <cellStyle name="Normal 7 8 3" xfId="20316"/>
    <cellStyle name="Normal 7 8 3 2" xfId="20317"/>
    <cellStyle name="Normal 7 8 3 2 2" xfId="20318"/>
    <cellStyle name="Normal 7 8 3 3" xfId="20319"/>
    <cellStyle name="Normal 7 8 4" xfId="20320"/>
    <cellStyle name="Normal 7 8 4 2" xfId="20321"/>
    <cellStyle name="Normal 7 8 5" xfId="20322"/>
    <cellStyle name="Normal 7 8 6" xfId="20323"/>
    <cellStyle name="Normal 7 8 7" xfId="20324"/>
    <cellStyle name="Normal 7 9" xfId="20325"/>
    <cellStyle name="Normal 7 9 2" xfId="20326"/>
    <cellStyle name="Normal 7 9 2 2" xfId="20327"/>
    <cellStyle name="Normal 7 9 2 2 2" xfId="20328"/>
    <cellStyle name="Normal 7 9 2 3" xfId="20329"/>
    <cellStyle name="Normal 7 9 2 4" xfId="20330"/>
    <cellStyle name="Normal 7 9 3" xfId="20331"/>
    <cellStyle name="Normal 7 9 3 2" xfId="20332"/>
    <cellStyle name="Normal 7 9 3 2 2" xfId="20333"/>
    <cellStyle name="Normal 7 9 3 3" xfId="20334"/>
    <cellStyle name="Normal 7 9 4" xfId="20335"/>
    <cellStyle name="Normal 7 9 4 2" xfId="20336"/>
    <cellStyle name="Normal 7 9 5" xfId="20337"/>
    <cellStyle name="Normal 7 9 6" xfId="20338"/>
    <cellStyle name="Normal 70" xfId="54791"/>
    <cellStyle name="Normal 71" xfId="54792"/>
    <cellStyle name="Normal 72" xfId="54793"/>
    <cellStyle name="Normal 73" xfId="54794"/>
    <cellStyle name="Normal 74" xfId="54795"/>
    <cellStyle name="Normal 75" xfId="54796"/>
    <cellStyle name="Normal 76" xfId="54797"/>
    <cellStyle name="Normal 77" xfId="54798"/>
    <cellStyle name="Normal 78" xfId="54799"/>
    <cellStyle name="Normal 79" xfId="54800"/>
    <cellStyle name="Normal 8" xfId="202"/>
    <cellStyle name="Normal 8 2" xfId="203"/>
    <cellStyle name="Normal 8 2 2" xfId="20339"/>
    <cellStyle name="Normal 8 2 3" xfId="54801"/>
    <cellStyle name="Normal 8 3" xfId="20340"/>
    <cellStyle name="Normal 8 3 2" xfId="54802"/>
    <cellStyle name="Normal 8 4" xfId="20341"/>
    <cellStyle name="Normal 80" xfId="54803"/>
    <cellStyle name="Normal 81" xfId="54804"/>
    <cellStyle name="Normal 82" xfId="59027"/>
    <cellStyle name="Normal 83" xfId="59029"/>
    <cellStyle name="Normal 9" xfId="67"/>
    <cellStyle name="Normal 9 10" xfId="20342"/>
    <cellStyle name="Normal 9 10 2" xfId="20343"/>
    <cellStyle name="Normal 9 10 2 2" xfId="20344"/>
    <cellStyle name="Normal 9 10 3" xfId="20345"/>
    <cellStyle name="Normal 9 10 4" xfId="20346"/>
    <cellStyle name="Normal 9 11" xfId="20347"/>
    <cellStyle name="Normal 9 11 2" xfId="20348"/>
    <cellStyle name="Normal 9 11 2 2" xfId="20349"/>
    <cellStyle name="Normal 9 11 3" xfId="20350"/>
    <cellStyle name="Normal 9 12" xfId="20351"/>
    <cellStyle name="Normal 9 12 2" xfId="20352"/>
    <cellStyle name="Normal 9 13" xfId="20353"/>
    <cellStyle name="Normal 9 13 2" xfId="20354"/>
    <cellStyle name="Normal 9 14" xfId="20355"/>
    <cellStyle name="Normal 9 15" xfId="20356"/>
    <cellStyle name="Normal 9 16" xfId="20357"/>
    <cellStyle name="Normal 9 17" xfId="20358"/>
    <cellStyle name="Normal 9 18" xfId="20359"/>
    <cellStyle name="Normal 9 19" xfId="20360"/>
    <cellStyle name="Normal 9 2" xfId="20361"/>
    <cellStyle name="Normal 9 2 10" xfId="20362"/>
    <cellStyle name="Normal 9 2 2" xfId="20363"/>
    <cellStyle name="Normal 9 2 2 2" xfId="20364"/>
    <cellStyle name="Normal 9 2 2 2 2" xfId="20365"/>
    <cellStyle name="Normal 9 2 2 2 2 2" xfId="20366"/>
    <cellStyle name="Normal 9 2 2 2 3" xfId="20367"/>
    <cellStyle name="Normal 9 2 2 2 4" xfId="20368"/>
    <cellStyle name="Normal 9 2 2 3" xfId="20369"/>
    <cellStyle name="Normal 9 2 2 3 2" xfId="20370"/>
    <cellStyle name="Normal 9 2 2 3 2 2" xfId="20371"/>
    <cellStyle name="Normal 9 2 2 3 3" xfId="20372"/>
    <cellStyle name="Normal 9 2 2 4" xfId="20373"/>
    <cellStyle name="Normal 9 2 2 4 2" xfId="20374"/>
    <cellStyle name="Normal 9 2 2 5" xfId="20375"/>
    <cellStyle name="Normal 9 2 2 6" xfId="20376"/>
    <cellStyle name="Normal 9 2 2 7" xfId="20377"/>
    <cellStyle name="Normal 9 2 2 8" xfId="54805"/>
    <cellStyle name="Normal 9 2 2 9" xfId="54806"/>
    <cellStyle name="Normal 9 2 2_IBP - COPI Uplift at Investment Area Level 01Feb12" xfId="54807"/>
    <cellStyle name="Normal 9 2 3" xfId="20378"/>
    <cellStyle name="Normal 9 2 3 2" xfId="20379"/>
    <cellStyle name="Normal 9 2 3 2 2" xfId="20380"/>
    <cellStyle name="Normal 9 2 3 3" xfId="20381"/>
    <cellStyle name="Normal 9 2 3 4" xfId="20382"/>
    <cellStyle name="Normal 9 2 3 5" xfId="20383"/>
    <cellStyle name="Normal 9 2 3 6" xfId="54808"/>
    <cellStyle name="Normal 9 2 3 7" xfId="54809"/>
    <cellStyle name="Normal 9 2 3 8" xfId="54810"/>
    <cellStyle name="Normal 9 2 3 9" xfId="54811"/>
    <cellStyle name="Normal 9 2 3_IBP - COPI Uplift at Investment Area Level 01Feb12" xfId="54812"/>
    <cellStyle name="Normal 9 2 4" xfId="20384"/>
    <cellStyle name="Normal 9 2 4 2" xfId="20385"/>
    <cellStyle name="Normal 9 2 4 2 2" xfId="20386"/>
    <cellStyle name="Normal 9 2 4 3" xfId="20387"/>
    <cellStyle name="Normal 9 2 5" xfId="20388"/>
    <cellStyle name="Normal 9 2 5 2" xfId="20389"/>
    <cellStyle name="Normal 9 2 6" xfId="20390"/>
    <cellStyle name="Normal 9 2 7" xfId="20391"/>
    <cellStyle name="Normal 9 2 8" xfId="20392"/>
    <cellStyle name="Normal 9 2 9" xfId="20393"/>
    <cellStyle name="Normal 9 2_B &amp; U by Inv Area &amp; Del" xfId="54813"/>
    <cellStyle name="Normal 9 3" xfId="20394"/>
    <cellStyle name="Normal 9 3 2" xfId="20395"/>
    <cellStyle name="Normal 9 3 2 2" xfId="20396"/>
    <cellStyle name="Normal 9 3 2 2 2" xfId="20397"/>
    <cellStyle name="Normal 9 3 2 2 2 2" xfId="20398"/>
    <cellStyle name="Normal 9 3 2 2 3" xfId="20399"/>
    <cellStyle name="Normal 9 3 2 2 4" xfId="20400"/>
    <cellStyle name="Normal 9 3 2 3" xfId="20401"/>
    <cellStyle name="Normal 9 3 2 3 2" xfId="20402"/>
    <cellStyle name="Normal 9 3 2 3 2 2" xfId="20403"/>
    <cellStyle name="Normal 9 3 2 3 3" xfId="20404"/>
    <cellStyle name="Normal 9 3 2 4" xfId="20405"/>
    <cellStyle name="Normal 9 3 2 4 2" xfId="20406"/>
    <cellStyle name="Normal 9 3 2 5" xfId="20407"/>
    <cellStyle name="Normal 9 3 2 6" xfId="20408"/>
    <cellStyle name="Normal 9 3 3" xfId="20409"/>
    <cellStyle name="Normal 9 3 3 2" xfId="20410"/>
    <cellStyle name="Normal 9 3 3 2 2" xfId="20411"/>
    <cellStyle name="Normal 9 3 3 3" xfId="20412"/>
    <cellStyle name="Normal 9 3 3 4" xfId="20413"/>
    <cellStyle name="Normal 9 3 4" xfId="20414"/>
    <cellStyle name="Normal 9 3 4 2" xfId="20415"/>
    <cellStyle name="Normal 9 3 4 2 2" xfId="20416"/>
    <cellStyle name="Normal 9 3 4 3" xfId="20417"/>
    <cellStyle name="Normal 9 3 5" xfId="20418"/>
    <cellStyle name="Normal 9 3 5 2" xfId="20419"/>
    <cellStyle name="Normal 9 3 6" xfId="20420"/>
    <cellStyle name="Normal 9 3 7" xfId="20421"/>
    <cellStyle name="Normal 9 3 8" xfId="20422"/>
    <cellStyle name="Normal 9 3 9" xfId="20423"/>
    <cellStyle name="Normal 9 4" xfId="20424"/>
    <cellStyle name="Normal 9 4 2" xfId="20425"/>
    <cellStyle name="Normal 9 4 2 2" xfId="20426"/>
    <cellStyle name="Normal 9 4 2 2 2" xfId="20427"/>
    <cellStyle name="Normal 9 4 2 2 2 2" xfId="20428"/>
    <cellStyle name="Normal 9 4 2 2 3" xfId="20429"/>
    <cellStyle name="Normal 9 4 2 2 4" xfId="20430"/>
    <cellStyle name="Normal 9 4 2 3" xfId="20431"/>
    <cellStyle name="Normal 9 4 2 3 2" xfId="20432"/>
    <cellStyle name="Normal 9 4 2 3 2 2" xfId="20433"/>
    <cellStyle name="Normal 9 4 2 3 3" xfId="20434"/>
    <cellStyle name="Normal 9 4 2 4" xfId="20435"/>
    <cellStyle name="Normal 9 4 2 4 2" xfId="20436"/>
    <cellStyle name="Normal 9 4 2 5" xfId="20437"/>
    <cellStyle name="Normal 9 4 2 6" xfId="20438"/>
    <cellStyle name="Normal 9 4 3" xfId="20439"/>
    <cellStyle name="Normal 9 4 3 2" xfId="20440"/>
    <cellStyle name="Normal 9 4 3 2 2" xfId="20441"/>
    <cellStyle name="Normal 9 4 3 3" xfId="20442"/>
    <cellStyle name="Normal 9 4 3 4" xfId="20443"/>
    <cellStyle name="Normal 9 4 4" xfId="20444"/>
    <cellStyle name="Normal 9 4 4 2" xfId="20445"/>
    <cellStyle name="Normal 9 4 4 2 2" xfId="20446"/>
    <cellStyle name="Normal 9 4 4 3" xfId="20447"/>
    <cellStyle name="Normal 9 4 5" xfId="20448"/>
    <cellStyle name="Normal 9 4 5 2" xfId="20449"/>
    <cellStyle name="Normal 9 4 6" xfId="20450"/>
    <cellStyle name="Normal 9 4 7" xfId="20451"/>
    <cellStyle name="Normal 9 4 8" xfId="20452"/>
    <cellStyle name="Normal 9 5" xfId="20453"/>
    <cellStyle name="Normal 9 5 2" xfId="20454"/>
    <cellStyle name="Normal 9 5 2 2" xfId="20455"/>
    <cellStyle name="Normal 9 5 2 2 2" xfId="20456"/>
    <cellStyle name="Normal 9 5 2 2 2 2" xfId="20457"/>
    <cellStyle name="Normal 9 5 2 2 3" xfId="20458"/>
    <cellStyle name="Normal 9 5 2 2 4" xfId="20459"/>
    <cellStyle name="Normal 9 5 2 3" xfId="20460"/>
    <cellStyle name="Normal 9 5 2 3 2" xfId="20461"/>
    <cellStyle name="Normal 9 5 2 3 2 2" xfId="20462"/>
    <cellStyle name="Normal 9 5 2 3 3" xfId="20463"/>
    <cellStyle name="Normal 9 5 2 4" xfId="20464"/>
    <cellStyle name="Normal 9 5 2 4 2" xfId="20465"/>
    <cellStyle name="Normal 9 5 2 5" xfId="20466"/>
    <cellStyle name="Normal 9 5 2 6" xfId="20467"/>
    <cellStyle name="Normal 9 5 3" xfId="20468"/>
    <cellStyle name="Normal 9 5 3 2" xfId="20469"/>
    <cellStyle name="Normal 9 5 3 2 2" xfId="20470"/>
    <cellStyle name="Normal 9 5 3 3" xfId="20471"/>
    <cellStyle name="Normal 9 5 3 4" xfId="20472"/>
    <cellStyle name="Normal 9 5 4" xfId="20473"/>
    <cellStyle name="Normal 9 5 4 2" xfId="20474"/>
    <cellStyle name="Normal 9 5 4 2 2" xfId="20475"/>
    <cellStyle name="Normal 9 5 4 3" xfId="20476"/>
    <cellStyle name="Normal 9 5 5" xfId="20477"/>
    <cellStyle name="Normal 9 5 5 2" xfId="20478"/>
    <cellStyle name="Normal 9 5 6" xfId="20479"/>
    <cellStyle name="Normal 9 5 7" xfId="20480"/>
    <cellStyle name="Normal 9 5 8" xfId="20481"/>
    <cellStyle name="Normal 9 6" xfId="20482"/>
    <cellStyle name="Normal 9 6 2" xfId="20483"/>
    <cellStyle name="Normal 9 6 2 2" xfId="20484"/>
    <cellStyle name="Normal 9 6 2 2 2" xfId="20485"/>
    <cellStyle name="Normal 9 6 2 3" xfId="20486"/>
    <cellStyle name="Normal 9 6 2 4" xfId="20487"/>
    <cellStyle name="Normal 9 6 3" xfId="20488"/>
    <cellStyle name="Normal 9 6 3 2" xfId="20489"/>
    <cellStyle name="Normal 9 6 3 2 2" xfId="20490"/>
    <cellStyle name="Normal 9 6 3 3" xfId="20491"/>
    <cellStyle name="Normal 9 6 4" xfId="20492"/>
    <cellStyle name="Normal 9 6 4 2" xfId="20493"/>
    <cellStyle name="Normal 9 6 5" xfId="20494"/>
    <cellStyle name="Normal 9 6 6" xfId="20495"/>
    <cellStyle name="Normal 9 6 7" xfId="20496"/>
    <cellStyle name="Normal 9 7" xfId="20497"/>
    <cellStyle name="Normal 9 7 2" xfId="20498"/>
    <cellStyle name="Normal 9 7 2 2" xfId="20499"/>
    <cellStyle name="Normal 9 7 2 2 2" xfId="20500"/>
    <cellStyle name="Normal 9 7 2 3" xfId="20501"/>
    <cellStyle name="Normal 9 7 2 4" xfId="20502"/>
    <cellStyle name="Normal 9 7 3" xfId="20503"/>
    <cellStyle name="Normal 9 7 3 2" xfId="20504"/>
    <cellStyle name="Normal 9 7 3 2 2" xfId="20505"/>
    <cellStyle name="Normal 9 7 3 3" xfId="20506"/>
    <cellStyle name="Normal 9 7 4" xfId="20507"/>
    <cellStyle name="Normal 9 7 4 2" xfId="20508"/>
    <cellStyle name="Normal 9 7 5" xfId="20509"/>
    <cellStyle name="Normal 9 7 6" xfId="20510"/>
    <cellStyle name="Normal 9 7 7" xfId="20511"/>
    <cellStyle name="Normal 9 8" xfId="20512"/>
    <cellStyle name="Normal 9 8 2" xfId="20513"/>
    <cellStyle name="Normal 9 8 2 2" xfId="20514"/>
    <cellStyle name="Normal 9 8 2 2 2" xfId="20515"/>
    <cellStyle name="Normal 9 8 2 3" xfId="20516"/>
    <cellStyle name="Normal 9 8 2 4" xfId="20517"/>
    <cellStyle name="Normal 9 8 3" xfId="20518"/>
    <cellStyle name="Normal 9 8 3 2" xfId="20519"/>
    <cellStyle name="Normal 9 8 3 2 2" xfId="20520"/>
    <cellStyle name="Normal 9 8 3 3" xfId="20521"/>
    <cellStyle name="Normal 9 8 4" xfId="20522"/>
    <cellStyle name="Normal 9 8 4 2" xfId="20523"/>
    <cellStyle name="Normal 9 8 5" xfId="20524"/>
    <cellStyle name="Normal 9 8 6" xfId="20525"/>
    <cellStyle name="Normal 9 9" xfId="20526"/>
    <cellStyle name="Normal 9 9 2" xfId="20527"/>
    <cellStyle name="Normal 9 9 2 2" xfId="20528"/>
    <cellStyle name="Normal 9 9 2 2 2" xfId="20529"/>
    <cellStyle name="Normal 9 9 2 3" xfId="20530"/>
    <cellStyle name="Normal 9 9 2 4" xfId="20531"/>
    <cellStyle name="Normal 9 9 3" xfId="20532"/>
    <cellStyle name="Normal 9 9 3 2" xfId="20533"/>
    <cellStyle name="Normal 9 9 3 2 2" xfId="20534"/>
    <cellStyle name="Normal 9 9 3 3" xfId="20535"/>
    <cellStyle name="Normal 9 9 4" xfId="20536"/>
    <cellStyle name="Normal 9 9 4 2" xfId="20537"/>
    <cellStyle name="Normal 9 9 5" xfId="20538"/>
    <cellStyle name="Normal 9 9 6" xfId="20539"/>
    <cellStyle name="Normal GHG-Shade" xfId="54814"/>
    <cellStyle name="Normal_Data_2" xfId="43"/>
    <cellStyle name="Normaɬ_Staffing_1_OSS-I Venture 1 Client 7-19(GJP) v3" xfId="54815"/>
    <cellStyle name="Normal6" xfId="54816"/>
    <cellStyle name="Normal6Red" xfId="54817"/>
    <cellStyle name="Normal6Red 2" xfId="54818"/>
    <cellStyle name="Normale_*Prospetti Finanziari  2" xfId="54819"/>
    <cellStyle name="NormalGB" xfId="54820"/>
    <cellStyle name="Normalny_Activity Mapping - HR akt " xfId="54821"/>
    <cellStyle name="Not_Excession" xfId="54822"/>
    <cellStyle name="Notas" xfId="54823"/>
    <cellStyle name="Note" xfId="44" builtinId="10" customBuiltin="1"/>
    <cellStyle name="Note 10" xfId="54824"/>
    <cellStyle name="Note 10 2" xfId="54825"/>
    <cellStyle name="Note 10 2 2" xfId="54826"/>
    <cellStyle name="Note 10 2 3" xfId="54827"/>
    <cellStyle name="Note 10 2 4" xfId="54828"/>
    <cellStyle name="Note 10 3" xfId="54829"/>
    <cellStyle name="Note 10 3 2" xfId="54830"/>
    <cellStyle name="Note 10 3 3" xfId="54831"/>
    <cellStyle name="Note 10 3 4" xfId="54832"/>
    <cellStyle name="Note 10 4" xfId="54833"/>
    <cellStyle name="Note 10 5" xfId="54834"/>
    <cellStyle name="Note 10 6" xfId="54835"/>
    <cellStyle name="Note 10 7" xfId="54836"/>
    <cellStyle name="Note 10 8" xfId="54837"/>
    <cellStyle name="Note 11" xfId="54838"/>
    <cellStyle name="Note 11 2" xfId="54839"/>
    <cellStyle name="Note 2" xfId="204"/>
    <cellStyle name="Note 2 10" xfId="632"/>
    <cellStyle name="Note 2 10 10" xfId="20540"/>
    <cellStyle name="Note 2 10 11" xfId="20541"/>
    <cellStyle name="Note 2 10 12" xfId="20542"/>
    <cellStyle name="Note 2 10 13" xfId="20543"/>
    <cellStyle name="Note 2 10 14" xfId="20544"/>
    <cellStyle name="Note 2 10 15" xfId="20545"/>
    <cellStyle name="Note 2 10 16" xfId="20546"/>
    <cellStyle name="Note 2 10 17" xfId="20547"/>
    <cellStyle name="Note 2 10 18" xfId="20548"/>
    <cellStyle name="Note 2 10 2" xfId="633"/>
    <cellStyle name="Note 2 10 2 2" xfId="20549"/>
    <cellStyle name="Note 2 10 2 2 2" xfId="20550"/>
    <cellStyle name="Note 2 10 2 3" xfId="20551"/>
    <cellStyle name="Note 2 10 2 4" xfId="20552"/>
    <cellStyle name="Note 2 10 3" xfId="634"/>
    <cellStyle name="Note 2 10 3 2" xfId="20553"/>
    <cellStyle name="Note 2 10 3 2 2" xfId="20554"/>
    <cellStyle name="Note 2 10 3 3" xfId="20555"/>
    <cellStyle name="Note 2 10 3 4" xfId="54840"/>
    <cellStyle name="Note 2 10 4" xfId="20556"/>
    <cellStyle name="Note 2 10 4 2" xfId="20557"/>
    <cellStyle name="Note 2 10 5" xfId="20558"/>
    <cellStyle name="Note 2 10 6" xfId="20559"/>
    <cellStyle name="Note 2 10 7" xfId="20560"/>
    <cellStyle name="Note 2 10 8" xfId="20561"/>
    <cellStyle name="Note 2 10 9" xfId="20562"/>
    <cellStyle name="Note 2 11" xfId="635"/>
    <cellStyle name="Note 2 11 10" xfId="20563"/>
    <cellStyle name="Note 2 11 11" xfId="20564"/>
    <cellStyle name="Note 2 11 12" xfId="20565"/>
    <cellStyle name="Note 2 11 13" xfId="20566"/>
    <cellStyle name="Note 2 11 14" xfId="20567"/>
    <cellStyle name="Note 2 11 15" xfId="20568"/>
    <cellStyle name="Note 2 11 16" xfId="20569"/>
    <cellStyle name="Note 2 11 2" xfId="636"/>
    <cellStyle name="Note 2 11 2 2" xfId="20570"/>
    <cellStyle name="Note 2 11 2 3" xfId="54841"/>
    <cellStyle name="Note 2 11 2 4" xfId="54842"/>
    <cellStyle name="Note 2 11 3" xfId="637"/>
    <cellStyle name="Note 2 11 3 2" xfId="54843"/>
    <cellStyle name="Note 2 11 3 3" xfId="54844"/>
    <cellStyle name="Note 2 11 3 4" xfId="54845"/>
    <cellStyle name="Note 2 11 4" xfId="20571"/>
    <cellStyle name="Note 2 11 5" xfId="20572"/>
    <cellStyle name="Note 2 11 6" xfId="20573"/>
    <cellStyle name="Note 2 11 7" xfId="20574"/>
    <cellStyle name="Note 2 11 8" xfId="20575"/>
    <cellStyle name="Note 2 11 9" xfId="20576"/>
    <cellStyle name="Note 2 12" xfId="638"/>
    <cellStyle name="Note 2 12 10" xfId="20577"/>
    <cellStyle name="Note 2 12 11" xfId="20578"/>
    <cellStyle name="Note 2 12 12" xfId="20579"/>
    <cellStyle name="Note 2 12 13" xfId="20580"/>
    <cellStyle name="Note 2 12 14" xfId="20581"/>
    <cellStyle name="Note 2 12 15" xfId="20582"/>
    <cellStyle name="Note 2 12 2" xfId="639"/>
    <cellStyle name="Note 2 12 2 2" xfId="20583"/>
    <cellStyle name="Note 2 12 2 3" xfId="54846"/>
    <cellStyle name="Note 2 12 2 4" xfId="54847"/>
    <cellStyle name="Note 2 12 3" xfId="640"/>
    <cellStyle name="Note 2 12 3 2" xfId="54848"/>
    <cellStyle name="Note 2 12 3 3" xfId="54849"/>
    <cellStyle name="Note 2 12 3 4" xfId="54850"/>
    <cellStyle name="Note 2 12 4" xfId="20584"/>
    <cellStyle name="Note 2 12 5" xfId="20585"/>
    <cellStyle name="Note 2 12 6" xfId="20586"/>
    <cellStyle name="Note 2 12 7" xfId="20587"/>
    <cellStyle name="Note 2 12 8" xfId="20588"/>
    <cellStyle name="Note 2 12 9" xfId="20589"/>
    <cellStyle name="Note 2 13" xfId="641"/>
    <cellStyle name="Note 2 13 10" xfId="20590"/>
    <cellStyle name="Note 2 13 11" xfId="20591"/>
    <cellStyle name="Note 2 13 12" xfId="20592"/>
    <cellStyle name="Note 2 13 13" xfId="20593"/>
    <cellStyle name="Note 2 13 14" xfId="20594"/>
    <cellStyle name="Note 2 13 2" xfId="642"/>
    <cellStyle name="Note 2 13 2 2" xfId="54851"/>
    <cellStyle name="Note 2 13 2 3" xfId="54852"/>
    <cellStyle name="Note 2 13 2 4" xfId="54853"/>
    <cellStyle name="Note 2 13 3" xfId="643"/>
    <cellStyle name="Note 2 13 3 2" xfId="54854"/>
    <cellStyle name="Note 2 13 3 3" xfId="54855"/>
    <cellStyle name="Note 2 13 3 4" xfId="54856"/>
    <cellStyle name="Note 2 13 4" xfId="20595"/>
    <cellStyle name="Note 2 13 5" xfId="20596"/>
    <cellStyle name="Note 2 13 6" xfId="20597"/>
    <cellStyle name="Note 2 13 7" xfId="20598"/>
    <cellStyle name="Note 2 13 8" xfId="20599"/>
    <cellStyle name="Note 2 13 9" xfId="20600"/>
    <cellStyle name="Note 2 14" xfId="644"/>
    <cellStyle name="Note 2 14 10" xfId="20601"/>
    <cellStyle name="Note 2 14 11" xfId="20602"/>
    <cellStyle name="Note 2 14 12" xfId="20603"/>
    <cellStyle name="Note 2 14 13" xfId="20604"/>
    <cellStyle name="Note 2 14 2" xfId="645"/>
    <cellStyle name="Note 2 14 2 2" xfId="54857"/>
    <cellStyle name="Note 2 14 2 3" xfId="54858"/>
    <cellStyle name="Note 2 14 2 4" xfId="54859"/>
    <cellStyle name="Note 2 14 3" xfId="646"/>
    <cellStyle name="Note 2 14 3 2" xfId="54860"/>
    <cellStyle name="Note 2 14 3 3" xfId="54861"/>
    <cellStyle name="Note 2 14 3 4" xfId="54862"/>
    <cellStyle name="Note 2 14 4" xfId="20605"/>
    <cellStyle name="Note 2 14 5" xfId="20606"/>
    <cellStyle name="Note 2 14 6" xfId="20607"/>
    <cellStyle name="Note 2 14 7" xfId="20608"/>
    <cellStyle name="Note 2 14 8" xfId="20609"/>
    <cellStyle name="Note 2 14 9" xfId="20610"/>
    <cellStyle name="Note 2 15" xfId="647"/>
    <cellStyle name="Note 2 15 10" xfId="20611"/>
    <cellStyle name="Note 2 15 11" xfId="20612"/>
    <cellStyle name="Note 2 15 12" xfId="20613"/>
    <cellStyle name="Note 2 15 2" xfId="648"/>
    <cellStyle name="Note 2 15 2 2" xfId="54863"/>
    <cellStyle name="Note 2 15 2 3" xfId="54864"/>
    <cellStyle name="Note 2 15 2 4" xfId="54865"/>
    <cellStyle name="Note 2 15 3" xfId="649"/>
    <cellStyle name="Note 2 15 3 2" xfId="54866"/>
    <cellStyle name="Note 2 15 3 3" xfId="54867"/>
    <cellStyle name="Note 2 15 3 4" xfId="54868"/>
    <cellStyle name="Note 2 15 4" xfId="20614"/>
    <cellStyle name="Note 2 15 5" xfId="20615"/>
    <cellStyle name="Note 2 15 6" xfId="20616"/>
    <cellStyle name="Note 2 15 7" xfId="20617"/>
    <cellStyle name="Note 2 15 8" xfId="20618"/>
    <cellStyle name="Note 2 15 9" xfId="20619"/>
    <cellStyle name="Note 2 16" xfId="650"/>
    <cellStyle name="Note 2 16 10" xfId="20620"/>
    <cellStyle name="Note 2 16 11" xfId="20621"/>
    <cellStyle name="Note 2 16 12" xfId="20622"/>
    <cellStyle name="Note 2 16 2" xfId="20623"/>
    <cellStyle name="Note 2 16 2 2" xfId="54869"/>
    <cellStyle name="Note 2 16 2 3" xfId="54870"/>
    <cellStyle name="Note 2 16 2 4" xfId="54871"/>
    <cellStyle name="Note 2 16 3" xfId="20624"/>
    <cellStyle name="Note 2 16 3 2" xfId="54872"/>
    <cellStyle name="Note 2 16 3 3" xfId="54873"/>
    <cellStyle name="Note 2 16 3 4" xfId="54874"/>
    <cellStyle name="Note 2 16 4" xfId="20625"/>
    <cellStyle name="Note 2 16 5" xfId="20626"/>
    <cellStyle name="Note 2 16 6" xfId="20627"/>
    <cellStyle name="Note 2 16 7" xfId="20628"/>
    <cellStyle name="Note 2 16 8" xfId="20629"/>
    <cellStyle name="Note 2 16 9" xfId="20630"/>
    <cellStyle name="Note 2 17" xfId="20631"/>
    <cellStyle name="Note 2 17 10" xfId="20632"/>
    <cellStyle name="Note 2 17 11" xfId="20633"/>
    <cellStyle name="Note 2 17 12" xfId="20634"/>
    <cellStyle name="Note 2 17 2" xfId="20635"/>
    <cellStyle name="Note 2 17 2 2" xfId="54875"/>
    <cellStyle name="Note 2 17 2 3" xfId="54876"/>
    <cellStyle name="Note 2 17 2 4" xfId="54877"/>
    <cellStyle name="Note 2 17 3" xfId="20636"/>
    <cellStyle name="Note 2 17 3 2" xfId="54878"/>
    <cellStyle name="Note 2 17 3 3" xfId="54879"/>
    <cellStyle name="Note 2 17 3 4" xfId="54880"/>
    <cellStyle name="Note 2 17 4" xfId="20637"/>
    <cellStyle name="Note 2 17 5" xfId="20638"/>
    <cellStyle name="Note 2 17 6" xfId="20639"/>
    <cellStyle name="Note 2 17 7" xfId="20640"/>
    <cellStyle name="Note 2 17 8" xfId="20641"/>
    <cellStyle name="Note 2 17 9" xfId="20642"/>
    <cellStyle name="Note 2 18" xfId="20643"/>
    <cellStyle name="Note 2 18 10" xfId="20644"/>
    <cellStyle name="Note 2 18 11" xfId="20645"/>
    <cellStyle name="Note 2 18 12" xfId="20646"/>
    <cellStyle name="Note 2 18 2" xfId="20647"/>
    <cellStyle name="Note 2 18 2 2" xfId="54881"/>
    <cellStyle name="Note 2 18 2 3" xfId="54882"/>
    <cellStyle name="Note 2 18 2 4" xfId="54883"/>
    <cellStyle name="Note 2 18 3" xfId="20648"/>
    <cellStyle name="Note 2 18 3 2" xfId="54884"/>
    <cellStyle name="Note 2 18 3 3" xfId="54885"/>
    <cellStyle name="Note 2 18 3 4" xfId="54886"/>
    <cellStyle name="Note 2 18 4" xfId="20649"/>
    <cellStyle name="Note 2 18 5" xfId="20650"/>
    <cellStyle name="Note 2 18 6" xfId="20651"/>
    <cellStyle name="Note 2 18 7" xfId="20652"/>
    <cellStyle name="Note 2 18 8" xfId="20653"/>
    <cellStyle name="Note 2 18 9" xfId="20654"/>
    <cellStyle name="Note 2 19" xfId="20655"/>
    <cellStyle name="Note 2 19 10" xfId="20656"/>
    <cellStyle name="Note 2 19 11" xfId="20657"/>
    <cellStyle name="Note 2 19 12" xfId="20658"/>
    <cellStyle name="Note 2 19 2" xfId="20659"/>
    <cellStyle name="Note 2 19 2 2" xfId="54887"/>
    <cellStyle name="Note 2 19 2 3" xfId="54888"/>
    <cellStyle name="Note 2 19 2 4" xfId="54889"/>
    <cellStyle name="Note 2 19 3" xfId="20660"/>
    <cellStyle name="Note 2 19 3 2" xfId="54890"/>
    <cellStyle name="Note 2 19 3 3" xfId="54891"/>
    <cellStyle name="Note 2 19 3 4" xfId="54892"/>
    <cellStyle name="Note 2 19 4" xfId="20661"/>
    <cellStyle name="Note 2 19 5" xfId="20662"/>
    <cellStyle name="Note 2 19 6" xfId="20663"/>
    <cellStyle name="Note 2 19 7" xfId="20664"/>
    <cellStyle name="Note 2 19 8" xfId="20665"/>
    <cellStyle name="Note 2 19 9" xfId="20666"/>
    <cellStyle name="Note 2 2" xfId="205"/>
    <cellStyle name="Note 2 2 10" xfId="651"/>
    <cellStyle name="Note 2 2 10 2" xfId="652"/>
    <cellStyle name="Note 2 2 10 2 2" xfId="20667"/>
    <cellStyle name="Note 2 2 10 3" xfId="653"/>
    <cellStyle name="Note 2 2 10 4" xfId="20668"/>
    <cellStyle name="Note 2 2 11" xfId="654"/>
    <cellStyle name="Note 2 2 11 2" xfId="655"/>
    <cellStyle name="Note 2 2 11 2 2" xfId="20669"/>
    <cellStyle name="Note 2 2 11 3" xfId="656"/>
    <cellStyle name="Note 2 2 12" xfId="657"/>
    <cellStyle name="Note 2 2 12 2" xfId="658"/>
    <cellStyle name="Note 2 2 12 3" xfId="659"/>
    <cellStyle name="Note 2 2 13" xfId="660"/>
    <cellStyle name="Note 2 2 13 2" xfId="661"/>
    <cellStyle name="Note 2 2 13 3" xfId="662"/>
    <cellStyle name="Note 2 2 14" xfId="663"/>
    <cellStyle name="Note 2 2 15" xfId="664"/>
    <cellStyle name="Note 2 2 16" xfId="20670"/>
    <cellStyle name="Note 2 2 17" xfId="20671"/>
    <cellStyle name="Note 2 2 18" xfId="20672"/>
    <cellStyle name="Note 2 2 19" xfId="20673"/>
    <cellStyle name="Note 2 2 2" xfId="665"/>
    <cellStyle name="Note 2 2 2 2" xfId="666"/>
    <cellStyle name="Note 2 2 2 2 2" xfId="20674"/>
    <cellStyle name="Note 2 2 2 2 2 2" xfId="20675"/>
    <cellStyle name="Note 2 2 2 2 2 2 2" xfId="20676"/>
    <cellStyle name="Note 2 2 2 2 2 3" xfId="20677"/>
    <cellStyle name="Note 2 2 2 2 2 4" xfId="20678"/>
    <cellStyle name="Note 2 2 2 2 3" xfId="20679"/>
    <cellStyle name="Note 2 2 2 2 3 2" xfId="20680"/>
    <cellStyle name="Note 2 2 2 2 3 2 2" xfId="20681"/>
    <cellStyle name="Note 2 2 2 2 3 3" xfId="20682"/>
    <cellStyle name="Note 2 2 2 2 4" xfId="20683"/>
    <cellStyle name="Note 2 2 2 2 4 2" xfId="20684"/>
    <cellStyle name="Note 2 2 2 2 5" xfId="20685"/>
    <cellStyle name="Note 2 2 2 2 6" xfId="20686"/>
    <cellStyle name="Note 2 2 2 2 7" xfId="20687"/>
    <cellStyle name="Note 2 2 2 2 8" xfId="20688"/>
    <cellStyle name="Note 2 2 2 2 9" xfId="20689"/>
    <cellStyle name="Note 2 2 2 3" xfId="20690"/>
    <cellStyle name="Note 2 2 2 3 2" xfId="20691"/>
    <cellStyle name="Note 2 2 2 3 2 2" xfId="20692"/>
    <cellStyle name="Note 2 2 2 3 3" xfId="20693"/>
    <cellStyle name="Note 2 2 2 3 4" xfId="20694"/>
    <cellStyle name="Note 2 2 2 3 5" xfId="20695"/>
    <cellStyle name="Note 2 2 2 3 6" xfId="20696"/>
    <cellStyle name="Note 2 2 2 3 7" xfId="20697"/>
    <cellStyle name="Note 2 2 2 4" xfId="20698"/>
    <cellStyle name="Note 2 2 2 4 2" xfId="20699"/>
    <cellStyle name="Note 2 2 2 4 2 2" xfId="20700"/>
    <cellStyle name="Note 2 2 2 4 3" xfId="20701"/>
    <cellStyle name="Note 2 2 2 4 4" xfId="20702"/>
    <cellStyle name="Note 2 2 2 5" xfId="20703"/>
    <cellStyle name="Note 2 2 2 5 2" xfId="20704"/>
    <cellStyle name="Note 2 2 2 6" xfId="20705"/>
    <cellStyle name="Note 2 2 2 7" xfId="20706"/>
    <cellStyle name="Note 2 2 2 8" xfId="20707"/>
    <cellStyle name="Note 2 2 20" xfId="20708"/>
    <cellStyle name="Note 2 2 21" xfId="20709"/>
    <cellStyle name="Note 2 2 22" xfId="20710"/>
    <cellStyle name="Note 2 2 23" xfId="20711"/>
    <cellStyle name="Note 2 2 24" xfId="20712"/>
    <cellStyle name="Note 2 2 25" xfId="20713"/>
    <cellStyle name="Note 2 2 26" xfId="20714"/>
    <cellStyle name="Note 2 2 27" xfId="20715"/>
    <cellStyle name="Note 2 2 28" xfId="20716"/>
    <cellStyle name="Note 2 2 29" xfId="20717"/>
    <cellStyle name="Note 2 2 3" xfId="667"/>
    <cellStyle name="Note 2 2 3 10" xfId="20718"/>
    <cellStyle name="Note 2 2 3 2" xfId="668"/>
    <cellStyle name="Note 2 2 3 2 2" xfId="20719"/>
    <cellStyle name="Note 2 2 3 2 2 2" xfId="20720"/>
    <cellStyle name="Note 2 2 3 2 2 2 2" xfId="20721"/>
    <cellStyle name="Note 2 2 3 2 2 3" xfId="20722"/>
    <cellStyle name="Note 2 2 3 2 2 4" xfId="20723"/>
    <cellStyle name="Note 2 2 3 2 3" xfId="20724"/>
    <cellStyle name="Note 2 2 3 2 3 2" xfId="20725"/>
    <cellStyle name="Note 2 2 3 2 3 2 2" xfId="20726"/>
    <cellStyle name="Note 2 2 3 2 3 3" xfId="20727"/>
    <cellStyle name="Note 2 2 3 2 4" xfId="20728"/>
    <cellStyle name="Note 2 2 3 2 4 2" xfId="20729"/>
    <cellStyle name="Note 2 2 3 2 5" xfId="20730"/>
    <cellStyle name="Note 2 2 3 2 6" xfId="20731"/>
    <cellStyle name="Note 2 2 3 2 7" xfId="20732"/>
    <cellStyle name="Note 2 2 3 3" xfId="20733"/>
    <cellStyle name="Note 2 2 3 3 2" xfId="20734"/>
    <cellStyle name="Note 2 2 3 3 2 2" xfId="20735"/>
    <cellStyle name="Note 2 2 3 3 3" xfId="20736"/>
    <cellStyle name="Note 2 2 3 3 4" xfId="20737"/>
    <cellStyle name="Note 2 2 3 3 5" xfId="20738"/>
    <cellStyle name="Note 2 2 3 4" xfId="20739"/>
    <cellStyle name="Note 2 2 3 4 2" xfId="20740"/>
    <cellStyle name="Note 2 2 3 4 2 2" xfId="20741"/>
    <cellStyle name="Note 2 2 3 4 3" xfId="20742"/>
    <cellStyle name="Note 2 2 3 5" xfId="20743"/>
    <cellStyle name="Note 2 2 3 5 2" xfId="20744"/>
    <cellStyle name="Note 2 2 3 6" xfId="20745"/>
    <cellStyle name="Note 2 2 3 7" xfId="20746"/>
    <cellStyle name="Note 2 2 3 8" xfId="20747"/>
    <cellStyle name="Note 2 2 3 9" xfId="20748"/>
    <cellStyle name="Note 2 2 30" xfId="20749"/>
    <cellStyle name="Note 2 2 31" xfId="54893"/>
    <cellStyle name="Note 2 2 32" xfId="54894"/>
    <cellStyle name="Note 2 2 33" xfId="54895"/>
    <cellStyle name="Note 2 2 34" xfId="54896"/>
    <cellStyle name="Note 2 2 35" xfId="54897"/>
    <cellStyle name="Note 2 2 36" xfId="54898"/>
    <cellStyle name="Note 2 2 37" xfId="54899"/>
    <cellStyle name="Note 2 2 38" xfId="54900"/>
    <cellStyle name="Note 2 2 39" xfId="54901"/>
    <cellStyle name="Note 2 2 4" xfId="669"/>
    <cellStyle name="Note 2 2 4 2" xfId="670"/>
    <cellStyle name="Note 2 2 4 2 2" xfId="20750"/>
    <cellStyle name="Note 2 2 4 2 2 2" xfId="20751"/>
    <cellStyle name="Note 2 2 4 2 2 2 2" xfId="20752"/>
    <cellStyle name="Note 2 2 4 2 2 3" xfId="20753"/>
    <cellStyle name="Note 2 2 4 2 2 4" xfId="20754"/>
    <cellStyle name="Note 2 2 4 2 3" xfId="20755"/>
    <cellStyle name="Note 2 2 4 2 3 2" xfId="20756"/>
    <cellStyle name="Note 2 2 4 2 3 2 2" xfId="20757"/>
    <cellStyle name="Note 2 2 4 2 3 3" xfId="20758"/>
    <cellStyle name="Note 2 2 4 2 4" xfId="20759"/>
    <cellStyle name="Note 2 2 4 2 4 2" xfId="20760"/>
    <cellStyle name="Note 2 2 4 2 5" xfId="20761"/>
    <cellStyle name="Note 2 2 4 2 6" xfId="20762"/>
    <cellStyle name="Note 2 2 4 2 7" xfId="20763"/>
    <cellStyle name="Note 2 2 4 3" xfId="671"/>
    <cellStyle name="Note 2 2 4 3 2" xfId="20764"/>
    <cellStyle name="Note 2 2 4 3 2 2" xfId="20765"/>
    <cellStyle name="Note 2 2 4 3 3" xfId="20766"/>
    <cellStyle name="Note 2 2 4 3 4" xfId="20767"/>
    <cellStyle name="Note 2 2 4 4" xfId="20768"/>
    <cellStyle name="Note 2 2 4 4 2" xfId="20769"/>
    <cellStyle name="Note 2 2 4 4 2 2" xfId="20770"/>
    <cellStyle name="Note 2 2 4 4 3" xfId="20771"/>
    <cellStyle name="Note 2 2 4 5" xfId="20772"/>
    <cellStyle name="Note 2 2 4 5 2" xfId="20773"/>
    <cellStyle name="Note 2 2 4 6" xfId="20774"/>
    <cellStyle name="Note 2 2 4 7" xfId="20775"/>
    <cellStyle name="Note 2 2 4 8" xfId="20776"/>
    <cellStyle name="Note 2 2 4 9" xfId="20777"/>
    <cellStyle name="Note 2 2 40" xfId="54902"/>
    <cellStyle name="Note 2 2 5" xfId="672"/>
    <cellStyle name="Note 2 2 5 10" xfId="20778"/>
    <cellStyle name="Note 2 2 5 2" xfId="673"/>
    <cellStyle name="Note 2 2 5 2 2" xfId="20779"/>
    <cellStyle name="Note 2 2 5 2 2 2" xfId="20780"/>
    <cellStyle name="Note 2 2 5 2 2 2 2" xfId="20781"/>
    <cellStyle name="Note 2 2 5 2 2 3" xfId="20782"/>
    <cellStyle name="Note 2 2 5 2 2 4" xfId="20783"/>
    <cellStyle name="Note 2 2 5 2 3" xfId="20784"/>
    <cellStyle name="Note 2 2 5 2 3 2" xfId="20785"/>
    <cellStyle name="Note 2 2 5 2 3 2 2" xfId="20786"/>
    <cellStyle name="Note 2 2 5 2 3 3" xfId="20787"/>
    <cellStyle name="Note 2 2 5 2 4" xfId="20788"/>
    <cellStyle name="Note 2 2 5 2 4 2" xfId="20789"/>
    <cellStyle name="Note 2 2 5 2 5" xfId="20790"/>
    <cellStyle name="Note 2 2 5 2 6" xfId="20791"/>
    <cellStyle name="Note 2 2 5 2 7" xfId="20792"/>
    <cellStyle name="Note 2 2 5 3" xfId="674"/>
    <cellStyle name="Note 2 2 5 3 2" xfId="20793"/>
    <cellStyle name="Note 2 2 5 3 2 2" xfId="20794"/>
    <cellStyle name="Note 2 2 5 3 3" xfId="20795"/>
    <cellStyle name="Note 2 2 5 3 4" xfId="20796"/>
    <cellStyle name="Note 2 2 5 4" xfId="20797"/>
    <cellStyle name="Note 2 2 5 4 2" xfId="20798"/>
    <cellStyle name="Note 2 2 5 4 2 2" xfId="20799"/>
    <cellStyle name="Note 2 2 5 4 3" xfId="20800"/>
    <cellStyle name="Note 2 2 5 5" xfId="20801"/>
    <cellStyle name="Note 2 2 5 5 2" xfId="20802"/>
    <cellStyle name="Note 2 2 5 6" xfId="20803"/>
    <cellStyle name="Note 2 2 5 7" xfId="20804"/>
    <cellStyle name="Note 2 2 5 8" xfId="20805"/>
    <cellStyle name="Note 2 2 5 9" xfId="20806"/>
    <cellStyle name="Note 2 2 6" xfId="675"/>
    <cellStyle name="Note 2 2 6 2" xfId="676"/>
    <cellStyle name="Note 2 2 6 2 2" xfId="20807"/>
    <cellStyle name="Note 2 2 6 2 2 2" xfId="20808"/>
    <cellStyle name="Note 2 2 6 2 3" xfId="20809"/>
    <cellStyle name="Note 2 2 6 2 4" xfId="20810"/>
    <cellStyle name="Note 2 2 6 3" xfId="677"/>
    <cellStyle name="Note 2 2 6 3 2" xfId="20811"/>
    <cellStyle name="Note 2 2 6 3 2 2" xfId="20812"/>
    <cellStyle name="Note 2 2 6 3 3" xfId="20813"/>
    <cellStyle name="Note 2 2 6 4" xfId="20814"/>
    <cellStyle name="Note 2 2 6 4 2" xfId="20815"/>
    <cellStyle name="Note 2 2 6 5" xfId="20816"/>
    <cellStyle name="Note 2 2 6 6" xfId="20817"/>
    <cellStyle name="Note 2 2 6 7" xfId="20818"/>
    <cellStyle name="Note 2 2 6 8" xfId="20819"/>
    <cellStyle name="Note 2 2 7" xfId="678"/>
    <cellStyle name="Note 2 2 7 2" xfId="679"/>
    <cellStyle name="Note 2 2 7 2 2" xfId="20820"/>
    <cellStyle name="Note 2 2 7 2 2 2" xfId="20821"/>
    <cellStyle name="Note 2 2 7 2 3" xfId="20822"/>
    <cellStyle name="Note 2 2 7 2 4" xfId="20823"/>
    <cellStyle name="Note 2 2 7 3" xfId="680"/>
    <cellStyle name="Note 2 2 7 3 2" xfId="20824"/>
    <cellStyle name="Note 2 2 7 3 2 2" xfId="20825"/>
    <cellStyle name="Note 2 2 7 3 3" xfId="20826"/>
    <cellStyle name="Note 2 2 7 4" xfId="20827"/>
    <cellStyle name="Note 2 2 7 4 2" xfId="20828"/>
    <cellStyle name="Note 2 2 7 5" xfId="20829"/>
    <cellStyle name="Note 2 2 7 6" xfId="20830"/>
    <cellStyle name="Note 2 2 7 7" xfId="20831"/>
    <cellStyle name="Note 2 2 8" xfId="681"/>
    <cellStyle name="Note 2 2 8 2" xfId="682"/>
    <cellStyle name="Note 2 2 8 2 2" xfId="20832"/>
    <cellStyle name="Note 2 2 8 2 2 2" xfId="20833"/>
    <cellStyle name="Note 2 2 8 2 3" xfId="20834"/>
    <cellStyle name="Note 2 2 8 2 4" xfId="20835"/>
    <cellStyle name="Note 2 2 8 3" xfId="683"/>
    <cellStyle name="Note 2 2 8 3 2" xfId="20836"/>
    <cellStyle name="Note 2 2 8 3 2 2" xfId="20837"/>
    <cellStyle name="Note 2 2 8 3 3" xfId="20838"/>
    <cellStyle name="Note 2 2 8 4" xfId="20839"/>
    <cellStyle name="Note 2 2 8 4 2" xfId="20840"/>
    <cellStyle name="Note 2 2 8 5" xfId="20841"/>
    <cellStyle name="Note 2 2 8 6" xfId="20842"/>
    <cellStyle name="Note 2 2 9" xfId="684"/>
    <cellStyle name="Note 2 2 9 2" xfId="685"/>
    <cellStyle name="Note 2 2 9 2 2" xfId="20843"/>
    <cellStyle name="Note 2 2 9 2 2 2" xfId="20844"/>
    <cellStyle name="Note 2 2 9 2 3" xfId="20845"/>
    <cellStyle name="Note 2 2 9 2 4" xfId="20846"/>
    <cellStyle name="Note 2 2 9 3" xfId="686"/>
    <cellStyle name="Note 2 2 9 3 2" xfId="20847"/>
    <cellStyle name="Note 2 2 9 3 2 2" xfId="20848"/>
    <cellStyle name="Note 2 2 9 3 3" xfId="20849"/>
    <cellStyle name="Note 2 2 9 4" xfId="20850"/>
    <cellStyle name="Note 2 2 9 4 2" xfId="20851"/>
    <cellStyle name="Note 2 2 9 5" xfId="20852"/>
    <cellStyle name="Note 2 2 9 6" xfId="20853"/>
    <cellStyle name="Note 2 20" xfId="20854"/>
    <cellStyle name="Note 2 20 10" xfId="20855"/>
    <cellStyle name="Note 2 20 11" xfId="20856"/>
    <cellStyle name="Note 2 20 12" xfId="20857"/>
    <cellStyle name="Note 2 20 2" xfId="20858"/>
    <cellStyle name="Note 2 20 2 2" xfId="54903"/>
    <cellStyle name="Note 2 20 2 3" xfId="54904"/>
    <cellStyle name="Note 2 20 2 4" xfId="54905"/>
    <cellStyle name="Note 2 20 3" xfId="20859"/>
    <cellStyle name="Note 2 20 3 2" xfId="54906"/>
    <cellStyle name="Note 2 20 3 3" xfId="54907"/>
    <cellStyle name="Note 2 20 3 4" xfId="54908"/>
    <cellStyle name="Note 2 20 4" xfId="20860"/>
    <cellStyle name="Note 2 20 5" xfId="20861"/>
    <cellStyle name="Note 2 20 6" xfId="20862"/>
    <cellStyle name="Note 2 20 7" xfId="20863"/>
    <cellStyle name="Note 2 20 8" xfId="20864"/>
    <cellStyle name="Note 2 20 9" xfId="20865"/>
    <cellStyle name="Note 2 21" xfId="20866"/>
    <cellStyle name="Note 2 21 10" xfId="20867"/>
    <cellStyle name="Note 2 21 11" xfId="20868"/>
    <cellStyle name="Note 2 21 12" xfId="20869"/>
    <cellStyle name="Note 2 21 2" xfId="20870"/>
    <cellStyle name="Note 2 21 2 2" xfId="54909"/>
    <cellStyle name="Note 2 21 2 3" xfId="54910"/>
    <cellStyle name="Note 2 21 2 4" xfId="54911"/>
    <cellStyle name="Note 2 21 3" xfId="20871"/>
    <cellStyle name="Note 2 21 3 2" xfId="54912"/>
    <cellStyle name="Note 2 21 3 3" xfId="54913"/>
    <cellStyle name="Note 2 21 3 4" xfId="54914"/>
    <cellStyle name="Note 2 21 4" xfId="20872"/>
    <cellStyle name="Note 2 21 5" xfId="20873"/>
    <cellStyle name="Note 2 21 6" xfId="20874"/>
    <cellStyle name="Note 2 21 7" xfId="20875"/>
    <cellStyle name="Note 2 21 8" xfId="20876"/>
    <cellStyle name="Note 2 21 9" xfId="20877"/>
    <cellStyle name="Note 2 22" xfId="20878"/>
    <cellStyle name="Note 2 22 10" xfId="20879"/>
    <cellStyle name="Note 2 22 11" xfId="20880"/>
    <cellStyle name="Note 2 22 12" xfId="20881"/>
    <cellStyle name="Note 2 22 2" xfId="20882"/>
    <cellStyle name="Note 2 22 2 2" xfId="54915"/>
    <cellStyle name="Note 2 22 2 3" xfId="54916"/>
    <cellStyle name="Note 2 22 2 4" xfId="54917"/>
    <cellStyle name="Note 2 22 3" xfId="20883"/>
    <cellStyle name="Note 2 22 3 2" xfId="54918"/>
    <cellStyle name="Note 2 22 3 3" xfId="54919"/>
    <cellStyle name="Note 2 22 3 4" xfId="54920"/>
    <cellStyle name="Note 2 22 4" xfId="20884"/>
    <cellStyle name="Note 2 22 5" xfId="20885"/>
    <cellStyle name="Note 2 22 6" xfId="20886"/>
    <cellStyle name="Note 2 22 7" xfId="20887"/>
    <cellStyle name="Note 2 22 8" xfId="20888"/>
    <cellStyle name="Note 2 22 9" xfId="20889"/>
    <cellStyle name="Note 2 23" xfId="20890"/>
    <cellStyle name="Note 2 23 10" xfId="20891"/>
    <cellStyle name="Note 2 23 11" xfId="20892"/>
    <cellStyle name="Note 2 23 12" xfId="20893"/>
    <cellStyle name="Note 2 23 2" xfId="20894"/>
    <cellStyle name="Note 2 23 2 2" xfId="54921"/>
    <cellStyle name="Note 2 23 2 3" xfId="54922"/>
    <cellStyle name="Note 2 23 2 4" xfId="54923"/>
    <cellStyle name="Note 2 23 3" xfId="20895"/>
    <cellStyle name="Note 2 23 3 2" xfId="54924"/>
    <cellStyle name="Note 2 23 3 3" xfId="54925"/>
    <cellStyle name="Note 2 23 3 4" xfId="54926"/>
    <cellStyle name="Note 2 23 4" xfId="20896"/>
    <cellStyle name="Note 2 23 5" xfId="20897"/>
    <cellStyle name="Note 2 23 6" xfId="20898"/>
    <cellStyle name="Note 2 23 7" xfId="20899"/>
    <cellStyle name="Note 2 23 8" xfId="20900"/>
    <cellStyle name="Note 2 23 9" xfId="20901"/>
    <cellStyle name="Note 2 24" xfId="20902"/>
    <cellStyle name="Note 2 24 10" xfId="20903"/>
    <cellStyle name="Note 2 24 11" xfId="20904"/>
    <cellStyle name="Note 2 24 12" xfId="20905"/>
    <cellStyle name="Note 2 24 2" xfId="20906"/>
    <cellStyle name="Note 2 24 2 2" xfId="54927"/>
    <cellStyle name="Note 2 24 2 3" xfId="54928"/>
    <cellStyle name="Note 2 24 2 4" xfId="54929"/>
    <cellStyle name="Note 2 24 3" xfId="20907"/>
    <cellStyle name="Note 2 24 3 2" xfId="54930"/>
    <cellStyle name="Note 2 24 3 3" xfId="54931"/>
    <cellStyle name="Note 2 24 3 4" xfId="54932"/>
    <cellStyle name="Note 2 24 4" xfId="20908"/>
    <cellStyle name="Note 2 24 5" xfId="20909"/>
    <cellStyle name="Note 2 24 6" xfId="20910"/>
    <cellStyle name="Note 2 24 7" xfId="20911"/>
    <cellStyle name="Note 2 24 8" xfId="20912"/>
    <cellStyle name="Note 2 24 9" xfId="20913"/>
    <cellStyle name="Note 2 25" xfId="20914"/>
    <cellStyle name="Note 2 25 10" xfId="20915"/>
    <cellStyle name="Note 2 25 11" xfId="20916"/>
    <cellStyle name="Note 2 25 12" xfId="20917"/>
    <cellStyle name="Note 2 25 2" xfId="20918"/>
    <cellStyle name="Note 2 25 2 2" xfId="54933"/>
    <cellStyle name="Note 2 25 2 3" xfId="54934"/>
    <cellStyle name="Note 2 25 2 4" xfId="54935"/>
    <cellStyle name="Note 2 25 3" xfId="20919"/>
    <cellStyle name="Note 2 25 3 2" xfId="54936"/>
    <cellStyle name="Note 2 25 3 3" xfId="54937"/>
    <cellStyle name="Note 2 25 3 4" xfId="54938"/>
    <cellStyle name="Note 2 25 4" xfId="20920"/>
    <cellStyle name="Note 2 25 5" xfId="20921"/>
    <cellStyle name="Note 2 25 6" xfId="20922"/>
    <cellStyle name="Note 2 25 7" xfId="20923"/>
    <cellStyle name="Note 2 25 8" xfId="20924"/>
    <cellStyle name="Note 2 25 9" xfId="20925"/>
    <cellStyle name="Note 2 26" xfId="20926"/>
    <cellStyle name="Note 2 26 10" xfId="20927"/>
    <cellStyle name="Note 2 26 11" xfId="20928"/>
    <cellStyle name="Note 2 26 12" xfId="20929"/>
    <cellStyle name="Note 2 26 2" xfId="20930"/>
    <cellStyle name="Note 2 26 2 2" xfId="54939"/>
    <cellStyle name="Note 2 26 2 3" xfId="54940"/>
    <cellStyle name="Note 2 26 2 4" xfId="54941"/>
    <cellStyle name="Note 2 26 3" xfId="20931"/>
    <cellStyle name="Note 2 26 3 2" xfId="54942"/>
    <cellStyle name="Note 2 26 3 3" xfId="54943"/>
    <cellStyle name="Note 2 26 3 4" xfId="54944"/>
    <cellStyle name="Note 2 26 4" xfId="20932"/>
    <cellStyle name="Note 2 26 5" xfId="20933"/>
    <cellStyle name="Note 2 26 6" xfId="20934"/>
    <cellStyle name="Note 2 26 7" xfId="20935"/>
    <cellStyle name="Note 2 26 8" xfId="20936"/>
    <cellStyle name="Note 2 26 9" xfId="20937"/>
    <cellStyle name="Note 2 27" xfId="20938"/>
    <cellStyle name="Note 2 27 10" xfId="20939"/>
    <cellStyle name="Note 2 27 11" xfId="20940"/>
    <cellStyle name="Note 2 27 12" xfId="20941"/>
    <cellStyle name="Note 2 27 2" xfId="20942"/>
    <cellStyle name="Note 2 27 2 2" xfId="54945"/>
    <cellStyle name="Note 2 27 2 3" xfId="54946"/>
    <cellStyle name="Note 2 27 2 4" xfId="54947"/>
    <cellStyle name="Note 2 27 3" xfId="20943"/>
    <cellStyle name="Note 2 27 3 2" xfId="54948"/>
    <cellStyle name="Note 2 27 3 3" xfId="54949"/>
    <cellStyle name="Note 2 27 3 4" xfId="54950"/>
    <cellStyle name="Note 2 27 4" xfId="20944"/>
    <cellStyle name="Note 2 27 5" xfId="20945"/>
    <cellStyle name="Note 2 27 6" xfId="20946"/>
    <cellStyle name="Note 2 27 7" xfId="20947"/>
    <cellStyle name="Note 2 27 8" xfId="20948"/>
    <cellStyle name="Note 2 27 9" xfId="20949"/>
    <cellStyle name="Note 2 28" xfId="20950"/>
    <cellStyle name="Note 2 28 10" xfId="20951"/>
    <cellStyle name="Note 2 28 11" xfId="20952"/>
    <cellStyle name="Note 2 28 2" xfId="20953"/>
    <cellStyle name="Note 2 28 2 2" xfId="54951"/>
    <cellStyle name="Note 2 28 2 3" xfId="54952"/>
    <cellStyle name="Note 2 28 2 4" xfId="54953"/>
    <cellStyle name="Note 2 28 3" xfId="20954"/>
    <cellStyle name="Note 2 28 3 2" xfId="54954"/>
    <cellStyle name="Note 2 28 3 3" xfId="54955"/>
    <cellStyle name="Note 2 28 3 4" xfId="54956"/>
    <cellStyle name="Note 2 28 4" xfId="20955"/>
    <cellStyle name="Note 2 28 5" xfId="20956"/>
    <cellStyle name="Note 2 28 6" xfId="20957"/>
    <cellStyle name="Note 2 28 7" xfId="20958"/>
    <cellStyle name="Note 2 28 8" xfId="20959"/>
    <cellStyle name="Note 2 28 9" xfId="20960"/>
    <cellStyle name="Note 2 29" xfId="20961"/>
    <cellStyle name="Note 2 29 10" xfId="20962"/>
    <cellStyle name="Note 2 29 11" xfId="20963"/>
    <cellStyle name="Note 2 29 2" xfId="20964"/>
    <cellStyle name="Note 2 29 2 2" xfId="54957"/>
    <cellStyle name="Note 2 29 2 3" xfId="54958"/>
    <cellStyle name="Note 2 29 2 4" xfId="54959"/>
    <cellStyle name="Note 2 29 3" xfId="20965"/>
    <cellStyle name="Note 2 29 3 2" xfId="54960"/>
    <cellStyle name="Note 2 29 3 3" xfId="54961"/>
    <cellStyle name="Note 2 29 3 4" xfId="54962"/>
    <cellStyle name="Note 2 29 4" xfId="20966"/>
    <cellStyle name="Note 2 29 5" xfId="20967"/>
    <cellStyle name="Note 2 29 6" xfId="20968"/>
    <cellStyle name="Note 2 29 7" xfId="20969"/>
    <cellStyle name="Note 2 29 8" xfId="20970"/>
    <cellStyle name="Note 2 29 9" xfId="20971"/>
    <cellStyle name="Note 2 3" xfId="206"/>
    <cellStyle name="Note 2 3 10" xfId="687"/>
    <cellStyle name="Note 2 3 10 2" xfId="688"/>
    <cellStyle name="Note 2 3 10 3" xfId="689"/>
    <cellStyle name="Note 2 3 10 4" xfId="20972"/>
    <cellStyle name="Note 2 3 11" xfId="690"/>
    <cellStyle name="Note 2 3 11 2" xfId="691"/>
    <cellStyle name="Note 2 3 11 3" xfId="692"/>
    <cellStyle name="Note 2 3 12" xfId="693"/>
    <cellStyle name="Note 2 3 12 2" xfId="694"/>
    <cellStyle name="Note 2 3 12 3" xfId="695"/>
    <cellStyle name="Note 2 3 13" xfId="696"/>
    <cellStyle name="Note 2 3 13 2" xfId="697"/>
    <cellStyle name="Note 2 3 13 3" xfId="698"/>
    <cellStyle name="Note 2 3 14" xfId="699"/>
    <cellStyle name="Note 2 3 15" xfId="700"/>
    <cellStyle name="Note 2 3 16" xfId="20973"/>
    <cellStyle name="Note 2 3 17" xfId="20974"/>
    <cellStyle name="Note 2 3 18" xfId="20975"/>
    <cellStyle name="Note 2 3 19" xfId="20976"/>
    <cellStyle name="Note 2 3 2" xfId="701"/>
    <cellStyle name="Note 2 3 2 2" xfId="702"/>
    <cellStyle name="Note 2 3 2 2 2" xfId="20977"/>
    <cellStyle name="Note 2 3 2 2 2 2" xfId="20978"/>
    <cellStyle name="Note 2 3 2 2 3" xfId="20979"/>
    <cellStyle name="Note 2 3 2 2 4" xfId="20980"/>
    <cellStyle name="Note 2 3 2 3" xfId="20981"/>
    <cellStyle name="Note 2 3 2 3 2" xfId="20982"/>
    <cellStyle name="Note 2 3 2 3 2 2" xfId="20983"/>
    <cellStyle name="Note 2 3 2 3 3" xfId="20984"/>
    <cellStyle name="Note 2 3 2 4" xfId="20985"/>
    <cellStyle name="Note 2 3 2 4 2" xfId="20986"/>
    <cellStyle name="Note 2 3 2 5" xfId="20987"/>
    <cellStyle name="Note 2 3 2 6" xfId="20988"/>
    <cellStyle name="Note 2 3 2 7" xfId="20989"/>
    <cellStyle name="Note 2 3 2 8" xfId="20990"/>
    <cellStyle name="Note 2 3 2 9" xfId="20991"/>
    <cellStyle name="Note 2 3 20" xfId="20992"/>
    <cellStyle name="Note 2 3 21" xfId="20993"/>
    <cellStyle name="Note 2 3 22" xfId="20994"/>
    <cellStyle name="Note 2 3 23" xfId="20995"/>
    <cellStyle name="Note 2 3 24" xfId="20996"/>
    <cellStyle name="Note 2 3 25" xfId="54963"/>
    <cellStyle name="Note 2 3 26" xfId="54964"/>
    <cellStyle name="Note 2 3 27" xfId="54965"/>
    <cellStyle name="Note 2 3 28" xfId="54966"/>
    <cellStyle name="Note 2 3 29" xfId="54967"/>
    <cellStyle name="Note 2 3 3" xfId="703"/>
    <cellStyle name="Note 2 3 3 10" xfId="20997"/>
    <cellStyle name="Note 2 3 3 10 10" xfId="20998"/>
    <cellStyle name="Note 2 3 3 10 11" xfId="20999"/>
    <cellStyle name="Note 2 3 3 10 12" xfId="21000"/>
    <cellStyle name="Note 2 3 3 10 2" xfId="21001"/>
    <cellStyle name="Note 2 3 3 10 2 2" xfId="21002"/>
    <cellStyle name="Note 2 3 3 10 2 2 2" xfId="21003"/>
    <cellStyle name="Note 2 3 3 10 2 2 2 2" xfId="21004"/>
    <cellStyle name="Note 2 3 3 10 2 2 2 3" xfId="21005"/>
    <cellStyle name="Note 2 3 3 10 2 2 2 4" xfId="21006"/>
    <cellStyle name="Note 2 3 3 10 2 2 3" xfId="21007"/>
    <cellStyle name="Note 2 3 3 10 2 2 4" xfId="21008"/>
    <cellStyle name="Note 2 3 3 10 2 2 5" xfId="21009"/>
    <cellStyle name="Note 2 3 3 10 2 2 6" xfId="21010"/>
    <cellStyle name="Note 2 3 3 10 2 3" xfId="21011"/>
    <cellStyle name="Note 2 3 3 10 2 3 2" xfId="21012"/>
    <cellStyle name="Note 2 3 3 10 2 3 3" xfId="21013"/>
    <cellStyle name="Note 2 3 3 10 2 3 4" xfId="21014"/>
    <cellStyle name="Note 2 3 3 10 2 4" xfId="21015"/>
    <cellStyle name="Note 2 3 3 10 2 5" xfId="21016"/>
    <cellStyle name="Note 2 3 3 10 2 6" xfId="21017"/>
    <cellStyle name="Note 2 3 3 10 2 7" xfId="21018"/>
    <cellStyle name="Note 2 3 3 10 3" xfId="21019"/>
    <cellStyle name="Note 2 3 3 10 3 2" xfId="21020"/>
    <cellStyle name="Note 2 3 3 10 3 2 2" xfId="21021"/>
    <cellStyle name="Note 2 3 3 10 3 2 3" xfId="21022"/>
    <cellStyle name="Note 2 3 3 10 3 2 4" xfId="21023"/>
    <cellStyle name="Note 2 3 3 10 3 3" xfId="21024"/>
    <cellStyle name="Note 2 3 3 10 3 4" xfId="21025"/>
    <cellStyle name="Note 2 3 3 10 3 5" xfId="21026"/>
    <cellStyle name="Note 2 3 3 10 3 6" xfId="21027"/>
    <cellStyle name="Note 2 3 3 10 4" xfId="21028"/>
    <cellStyle name="Note 2 3 3 10 4 2" xfId="21029"/>
    <cellStyle name="Note 2 3 3 10 4 3" xfId="21030"/>
    <cellStyle name="Note 2 3 3 10 4 4" xfId="21031"/>
    <cellStyle name="Note 2 3 3 10 4 5" xfId="21032"/>
    <cellStyle name="Note 2 3 3 10 5" xfId="21033"/>
    <cellStyle name="Note 2 3 3 10 5 2" xfId="21034"/>
    <cellStyle name="Note 2 3 3 10 5 3" xfId="21035"/>
    <cellStyle name="Note 2 3 3 10 5 4" xfId="21036"/>
    <cellStyle name="Note 2 3 3 10 6" xfId="21037"/>
    <cellStyle name="Note 2 3 3 10 6 2" xfId="21038"/>
    <cellStyle name="Note 2 3 3 10 6 3" xfId="21039"/>
    <cellStyle name="Note 2 3 3 10 6 4" xfId="21040"/>
    <cellStyle name="Note 2 3 3 10 7" xfId="21041"/>
    <cellStyle name="Note 2 3 3 10 7 2" xfId="21042"/>
    <cellStyle name="Note 2 3 3 10 7 3" xfId="21043"/>
    <cellStyle name="Note 2 3 3 10 7 4" xfId="21044"/>
    <cellStyle name="Note 2 3 3 10 8" xfId="21045"/>
    <cellStyle name="Note 2 3 3 10 8 2" xfId="21046"/>
    <cellStyle name="Note 2 3 3 10 8 3" xfId="21047"/>
    <cellStyle name="Note 2 3 3 10 8 4" xfId="21048"/>
    <cellStyle name="Note 2 3 3 10 9" xfId="21049"/>
    <cellStyle name="Note 2 3 3 11" xfId="21050"/>
    <cellStyle name="Note 2 3 3 11 10" xfId="21051"/>
    <cellStyle name="Note 2 3 3 11 11" xfId="21052"/>
    <cellStyle name="Note 2 3 3 11 2" xfId="21053"/>
    <cellStyle name="Note 2 3 3 11 2 2" xfId="21054"/>
    <cellStyle name="Note 2 3 3 11 2 2 2" xfId="21055"/>
    <cellStyle name="Note 2 3 3 11 2 2 3" xfId="21056"/>
    <cellStyle name="Note 2 3 3 11 2 2 4" xfId="21057"/>
    <cellStyle name="Note 2 3 3 11 2 3" xfId="21058"/>
    <cellStyle name="Note 2 3 3 11 2 4" xfId="21059"/>
    <cellStyle name="Note 2 3 3 11 2 5" xfId="21060"/>
    <cellStyle name="Note 2 3 3 11 2 6" xfId="21061"/>
    <cellStyle name="Note 2 3 3 11 3" xfId="21062"/>
    <cellStyle name="Note 2 3 3 11 3 2" xfId="21063"/>
    <cellStyle name="Note 2 3 3 11 3 3" xfId="21064"/>
    <cellStyle name="Note 2 3 3 11 3 4" xfId="21065"/>
    <cellStyle name="Note 2 3 3 11 3 5" xfId="21066"/>
    <cellStyle name="Note 2 3 3 11 4" xfId="21067"/>
    <cellStyle name="Note 2 3 3 11 4 2" xfId="21068"/>
    <cellStyle name="Note 2 3 3 11 4 3" xfId="21069"/>
    <cellStyle name="Note 2 3 3 11 4 4" xfId="21070"/>
    <cellStyle name="Note 2 3 3 11 5" xfId="21071"/>
    <cellStyle name="Note 2 3 3 11 5 2" xfId="21072"/>
    <cellStyle name="Note 2 3 3 11 5 3" xfId="21073"/>
    <cellStyle name="Note 2 3 3 11 5 4" xfId="21074"/>
    <cellStyle name="Note 2 3 3 11 6" xfId="21075"/>
    <cellStyle name="Note 2 3 3 11 6 2" xfId="21076"/>
    <cellStyle name="Note 2 3 3 11 6 3" xfId="21077"/>
    <cellStyle name="Note 2 3 3 11 6 4" xfId="21078"/>
    <cellStyle name="Note 2 3 3 11 7" xfId="21079"/>
    <cellStyle name="Note 2 3 3 11 7 2" xfId="21080"/>
    <cellStyle name="Note 2 3 3 11 7 3" xfId="21081"/>
    <cellStyle name="Note 2 3 3 11 7 4" xfId="21082"/>
    <cellStyle name="Note 2 3 3 11 8" xfId="21083"/>
    <cellStyle name="Note 2 3 3 11 9" xfId="21084"/>
    <cellStyle name="Note 2 3 3 12" xfId="21085"/>
    <cellStyle name="Note 2 3 3 12 2" xfId="21086"/>
    <cellStyle name="Note 2 3 3 12 2 2" xfId="21087"/>
    <cellStyle name="Note 2 3 3 12 2 3" xfId="21088"/>
    <cellStyle name="Note 2 3 3 12 2 4" xfId="21089"/>
    <cellStyle name="Note 2 3 3 12 3" xfId="21090"/>
    <cellStyle name="Note 2 3 3 12 3 2" xfId="21091"/>
    <cellStyle name="Note 2 3 3 12 3 3" xfId="21092"/>
    <cellStyle name="Note 2 3 3 12 3 4" xfId="21093"/>
    <cellStyle name="Note 2 3 3 12 4" xfId="21094"/>
    <cellStyle name="Note 2 3 3 12 4 2" xfId="21095"/>
    <cellStyle name="Note 2 3 3 12 4 3" xfId="21096"/>
    <cellStyle name="Note 2 3 3 12 4 4" xfId="21097"/>
    <cellStyle name="Note 2 3 3 12 5" xfId="21098"/>
    <cellStyle name="Note 2 3 3 12 6" xfId="21099"/>
    <cellStyle name="Note 2 3 3 12 7" xfId="21100"/>
    <cellStyle name="Note 2 3 3 12 8" xfId="21101"/>
    <cellStyle name="Note 2 3 3 13" xfId="21102"/>
    <cellStyle name="Note 2 3 3 13 2" xfId="21103"/>
    <cellStyle name="Note 2 3 3 13 2 2" xfId="21104"/>
    <cellStyle name="Note 2 3 3 13 2 3" xfId="21105"/>
    <cellStyle name="Note 2 3 3 13 2 4" xfId="21106"/>
    <cellStyle name="Note 2 3 3 13 3" xfId="21107"/>
    <cellStyle name="Note 2 3 3 13 3 2" xfId="21108"/>
    <cellStyle name="Note 2 3 3 13 3 3" xfId="21109"/>
    <cellStyle name="Note 2 3 3 13 3 4" xfId="21110"/>
    <cellStyle name="Note 2 3 3 13 4" xfId="21111"/>
    <cellStyle name="Note 2 3 3 13 5" xfId="21112"/>
    <cellStyle name="Note 2 3 3 13 6" xfId="21113"/>
    <cellStyle name="Note 2 3 3 13 7" xfId="21114"/>
    <cellStyle name="Note 2 3 3 14" xfId="21115"/>
    <cellStyle name="Note 2 3 3 14 2" xfId="21116"/>
    <cellStyle name="Note 2 3 3 14 2 2" xfId="21117"/>
    <cellStyle name="Note 2 3 3 14 2 3" xfId="21118"/>
    <cellStyle name="Note 2 3 3 14 2 4" xfId="21119"/>
    <cellStyle name="Note 2 3 3 14 3" xfId="21120"/>
    <cellStyle name="Note 2 3 3 14 3 2" xfId="21121"/>
    <cellStyle name="Note 2 3 3 14 3 3" xfId="21122"/>
    <cellStyle name="Note 2 3 3 14 3 4" xfId="21123"/>
    <cellStyle name="Note 2 3 3 14 4" xfId="21124"/>
    <cellStyle name="Note 2 3 3 14 5" xfId="21125"/>
    <cellStyle name="Note 2 3 3 14 6" xfId="21126"/>
    <cellStyle name="Note 2 3 3 14 7" xfId="21127"/>
    <cellStyle name="Note 2 3 3 15" xfId="21128"/>
    <cellStyle name="Note 2 3 3 15 2" xfId="21129"/>
    <cellStyle name="Note 2 3 3 15 2 2" xfId="21130"/>
    <cellStyle name="Note 2 3 3 15 2 3" xfId="21131"/>
    <cellStyle name="Note 2 3 3 15 2 4" xfId="21132"/>
    <cellStyle name="Note 2 3 3 15 3" xfId="21133"/>
    <cellStyle name="Note 2 3 3 15 3 2" xfId="21134"/>
    <cellStyle name="Note 2 3 3 15 3 3" xfId="21135"/>
    <cellStyle name="Note 2 3 3 15 3 4" xfId="21136"/>
    <cellStyle name="Note 2 3 3 15 4" xfId="21137"/>
    <cellStyle name="Note 2 3 3 15 5" xfId="21138"/>
    <cellStyle name="Note 2 3 3 15 6" xfId="21139"/>
    <cellStyle name="Note 2 3 3 15 7" xfId="21140"/>
    <cellStyle name="Note 2 3 3 16" xfId="21141"/>
    <cellStyle name="Note 2 3 3 16 2" xfId="21142"/>
    <cellStyle name="Note 2 3 3 16 2 2" xfId="21143"/>
    <cellStyle name="Note 2 3 3 16 2 3" xfId="21144"/>
    <cellStyle name="Note 2 3 3 16 2 4" xfId="21145"/>
    <cellStyle name="Note 2 3 3 16 3" xfId="21146"/>
    <cellStyle name="Note 2 3 3 16 4" xfId="21147"/>
    <cellStyle name="Note 2 3 3 16 5" xfId="21148"/>
    <cellStyle name="Note 2 3 3 16 6" xfId="21149"/>
    <cellStyle name="Note 2 3 3 17" xfId="21150"/>
    <cellStyle name="Note 2 3 3 17 2" xfId="21151"/>
    <cellStyle name="Note 2 3 3 17 3" xfId="21152"/>
    <cellStyle name="Note 2 3 3 17 4" xfId="21153"/>
    <cellStyle name="Note 2 3 3 17 5" xfId="21154"/>
    <cellStyle name="Note 2 3 3 18" xfId="21155"/>
    <cellStyle name="Note 2 3 3 18 2" xfId="21156"/>
    <cellStyle name="Note 2 3 3 18 3" xfId="21157"/>
    <cellStyle name="Note 2 3 3 18 4" xfId="21158"/>
    <cellStyle name="Note 2 3 3 19" xfId="21159"/>
    <cellStyle name="Note 2 3 3 19 2" xfId="21160"/>
    <cellStyle name="Note 2 3 3 19 3" xfId="21161"/>
    <cellStyle name="Note 2 3 3 19 4" xfId="21162"/>
    <cellStyle name="Note 2 3 3 2" xfId="704"/>
    <cellStyle name="Note 2 3 3 2 10" xfId="21163"/>
    <cellStyle name="Note 2 3 3 2 10 2" xfId="21164"/>
    <cellStyle name="Note 2 3 3 2 10 2 2" xfId="21165"/>
    <cellStyle name="Note 2 3 3 2 10 2 3" xfId="21166"/>
    <cellStyle name="Note 2 3 3 2 10 2 4" xfId="21167"/>
    <cellStyle name="Note 2 3 3 2 10 3" xfId="21168"/>
    <cellStyle name="Note 2 3 3 2 10 3 2" xfId="21169"/>
    <cellStyle name="Note 2 3 3 2 10 3 3" xfId="21170"/>
    <cellStyle name="Note 2 3 3 2 10 3 4" xfId="21171"/>
    <cellStyle name="Note 2 3 3 2 10 4" xfId="21172"/>
    <cellStyle name="Note 2 3 3 2 10 5" xfId="21173"/>
    <cellStyle name="Note 2 3 3 2 10 6" xfId="21174"/>
    <cellStyle name="Note 2 3 3 2 10 7" xfId="21175"/>
    <cellStyle name="Note 2 3 3 2 11" xfId="21176"/>
    <cellStyle name="Note 2 3 3 2 11 2" xfId="21177"/>
    <cellStyle name="Note 2 3 3 2 11 2 2" xfId="21178"/>
    <cellStyle name="Note 2 3 3 2 11 2 3" xfId="21179"/>
    <cellStyle name="Note 2 3 3 2 11 2 4" xfId="21180"/>
    <cellStyle name="Note 2 3 3 2 11 3" xfId="21181"/>
    <cellStyle name="Note 2 3 3 2 11 3 2" xfId="21182"/>
    <cellStyle name="Note 2 3 3 2 11 3 3" xfId="21183"/>
    <cellStyle name="Note 2 3 3 2 11 3 4" xfId="21184"/>
    <cellStyle name="Note 2 3 3 2 11 4" xfId="21185"/>
    <cellStyle name="Note 2 3 3 2 11 5" xfId="21186"/>
    <cellStyle name="Note 2 3 3 2 11 6" xfId="21187"/>
    <cellStyle name="Note 2 3 3 2 11 7" xfId="21188"/>
    <cellStyle name="Note 2 3 3 2 12" xfId="21189"/>
    <cellStyle name="Note 2 3 3 2 12 2" xfId="21190"/>
    <cellStyle name="Note 2 3 3 2 12 2 2" xfId="21191"/>
    <cellStyle name="Note 2 3 3 2 12 2 3" xfId="21192"/>
    <cellStyle name="Note 2 3 3 2 12 2 4" xfId="21193"/>
    <cellStyle name="Note 2 3 3 2 12 3" xfId="21194"/>
    <cellStyle name="Note 2 3 3 2 12 3 2" xfId="21195"/>
    <cellStyle name="Note 2 3 3 2 12 3 3" xfId="21196"/>
    <cellStyle name="Note 2 3 3 2 12 3 4" xfId="21197"/>
    <cellStyle name="Note 2 3 3 2 12 4" xfId="21198"/>
    <cellStyle name="Note 2 3 3 2 12 5" xfId="21199"/>
    <cellStyle name="Note 2 3 3 2 12 6" xfId="21200"/>
    <cellStyle name="Note 2 3 3 2 12 7" xfId="21201"/>
    <cellStyle name="Note 2 3 3 2 13" xfId="21202"/>
    <cellStyle name="Note 2 3 3 2 13 2" xfId="21203"/>
    <cellStyle name="Note 2 3 3 2 13 2 2" xfId="21204"/>
    <cellStyle name="Note 2 3 3 2 13 2 3" xfId="21205"/>
    <cellStyle name="Note 2 3 3 2 13 2 4" xfId="21206"/>
    <cellStyle name="Note 2 3 3 2 13 3" xfId="21207"/>
    <cellStyle name="Note 2 3 3 2 13 3 2" xfId="21208"/>
    <cellStyle name="Note 2 3 3 2 13 3 3" xfId="21209"/>
    <cellStyle name="Note 2 3 3 2 13 3 4" xfId="21210"/>
    <cellStyle name="Note 2 3 3 2 13 4" xfId="21211"/>
    <cellStyle name="Note 2 3 3 2 13 5" xfId="21212"/>
    <cellStyle name="Note 2 3 3 2 13 6" xfId="21213"/>
    <cellStyle name="Note 2 3 3 2 13 7" xfId="21214"/>
    <cellStyle name="Note 2 3 3 2 14" xfId="21215"/>
    <cellStyle name="Note 2 3 3 2 14 2" xfId="21216"/>
    <cellStyle name="Note 2 3 3 2 14 2 2" xfId="21217"/>
    <cellStyle name="Note 2 3 3 2 14 2 3" xfId="21218"/>
    <cellStyle name="Note 2 3 3 2 14 2 4" xfId="21219"/>
    <cellStyle name="Note 2 3 3 2 14 3" xfId="21220"/>
    <cellStyle name="Note 2 3 3 2 14 4" xfId="21221"/>
    <cellStyle name="Note 2 3 3 2 14 5" xfId="21222"/>
    <cellStyle name="Note 2 3 3 2 14 6" xfId="21223"/>
    <cellStyle name="Note 2 3 3 2 15" xfId="21224"/>
    <cellStyle name="Note 2 3 3 2 15 2" xfId="21225"/>
    <cellStyle name="Note 2 3 3 2 15 3" xfId="21226"/>
    <cellStyle name="Note 2 3 3 2 15 4" xfId="21227"/>
    <cellStyle name="Note 2 3 3 2 15 5" xfId="21228"/>
    <cellStyle name="Note 2 3 3 2 16" xfId="21229"/>
    <cellStyle name="Note 2 3 3 2 16 2" xfId="21230"/>
    <cellStyle name="Note 2 3 3 2 16 3" xfId="21231"/>
    <cellStyle name="Note 2 3 3 2 16 4" xfId="21232"/>
    <cellStyle name="Note 2 3 3 2 17" xfId="21233"/>
    <cellStyle name="Note 2 3 3 2 17 2" xfId="21234"/>
    <cellStyle name="Note 2 3 3 2 17 3" xfId="21235"/>
    <cellStyle name="Note 2 3 3 2 17 4" xfId="21236"/>
    <cellStyle name="Note 2 3 3 2 18" xfId="21237"/>
    <cellStyle name="Note 2 3 3 2 18 2" xfId="21238"/>
    <cellStyle name="Note 2 3 3 2 18 3" xfId="21239"/>
    <cellStyle name="Note 2 3 3 2 18 4" xfId="21240"/>
    <cellStyle name="Note 2 3 3 2 19" xfId="21241"/>
    <cellStyle name="Note 2 3 3 2 2" xfId="21242"/>
    <cellStyle name="Note 2 3 3 2 2 10" xfId="21243"/>
    <cellStyle name="Note 2 3 3 2 2 10 2" xfId="21244"/>
    <cellStyle name="Note 2 3 3 2 2 10 3" xfId="21245"/>
    <cellStyle name="Note 2 3 3 2 2 10 4" xfId="21246"/>
    <cellStyle name="Note 2 3 3 2 2 11" xfId="21247"/>
    <cellStyle name="Note 2 3 3 2 2 11 2" xfId="21248"/>
    <cellStyle name="Note 2 3 3 2 2 11 3" xfId="21249"/>
    <cellStyle name="Note 2 3 3 2 2 11 4" xfId="21250"/>
    <cellStyle name="Note 2 3 3 2 2 12" xfId="21251"/>
    <cellStyle name="Note 2 3 3 2 2 13" xfId="21252"/>
    <cellStyle name="Note 2 3 3 2 2 14" xfId="21253"/>
    <cellStyle name="Note 2 3 3 2 2 15" xfId="21254"/>
    <cellStyle name="Note 2 3 3 2 2 2" xfId="21255"/>
    <cellStyle name="Note 2 3 3 2 2 2 10" xfId="21256"/>
    <cellStyle name="Note 2 3 3 2 2 2 11" xfId="21257"/>
    <cellStyle name="Note 2 3 3 2 2 2 12" xfId="21258"/>
    <cellStyle name="Note 2 3 3 2 2 2 2" xfId="21259"/>
    <cellStyle name="Note 2 3 3 2 2 2 2 10" xfId="21260"/>
    <cellStyle name="Note 2 3 3 2 2 2 2 11" xfId="21261"/>
    <cellStyle name="Note 2 3 3 2 2 2 2 2" xfId="21262"/>
    <cellStyle name="Note 2 3 3 2 2 2 2 2 2" xfId="21263"/>
    <cellStyle name="Note 2 3 3 2 2 2 2 2 2 2" xfId="21264"/>
    <cellStyle name="Note 2 3 3 2 2 2 2 2 2 2 2" xfId="21265"/>
    <cellStyle name="Note 2 3 3 2 2 2 2 2 2 2 3" xfId="21266"/>
    <cellStyle name="Note 2 3 3 2 2 2 2 2 2 2 4" xfId="21267"/>
    <cellStyle name="Note 2 3 3 2 2 2 2 2 2 3" xfId="21268"/>
    <cellStyle name="Note 2 3 3 2 2 2 2 2 2 4" xfId="21269"/>
    <cellStyle name="Note 2 3 3 2 2 2 2 2 2 5" xfId="21270"/>
    <cellStyle name="Note 2 3 3 2 2 2 2 2 2 6" xfId="21271"/>
    <cellStyle name="Note 2 3 3 2 2 2 2 2 3" xfId="21272"/>
    <cellStyle name="Note 2 3 3 2 2 2 2 2 3 2" xfId="21273"/>
    <cellStyle name="Note 2 3 3 2 2 2 2 2 3 3" xfId="21274"/>
    <cellStyle name="Note 2 3 3 2 2 2 2 2 3 4" xfId="21275"/>
    <cellStyle name="Note 2 3 3 2 2 2 2 2 4" xfId="21276"/>
    <cellStyle name="Note 2 3 3 2 2 2 2 2 5" xfId="21277"/>
    <cellStyle name="Note 2 3 3 2 2 2 2 2 6" xfId="21278"/>
    <cellStyle name="Note 2 3 3 2 2 2 2 2 7" xfId="21279"/>
    <cellStyle name="Note 2 3 3 2 2 2 2 3" xfId="21280"/>
    <cellStyle name="Note 2 3 3 2 2 2 2 3 2" xfId="21281"/>
    <cellStyle name="Note 2 3 3 2 2 2 2 3 2 2" xfId="21282"/>
    <cellStyle name="Note 2 3 3 2 2 2 2 3 2 3" xfId="21283"/>
    <cellStyle name="Note 2 3 3 2 2 2 2 3 2 4" xfId="21284"/>
    <cellStyle name="Note 2 3 3 2 2 2 2 3 3" xfId="21285"/>
    <cellStyle name="Note 2 3 3 2 2 2 2 3 4" xfId="21286"/>
    <cellStyle name="Note 2 3 3 2 2 2 2 3 5" xfId="21287"/>
    <cellStyle name="Note 2 3 3 2 2 2 2 3 6" xfId="21288"/>
    <cellStyle name="Note 2 3 3 2 2 2 2 4" xfId="21289"/>
    <cellStyle name="Note 2 3 3 2 2 2 2 4 2" xfId="21290"/>
    <cellStyle name="Note 2 3 3 2 2 2 2 4 3" xfId="21291"/>
    <cellStyle name="Note 2 3 3 2 2 2 2 4 4" xfId="21292"/>
    <cellStyle name="Note 2 3 3 2 2 2 2 4 5" xfId="21293"/>
    <cellStyle name="Note 2 3 3 2 2 2 2 5" xfId="21294"/>
    <cellStyle name="Note 2 3 3 2 2 2 2 5 2" xfId="21295"/>
    <cellStyle name="Note 2 3 3 2 2 2 2 5 3" xfId="21296"/>
    <cellStyle name="Note 2 3 3 2 2 2 2 5 4" xfId="21297"/>
    <cellStyle name="Note 2 3 3 2 2 2 2 6" xfId="21298"/>
    <cellStyle name="Note 2 3 3 2 2 2 2 6 2" xfId="21299"/>
    <cellStyle name="Note 2 3 3 2 2 2 2 6 3" xfId="21300"/>
    <cellStyle name="Note 2 3 3 2 2 2 2 6 4" xfId="21301"/>
    <cellStyle name="Note 2 3 3 2 2 2 2 7" xfId="21302"/>
    <cellStyle name="Note 2 3 3 2 2 2 2 7 2" xfId="21303"/>
    <cellStyle name="Note 2 3 3 2 2 2 2 7 3" xfId="21304"/>
    <cellStyle name="Note 2 3 3 2 2 2 2 7 4" xfId="21305"/>
    <cellStyle name="Note 2 3 3 2 2 2 2 8" xfId="21306"/>
    <cellStyle name="Note 2 3 3 2 2 2 2 9" xfId="21307"/>
    <cellStyle name="Note 2 3 3 2 2 2 3" xfId="21308"/>
    <cellStyle name="Note 2 3 3 2 2 2 3 2" xfId="21309"/>
    <cellStyle name="Note 2 3 3 2 2 2 3 2 2" xfId="21310"/>
    <cellStyle name="Note 2 3 3 2 2 2 3 2 2 2" xfId="21311"/>
    <cellStyle name="Note 2 3 3 2 2 2 3 2 2 3" xfId="21312"/>
    <cellStyle name="Note 2 3 3 2 2 2 3 2 2 4" xfId="21313"/>
    <cellStyle name="Note 2 3 3 2 2 2 3 2 3" xfId="21314"/>
    <cellStyle name="Note 2 3 3 2 2 2 3 2 4" xfId="21315"/>
    <cellStyle name="Note 2 3 3 2 2 2 3 2 5" xfId="21316"/>
    <cellStyle name="Note 2 3 3 2 2 2 3 2 6" xfId="21317"/>
    <cellStyle name="Note 2 3 3 2 2 2 3 3" xfId="21318"/>
    <cellStyle name="Note 2 3 3 2 2 2 3 3 2" xfId="21319"/>
    <cellStyle name="Note 2 3 3 2 2 2 3 3 3" xfId="21320"/>
    <cellStyle name="Note 2 3 3 2 2 2 3 3 4" xfId="21321"/>
    <cellStyle name="Note 2 3 3 2 2 2 3 4" xfId="21322"/>
    <cellStyle name="Note 2 3 3 2 2 2 3 5" xfId="21323"/>
    <cellStyle name="Note 2 3 3 2 2 2 3 6" xfId="21324"/>
    <cellStyle name="Note 2 3 3 2 2 2 3 7" xfId="21325"/>
    <cellStyle name="Note 2 3 3 2 2 2 4" xfId="21326"/>
    <cellStyle name="Note 2 3 3 2 2 2 4 2" xfId="21327"/>
    <cellStyle name="Note 2 3 3 2 2 2 4 2 2" xfId="21328"/>
    <cellStyle name="Note 2 3 3 2 2 2 4 2 3" xfId="21329"/>
    <cellStyle name="Note 2 3 3 2 2 2 4 2 4" xfId="21330"/>
    <cellStyle name="Note 2 3 3 2 2 2 4 3" xfId="21331"/>
    <cellStyle name="Note 2 3 3 2 2 2 4 4" xfId="21332"/>
    <cellStyle name="Note 2 3 3 2 2 2 4 5" xfId="21333"/>
    <cellStyle name="Note 2 3 3 2 2 2 4 6" xfId="21334"/>
    <cellStyle name="Note 2 3 3 2 2 2 5" xfId="21335"/>
    <cellStyle name="Note 2 3 3 2 2 2 5 2" xfId="21336"/>
    <cellStyle name="Note 2 3 3 2 2 2 5 3" xfId="21337"/>
    <cellStyle name="Note 2 3 3 2 2 2 5 4" xfId="21338"/>
    <cellStyle name="Note 2 3 3 2 2 2 5 5" xfId="21339"/>
    <cellStyle name="Note 2 3 3 2 2 2 6" xfId="21340"/>
    <cellStyle name="Note 2 3 3 2 2 2 6 2" xfId="21341"/>
    <cellStyle name="Note 2 3 3 2 2 2 6 3" xfId="21342"/>
    <cellStyle name="Note 2 3 3 2 2 2 6 4" xfId="21343"/>
    <cellStyle name="Note 2 3 3 2 2 2 7" xfId="21344"/>
    <cellStyle name="Note 2 3 3 2 2 2 7 2" xfId="21345"/>
    <cellStyle name="Note 2 3 3 2 2 2 7 3" xfId="21346"/>
    <cellStyle name="Note 2 3 3 2 2 2 7 4" xfId="21347"/>
    <cellStyle name="Note 2 3 3 2 2 2 8" xfId="21348"/>
    <cellStyle name="Note 2 3 3 2 2 2 8 2" xfId="21349"/>
    <cellStyle name="Note 2 3 3 2 2 2 8 3" xfId="21350"/>
    <cellStyle name="Note 2 3 3 2 2 2 8 4" xfId="21351"/>
    <cellStyle name="Note 2 3 3 2 2 2 9" xfId="21352"/>
    <cellStyle name="Note 2 3 3 2 2 3" xfId="21353"/>
    <cellStyle name="Note 2 3 3 2 2 3 10" xfId="21354"/>
    <cellStyle name="Note 2 3 3 2 2 3 11" xfId="21355"/>
    <cellStyle name="Note 2 3 3 2 2 3 2" xfId="21356"/>
    <cellStyle name="Note 2 3 3 2 2 3 2 2" xfId="21357"/>
    <cellStyle name="Note 2 3 3 2 2 3 2 2 2" xfId="21358"/>
    <cellStyle name="Note 2 3 3 2 2 3 2 2 2 2" xfId="21359"/>
    <cellStyle name="Note 2 3 3 2 2 3 2 2 2 3" xfId="21360"/>
    <cellStyle name="Note 2 3 3 2 2 3 2 2 2 4" xfId="21361"/>
    <cellStyle name="Note 2 3 3 2 2 3 2 2 3" xfId="21362"/>
    <cellStyle name="Note 2 3 3 2 2 3 2 2 4" xfId="21363"/>
    <cellStyle name="Note 2 3 3 2 2 3 2 2 5" xfId="21364"/>
    <cellStyle name="Note 2 3 3 2 2 3 2 2 6" xfId="21365"/>
    <cellStyle name="Note 2 3 3 2 2 3 2 3" xfId="21366"/>
    <cellStyle name="Note 2 3 3 2 2 3 2 3 2" xfId="21367"/>
    <cellStyle name="Note 2 3 3 2 2 3 2 3 3" xfId="21368"/>
    <cellStyle name="Note 2 3 3 2 2 3 2 3 4" xfId="21369"/>
    <cellStyle name="Note 2 3 3 2 2 3 2 4" xfId="21370"/>
    <cellStyle name="Note 2 3 3 2 2 3 2 5" xfId="21371"/>
    <cellStyle name="Note 2 3 3 2 2 3 2 6" xfId="21372"/>
    <cellStyle name="Note 2 3 3 2 2 3 2 7" xfId="21373"/>
    <cellStyle name="Note 2 3 3 2 2 3 3" xfId="21374"/>
    <cellStyle name="Note 2 3 3 2 2 3 3 2" xfId="21375"/>
    <cellStyle name="Note 2 3 3 2 2 3 3 2 2" xfId="21376"/>
    <cellStyle name="Note 2 3 3 2 2 3 3 2 3" xfId="21377"/>
    <cellStyle name="Note 2 3 3 2 2 3 3 2 4" xfId="21378"/>
    <cellStyle name="Note 2 3 3 2 2 3 3 3" xfId="21379"/>
    <cellStyle name="Note 2 3 3 2 2 3 3 4" xfId="21380"/>
    <cellStyle name="Note 2 3 3 2 2 3 3 5" xfId="21381"/>
    <cellStyle name="Note 2 3 3 2 2 3 3 6" xfId="21382"/>
    <cellStyle name="Note 2 3 3 2 2 3 4" xfId="21383"/>
    <cellStyle name="Note 2 3 3 2 2 3 4 2" xfId="21384"/>
    <cellStyle name="Note 2 3 3 2 2 3 4 3" xfId="21385"/>
    <cellStyle name="Note 2 3 3 2 2 3 4 4" xfId="21386"/>
    <cellStyle name="Note 2 3 3 2 2 3 4 5" xfId="21387"/>
    <cellStyle name="Note 2 3 3 2 2 3 5" xfId="21388"/>
    <cellStyle name="Note 2 3 3 2 2 3 5 2" xfId="21389"/>
    <cellStyle name="Note 2 3 3 2 2 3 5 3" xfId="21390"/>
    <cellStyle name="Note 2 3 3 2 2 3 5 4" xfId="21391"/>
    <cellStyle name="Note 2 3 3 2 2 3 6" xfId="21392"/>
    <cellStyle name="Note 2 3 3 2 2 3 6 2" xfId="21393"/>
    <cellStyle name="Note 2 3 3 2 2 3 6 3" xfId="21394"/>
    <cellStyle name="Note 2 3 3 2 2 3 6 4" xfId="21395"/>
    <cellStyle name="Note 2 3 3 2 2 3 7" xfId="21396"/>
    <cellStyle name="Note 2 3 3 2 2 3 7 2" xfId="21397"/>
    <cellStyle name="Note 2 3 3 2 2 3 7 3" xfId="21398"/>
    <cellStyle name="Note 2 3 3 2 2 3 7 4" xfId="21399"/>
    <cellStyle name="Note 2 3 3 2 2 3 8" xfId="21400"/>
    <cellStyle name="Note 2 3 3 2 2 3 9" xfId="21401"/>
    <cellStyle name="Note 2 3 3 2 2 4" xfId="21402"/>
    <cellStyle name="Note 2 3 3 2 2 4 2" xfId="21403"/>
    <cellStyle name="Note 2 3 3 2 2 4 2 2" xfId="21404"/>
    <cellStyle name="Note 2 3 3 2 2 4 2 2 2" xfId="21405"/>
    <cellStyle name="Note 2 3 3 2 2 4 2 2 3" xfId="21406"/>
    <cellStyle name="Note 2 3 3 2 2 4 2 2 4" xfId="21407"/>
    <cellStyle name="Note 2 3 3 2 2 4 2 3" xfId="21408"/>
    <cellStyle name="Note 2 3 3 2 2 4 2 4" xfId="21409"/>
    <cellStyle name="Note 2 3 3 2 2 4 2 5" xfId="21410"/>
    <cellStyle name="Note 2 3 3 2 2 4 2 6" xfId="21411"/>
    <cellStyle name="Note 2 3 3 2 2 4 3" xfId="21412"/>
    <cellStyle name="Note 2 3 3 2 2 4 3 2" xfId="21413"/>
    <cellStyle name="Note 2 3 3 2 2 4 3 3" xfId="21414"/>
    <cellStyle name="Note 2 3 3 2 2 4 3 4" xfId="21415"/>
    <cellStyle name="Note 2 3 3 2 2 4 4" xfId="21416"/>
    <cellStyle name="Note 2 3 3 2 2 4 5" xfId="21417"/>
    <cellStyle name="Note 2 3 3 2 2 4 6" xfId="21418"/>
    <cellStyle name="Note 2 3 3 2 2 4 7" xfId="21419"/>
    <cellStyle name="Note 2 3 3 2 2 5" xfId="21420"/>
    <cellStyle name="Note 2 3 3 2 2 5 2" xfId="21421"/>
    <cellStyle name="Note 2 3 3 2 2 5 2 2" xfId="21422"/>
    <cellStyle name="Note 2 3 3 2 2 5 2 3" xfId="21423"/>
    <cellStyle name="Note 2 3 3 2 2 5 2 4" xfId="21424"/>
    <cellStyle name="Note 2 3 3 2 2 5 3" xfId="21425"/>
    <cellStyle name="Note 2 3 3 2 2 5 3 2" xfId="21426"/>
    <cellStyle name="Note 2 3 3 2 2 5 3 3" xfId="21427"/>
    <cellStyle name="Note 2 3 3 2 2 5 3 4" xfId="21428"/>
    <cellStyle name="Note 2 3 3 2 2 5 4" xfId="21429"/>
    <cellStyle name="Note 2 3 3 2 2 5 5" xfId="21430"/>
    <cellStyle name="Note 2 3 3 2 2 5 6" xfId="21431"/>
    <cellStyle name="Note 2 3 3 2 2 5 7" xfId="21432"/>
    <cellStyle name="Note 2 3 3 2 2 6" xfId="21433"/>
    <cellStyle name="Note 2 3 3 2 2 6 2" xfId="21434"/>
    <cellStyle name="Note 2 3 3 2 2 6 2 2" xfId="21435"/>
    <cellStyle name="Note 2 3 3 2 2 6 2 3" xfId="21436"/>
    <cellStyle name="Note 2 3 3 2 2 6 2 4" xfId="21437"/>
    <cellStyle name="Note 2 3 3 2 2 6 3" xfId="21438"/>
    <cellStyle name="Note 2 3 3 2 2 6 3 2" xfId="21439"/>
    <cellStyle name="Note 2 3 3 2 2 6 3 3" xfId="21440"/>
    <cellStyle name="Note 2 3 3 2 2 6 3 4" xfId="21441"/>
    <cellStyle name="Note 2 3 3 2 2 6 4" xfId="21442"/>
    <cellStyle name="Note 2 3 3 2 2 6 5" xfId="21443"/>
    <cellStyle name="Note 2 3 3 2 2 6 6" xfId="21444"/>
    <cellStyle name="Note 2 3 3 2 2 6 7" xfId="21445"/>
    <cellStyle name="Note 2 3 3 2 2 7" xfId="21446"/>
    <cellStyle name="Note 2 3 3 2 2 7 2" xfId="21447"/>
    <cellStyle name="Note 2 3 3 2 2 7 2 2" xfId="21448"/>
    <cellStyle name="Note 2 3 3 2 2 7 2 3" xfId="21449"/>
    <cellStyle name="Note 2 3 3 2 2 7 2 4" xfId="21450"/>
    <cellStyle name="Note 2 3 3 2 2 7 3" xfId="21451"/>
    <cellStyle name="Note 2 3 3 2 2 7 3 2" xfId="21452"/>
    <cellStyle name="Note 2 3 3 2 2 7 3 3" xfId="21453"/>
    <cellStyle name="Note 2 3 3 2 2 7 3 4" xfId="21454"/>
    <cellStyle name="Note 2 3 3 2 2 7 4" xfId="21455"/>
    <cellStyle name="Note 2 3 3 2 2 7 5" xfId="21456"/>
    <cellStyle name="Note 2 3 3 2 2 7 6" xfId="21457"/>
    <cellStyle name="Note 2 3 3 2 2 7 7" xfId="21458"/>
    <cellStyle name="Note 2 3 3 2 2 8" xfId="21459"/>
    <cellStyle name="Note 2 3 3 2 2 8 2" xfId="21460"/>
    <cellStyle name="Note 2 3 3 2 2 8 2 2" xfId="21461"/>
    <cellStyle name="Note 2 3 3 2 2 8 2 3" xfId="21462"/>
    <cellStyle name="Note 2 3 3 2 2 8 2 4" xfId="21463"/>
    <cellStyle name="Note 2 3 3 2 2 8 3" xfId="21464"/>
    <cellStyle name="Note 2 3 3 2 2 8 4" xfId="21465"/>
    <cellStyle name="Note 2 3 3 2 2 8 5" xfId="21466"/>
    <cellStyle name="Note 2 3 3 2 2 8 6" xfId="21467"/>
    <cellStyle name="Note 2 3 3 2 2 9" xfId="21468"/>
    <cellStyle name="Note 2 3 3 2 2 9 2" xfId="21469"/>
    <cellStyle name="Note 2 3 3 2 2 9 3" xfId="21470"/>
    <cellStyle name="Note 2 3 3 2 2 9 4" xfId="21471"/>
    <cellStyle name="Note 2 3 3 2 2 9 5" xfId="21472"/>
    <cellStyle name="Note 2 3 3 2 20" xfId="21473"/>
    <cellStyle name="Note 2 3 3 2 21" xfId="21474"/>
    <cellStyle name="Note 2 3 3 2 22" xfId="21475"/>
    <cellStyle name="Note 2 3 3 2 3" xfId="21476"/>
    <cellStyle name="Note 2 3 3 2 3 10" xfId="21477"/>
    <cellStyle name="Note 2 3 3 2 3 10 2" xfId="21478"/>
    <cellStyle name="Note 2 3 3 2 3 10 3" xfId="21479"/>
    <cellStyle name="Note 2 3 3 2 3 10 4" xfId="21480"/>
    <cellStyle name="Note 2 3 3 2 3 11" xfId="21481"/>
    <cellStyle name="Note 2 3 3 2 3 11 2" xfId="21482"/>
    <cellStyle name="Note 2 3 3 2 3 11 3" xfId="21483"/>
    <cellStyle name="Note 2 3 3 2 3 11 4" xfId="21484"/>
    <cellStyle name="Note 2 3 3 2 3 12" xfId="21485"/>
    <cellStyle name="Note 2 3 3 2 3 13" xfId="21486"/>
    <cellStyle name="Note 2 3 3 2 3 14" xfId="21487"/>
    <cellStyle name="Note 2 3 3 2 3 15" xfId="21488"/>
    <cellStyle name="Note 2 3 3 2 3 2" xfId="21489"/>
    <cellStyle name="Note 2 3 3 2 3 2 10" xfId="21490"/>
    <cellStyle name="Note 2 3 3 2 3 2 11" xfId="21491"/>
    <cellStyle name="Note 2 3 3 2 3 2 12" xfId="21492"/>
    <cellStyle name="Note 2 3 3 2 3 2 2" xfId="21493"/>
    <cellStyle name="Note 2 3 3 2 3 2 2 10" xfId="21494"/>
    <cellStyle name="Note 2 3 3 2 3 2 2 11" xfId="21495"/>
    <cellStyle name="Note 2 3 3 2 3 2 2 2" xfId="21496"/>
    <cellStyle name="Note 2 3 3 2 3 2 2 2 2" xfId="21497"/>
    <cellStyle name="Note 2 3 3 2 3 2 2 2 2 2" xfId="21498"/>
    <cellStyle name="Note 2 3 3 2 3 2 2 2 2 2 2" xfId="21499"/>
    <cellStyle name="Note 2 3 3 2 3 2 2 2 2 2 3" xfId="21500"/>
    <cellStyle name="Note 2 3 3 2 3 2 2 2 2 2 4" xfId="21501"/>
    <cellStyle name="Note 2 3 3 2 3 2 2 2 2 3" xfId="21502"/>
    <cellStyle name="Note 2 3 3 2 3 2 2 2 2 4" xfId="21503"/>
    <cellStyle name="Note 2 3 3 2 3 2 2 2 2 5" xfId="21504"/>
    <cellStyle name="Note 2 3 3 2 3 2 2 2 2 6" xfId="21505"/>
    <cellStyle name="Note 2 3 3 2 3 2 2 2 3" xfId="21506"/>
    <cellStyle name="Note 2 3 3 2 3 2 2 2 3 2" xfId="21507"/>
    <cellStyle name="Note 2 3 3 2 3 2 2 2 3 3" xfId="21508"/>
    <cellStyle name="Note 2 3 3 2 3 2 2 2 3 4" xfId="21509"/>
    <cellStyle name="Note 2 3 3 2 3 2 2 2 4" xfId="21510"/>
    <cellStyle name="Note 2 3 3 2 3 2 2 2 5" xfId="21511"/>
    <cellStyle name="Note 2 3 3 2 3 2 2 2 6" xfId="21512"/>
    <cellStyle name="Note 2 3 3 2 3 2 2 2 7" xfId="21513"/>
    <cellStyle name="Note 2 3 3 2 3 2 2 3" xfId="21514"/>
    <cellStyle name="Note 2 3 3 2 3 2 2 3 2" xfId="21515"/>
    <cellStyle name="Note 2 3 3 2 3 2 2 3 2 2" xfId="21516"/>
    <cellStyle name="Note 2 3 3 2 3 2 2 3 2 3" xfId="21517"/>
    <cellStyle name="Note 2 3 3 2 3 2 2 3 2 4" xfId="21518"/>
    <cellStyle name="Note 2 3 3 2 3 2 2 3 3" xfId="21519"/>
    <cellStyle name="Note 2 3 3 2 3 2 2 3 4" xfId="21520"/>
    <cellStyle name="Note 2 3 3 2 3 2 2 3 5" xfId="21521"/>
    <cellStyle name="Note 2 3 3 2 3 2 2 3 6" xfId="21522"/>
    <cellStyle name="Note 2 3 3 2 3 2 2 4" xfId="21523"/>
    <cellStyle name="Note 2 3 3 2 3 2 2 4 2" xfId="21524"/>
    <cellStyle name="Note 2 3 3 2 3 2 2 4 3" xfId="21525"/>
    <cellStyle name="Note 2 3 3 2 3 2 2 4 4" xfId="21526"/>
    <cellStyle name="Note 2 3 3 2 3 2 2 4 5" xfId="21527"/>
    <cellStyle name="Note 2 3 3 2 3 2 2 5" xfId="21528"/>
    <cellStyle name="Note 2 3 3 2 3 2 2 5 2" xfId="21529"/>
    <cellStyle name="Note 2 3 3 2 3 2 2 5 3" xfId="21530"/>
    <cellStyle name="Note 2 3 3 2 3 2 2 5 4" xfId="21531"/>
    <cellStyle name="Note 2 3 3 2 3 2 2 6" xfId="21532"/>
    <cellStyle name="Note 2 3 3 2 3 2 2 6 2" xfId="21533"/>
    <cellStyle name="Note 2 3 3 2 3 2 2 6 3" xfId="21534"/>
    <cellStyle name="Note 2 3 3 2 3 2 2 6 4" xfId="21535"/>
    <cellStyle name="Note 2 3 3 2 3 2 2 7" xfId="21536"/>
    <cellStyle name="Note 2 3 3 2 3 2 2 7 2" xfId="21537"/>
    <cellStyle name="Note 2 3 3 2 3 2 2 7 3" xfId="21538"/>
    <cellStyle name="Note 2 3 3 2 3 2 2 7 4" xfId="21539"/>
    <cellStyle name="Note 2 3 3 2 3 2 2 8" xfId="21540"/>
    <cellStyle name="Note 2 3 3 2 3 2 2 9" xfId="21541"/>
    <cellStyle name="Note 2 3 3 2 3 2 3" xfId="21542"/>
    <cellStyle name="Note 2 3 3 2 3 2 3 2" xfId="21543"/>
    <cellStyle name="Note 2 3 3 2 3 2 3 2 2" xfId="21544"/>
    <cellStyle name="Note 2 3 3 2 3 2 3 2 2 2" xfId="21545"/>
    <cellStyle name="Note 2 3 3 2 3 2 3 2 2 3" xfId="21546"/>
    <cellStyle name="Note 2 3 3 2 3 2 3 2 2 4" xfId="21547"/>
    <cellStyle name="Note 2 3 3 2 3 2 3 2 3" xfId="21548"/>
    <cellStyle name="Note 2 3 3 2 3 2 3 2 4" xfId="21549"/>
    <cellStyle name="Note 2 3 3 2 3 2 3 2 5" xfId="21550"/>
    <cellStyle name="Note 2 3 3 2 3 2 3 2 6" xfId="21551"/>
    <cellStyle name="Note 2 3 3 2 3 2 3 3" xfId="21552"/>
    <cellStyle name="Note 2 3 3 2 3 2 3 3 2" xfId="21553"/>
    <cellStyle name="Note 2 3 3 2 3 2 3 3 3" xfId="21554"/>
    <cellStyle name="Note 2 3 3 2 3 2 3 3 4" xfId="21555"/>
    <cellStyle name="Note 2 3 3 2 3 2 3 4" xfId="21556"/>
    <cellStyle name="Note 2 3 3 2 3 2 3 5" xfId="21557"/>
    <cellStyle name="Note 2 3 3 2 3 2 3 6" xfId="21558"/>
    <cellStyle name="Note 2 3 3 2 3 2 3 7" xfId="21559"/>
    <cellStyle name="Note 2 3 3 2 3 2 4" xfId="21560"/>
    <cellStyle name="Note 2 3 3 2 3 2 4 2" xfId="21561"/>
    <cellStyle name="Note 2 3 3 2 3 2 4 2 2" xfId="21562"/>
    <cellStyle name="Note 2 3 3 2 3 2 4 2 3" xfId="21563"/>
    <cellStyle name="Note 2 3 3 2 3 2 4 2 4" xfId="21564"/>
    <cellStyle name="Note 2 3 3 2 3 2 4 3" xfId="21565"/>
    <cellStyle name="Note 2 3 3 2 3 2 4 4" xfId="21566"/>
    <cellStyle name="Note 2 3 3 2 3 2 4 5" xfId="21567"/>
    <cellStyle name="Note 2 3 3 2 3 2 4 6" xfId="21568"/>
    <cellStyle name="Note 2 3 3 2 3 2 5" xfId="21569"/>
    <cellStyle name="Note 2 3 3 2 3 2 5 2" xfId="21570"/>
    <cellStyle name="Note 2 3 3 2 3 2 5 3" xfId="21571"/>
    <cellStyle name="Note 2 3 3 2 3 2 5 4" xfId="21572"/>
    <cellStyle name="Note 2 3 3 2 3 2 5 5" xfId="21573"/>
    <cellStyle name="Note 2 3 3 2 3 2 6" xfId="21574"/>
    <cellStyle name="Note 2 3 3 2 3 2 6 2" xfId="21575"/>
    <cellStyle name="Note 2 3 3 2 3 2 6 3" xfId="21576"/>
    <cellStyle name="Note 2 3 3 2 3 2 6 4" xfId="21577"/>
    <cellStyle name="Note 2 3 3 2 3 2 7" xfId="21578"/>
    <cellStyle name="Note 2 3 3 2 3 2 7 2" xfId="21579"/>
    <cellStyle name="Note 2 3 3 2 3 2 7 3" xfId="21580"/>
    <cellStyle name="Note 2 3 3 2 3 2 7 4" xfId="21581"/>
    <cellStyle name="Note 2 3 3 2 3 2 8" xfId="21582"/>
    <cellStyle name="Note 2 3 3 2 3 2 8 2" xfId="21583"/>
    <cellStyle name="Note 2 3 3 2 3 2 8 3" xfId="21584"/>
    <cellStyle name="Note 2 3 3 2 3 2 8 4" xfId="21585"/>
    <cellStyle name="Note 2 3 3 2 3 2 9" xfId="21586"/>
    <cellStyle name="Note 2 3 3 2 3 3" xfId="21587"/>
    <cellStyle name="Note 2 3 3 2 3 3 10" xfId="21588"/>
    <cellStyle name="Note 2 3 3 2 3 3 11" xfId="21589"/>
    <cellStyle name="Note 2 3 3 2 3 3 2" xfId="21590"/>
    <cellStyle name="Note 2 3 3 2 3 3 2 2" xfId="21591"/>
    <cellStyle name="Note 2 3 3 2 3 3 2 2 2" xfId="21592"/>
    <cellStyle name="Note 2 3 3 2 3 3 2 2 2 2" xfId="21593"/>
    <cellStyle name="Note 2 3 3 2 3 3 2 2 2 3" xfId="21594"/>
    <cellStyle name="Note 2 3 3 2 3 3 2 2 2 4" xfId="21595"/>
    <cellStyle name="Note 2 3 3 2 3 3 2 2 3" xfId="21596"/>
    <cellStyle name="Note 2 3 3 2 3 3 2 2 4" xfId="21597"/>
    <cellStyle name="Note 2 3 3 2 3 3 2 2 5" xfId="21598"/>
    <cellStyle name="Note 2 3 3 2 3 3 2 2 6" xfId="21599"/>
    <cellStyle name="Note 2 3 3 2 3 3 2 3" xfId="21600"/>
    <cellStyle name="Note 2 3 3 2 3 3 2 3 2" xfId="21601"/>
    <cellStyle name="Note 2 3 3 2 3 3 2 3 3" xfId="21602"/>
    <cellStyle name="Note 2 3 3 2 3 3 2 3 4" xfId="21603"/>
    <cellStyle name="Note 2 3 3 2 3 3 2 4" xfId="21604"/>
    <cellStyle name="Note 2 3 3 2 3 3 2 5" xfId="21605"/>
    <cellStyle name="Note 2 3 3 2 3 3 2 6" xfId="21606"/>
    <cellStyle name="Note 2 3 3 2 3 3 2 7" xfId="21607"/>
    <cellStyle name="Note 2 3 3 2 3 3 3" xfId="21608"/>
    <cellStyle name="Note 2 3 3 2 3 3 3 2" xfId="21609"/>
    <cellStyle name="Note 2 3 3 2 3 3 3 2 2" xfId="21610"/>
    <cellStyle name="Note 2 3 3 2 3 3 3 2 3" xfId="21611"/>
    <cellStyle name="Note 2 3 3 2 3 3 3 2 4" xfId="21612"/>
    <cellStyle name="Note 2 3 3 2 3 3 3 3" xfId="21613"/>
    <cellStyle name="Note 2 3 3 2 3 3 3 4" xfId="21614"/>
    <cellStyle name="Note 2 3 3 2 3 3 3 5" xfId="21615"/>
    <cellStyle name="Note 2 3 3 2 3 3 3 6" xfId="21616"/>
    <cellStyle name="Note 2 3 3 2 3 3 4" xfId="21617"/>
    <cellStyle name="Note 2 3 3 2 3 3 4 2" xfId="21618"/>
    <cellStyle name="Note 2 3 3 2 3 3 4 3" xfId="21619"/>
    <cellStyle name="Note 2 3 3 2 3 3 4 4" xfId="21620"/>
    <cellStyle name="Note 2 3 3 2 3 3 4 5" xfId="21621"/>
    <cellStyle name="Note 2 3 3 2 3 3 5" xfId="21622"/>
    <cellStyle name="Note 2 3 3 2 3 3 5 2" xfId="21623"/>
    <cellStyle name="Note 2 3 3 2 3 3 5 3" xfId="21624"/>
    <cellStyle name="Note 2 3 3 2 3 3 5 4" xfId="21625"/>
    <cellStyle name="Note 2 3 3 2 3 3 6" xfId="21626"/>
    <cellStyle name="Note 2 3 3 2 3 3 6 2" xfId="21627"/>
    <cellStyle name="Note 2 3 3 2 3 3 6 3" xfId="21628"/>
    <cellStyle name="Note 2 3 3 2 3 3 6 4" xfId="21629"/>
    <cellStyle name="Note 2 3 3 2 3 3 7" xfId="21630"/>
    <cellStyle name="Note 2 3 3 2 3 3 7 2" xfId="21631"/>
    <cellStyle name="Note 2 3 3 2 3 3 7 3" xfId="21632"/>
    <cellStyle name="Note 2 3 3 2 3 3 7 4" xfId="21633"/>
    <cellStyle name="Note 2 3 3 2 3 3 8" xfId="21634"/>
    <cellStyle name="Note 2 3 3 2 3 3 9" xfId="21635"/>
    <cellStyle name="Note 2 3 3 2 3 4" xfId="21636"/>
    <cellStyle name="Note 2 3 3 2 3 4 2" xfId="21637"/>
    <cellStyle name="Note 2 3 3 2 3 4 2 2" xfId="21638"/>
    <cellStyle name="Note 2 3 3 2 3 4 2 2 2" xfId="21639"/>
    <cellStyle name="Note 2 3 3 2 3 4 2 2 3" xfId="21640"/>
    <cellStyle name="Note 2 3 3 2 3 4 2 2 4" xfId="21641"/>
    <cellStyle name="Note 2 3 3 2 3 4 2 3" xfId="21642"/>
    <cellStyle name="Note 2 3 3 2 3 4 2 4" xfId="21643"/>
    <cellStyle name="Note 2 3 3 2 3 4 2 5" xfId="21644"/>
    <cellStyle name="Note 2 3 3 2 3 4 2 6" xfId="21645"/>
    <cellStyle name="Note 2 3 3 2 3 4 3" xfId="21646"/>
    <cellStyle name="Note 2 3 3 2 3 4 3 2" xfId="21647"/>
    <cellStyle name="Note 2 3 3 2 3 4 3 3" xfId="21648"/>
    <cellStyle name="Note 2 3 3 2 3 4 3 4" xfId="21649"/>
    <cellStyle name="Note 2 3 3 2 3 4 4" xfId="21650"/>
    <cellStyle name="Note 2 3 3 2 3 4 5" xfId="21651"/>
    <cellStyle name="Note 2 3 3 2 3 4 6" xfId="21652"/>
    <cellStyle name="Note 2 3 3 2 3 4 7" xfId="21653"/>
    <cellStyle name="Note 2 3 3 2 3 5" xfId="21654"/>
    <cellStyle name="Note 2 3 3 2 3 5 2" xfId="21655"/>
    <cellStyle name="Note 2 3 3 2 3 5 2 2" xfId="21656"/>
    <cellStyle name="Note 2 3 3 2 3 5 2 3" xfId="21657"/>
    <cellStyle name="Note 2 3 3 2 3 5 2 4" xfId="21658"/>
    <cellStyle name="Note 2 3 3 2 3 5 3" xfId="21659"/>
    <cellStyle name="Note 2 3 3 2 3 5 3 2" xfId="21660"/>
    <cellStyle name="Note 2 3 3 2 3 5 3 3" xfId="21661"/>
    <cellStyle name="Note 2 3 3 2 3 5 3 4" xfId="21662"/>
    <cellStyle name="Note 2 3 3 2 3 5 4" xfId="21663"/>
    <cellStyle name="Note 2 3 3 2 3 5 5" xfId="21664"/>
    <cellStyle name="Note 2 3 3 2 3 5 6" xfId="21665"/>
    <cellStyle name="Note 2 3 3 2 3 5 7" xfId="21666"/>
    <cellStyle name="Note 2 3 3 2 3 6" xfId="21667"/>
    <cellStyle name="Note 2 3 3 2 3 6 2" xfId="21668"/>
    <cellStyle name="Note 2 3 3 2 3 6 2 2" xfId="21669"/>
    <cellStyle name="Note 2 3 3 2 3 6 2 3" xfId="21670"/>
    <cellStyle name="Note 2 3 3 2 3 6 2 4" xfId="21671"/>
    <cellStyle name="Note 2 3 3 2 3 6 3" xfId="21672"/>
    <cellStyle name="Note 2 3 3 2 3 6 3 2" xfId="21673"/>
    <cellStyle name="Note 2 3 3 2 3 6 3 3" xfId="21674"/>
    <cellStyle name="Note 2 3 3 2 3 6 3 4" xfId="21675"/>
    <cellStyle name="Note 2 3 3 2 3 6 4" xfId="21676"/>
    <cellStyle name="Note 2 3 3 2 3 6 5" xfId="21677"/>
    <cellStyle name="Note 2 3 3 2 3 6 6" xfId="21678"/>
    <cellStyle name="Note 2 3 3 2 3 6 7" xfId="21679"/>
    <cellStyle name="Note 2 3 3 2 3 7" xfId="21680"/>
    <cellStyle name="Note 2 3 3 2 3 7 2" xfId="21681"/>
    <cellStyle name="Note 2 3 3 2 3 7 2 2" xfId="21682"/>
    <cellStyle name="Note 2 3 3 2 3 7 2 3" xfId="21683"/>
    <cellStyle name="Note 2 3 3 2 3 7 2 4" xfId="21684"/>
    <cellStyle name="Note 2 3 3 2 3 7 3" xfId="21685"/>
    <cellStyle name="Note 2 3 3 2 3 7 3 2" xfId="21686"/>
    <cellStyle name="Note 2 3 3 2 3 7 3 3" xfId="21687"/>
    <cellStyle name="Note 2 3 3 2 3 7 3 4" xfId="21688"/>
    <cellStyle name="Note 2 3 3 2 3 7 4" xfId="21689"/>
    <cellStyle name="Note 2 3 3 2 3 7 5" xfId="21690"/>
    <cellStyle name="Note 2 3 3 2 3 7 6" xfId="21691"/>
    <cellStyle name="Note 2 3 3 2 3 7 7" xfId="21692"/>
    <cellStyle name="Note 2 3 3 2 3 8" xfId="21693"/>
    <cellStyle name="Note 2 3 3 2 3 8 2" xfId="21694"/>
    <cellStyle name="Note 2 3 3 2 3 8 2 2" xfId="21695"/>
    <cellStyle name="Note 2 3 3 2 3 8 2 3" xfId="21696"/>
    <cellStyle name="Note 2 3 3 2 3 8 2 4" xfId="21697"/>
    <cellStyle name="Note 2 3 3 2 3 8 3" xfId="21698"/>
    <cellStyle name="Note 2 3 3 2 3 8 4" xfId="21699"/>
    <cellStyle name="Note 2 3 3 2 3 8 5" xfId="21700"/>
    <cellStyle name="Note 2 3 3 2 3 8 6" xfId="21701"/>
    <cellStyle name="Note 2 3 3 2 3 9" xfId="21702"/>
    <cellStyle name="Note 2 3 3 2 3 9 2" xfId="21703"/>
    <cellStyle name="Note 2 3 3 2 3 9 3" xfId="21704"/>
    <cellStyle name="Note 2 3 3 2 3 9 4" xfId="21705"/>
    <cellStyle name="Note 2 3 3 2 3 9 5" xfId="21706"/>
    <cellStyle name="Note 2 3 3 2 4" xfId="21707"/>
    <cellStyle name="Note 2 3 3 2 4 10" xfId="21708"/>
    <cellStyle name="Note 2 3 3 2 4 10 2" xfId="21709"/>
    <cellStyle name="Note 2 3 3 2 4 10 3" xfId="21710"/>
    <cellStyle name="Note 2 3 3 2 4 10 4" xfId="21711"/>
    <cellStyle name="Note 2 3 3 2 4 11" xfId="21712"/>
    <cellStyle name="Note 2 3 3 2 4 11 2" xfId="21713"/>
    <cellStyle name="Note 2 3 3 2 4 11 3" xfId="21714"/>
    <cellStyle name="Note 2 3 3 2 4 11 4" xfId="21715"/>
    <cellStyle name="Note 2 3 3 2 4 12" xfId="21716"/>
    <cellStyle name="Note 2 3 3 2 4 12 2" xfId="21717"/>
    <cellStyle name="Note 2 3 3 2 4 12 3" xfId="21718"/>
    <cellStyle name="Note 2 3 3 2 4 12 4" xfId="21719"/>
    <cellStyle name="Note 2 3 3 2 4 13" xfId="21720"/>
    <cellStyle name="Note 2 3 3 2 4 14" xfId="21721"/>
    <cellStyle name="Note 2 3 3 2 4 15" xfId="21722"/>
    <cellStyle name="Note 2 3 3 2 4 16" xfId="21723"/>
    <cellStyle name="Note 2 3 3 2 4 2" xfId="21724"/>
    <cellStyle name="Note 2 3 3 2 4 2 10" xfId="21725"/>
    <cellStyle name="Note 2 3 3 2 4 2 11" xfId="21726"/>
    <cellStyle name="Note 2 3 3 2 4 2 12" xfId="21727"/>
    <cellStyle name="Note 2 3 3 2 4 2 2" xfId="21728"/>
    <cellStyle name="Note 2 3 3 2 4 2 2 10" xfId="21729"/>
    <cellStyle name="Note 2 3 3 2 4 2 2 11" xfId="21730"/>
    <cellStyle name="Note 2 3 3 2 4 2 2 2" xfId="21731"/>
    <cellStyle name="Note 2 3 3 2 4 2 2 2 2" xfId="21732"/>
    <cellStyle name="Note 2 3 3 2 4 2 2 2 2 2" xfId="21733"/>
    <cellStyle name="Note 2 3 3 2 4 2 2 2 2 2 2" xfId="21734"/>
    <cellStyle name="Note 2 3 3 2 4 2 2 2 2 2 3" xfId="21735"/>
    <cellStyle name="Note 2 3 3 2 4 2 2 2 2 2 4" xfId="21736"/>
    <cellStyle name="Note 2 3 3 2 4 2 2 2 2 3" xfId="21737"/>
    <cellStyle name="Note 2 3 3 2 4 2 2 2 2 4" xfId="21738"/>
    <cellStyle name="Note 2 3 3 2 4 2 2 2 2 5" xfId="21739"/>
    <cellStyle name="Note 2 3 3 2 4 2 2 2 2 6" xfId="21740"/>
    <cellStyle name="Note 2 3 3 2 4 2 2 2 3" xfId="21741"/>
    <cellStyle name="Note 2 3 3 2 4 2 2 2 3 2" xfId="21742"/>
    <cellStyle name="Note 2 3 3 2 4 2 2 2 3 3" xfId="21743"/>
    <cellStyle name="Note 2 3 3 2 4 2 2 2 3 4" xfId="21744"/>
    <cellStyle name="Note 2 3 3 2 4 2 2 2 4" xfId="21745"/>
    <cellStyle name="Note 2 3 3 2 4 2 2 2 5" xfId="21746"/>
    <cellStyle name="Note 2 3 3 2 4 2 2 2 6" xfId="21747"/>
    <cellStyle name="Note 2 3 3 2 4 2 2 2 7" xfId="21748"/>
    <cellStyle name="Note 2 3 3 2 4 2 2 3" xfId="21749"/>
    <cellStyle name="Note 2 3 3 2 4 2 2 3 2" xfId="21750"/>
    <cellStyle name="Note 2 3 3 2 4 2 2 3 2 2" xfId="21751"/>
    <cellStyle name="Note 2 3 3 2 4 2 2 3 2 3" xfId="21752"/>
    <cellStyle name="Note 2 3 3 2 4 2 2 3 2 4" xfId="21753"/>
    <cellStyle name="Note 2 3 3 2 4 2 2 3 3" xfId="21754"/>
    <cellStyle name="Note 2 3 3 2 4 2 2 3 4" xfId="21755"/>
    <cellStyle name="Note 2 3 3 2 4 2 2 3 5" xfId="21756"/>
    <cellStyle name="Note 2 3 3 2 4 2 2 3 6" xfId="21757"/>
    <cellStyle name="Note 2 3 3 2 4 2 2 4" xfId="21758"/>
    <cellStyle name="Note 2 3 3 2 4 2 2 4 2" xfId="21759"/>
    <cellStyle name="Note 2 3 3 2 4 2 2 4 3" xfId="21760"/>
    <cellStyle name="Note 2 3 3 2 4 2 2 4 4" xfId="21761"/>
    <cellStyle name="Note 2 3 3 2 4 2 2 4 5" xfId="21762"/>
    <cellStyle name="Note 2 3 3 2 4 2 2 5" xfId="21763"/>
    <cellStyle name="Note 2 3 3 2 4 2 2 5 2" xfId="21764"/>
    <cellStyle name="Note 2 3 3 2 4 2 2 5 3" xfId="21765"/>
    <cellStyle name="Note 2 3 3 2 4 2 2 5 4" xfId="21766"/>
    <cellStyle name="Note 2 3 3 2 4 2 2 6" xfId="21767"/>
    <cellStyle name="Note 2 3 3 2 4 2 2 6 2" xfId="21768"/>
    <cellStyle name="Note 2 3 3 2 4 2 2 6 3" xfId="21769"/>
    <cellStyle name="Note 2 3 3 2 4 2 2 6 4" xfId="21770"/>
    <cellStyle name="Note 2 3 3 2 4 2 2 7" xfId="21771"/>
    <cellStyle name="Note 2 3 3 2 4 2 2 7 2" xfId="21772"/>
    <cellStyle name="Note 2 3 3 2 4 2 2 7 3" xfId="21773"/>
    <cellStyle name="Note 2 3 3 2 4 2 2 7 4" xfId="21774"/>
    <cellStyle name="Note 2 3 3 2 4 2 2 8" xfId="21775"/>
    <cellStyle name="Note 2 3 3 2 4 2 2 9" xfId="21776"/>
    <cellStyle name="Note 2 3 3 2 4 2 3" xfId="21777"/>
    <cellStyle name="Note 2 3 3 2 4 2 3 2" xfId="21778"/>
    <cellStyle name="Note 2 3 3 2 4 2 3 2 2" xfId="21779"/>
    <cellStyle name="Note 2 3 3 2 4 2 3 2 2 2" xfId="21780"/>
    <cellStyle name="Note 2 3 3 2 4 2 3 2 2 3" xfId="21781"/>
    <cellStyle name="Note 2 3 3 2 4 2 3 2 2 4" xfId="21782"/>
    <cellStyle name="Note 2 3 3 2 4 2 3 2 3" xfId="21783"/>
    <cellStyle name="Note 2 3 3 2 4 2 3 2 4" xfId="21784"/>
    <cellStyle name="Note 2 3 3 2 4 2 3 2 5" xfId="21785"/>
    <cellStyle name="Note 2 3 3 2 4 2 3 2 6" xfId="21786"/>
    <cellStyle name="Note 2 3 3 2 4 2 3 3" xfId="21787"/>
    <cellStyle name="Note 2 3 3 2 4 2 3 3 2" xfId="21788"/>
    <cellStyle name="Note 2 3 3 2 4 2 3 3 3" xfId="21789"/>
    <cellStyle name="Note 2 3 3 2 4 2 3 3 4" xfId="21790"/>
    <cellStyle name="Note 2 3 3 2 4 2 3 4" xfId="21791"/>
    <cellStyle name="Note 2 3 3 2 4 2 3 5" xfId="21792"/>
    <cellStyle name="Note 2 3 3 2 4 2 3 6" xfId="21793"/>
    <cellStyle name="Note 2 3 3 2 4 2 3 7" xfId="21794"/>
    <cellStyle name="Note 2 3 3 2 4 2 4" xfId="21795"/>
    <cellStyle name="Note 2 3 3 2 4 2 4 2" xfId="21796"/>
    <cellStyle name="Note 2 3 3 2 4 2 4 2 2" xfId="21797"/>
    <cellStyle name="Note 2 3 3 2 4 2 4 2 3" xfId="21798"/>
    <cellStyle name="Note 2 3 3 2 4 2 4 2 4" xfId="21799"/>
    <cellStyle name="Note 2 3 3 2 4 2 4 3" xfId="21800"/>
    <cellStyle name="Note 2 3 3 2 4 2 4 4" xfId="21801"/>
    <cellStyle name="Note 2 3 3 2 4 2 4 5" xfId="21802"/>
    <cellStyle name="Note 2 3 3 2 4 2 4 6" xfId="21803"/>
    <cellStyle name="Note 2 3 3 2 4 2 5" xfId="21804"/>
    <cellStyle name="Note 2 3 3 2 4 2 5 2" xfId="21805"/>
    <cellStyle name="Note 2 3 3 2 4 2 5 3" xfId="21806"/>
    <cellStyle name="Note 2 3 3 2 4 2 5 4" xfId="21807"/>
    <cellStyle name="Note 2 3 3 2 4 2 5 5" xfId="21808"/>
    <cellStyle name="Note 2 3 3 2 4 2 6" xfId="21809"/>
    <cellStyle name="Note 2 3 3 2 4 2 6 2" xfId="21810"/>
    <cellStyle name="Note 2 3 3 2 4 2 6 3" xfId="21811"/>
    <cellStyle name="Note 2 3 3 2 4 2 6 4" xfId="21812"/>
    <cellStyle name="Note 2 3 3 2 4 2 7" xfId="21813"/>
    <cellStyle name="Note 2 3 3 2 4 2 7 2" xfId="21814"/>
    <cellStyle name="Note 2 3 3 2 4 2 7 3" xfId="21815"/>
    <cellStyle name="Note 2 3 3 2 4 2 7 4" xfId="21816"/>
    <cellStyle name="Note 2 3 3 2 4 2 8" xfId="21817"/>
    <cellStyle name="Note 2 3 3 2 4 2 8 2" xfId="21818"/>
    <cellStyle name="Note 2 3 3 2 4 2 8 3" xfId="21819"/>
    <cellStyle name="Note 2 3 3 2 4 2 8 4" xfId="21820"/>
    <cellStyle name="Note 2 3 3 2 4 2 9" xfId="21821"/>
    <cellStyle name="Note 2 3 3 2 4 3" xfId="21822"/>
    <cellStyle name="Note 2 3 3 2 4 3 10" xfId="21823"/>
    <cellStyle name="Note 2 3 3 2 4 3 11" xfId="21824"/>
    <cellStyle name="Note 2 3 3 2 4 3 2" xfId="21825"/>
    <cellStyle name="Note 2 3 3 2 4 3 2 2" xfId="21826"/>
    <cellStyle name="Note 2 3 3 2 4 3 2 2 2" xfId="21827"/>
    <cellStyle name="Note 2 3 3 2 4 3 2 2 2 2" xfId="21828"/>
    <cellStyle name="Note 2 3 3 2 4 3 2 2 2 3" xfId="21829"/>
    <cellStyle name="Note 2 3 3 2 4 3 2 2 2 4" xfId="21830"/>
    <cellStyle name="Note 2 3 3 2 4 3 2 2 3" xfId="21831"/>
    <cellStyle name="Note 2 3 3 2 4 3 2 2 4" xfId="21832"/>
    <cellStyle name="Note 2 3 3 2 4 3 2 2 5" xfId="21833"/>
    <cellStyle name="Note 2 3 3 2 4 3 2 2 6" xfId="21834"/>
    <cellStyle name="Note 2 3 3 2 4 3 2 3" xfId="21835"/>
    <cellStyle name="Note 2 3 3 2 4 3 2 3 2" xfId="21836"/>
    <cellStyle name="Note 2 3 3 2 4 3 2 3 3" xfId="21837"/>
    <cellStyle name="Note 2 3 3 2 4 3 2 3 4" xfId="21838"/>
    <cellStyle name="Note 2 3 3 2 4 3 2 4" xfId="21839"/>
    <cellStyle name="Note 2 3 3 2 4 3 2 5" xfId="21840"/>
    <cellStyle name="Note 2 3 3 2 4 3 2 6" xfId="21841"/>
    <cellStyle name="Note 2 3 3 2 4 3 2 7" xfId="21842"/>
    <cellStyle name="Note 2 3 3 2 4 3 3" xfId="21843"/>
    <cellStyle name="Note 2 3 3 2 4 3 3 2" xfId="21844"/>
    <cellStyle name="Note 2 3 3 2 4 3 3 2 2" xfId="21845"/>
    <cellStyle name="Note 2 3 3 2 4 3 3 2 3" xfId="21846"/>
    <cellStyle name="Note 2 3 3 2 4 3 3 2 4" xfId="21847"/>
    <cellStyle name="Note 2 3 3 2 4 3 3 3" xfId="21848"/>
    <cellStyle name="Note 2 3 3 2 4 3 3 4" xfId="21849"/>
    <cellStyle name="Note 2 3 3 2 4 3 3 5" xfId="21850"/>
    <cellStyle name="Note 2 3 3 2 4 3 3 6" xfId="21851"/>
    <cellStyle name="Note 2 3 3 2 4 3 4" xfId="21852"/>
    <cellStyle name="Note 2 3 3 2 4 3 4 2" xfId="21853"/>
    <cellStyle name="Note 2 3 3 2 4 3 4 3" xfId="21854"/>
    <cellStyle name="Note 2 3 3 2 4 3 4 4" xfId="21855"/>
    <cellStyle name="Note 2 3 3 2 4 3 4 5" xfId="21856"/>
    <cellStyle name="Note 2 3 3 2 4 3 5" xfId="21857"/>
    <cellStyle name="Note 2 3 3 2 4 3 5 2" xfId="21858"/>
    <cellStyle name="Note 2 3 3 2 4 3 5 3" xfId="21859"/>
    <cellStyle name="Note 2 3 3 2 4 3 5 4" xfId="21860"/>
    <cellStyle name="Note 2 3 3 2 4 3 6" xfId="21861"/>
    <cellStyle name="Note 2 3 3 2 4 3 6 2" xfId="21862"/>
    <cellStyle name="Note 2 3 3 2 4 3 6 3" xfId="21863"/>
    <cellStyle name="Note 2 3 3 2 4 3 6 4" xfId="21864"/>
    <cellStyle name="Note 2 3 3 2 4 3 7" xfId="21865"/>
    <cellStyle name="Note 2 3 3 2 4 3 7 2" xfId="21866"/>
    <cellStyle name="Note 2 3 3 2 4 3 7 3" xfId="21867"/>
    <cellStyle name="Note 2 3 3 2 4 3 7 4" xfId="21868"/>
    <cellStyle name="Note 2 3 3 2 4 3 8" xfId="21869"/>
    <cellStyle name="Note 2 3 3 2 4 3 9" xfId="21870"/>
    <cellStyle name="Note 2 3 3 2 4 4" xfId="21871"/>
    <cellStyle name="Note 2 3 3 2 4 4 2" xfId="21872"/>
    <cellStyle name="Note 2 3 3 2 4 4 2 2" xfId="21873"/>
    <cellStyle name="Note 2 3 3 2 4 4 2 2 2" xfId="21874"/>
    <cellStyle name="Note 2 3 3 2 4 4 2 2 3" xfId="21875"/>
    <cellStyle name="Note 2 3 3 2 4 4 2 2 4" xfId="21876"/>
    <cellStyle name="Note 2 3 3 2 4 4 2 3" xfId="21877"/>
    <cellStyle name="Note 2 3 3 2 4 4 2 4" xfId="21878"/>
    <cellStyle name="Note 2 3 3 2 4 4 2 5" xfId="21879"/>
    <cellStyle name="Note 2 3 3 2 4 4 2 6" xfId="21880"/>
    <cellStyle name="Note 2 3 3 2 4 4 3" xfId="21881"/>
    <cellStyle name="Note 2 3 3 2 4 4 3 2" xfId="21882"/>
    <cellStyle name="Note 2 3 3 2 4 4 3 3" xfId="21883"/>
    <cellStyle name="Note 2 3 3 2 4 4 3 4" xfId="21884"/>
    <cellStyle name="Note 2 3 3 2 4 4 4" xfId="21885"/>
    <cellStyle name="Note 2 3 3 2 4 4 5" xfId="21886"/>
    <cellStyle name="Note 2 3 3 2 4 4 6" xfId="21887"/>
    <cellStyle name="Note 2 3 3 2 4 4 7" xfId="21888"/>
    <cellStyle name="Note 2 3 3 2 4 5" xfId="21889"/>
    <cellStyle name="Note 2 3 3 2 4 5 2" xfId="21890"/>
    <cellStyle name="Note 2 3 3 2 4 5 2 2" xfId="21891"/>
    <cellStyle name="Note 2 3 3 2 4 5 2 3" xfId="21892"/>
    <cellStyle name="Note 2 3 3 2 4 5 2 4" xfId="21893"/>
    <cellStyle name="Note 2 3 3 2 4 5 3" xfId="21894"/>
    <cellStyle name="Note 2 3 3 2 4 5 3 2" xfId="21895"/>
    <cellStyle name="Note 2 3 3 2 4 5 3 3" xfId="21896"/>
    <cellStyle name="Note 2 3 3 2 4 5 3 4" xfId="21897"/>
    <cellStyle name="Note 2 3 3 2 4 5 4" xfId="21898"/>
    <cellStyle name="Note 2 3 3 2 4 5 5" xfId="21899"/>
    <cellStyle name="Note 2 3 3 2 4 5 6" xfId="21900"/>
    <cellStyle name="Note 2 3 3 2 4 5 7" xfId="21901"/>
    <cellStyle name="Note 2 3 3 2 4 6" xfId="21902"/>
    <cellStyle name="Note 2 3 3 2 4 6 2" xfId="21903"/>
    <cellStyle name="Note 2 3 3 2 4 6 2 2" xfId="21904"/>
    <cellStyle name="Note 2 3 3 2 4 6 2 3" xfId="21905"/>
    <cellStyle name="Note 2 3 3 2 4 6 2 4" xfId="21906"/>
    <cellStyle name="Note 2 3 3 2 4 6 3" xfId="21907"/>
    <cellStyle name="Note 2 3 3 2 4 6 3 2" xfId="21908"/>
    <cellStyle name="Note 2 3 3 2 4 6 3 3" xfId="21909"/>
    <cellStyle name="Note 2 3 3 2 4 6 3 4" xfId="21910"/>
    <cellStyle name="Note 2 3 3 2 4 6 4" xfId="21911"/>
    <cellStyle name="Note 2 3 3 2 4 6 5" xfId="21912"/>
    <cellStyle name="Note 2 3 3 2 4 6 6" xfId="21913"/>
    <cellStyle name="Note 2 3 3 2 4 6 7" xfId="21914"/>
    <cellStyle name="Note 2 3 3 2 4 7" xfId="21915"/>
    <cellStyle name="Note 2 3 3 2 4 7 2" xfId="21916"/>
    <cellStyle name="Note 2 3 3 2 4 7 2 2" xfId="21917"/>
    <cellStyle name="Note 2 3 3 2 4 7 2 3" xfId="21918"/>
    <cellStyle name="Note 2 3 3 2 4 7 2 4" xfId="21919"/>
    <cellStyle name="Note 2 3 3 2 4 7 3" xfId="21920"/>
    <cellStyle name="Note 2 3 3 2 4 7 3 2" xfId="21921"/>
    <cellStyle name="Note 2 3 3 2 4 7 3 3" xfId="21922"/>
    <cellStyle name="Note 2 3 3 2 4 7 3 4" xfId="21923"/>
    <cellStyle name="Note 2 3 3 2 4 7 4" xfId="21924"/>
    <cellStyle name="Note 2 3 3 2 4 7 5" xfId="21925"/>
    <cellStyle name="Note 2 3 3 2 4 7 6" xfId="21926"/>
    <cellStyle name="Note 2 3 3 2 4 7 7" xfId="21927"/>
    <cellStyle name="Note 2 3 3 2 4 8" xfId="21928"/>
    <cellStyle name="Note 2 3 3 2 4 8 2" xfId="21929"/>
    <cellStyle name="Note 2 3 3 2 4 8 2 2" xfId="21930"/>
    <cellStyle name="Note 2 3 3 2 4 8 2 3" xfId="21931"/>
    <cellStyle name="Note 2 3 3 2 4 8 2 4" xfId="21932"/>
    <cellStyle name="Note 2 3 3 2 4 8 3" xfId="21933"/>
    <cellStyle name="Note 2 3 3 2 4 8 4" xfId="21934"/>
    <cellStyle name="Note 2 3 3 2 4 8 5" xfId="21935"/>
    <cellStyle name="Note 2 3 3 2 4 8 6" xfId="21936"/>
    <cellStyle name="Note 2 3 3 2 4 9" xfId="21937"/>
    <cellStyle name="Note 2 3 3 2 4 9 2" xfId="21938"/>
    <cellStyle name="Note 2 3 3 2 4 9 3" xfId="21939"/>
    <cellStyle name="Note 2 3 3 2 4 9 4" xfId="21940"/>
    <cellStyle name="Note 2 3 3 2 4 9 5" xfId="21941"/>
    <cellStyle name="Note 2 3 3 2 5" xfId="21942"/>
    <cellStyle name="Note 2 3 3 2 5 10" xfId="21943"/>
    <cellStyle name="Note 2 3 3 2 5 11" xfId="21944"/>
    <cellStyle name="Note 2 3 3 2 5 12" xfId="21945"/>
    <cellStyle name="Note 2 3 3 2 5 13" xfId="21946"/>
    <cellStyle name="Note 2 3 3 2 5 2" xfId="21947"/>
    <cellStyle name="Note 2 3 3 2 5 2 10" xfId="21948"/>
    <cellStyle name="Note 2 3 3 2 5 2 11" xfId="21949"/>
    <cellStyle name="Note 2 3 3 2 5 2 12" xfId="21950"/>
    <cellStyle name="Note 2 3 3 2 5 2 2" xfId="21951"/>
    <cellStyle name="Note 2 3 3 2 5 2 2 10" xfId="21952"/>
    <cellStyle name="Note 2 3 3 2 5 2 2 11" xfId="21953"/>
    <cellStyle name="Note 2 3 3 2 5 2 2 2" xfId="21954"/>
    <cellStyle name="Note 2 3 3 2 5 2 2 2 2" xfId="21955"/>
    <cellStyle name="Note 2 3 3 2 5 2 2 2 2 2" xfId="21956"/>
    <cellStyle name="Note 2 3 3 2 5 2 2 2 2 2 2" xfId="21957"/>
    <cellStyle name="Note 2 3 3 2 5 2 2 2 2 2 3" xfId="21958"/>
    <cellStyle name="Note 2 3 3 2 5 2 2 2 2 2 4" xfId="21959"/>
    <cellStyle name="Note 2 3 3 2 5 2 2 2 2 3" xfId="21960"/>
    <cellStyle name="Note 2 3 3 2 5 2 2 2 2 4" xfId="21961"/>
    <cellStyle name="Note 2 3 3 2 5 2 2 2 2 5" xfId="21962"/>
    <cellStyle name="Note 2 3 3 2 5 2 2 2 2 6" xfId="21963"/>
    <cellStyle name="Note 2 3 3 2 5 2 2 2 3" xfId="21964"/>
    <cellStyle name="Note 2 3 3 2 5 2 2 2 3 2" xfId="21965"/>
    <cellStyle name="Note 2 3 3 2 5 2 2 2 3 3" xfId="21966"/>
    <cellStyle name="Note 2 3 3 2 5 2 2 2 3 4" xfId="21967"/>
    <cellStyle name="Note 2 3 3 2 5 2 2 2 4" xfId="21968"/>
    <cellStyle name="Note 2 3 3 2 5 2 2 2 5" xfId="21969"/>
    <cellStyle name="Note 2 3 3 2 5 2 2 2 6" xfId="21970"/>
    <cellStyle name="Note 2 3 3 2 5 2 2 2 7" xfId="21971"/>
    <cellStyle name="Note 2 3 3 2 5 2 2 3" xfId="21972"/>
    <cellStyle name="Note 2 3 3 2 5 2 2 3 2" xfId="21973"/>
    <cellStyle name="Note 2 3 3 2 5 2 2 3 2 2" xfId="21974"/>
    <cellStyle name="Note 2 3 3 2 5 2 2 3 2 3" xfId="21975"/>
    <cellStyle name="Note 2 3 3 2 5 2 2 3 2 4" xfId="21976"/>
    <cellStyle name="Note 2 3 3 2 5 2 2 3 3" xfId="21977"/>
    <cellStyle name="Note 2 3 3 2 5 2 2 3 4" xfId="21978"/>
    <cellStyle name="Note 2 3 3 2 5 2 2 3 5" xfId="21979"/>
    <cellStyle name="Note 2 3 3 2 5 2 2 3 6" xfId="21980"/>
    <cellStyle name="Note 2 3 3 2 5 2 2 4" xfId="21981"/>
    <cellStyle name="Note 2 3 3 2 5 2 2 4 2" xfId="21982"/>
    <cellStyle name="Note 2 3 3 2 5 2 2 4 3" xfId="21983"/>
    <cellStyle name="Note 2 3 3 2 5 2 2 4 4" xfId="21984"/>
    <cellStyle name="Note 2 3 3 2 5 2 2 4 5" xfId="21985"/>
    <cellStyle name="Note 2 3 3 2 5 2 2 5" xfId="21986"/>
    <cellStyle name="Note 2 3 3 2 5 2 2 5 2" xfId="21987"/>
    <cellStyle name="Note 2 3 3 2 5 2 2 5 3" xfId="21988"/>
    <cellStyle name="Note 2 3 3 2 5 2 2 5 4" xfId="21989"/>
    <cellStyle name="Note 2 3 3 2 5 2 2 6" xfId="21990"/>
    <cellStyle name="Note 2 3 3 2 5 2 2 6 2" xfId="21991"/>
    <cellStyle name="Note 2 3 3 2 5 2 2 6 3" xfId="21992"/>
    <cellStyle name="Note 2 3 3 2 5 2 2 6 4" xfId="21993"/>
    <cellStyle name="Note 2 3 3 2 5 2 2 7" xfId="21994"/>
    <cellStyle name="Note 2 3 3 2 5 2 2 7 2" xfId="21995"/>
    <cellStyle name="Note 2 3 3 2 5 2 2 7 3" xfId="21996"/>
    <cellStyle name="Note 2 3 3 2 5 2 2 7 4" xfId="21997"/>
    <cellStyle name="Note 2 3 3 2 5 2 2 8" xfId="21998"/>
    <cellStyle name="Note 2 3 3 2 5 2 2 9" xfId="21999"/>
    <cellStyle name="Note 2 3 3 2 5 2 3" xfId="22000"/>
    <cellStyle name="Note 2 3 3 2 5 2 3 2" xfId="22001"/>
    <cellStyle name="Note 2 3 3 2 5 2 3 2 2" xfId="22002"/>
    <cellStyle name="Note 2 3 3 2 5 2 3 2 2 2" xfId="22003"/>
    <cellStyle name="Note 2 3 3 2 5 2 3 2 2 3" xfId="22004"/>
    <cellStyle name="Note 2 3 3 2 5 2 3 2 2 4" xfId="22005"/>
    <cellStyle name="Note 2 3 3 2 5 2 3 2 3" xfId="22006"/>
    <cellStyle name="Note 2 3 3 2 5 2 3 2 4" xfId="22007"/>
    <cellStyle name="Note 2 3 3 2 5 2 3 2 5" xfId="22008"/>
    <cellStyle name="Note 2 3 3 2 5 2 3 2 6" xfId="22009"/>
    <cellStyle name="Note 2 3 3 2 5 2 3 3" xfId="22010"/>
    <cellStyle name="Note 2 3 3 2 5 2 3 3 2" xfId="22011"/>
    <cellStyle name="Note 2 3 3 2 5 2 3 3 3" xfId="22012"/>
    <cellStyle name="Note 2 3 3 2 5 2 3 3 4" xfId="22013"/>
    <cellStyle name="Note 2 3 3 2 5 2 3 4" xfId="22014"/>
    <cellStyle name="Note 2 3 3 2 5 2 3 5" xfId="22015"/>
    <cellStyle name="Note 2 3 3 2 5 2 3 6" xfId="22016"/>
    <cellStyle name="Note 2 3 3 2 5 2 3 7" xfId="22017"/>
    <cellStyle name="Note 2 3 3 2 5 2 4" xfId="22018"/>
    <cellStyle name="Note 2 3 3 2 5 2 4 2" xfId="22019"/>
    <cellStyle name="Note 2 3 3 2 5 2 4 2 2" xfId="22020"/>
    <cellStyle name="Note 2 3 3 2 5 2 4 2 3" xfId="22021"/>
    <cellStyle name="Note 2 3 3 2 5 2 4 2 4" xfId="22022"/>
    <cellStyle name="Note 2 3 3 2 5 2 4 3" xfId="22023"/>
    <cellStyle name="Note 2 3 3 2 5 2 4 4" xfId="22024"/>
    <cellStyle name="Note 2 3 3 2 5 2 4 5" xfId="22025"/>
    <cellStyle name="Note 2 3 3 2 5 2 4 6" xfId="22026"/>
    <cellStyle name="Note 2 3 3 2 5 2 5" xfId="22027"/>
    <cellStyle name="Note 2 3 3 2 5 2 5 2" xfId="22028"/>
    <cellStyle name="Note 2 3 3 2 5 2 5 3" xfId="22029"/>
    <cellStyle name="Note 2 3 3 2 5 2 5 4" xfId="22030"/>
    <cellStyle name="Note 2 3 3 2 5 2 5 5" xfId="22031"/>
    <cellStyle name="Note 2 3 3 2 5 2 6" xfId="22032"/>
    <cellStyle name="Note 2 3 3 2 5 2 6 2" xfId="22033"/>
    <cellStyle name="Note 2 3 3 2 5 2 6 3" xfId="22034"/>
    <cellStyle name="Note 2 3 3 2 5 2 6 4" xfId="22035"/>
    <cellStyle name="Note 2 3 3 2 5 2 7" xfId="22036"/>
    <cellStyle name="Note 2 3 3 2 5 2 7 2" xfId="22037"/>
    <cellStyle name="Note 2 3 3 2 5 2 7 3" xfId="22038"/>
    <cellStyle name="Note 2 3 3 2 5 2 7 4" xfId="22039"/>
    <cellStyle name="Note 2 3 3 2 5 2 8" xfId="22040"/>
    <cellStyle name="Note 2 3 3 2 5 2 8 2" xfId="22041"/>
    <cellStyle name="Note 2 3 3 2 5 2 8 3" xfId="22042"/>
    <cellStyle name="Note 2 3 3 2 5 2 8 4" xfId="22043"/>
    <cellStyle name="Note 2 3 3 2 5 2 9" xfId="22044"/>
    <cellStyle name="Note 2 3 3 2 5 3" xfId="22045"/>
    <cellStyle name="Note 2 3 3 2 5 3 10" xfId="22046"/>
    <cellStyle name="Note 2 3 3 2 5 3 11" xfId="22047"/>
    <cellStyle name="Note 2 3 3 2 5 3 2" xfId="22048"/>
    <cellStyle name="Note 2 3 3 2 5 3 2 2" xfId="22049"/>
    <cellStyle name="Note 2 3 3 2 5 3 2 2 2" xfId="22050"/>
    <cellStyle name="Note 2 3 3 2 5 3 2 2 2 2" xfId="22051"/>
    <cellStyle name="Note 2 3 3 2 5 3 2 2 2 3" xfId="22052"/>
    <cellStyle name="Note 2 3 3 2 5 3 2 2 2 4" xfId="22053"/>
    <cellStyle name="Note 2 3 3 2 5 3 2 2 3" xfId="22054"/>
    <cellStyle name="Note 2 3 3 2 5 3 2 2 4" xfId="22055"/>
    <cellStyle name="Note 2 3 3 2 5 3 2 2 5" xfId="22056"/>
    <cellStyle name="Note 2 3 3 2 5 3 2 2 6" xfId="22057"/>
    <cellStyle name="Note 2 3 3 2 5 3 2 3" xfId="22058"/>
    <cellStyle name="Note 2 3 3 2 5 3 2 3 2" xfId="22059"/>
    <cellStyle name="Note 2 3 3 2 5 3 2 3 3" xfId="22060"/>
    <cellStyle name="Note 2 3 3 2 5 3 2 3 4" xfId="22061"/>
    <cellStyle name="Note 2 3 3 2 5 3 2 4" xfId="22062"/>
    <cellStyle name="Note 2 3 3 2 5 3 2 5" xfId="22063"/>
    <cellStyle name="Note 2 3 3 2 5 3 2 6" xfId="22064"/>
    <cellStyle name="Note 2 3 3 2 5 3 2 7" xfId="22065"/>
    <cellStyle name="Note 2 3 3 2 5 3 3" xfId="22066"/>
    <cellStyle name="Note 2 3 3 2 5 3 3 2" xfId="22067"/>
    <cellStyle name="Note 2 3 3 2 5 3 3 2 2" xfId="22068"/>
    <cellStyle name="Note 2 3 3 2 5 3 3 2 3" xfId="22069"/>
    <cellStyle name="Note 2 3 3 2 5 3 3 2 4" xfId="22070"/>
    <cellStyle name="Note 2 3 3 2 5 3 3 3" xfId="22071"/>
    <cellStyle name="Note 2 3 3 2 5 3 3 4" xfId="22072"/>
    <cellStyle name="Note 2 3 3 2 5 3 3 5" xfId="22073"/>
    <cellStyle name="Note 2 3 3 2 5 3 3 6" xfId="22074"/>
    <cellStyle name="Note 2 3 3 2 5 3 4" xfId="22075"/>
    <cellStyle name="Note 2 3 3 2 5 3 4 2" xfId="22076"/>
    <cellStyle name="Note 2 3 3 2 5 3 4 3" xfId="22077"/>
    <cellStyle name="Note 2 3 3 2 5 3 4 4" xfId="22078"/>
    <cellStyle name="Note 2 3 3 2 5 3 4 5" xfId="22079"/>
    <cellStyle name="Note 2 3 3 2 5 3 5" xfId="22080"/>
    <cellStyle name="Note 2 3 3 2 5 3 5 2" xfId="22081"/>
    <cellStyle name="Note 2 3 3 2 5 3 5 3" xfId="22082"/>
    <cellStyle name="Note 2 3 3 2 5 3 5 4" xfId="22083"/>
    <cellStyle name="Note 2 3 3 2 5 3 6" xfId="22084"/>
    <cellStyle name="Note 2 3 3 2 5 3 6 2" xfId="22085"/>
    <cellStyle name="Note 2 3 3 2 5 3 6 3" xfId="22086"/>
    <cellStyle name="Note 2 3 3 2 5 3 6 4" xfId="22087"/>
    <cellStyle name="Note 2 3 3 2 5 3 7" xfId="22088"/>
    <cellStyle name="Note 2 3 3 2 5 3 7 2" xfId="22089"/>
    <cellStyle name="Note 2 3 3 2 5 3 7 3" xfId="22090"/>
    <cellStyle name="Note 2 3 3 2 5 3 7 4" xfId="22091"/>
    <cellStyle name="Note 2 3 3 2 5 3 8" xfId="22092"/>
    <cellStyle name="Note 2 3 3 2 5 3 9" xfId="22093"/>
    <cellStyle name="Note 2 3 3 2 5 4" xfId="22094"/>
    <cellStyle name="Note 2 3 3 2 5 4 2" xfId="22095"/>
    <cellStyle name="Note 2 3 3 2 5 4 2 2" xfId="22096"/>
    <cellStyle name="Note 2 3 3 2 5 4 2 2 2" xfId="22097"/>
    <cellStyle name="Note 2 3 3 2 5 4 2 2 3" xfId="22098"/>
    <cellStyle name="Note 2 3 3 2 5 4 2 2 4" xfId="22099"/>
    <cellStyle name="Note 2 3 3 2 5 4 2 3" xfId="22100"/>
    <cellStyle name="Note 2 3 3 2 5 4 2 4" xfId="22101"/>
    <cellStyle name="Note 2 3 3 2 5 4 2 5" xfId="22102"/>
    <cellStyle name="Note 2 3 3 2 5 4 2 6" xfId="22103"/>
    <cellStyle name="Note 2 3 3 2 5 4 3" xfId="22104"/>
    <cellStyle name="Note 2 3 3 2 5 4 3 2" xfId="22105"/>
    <cellStyle name="Note 2 3 3 2 5 4 3 3" xfId="22106"/>
    <cellStyle name="Note 2 3 3 2 5 4 3 4" xfId="22107"/>
    <cellStyle name="Note 2 3 3 2 5 4 4" xfId="22108"/>
    <cellStyle name="Note 2 3 3 2 5 4 5" xfId="22109"/>
    <cellStyle name="Note 2 3 3 2 5 4 6" xfId="22110"/>
    <cellStyle name="Note 2 3 3 2 5 4 7" xfId="22111"/>
    <cellStyle name="Note 2 3 3 2 5 5" xfId="22112"/>
    <cellStyle name="Note 2 3 3 2 5 5 2" xfId="22113"/>
    <cellStyle name="Note 2 3 3 2 5 5 2 2" xfId="22114"/>
    <cellStyle name="Note 2 3 3 2 5 5 2 3" xfId="22115"/>
    <cellStyle name="Note 2 3 3 2 5 5 2 4" xfId="22116"/>
    <cellStyle name="Note 2 3 3 2 5 5 3" xfId="22117"/>
    <cellStyle name="Note 2 3 3 2 5 5 4" xfId="22118"/>
    <cellStyle name="Note 2 3 3 2 5 5 5" xfId="22119"/>
    <cellStyle name="Note 2 3 3 2 5 5 6" xfId="22120"/>
    <cellStyle name="Note 2 3 3 2 5 6" xfId="22121"/>
    <cellStyle name="Note 2 3 3 2 5 6 2" xfId="22122"/>
    <cellStyle name="Note 2 3 3 2 5 6 3" xfId="22123"/>
    <cellStyle name="Note 2 3 3 2 5 6 4" xfId="22124"/>
    <cellStyle name="Note 2 3 3 2 5 6 5" xfId="22125"/>
    <cellStyle name="Note 2 3 3 2 5 7" xfId="22126"/>
    <cellStyle name="Note 2 3 3 2 5 7 2" xfId="22127"/>
    <cellStyle name="Note 2 3 3 2 5 7 3" xfId="22128"/>
    <cellStyle name="Note 2 3 3 2 5 7 4" xfId="22129"/>
    <cellStyle name="Note 2 3 3 2 5 8" xfId="22130"/>
    <cellStyle name="Note 2 3 3 2 5 8 2" xfId="22131"/>
    <cellStyle name="Note 2 3 3 2 5 8 3" xfId="22132"/>
    <cellStyle name="Note 2 3 3 2 5 8 4" xfId="22133"/>
    <cellStyle name="Note 2 3 3 2 5 9" xfId="22134"/>
    <cellStyle name="Note 2 3 3 2 5 9 2" xfId="22135"/>
    <cellStyle name="Note 2 3 3 2 5 9 3" xfId="22136"/>
    <cellStyle name="Note 2 3 3 2 5 9 4" xfId="22137"/>
    <cellStyle name="Note 2 3 3 2 6" xfId="22138"/>
    <cellStyle name="Note 2 3 3 2 6 10" xfId="22139"/>
    <cellStyle name="Note 2 3 3 2 6 11" xfId="22140"/>
    <cellStyle name="Note 2 3 3 2 6 12" xfId="22141"/>
    <cellStyle name="Note 2 3 3 2 6 13" xfId="22142"/>
    <cellStyle name="Note 2 3 3 2 6 2" xfId="22143"/>
    <cellStyle name="Note 2 3 3 2 6 2 10" xfId="22144"/>
    <cellStyle name="Note 2 3 3 2 6 2 11" xfId="22145"/>
    <cellStyle name="Note 2 3 3 2 6 2 2" xfId="22146"/>
    <cellStyle name="Note 2 3 3 2 6 2 2 2" xfId="22147"/>
    <cellStyle name="Note 2 3 3 2 6 2 2 2 2" xfId="22148"/>
    <cellStyle name="Note 2 3 3 2 6 2 2 2 2 2" xfId="22149"/>
    <cellStyle name="Note 2 3 3 2 6 2 2 2 2 3" xfId="22150"/>
    <cellStyle name="Note 2 3 3 2 6 2 2 2 2 4" xfId="22151"/>
    <cellStyle name="Note 2 3 3 2 6 2 2 2 3" xfId="22152"/>
    <cellStyle name="Note 2 3 3 2 6 2 2 2 4" xfId="22153"/>
    <cellStyle name="Note 2 3 3 2 6 2 2 2 5" xfId="22154"/>
    <cellStyle name="Note 2 3 3 2 6 2 2 2 6" xfId="22155"/>
    <cellStyle name="Note 2 3 3 2 6 2 2 3" xfId="22156"/>
    <cellStyle name="Note 2 3 3 2 6 2 2 3 2" xfId="22157"/>
    <cellStyle name="Note 2 3 3 2 6 2 2 3 3" xfId="22158"/>
    <cellStyle name="Note 2 3 3 2 6 2 2 3 4" xfId="22159"/>
    <cellStyle name="Note 2 3 3 2 6 2 2 4" xfId="22160"/>
    <cellStyle name="Note 2 3 3 2 6 2 2 5" xfId="22161"/>
    <cellStyle name="Note 2 3 3 2 6 2 2 6" xfId="22162"/>
    <cellStyle name="Note 2 3 3 2 6 2 2 7" xfId="22163"/>
    <cellStyle name="Note 2 3 3 2 6 2 3" xfId="22164"/>
    <cellStyle name="Note 2 3 3 2 6 2 3 2" xfId="22165"/>
    <cellStyle name="Note 2 3 3 2 6 2 3 2 2" xfId="22166"/>
    <cellStyle name="Note 2 3 3 2 6 2 3 2 3" xfId="22167"/>
    <cellStyle name="Note 2 3 3 2 6 2 3 2 4" xfId="22168"/>
    <cellStyle name="Note 2 3 3 2 6 2 3 3" xfId="22169"/>
    <cellStyle name="Note 2 3 3 2 6 2 3 4" xfId="22170"/>
    <cellStyle name="Note 2 3 3 2 6 2 3 5" xfId="22171"/>
    <cellStyle name="Note 2 3 3 2 6 2 3 6" xfId="22172"/>
    <cellStyle name="Note 2 3 3 2 6 2 4" xfId="22173"/>
    <cellStyle name="Note 2 3 3 2 6 2 4 2" xfId="22174"/>
    <cellStyle name="Note 2 3 3 2 6 2 4 3" xfId="22175"/>
    <cellStyle name="Note 2 3 3 2 6 2 4 4" xfId="22176"/>
    <cellStyle name="Note 2 3 3 2 6 2 4 5" xfId="22177"/>
    <cellStyle name="Note 2 3 3 2 6 2 5" xfId="22178"/>
    <cellStyle name="Note 2 3 3 2 6 2 5 2" xfId="22179"/>
    <cellStyle name="Note 2 3 3 2 6 2 5 3" xfId="22180"/>
    <cellStyle name="Note 2 3 3 2 6 2 5 4" xfId="22181"/>
    <cellStyle name="Note 2 3 3 2 6 2 6" xfId="22182"/>
    <cellStyle name="Note 2 3 3 2 6 2 6 2" xfId="22183"/>
    <cellStyle name="Note 2 3 3 2 6 2 6 3" xfId="22184"/>
    <cellStyle name="Note 2 3 3 2 6 2 6 4" xfId="22185"/>
    <cellStyle name="Note 2 3 3 2 6 2 7" xfId="22186"/>
    <cellStyle name="Note 2 3 3 2 6 2 7 2" xfId="22187"/>
    <cellStyle name="Note 2 3 3 2 6 2 7 3" xfId="22188"/>
    <cellStyle name="Note 2 3 3 2 6 2 7 4" xfId="22189"/>
    <cellStyle name="Note 2 3 3 2 6 2 8" xfId="22190"/>
    <cellStyle name="Note 2 3 3 2 6 2 9" xfId="22191"/>
    <cellStyle name="Note 2 3 3 2 6 3" xfId="22192"/>
    <cellStyle name="Note 2 3 3 2 6 3 10" xfId="22193"/>
    <cellStyle name="Note 2 3 3 2 6 3 11" xfId="22194"/>
    <cellStyle name="Note 2 3 3 2 6 3 2" xfId="22195"/>
    <cellStyle name="Note 2 3 3 2 6 3 2 2" xfId="22196"/>
    <cellStyle name="Note 2 3 3 2 6 3 2 2 2" xfId="22197"/>
    <cellStyle name="Note 2 3 3 2 6 3 2 2 3" xfId="22198"/>
    <cellStyle name="Note 2 3 3 2 6 3 2 2 4" xfId="22199"/>
    <cellStyle name="Note 2 3 3 2 6 3 2 3" xfId="22200"/>
    <cellStyle name="Note 2 3 3 2 6 3 2 3 2" xfId="22201"/>
    <cellStyle name="Note 2 3 3 2 6 3 2 3 3" xfId="22202"/>
    <cellStyle name="Note 2 3 3 2 6 3 2 3 4" xfId="22203"/>
    <cellStyle name="Note 2 3 3 2 6 3 2 4" xfId="22204"/>
    <cellStyle name="Note 2 3 3 2 6 3 2 5" xfId="22205"/>
    <cellStyle name="Note 2 3 3 2 6 3 2 6" xfId="22206"/>
    <cellStyle name="Note 2 3 3 2 6 3 2 7" xfId="22207"/>
    <cellStyle name="Note 2 3 3 2 6 3 3" xfId="22208"/>
    <cellStyle name="Note 2 3 3 2 6 3 3 2" xfId="22209"/>
    <cellStyle name="Note 2 3 3 2 6 3 3 2 2" xfId="22210"/>
    <cellStyle name="Note 2 3 3 2 6 3 3 2 3" xfId="22211"/>
    <cellStyle name="Note 2 3 3 2 6 3 3 2 4" xfId="22212"/>
    <cellStyle name="Note 2 3 3 2 6 3 3 3" xfId="22213"/>
    <cellStyle name="Note 2 3 3 2 6 3 3 4" xfId="22214"/>
    <cellStyle name="Note 2 3 3 2 6 3 3 5" xfId="22215"/>
    <cellStyle name="Note 2 3 3 2 6 3 3 6" xfId="22216"/>
    <cellStyle name="Note 2 3 3 2 6 3 4" xfId="22217"/>
    <cellStyle name="Note 2 3 3 2 6 3 4 2" xfId="22218"/>
    <cellStyle name="Note 2 3 3 2 6 3 4 3" xfId="22219"/>
    <cellStyle name="Note 2 3 3 2 6 3 4 4" xfId="22220"/>
    <cellStyle name="Note 2 3 3 2 6 3 4 5" xfId="22221"/>
    <cellStyle name="Note 2 3 3 2 6 3 5" xfId="22222"/>
    <cellStyle name="Note 2 3 3 2 6 3 5 2" xfId="22223"/>
    <cellStyle name="Note 2 3 3 2 6 3 5 3" xfId="22224"/>
    <cellStyle name="Note 2 3 3 2 6 3 5 4" xfId="22225"/>
    <cellStyle name="Note 2 3 3 2 6 3 6" xfId="22226"/>
    <cellStyle name="Note 2 3 3 2 6 3 6 2" xfId="22227"/>
    <cellStyle name="Note 2 3 3 2 6 3 6 3" xfId="22228"/>
    <cellStyle name="Note 2 3 3 2 6 3 6 4" xfId="22229"/>
    <cellStyle name="Note 2 3 3 2 6 3 7" xfId="22230"/>
    <cellStyle name="Note 2 3 3 2 6 3 7 2" xfId="22231"/>
    <cellStyle name="Note 2 3 3 2 6 3 7 3" xfId="22232"/>
    <cellStyle name="Note 2 3 3 2 6 3 7 4" xfId="22233"/>
    <cellStyle name="Note 2 3 3 2 6 3 8" xfId="22234"/>
    <cellStyle name="Note 2 3 3 2 6 3 9" xfId="22235"/>
    <cellStyle name="Note 2 3 3 2 6 4" xfId="22236"/>
    <cellStyle name="Note 2 3 3 2 6 4 2" xfId="22237"/>
    <cellStyle name="Note 2 3 3 2 6 4 2 2" xfId="22238"/>
    <cellStyle name="Note 2 3 3 2 6 4 2 2 2" xfId="22239"/>
    <cellStyle name="Note 2 3 3 2 6 4 2 2 3" xfId="22240"/>
    <cellStyle name="Note 2 3 3 2 6 4 2 2 4" xfId="22241"/>
    <cellStyle name="Note 2 3 3 2 6 4 2 3" xfId="22242"/>
    <cellStyle name="Note 2 3 3 2 6 4 2 4" xfId="22243"/>
    <cellStyle name="Note 2 3 3 2 6 4 2 5" xfId="22244"/>
    <cellStyle name="Note 2 3 3 2 6 4 2 6" xfId="22245"/>
    <cellStyle name="Note 2 3 3 2 6 4 3" xfId="22246"/>
    <cellStyle name="Note 2 3 3 2 6 4 3 2" xfId="22247"/>
    <cellStyle name="Note 2 3 3 2 6 4 3 3" xfId="22248"/>
    <cellStyle name="Note 2 3 3 2 6 4 3 4" xfId="22249"/>
    <cellStyle name="Note 2 3 3 2 6 4 4" xfId="22250"/>
    <cellStyle name="Note 2 3 3 2 6 4 5" xfId="22251"/>
    <cellStyle name="Note 2 3 3 2 6 4 6" xfId="22252"/>
    <cellStyle name="Note 2 3 3 2 6 4 7" xfId="22253"/>
    <cellStyle name="Note 2 3 3 2 6 5" xfId="22254"/>
    <cellStyle name="Note 2 3 3 2 6 5 2" xfId="22255"/>
    <cellStyle name="Note 2 3 3 2 6 5 2 2" xfId="22256"/>
    <cellStyle name="Note 2 3 3 2 6 5 2 3" xfId="22257"/>
    <cellStyle name="Note 2 3 3 2 6 5 2 4" xfId="22258"/>
    <cellStyle name="Note 2 3 3 2 6 5 3" xfId="22259"/>
    <cellStyle name="Note 2 3 3 2 6 5 4" xfId="22260"/>
    <cellStyle name="Note 2 3 3 2 6 5 5" xfId="22261"/>
    <cellStyle name="Note 2 3 3 2 6 5 6" xfId="22262"/>
    <cellStyle name="Note 2 3 3 2 6 6" xfId="22263"/>
    <cellStyle name="Note 2 3 3 2 6 6 2" xfId="22264"/>
    <cellStyle name="Note 2 3 3 2 6 6 3" xfId="22265"/>
    <cellStyle name="Note 2 3 3 2 6 6 4" xfId="22266"/>
    <cellStyle name="Note 2 3 3 2 6 6 5" xfId="22267"/>
    <cellStyle name="Note 2 3 3 2 6 7" xfId="22268"/>
    <cellStyle name="Note 2 3 3 2 6 7 2" xfId="22269"/>
    <cellStyle name="Note 2 3 3 2 6 7 3" xfId="22270"/>
    <cellStyle name="Note 2 3 3 2 6 7 4" xfId="22271"/>
    <cellStyle name="Note 2 3 3 2 6 8" xfId="22272"/>
    <cellStyle name="Note 2 3 3 2 6 8 2" xfId="22273"/>
    <cellStyle name="Note 2 3 3 2 6 8 3" xfId="22274"/>
    <cellStyle name="Note 2 3 3 2 6 8 4" xfId="22275"/>
    <cellStyle name="Note 2 3 3 2 6 9" xfId="22276"/>
    <cellStyle name="Note 2 3 3 2 6 9 2" xfId="22277"/>
    <cellStyle name="Note 2 3 3 2 6 9 3" xfId="22278"/>
    <cellStyle name="Note 2 3 3 2 6 9 4" xfId="22279"/>
    <cellStyle name="Note 2 3 3 2 7" xfId="22280"/>
    <cellStyle name="Note 2 3 3 2 7 10" xfId="22281"/>
    <cellStyle name="Note 2 3 3 2 7 11" xfId="22282"/>
    <cellStyle name="Note 2 3 3 2 7 12" xfId="22283"/>
    <cellStyle name="Note 2 3 3 2 7 2" xfId="22284"/>
    <cellStyle name="Note 2 3 3 2 7 2 10" xfId="22285"/>
    <cellStyle name="Note 2 3 3 2 7 2 11" xfId="22286"/>
    <cellStyle name="Note 2 3 3 2 7 2 2" xfId="22287"/>
    <cellStyle name="Note 2 3 3 2 7 2 2 2" xfId="22288"/>
    <cellStyle name="Note 2 3 3 2 7 2 2 2 2" xfId="22289"/>
    <cellStyle name="Note 2 3 3 2 7 2 2 2 2 2" xfId="22290"/>
    <cellStyle name="Note 2 3 3 2 7 2 2 2 2 3" xfId="22291"/>
    <cellStyle name="Note 2 3 3 2 7 2 2 2 2 4" xfId="22292"/>
    <cellStyle name="Note 2 3 3 2 7 2 2 2 3" xfId="22293"/>
    <cellStyle name="Note 2 3 3 2 7 2 2 2 4" xfId="22294"/>
    <cellStyle name="Note 2 3 3 2 7 2 2 2 5" xfId="22295"/>
    <cellStyle name="Note 2 3 3 2 7 2 2 2 6" xfId="22296"/>
    <cellStyle name="Note 2 3 3 2 7 2 2 3" xfId="22297"/>
    <cellStyle name="Note 2 3 3 2 7 2 2 3 2" xfId="22298"/>
    <cellStyle name="Note 2 3 3 2 7 2 2 3 3" xfId="22299"/>
    <cellStyle name="Note 2 3 3 2 7 2 2 3 4" xfId="22300"/>
    <cellStyle name="Note 2 3 3 2 7 2 2 4" xfId="22301"/>
    <cellStyle name="Note 2 3 3 2 7 2 2 5" xfId="22302"/>
    <cellStyle name="Note 2 3 3 2 7 2 2 6" xfId="22303"/>
    <cellStyle name="Note 2 3 3 2 7 2 2 7" xfId="22304"/>
    <cellStyle name="Note 2 3 3 2 7 2 3" xfId="22305"/>
    <cellStyle name="Note 2 3 3 2 7 2 3 2" xfId="22306"/>
    <cellStyle name="Note 2 3 3 2 7 2 3 2 2" xfId="22307"/>
    <cellStyle name="Note 2 3 3 2 7 2 3 2 3" xfId="22308"/>
    <cellStyle name="Note 2 3 3 2 7 2 3 2 4" xfId="22309"/>
    <cellStyle name="Note 2 3 3 2 7 2 3 3" xfId="22310"/>
    <cellStyle name="Note 2 3 3 2 7 2 3 4" xfId="22311"/>
    <cellStyle name="Note 2 3 3 2 7 2 3 5" xfId="22312"/>
    <cellStyle name="Note 2 3 3 2 7 2 3 6" xfId="22313"/>
    <cellStyle name="Note 2 3 3 2 7 2 4" xfId="22314"/>
    <cellStyle name="Note 2 3 3 2 7 2 4 2" xfId="22315"/>
    <cellStyle name="Note 2 3 3 2 7 2 4 3" xfId="22316"/>
    <cellStyle name="Note 2 3 3 2 7 2 4 4" xfId="22317"/>
    <cellStyle name="Note 2 3 3 2 7 2 4 5" xfId="22318"/>
    <cellStyle name="Note 2 3 3 2 7 2 5" xfId="22319"/>
    <cellStyle name="Note 2 3 3 2 7 2 5 2" xfId="22320"/>
    <cellStyle name="Note 2 3 3 2 7 2 5 3" xfId="22321"/>
    <cellStyle name="Note 2 3 3 2 7 2 5 4" xfId="22322"/>
    <cellStyle name="Note 2 3 3 2 7 2 6" xfId="22323"/>
    <cellStyle name="Note 2 3 3 2 7 2 6 2" xfId="22324"/>
    <cellStyle name="Note 2 3 3 2 7 2 6 3" xfId="22325"/>
    <cellStyle name="Note 2 3 3 2 7 2 6 4" xfId="22326"/>
    <cellStyle name="Note 2 3 3 2 7 2 7" xfId="22327"/>
    <cellStyle name="Note 2 3 3 2 7 2 7 2" xfId="22328"/>
    <cellStyle name="Note 2 3 3 2 7 2 7 3" xfId="22329"/>
    <cellStyle name="Note 2 3 3 2 7 2 7 4" xfId="22330"/>
    <cellStyle name="Note 2 3 3 2 7 2 8" xfId="22331"/>
    <cellStyle name="Note 2 3 3 2 7 2 9" xfId="22332"/>
    <cellStyle name="Note 2 3 3 2 7 3" xfId="22333"/>
    <cellStyle name="Note 2 3 3 2 7 3 2" xfId="22334"/>
    <cellStyle name="Note 2 3 3 2 7 3 2 2" xfId="22335"/>
    <cellStyle name="Note 2 3 3 2 7 3 2 2 2" xfId="22336"/>
    <cellStyle name="Note 2 3 3 2 7 3 2 2 3" xfId="22337"/>
    <cellStyle name="Note 2 3 3 2 7 3 2 2 4" xfId="22338"/>
    <cellStyle name="Note 2 3 3 2 7 3 2 3" xfId="22339"/>
    <cellStyle name="Note 2 3 3 2 7 3 2 4" xfId="22340"/>
    <cellStyle name="Note 2 3 3 2 7 3 2 5" xfId="22341"/>
    <cellStyle name="Note 2 3 3 2 7 3 2 6" xfId="22342"/>
    <cellStyle name="Note 2 3 3 2 7 3 3" xfId="22343"/>
    <cellStyle name="Note 2 3 3 2 7 3 3 2" xfId="22344"/>
    <cellStyle name="Note 2 3 3 2 7 3 3 3" xfId="22345"/>
    <cellStyle name="Note 2 3 3 2 7 3 3 4" xfId="22346"/>
    <cellStyle name="Note 2 3 3 2 7 3 4" xfId="22347"/>
    <cellStyle name="Note 2 3 3 2 7 3 5" xfId="22348"/>
    <cellStyle name="Note 2 3 3 2 7 3 6" xfId="22349"/>
    <cellStyle name="Note 2 3 3 2 7 3 7" xfId="22350"/>
    <cellStyle name="Note 2 3 3 2 7 4" xfId="22351"/>
    <cellStyle name="Note 2 3 3 2 7 4 2" xfId="22352"/>
    <cellStyle name="Note 2 3 3 2 7 4 2 2" xfId="22353"/>
    <cellStyle name="Note 2 3 3 2 7 4 2 3" xfId="22354"/>
    <cellStyle name="Note 2 3 3 2 7 4 2 4" xfId="22355"/>
    <cellStyle name="Note 2 3 3 2 7 4 3" xfId="22356"/>
    <cellStyle name="Note 2 3 3 2 7 4 4" xfId="22357"/>
    <cellStyle name="Note 2 3 3 2 7 4 5" xfId="22358"/>
    <cellStyle name="Note 2 3 3 2 7 4 6" xfId="22359"/>
    <cellStyle name="Note 2 3 3 2 7 5" xfId="22360"/>
    <cellStyle name="Note 2 3 3 2 7 5 2" xfId="22361"/>
    <cellStyle name="Note 2 3 3 2 7 5 3" xfId="22362"/>
    <cellStyle name="Note 2 3 3 2 7 5 4" xfId="22363"/>
    <cellStyle name="Note 2 3 3 2 7 5 5" xfId="22364"/>
    <cellStyle name="Note 2 3 3 2 7 6" xfId="22365"/>
    <cellStyle name="Note 2 3 3 2 7 6 2" xfId="22366"/>
    <cellStyle name="Note 2 3 3 2 7 6 3" xfId="22367"/>
    <cellStyle name="Note 2 3 3 2 7 6 4" xfId="22368"/>
    <cellStyle name="Note 2 3 3 2 7 7" xfId="22369"/>
    <cellStyle name="Note 2 3 3 2 7 7 2" xfId="22370"/>
    <cellStyle name="Note 2 3 3 2 7 7 3" xfId="22371"/>
    <cellStyle name="Note 2 3 3 2 7 7 4" xfId="22372"/>
    <cellStyle name="Note 2 3 3 2 7 8" xfId="22373"/>
    <cellStyle name="Note 2 3 3 2 7 8 2" xfId="22374"/>
    <cellStyle name="Note 2 3 3 2 7 8 3" xfId="22375"/>
    <cellStyle name="Note 2 3 3 2 7 8 4" xfId="22376"/>
    <cellStyle name="Note 2 3 3 2 7 9" xfId="22377"/>
    <cellStyle name="Note 2 3 3 2 8" xfId="22378"/>
    <cellStyle name="Note 2 3 3 2 8 10" xfId="22379"/>
    <cellStyle name="Note 2 3 3 2 8 11" xfId="22380"/>
    <cellStyle name="Note 2 3 3 2 8 2" xfId="22381"/>
    <cellStyle name="Note 2 3 3 2 8 2 2" xfId="22382"/>
    <cellStyle name="Note 2 3 3 2 8 2 2 2" xfId="22383"/>
    <cellStyle name="Note 2 3 3 2 8 2 2 2 2" xfId="22384"/>
    <cellStyle name="Note 2 3 3 2 8 2 2 2 3" xfId="22385"/>
    <cellStyle name="Note 2 3 3 2 8 2 2 2 4" xfId="22386"/>
    <cellStyle name="Note 2 3 3 2 8 2 2 3" xfId="22387"/>
    <cellStyle name="Note 2 3 3 2 8 2 2 4" xfId="22388"/>
    <cellStyle name="Note 2 3 3 2 8 2 2 5" xfId="22389"/>
    <cellStyle name="Note 2 3 3 2 8 2 2 6" xfId="22390"/>
    <cellStyle name="Note 2 3 3 2 8 2 3" xfId="22391"/>
    <cellStyle name="Note 2 3 3 2 8 2 3 2" xfId="22392"/>
    <cellStyle name="Note 2 3 3 2 8 2 3 3" xfId="22393"/>
    <cellStyle name="Note 2 3 3 2 8 2 3 4" xfId="22394"/>
    <cellStyle name="Note 2 3 3 2 8 2 4" xfId="22395"/>
    <cellStyle name="Note 2 3 3 2 8 2 5" xfId="22396"/>
    <cellStyle name="Note 2 3 3 2 8 2 6" xfId="22397"/>
    <cellStyle name="Note 2 3 3 2 8 2 7" xfId="22398"/>
    <cellStyle name="Note 2 3 3 2 8 3" xfId="22399"/>
    <cellStyle name="Note 2 3 3 2 8 3 2" xfId="22400"/>
    <cellStyle name="Note 2 3 3 2 8 3 2 2" xfId="22401"/>
    <cellStyle name="Note 2 3 3 2 8 3 2 3" xfId="22402"/>
    <cellStyle name="Note 2 3 3 2 8 3 2 4" xfId="22403"/>
    <cellStyle name="Note 2 3 3 2 8 3 3" xfId="22404"/>
    <cellStyle name="Note 2 3 3 2 8 3 4" xfId="22405"/>
    <cellStyle name="Note 2 3 3 2 8 3 5" xfId="22406"/>
    <cellStyle name="Note 2 3 3 2 8 3 6" xfId="22407"/>
    <cellStyle name="Note 2 3 3 2 8 4" xfId="22408"/>
    <cellStyle name="Note 2 3 3 2 8 4 2" xfId="22409"/>
    <cellStyle name="Note 2 3 3 2 8 4 3" xfId="22410"/>
    <cellStyle name="Note 2 3 3 2 8 4 4" xfId="22411"/>
    <cellStyle name="Note 2 3 3 2 8 4 5" xfId="22412"/>
    <cellStyle name="Note 2 3 3 2 8 5" xfId="22413"/>
    <cellStyle name="Note 2 3 3 2 8 5 2" xfId="22414"/>
    <cellStyle name="Note 2 3 3 2 8 5 3" xfId="22415"/>
    <cellStyle name="Note 2 3 3 2 8 5 4" xfId="22416"/>
    <cellStyle name="Note 2 3 3 2 8 6" xfId="22417"/>
    <cellStyle name="Note 2 3 3 2 8 6 2" xfId="22418"/>
    <cellStyle name="Note 2 3 3 2 8 6 3" xfId="22419"/>
    <cellStyle name="Note 2 3 3 2 8 6 4" xfId="22420"/>
    <cellStyle name="Note 2 3 3 2 8 7" xfId="22421"/>
    <cellStyle name="Note 2 3 3 2 8 7 2" xfId="22422"/>
    <cellStyle name="Note 2 3 3 2 8 7 3" xfId="22423"/>
    <cellStyle name="Note 2 3 3 2 8 7 4" xfId="22424"/>
    <cellStyle name="Note 2 3 3 2 8 8" xfId="22425"/>
    <cellStyle name="Note 2 3 3 2 8 9" xfId="22426"/>
    <cellStyle name="Note 2 3 3 2 9" xfId="22427"/>
    <cellStyle name="Note 2 3 3 2 9 10" xfId="22428"/>
    <cellStyle name="Note 2 3 3 2 9 2" xfId="22429"/>
    <cellStyle name="Note 2 3 3 2 9 2 2" xfId="22430"/>
    <cellStyle name="Note 2 3 3 2 9 2 2 2" xfId="22431"/>
    <cellStyle name="Note 2 3 3 2 9 2 2 3" xfId="22432"/>
    <cellStyle name="Note 2 3 3 2 9 2 2 4" xfId="22433"/>
    <cellStyle name="Note 2 3 3 2 9 2 3" xfId="22434"/>
    <cellStyle name="Note 2 3 3 2 9 2 4" xfId="22435"/>
    <cellStyle name="Note 2 3 3 2 9 2 5" xfId="22436"/>
    <cellStyle name="Note 2 3 3 2 9 2 6" xfId="22437"/>
    <cellStyle name="Note 2 3 3 2 9 3" xfId="22438"/>
    <cellStyle name="Note 2 3 3 2 9 3 2" xfId="22439"/>
    <cellStyle name="Note 2 3 3 2 9 3 3" xfId="22440"/>
    <cellStyle name="Note 2 3 3 2 9 3 4" xfId="22441"/>
    <cellStyle name="Note 2 3 3 2 9 4" xfId="22442"/>
    <cellStyle name="Note 2 3 3 2 9 4 2" xfId="22443"/>
    <cellStyle name="Note 2 3 3 2 9 4 3" xfId="22444"/>
    <cellStyle name="Note 2 3 3 2 9 4 4" xfId="22445"/>
    <cellStyle name="Note 2 3 3 2 9 5" xfId="22446"/>
    <cellStyle name="Note 2 3 3 2 9 5 2" xfId="22447"/>
    <cellStyle name="Note 2 3 3 2 9 5 3" xfId="22448"/>
    <cellStyle name="Note 2 3 3 2 9 5 4" xfId="22449"/>
    <cellStyle name="Note 2 3 3 2 9 6" xfId="22450"/>
    <cellStyle name="Note 2 3 3 2 9 6 2" xfId="22451"/>
    <cellStyle name="Note 2 3 3 2 9 6 3" xfId="22452"/>
    <cellStyle name="Note 2 3 3 2 9 6 4" xfId="22453"/>
    <cellStyle name="Note 2 3 3 2 9 7" xfId="22454"/>
    <cellStyle name="Note 2 3 3 2 9 8" xfId="22455"/>
    <cellStyle name="Note 2 3 3 2 9 9" xfId="22456"/>
    <cellStyle name="Note 2 3 3 20" xfId="22457"/>
    <cellStyle name="Note 2 3 3 20 2" xfId="22458"/>
    <cellStyle name="Note 2 3 3 20 3" xfId="22459"/>
    <cellStyle name="Note 2 3 3 20 4" xfId="22460"/>
    <cellStyle name="Note 2 3 3 21" xfId="22461"/>
    <cellStyle name="Note 2 3 3 22" xfId="22462"/>
    <cellStyle name="Note 2 3 3 23" xfId="22463"/>
    <cellStyle name="Note 2 3 3 24" xfId="22464"/>
    <cellStyle name="Note 2 3 3 3" xfId="22465"/>
    <cellStyle name="Note 2 3 3 3 10" xfId="22466"/>
    <cellStyle name="Note 2 3 3 3 10 2" xfId="22467"/>
    <cellStyle name="Note 2 3 3 3 10 2 2" xfId="22468"/>
    <cellStyle name="Note 2 3 3 3 10 2 3" xfId="22469"/>
    <cellStyle name="Note 2 3 3 3 10 2 4" xfId="22470"/>
    <cellStyle name="Note 2 3 3 3 10 3" xfId="22471"/>
    <cellStyle name="Note 2 3 3 3 10 3 2" xfId="22472"/>
    <cellStyle name="Note 2 3 3 3 10 3 3" xfId="22473"/>
    <cellStyle name="Note 2 3 3 3 10 3 4" xfId="22474"/>
    <cellStyle name="Note 2 3 3 3 10 4" xfId="22475"/>
    <cellStyle name="Note 2 3 3 3 10 5" xfId="22476"/>
    <cellStyle name="Note 2 3 3 3 10 6" xfId="22477"/>
    <cellStyle name="Note 2 3 3 3 10 7" xfId="22478"/>
    <cellStyle name="Note 2 3 3 3 11" xfId="22479"/>
    <cellStyle name="Note 2 3 3 3 11 2" xfId="22480"/>
    <cellStyle name="Note 2 3 3 3 11 2 2" xfId="22481"/>
    <cellStyle name="Note 2 3 3 3 11 2 3" xfId="22482"/>
    <cellStyle name="Note 2 3 3 3 11 2 4" xfId="22483"/>
    <cellStyle name="Note 2 3 3 3 11 3" xfId="22484"/>
    <cellStyle name="Note 2 3 3 3 11 3 2" xfId="22485"/>
    <cellStyle name="Note 2 3 3 3 11 3 3" xfId="22486"/>
    <cellStyle name="Note 2 3 3 3 11 3 4" xfId="22487"/>
    <cellStyle name="Note 2 3 3 3 11 4" xfId="22488"/>
    <cellStyle name="Note 2 3 3 3 11 5" xfId="22489"/>
    <cellStyle name="Note 2 3 3 3 11 6" xfId="22490"/>
    <cellStyle name="Note 2 3 3 3 11 7" xfId="22491"/>
    <cellStyle name="Note 2 3 3 3 12" xfId="22492"/>
    <cellStyle name="Note 2 3 3 3 12 2" xfId="22493"/>
    <cellStyle name="Note 2 3 3 3 12 2 2" xfId="22494"/>
    <cellStyle name="Note 2 3 3 3 12 2 3" xfId="22495"/>
    <cellStyle name="Note 2 3 3 3 12 2 4" xfId="22496"/>
    <cellStyle name="Note 2 3 3 3 12 3" xfId="22497"/>
    <cellStyle name="Note 2 3 3 3 12 3 2" xfId="22498"/>
    <cellStyle name="Note 2 3 3 3 12 3 3" xfId="22499"/>
    <cellStyle name="Note 2 3 3 3 12 3 4" xfId="22500"/>
    <cellStyle name="Note 2 3 3 3 12 4" xfId="22501"/>
    <cellStyle name="Note 2 3 3 3 12 5" xfId="22502"/>
    <cellStyle name="Note 2 3 3 3 12 6" xfId="22503"/>
    <cellStyle name="Note 2 3 3 3 12 7" xfId="22504"/>
    <cellStyle name="Note 2 3 3 3 13" xfId="22505"/>
    <cellStyle name="Note 2 3 3 3 13 2" xfId="22506"/>
    <cellStyle name="Note 2 3 3 3 13 2 2" xfId="22507"/>
    <cellStyle name="Note 2 3 3 3 13 2 3" xfId="22508"/>
    <cellStyle name="Note 2 3 3 3 13 2 4" xfId="22509"/>
    <cellStyle name="Note 2 3 3 3 13 3" xfId="22510"/>
    <cellStyle name="Note 2 3 3 3 13 3 2" xfId="22511"/>
    <cellStyle name="Note 2 3 3 3 13 3 3" xfId="22512"/>
    <cellStyle name="Note 2 3 3 3 13 3 4" xfId="22513"/>
    <cellStyle name="Note 2 3 3 3 13 4" xfId="22514"/>
    <cellStyle name="Note 2 3 3 3 13 5" xfId="22515"/>
    <cellStyle name="Note 2 3 3 3 13 6" xfId="22516"/>
    <cellStyle name="Note 2 3 3 3 13 7" xfId="22517"/>
    <cellStyle name="Note 2 3 3 3 14" xfId="22518"/>
    <cellStyle name="Note 2 3 3 3 14 2" xfId="22519"/>
    <cellStyle name="Note 2 3 3 3 14 2 2" xfId="22520"/>
    <cellStyle name="Note 2 3 3 3 14 2 3" xfId="22521"/>
    <cellStyle name="Note 2 3 3 3 14 2 4" xfId="22522"/>
    <cellStyle name="Note 2 3 3 3 14 3" xfId="22523"/>
    <cellStyle name="Note 2 3 3 3 14 4" xfId="22524"/>
    <cellStyle name="Note 2 3 3 3 14 5" xfId="22525"/>
    <cellStyle name="Note 2 3 3 3 14 6" xfId="22526"/>
    <cellStyle name="Note 2 3 3 3 15" xfId="22527"/>
    <cellStyle name="Note 2 3 3 3 15 2" xfId="22528"/>
    <cellStyle name="Note 2 3 3 3 15 3" xfId="22529"/>
    <cellStyle name="Note 2 3 3 3 15 4" xfId="22530"/>
    <cellStyle name="Note 2 3 3 3 15 5" xfId="22531"/>
    <cellStyle name="Note 2 3 3 3 16" xfId="22532"/>
    <cellStyle name="Note 2 3 3 3 16 2" xfId="22533"/>
    <cellStyle name="Note 2 3 3 3 16 3" xfId="22534"/>
    <cellStyle name="Note 2 3 3 3 16 4" xfId="22535"/>
    <cellStyle name="Note 2 3 3 3 17" xfId="22536"/>
    <cellStyle name="Note 2 3 3 3 17 2" xfId="22537"/>
    <cellStyle name="Note 2 3 3 3 17 3" xfId="22538"/>
    <cellStyle name="Note 2 3 3 3 17 4" xfId="22539"/>
    <cellStyle name="Note 2 3 3 3 18" xfId="22540"/>
    <cellStyle name="Note 2 3 3 3 18 2" xfId="22541"/>
    <cellStyle name="Note 2 3 3 3 18 3" xfId="22542"/>
    <cellStyle name="Note 2 3 3 3 18 4" xfId="22543"/>
    <cellStyle name="Note 2 3 3 3 19" xfId="22544"/>
    <cellStyle name="Note 2 3 3 3 2" xfId="22545"/>
    <cellStyle name="Note 2 3 3 3 2 10" xfId="22546"/>
    <cellStyle name="Note 2 3 3 3 2 10 2" xfId="22547"/>
    <cellStyle name="Note 2 3 3 3 2 10 3" xfId="22548"/>
    <cellStyle name="Note 2 3 3 3 2 10 4" xfId="22549"/>
    <cellStyle name="Note 2 3 3 3 2 11" xfId="22550"/>
    <cellStyle name="Note 2 3 3 3 2 11 2" xfId="22551"/>
    <cellStyle name="Note 2 3 3 3 2 11 3" xfId="22552"/>
    <cellStyle name="Note 2 3 3 3 2 11 4" xfId="22553"/>
    <cellStyle name="Note 2 3 3 3 2 12" xfId="22554"/>
    <cellStyle name="Note 2 3 3 3 2 13" xfId="22555"/>
    <cellStyle name="Note 2 3 3 3 2 14" xfId="22556"/>
    <cellStyle name="Note 2 3 3 3 2 15" xfId="22557"/>
    <cellStyle name="Note 2 3 3 3 2 2" xfId="22558"/>
    <cellStyle name="Note 2 3 3 3 2 2 10" xfId="22559"/>
    <cellStyle name="Note 2 3 3 3 2 2 11" xfId="22560"/>
    <cellStyle name="Note 2 3 3 3 2 2 12" xfId="22561"/>
    <cellStyle name="Note 2 3 3 3 2 2 2" xfId="22562"/>
    <cellStyle name="Note 2 3 3 3 2 2 2 10" xfId="22563"/>
    <cellStyle name="Note 2 3 3 3 2 2 2 11" xfId="22564"/>
    <cellStyle name="Note 2 3 3 3 2 2 2 2" xfId="22565"/>
    <cellStyle name="Note 2 3 3 3 2 2 2 2 2" xfId="22566"/>
    <cellStyle name="Note 2 3 3 3 2 2 2 2 2 2" xfId="22567"/>
    <cellStyle name="Note 2 3 3 3 2 2 2 2 2 2 2" xfId="22568"/>
    <cellStyle name="Note 2 3 3 3 2 2 2 2 2 2 3" xfId="22569"/>
    <cellStyle name="Note 2 3 3 3 2 2 2 2 2 2 4" xfId="22570"/>
    <cellStyle name="Note 2 3 3 3 2 2 2 2 2 3" xfId="22571"/>
    <cellStyle name="Note 2 3 3 3 2 2 2 2 2 4" xfId="22572"/>
    <cellStyle name="Note 2 3 3 3 2 2 2 2 2 5" xfId="22573"/>
    <cellStyle name="Note 2 3 3 3 2 2 2 2 2 6" xfId="22574"/>
    <cellStyle name="Note 2 3 3 3 2 2 2 2 3" xfId="22575"/>
    <cellStyle name="Note 2 3 3 3 2 2 2 2 3 2" xfId="22576"/>
    <cellStyle name="Note 2 3 3 3 2 2 2 2 3 3" xfId="22577"/>
    <cellStyle name="Note 2 3 3 3 2 2 2 2 3 4" xfId="22578"/>
    <cellStyle name="Note 2 3 3 3 2 2 2 2 4" xfId="22579"/>
    <cellStyle name="Note 2 3 3 3 2 2 2 2 5" xfId="22580"/>
    <cellStyle name="Note 2 3 3 3 2 2 2 2 6" xfId="22581"/>
    <cellStyle name="Note 2 3 3 3 2 2 2 2 7" xfId="22582"/>
    <cellStyle name="Note 2 3 3 3 2 2 2 3" xfId="22583"/>
    <cellStyle name="Note 2 3 3 3 2 2 2 3 2" xfId="22584"/>
    <cellStyle name="Note 2 3 3 3 2 2 2 3 2 2" xfId="22585"/>
    <cellStyle name="Note 2 3 3 3 2 2 2 3 2 3" xfId="22586"/>
    <cellStyle name="Note 2 3 3 3 2 2 2 3 2 4" xfId="22587"/>
    <cellStyle name="Note 2 3 3 3 2 2 2 3 3" xfId="22588"/>
    <cellStyle name="Note 2 3 3 3 2 2 2 3 4" xfId="22589"/>
    <cellStyle name="Note 2 3 3 3 2 2 2 3 5" xfId="22590"/>
    <cellStyle name="Note 2 3 3 3 2 2 2 3 6" xfId="22591"/>
    <cellStyle name="Note 2 3 3 3 2 2 2 4" xfId="22592"/>
    <cellStyle name="Note 2 3 3 3 2 2 2 4 2" xfId="22593"/>
    <cellStyle name="Note 2 3 3 3 2 2 2 4 3" xfId="22594"/>
    <cellStyle name="Note 2 3 3 3 2 2 2 4 4" xfId="22595"/>
    <cellStyle name="Note 2 3 3 3 2 2 2 4 5" xfId="22596"/>
    <cellStyle name="Note 2 3 3 3 2 2 2 5" xfId="22597"/>
    <cellStyle name="Note 2 3 3 3 2 2 2 5 2" xfId="22598"/>
    <cellStyle name="Note 2 3 3 3 2 2 2 5 3" xfId="22599"/>
    <cellStyle name="Note 2 3 3 3 2 2 2 5 4" xfId="22600"/>
    <cellStyle name="Note 2 3 3 3 2 2 2 6" xfId="22601"/>
    <cellStyle name="Note 2 3 3 3 2 2 2 6 2" xfId="22602"/>
    <cellStyle name="Note 2 3 3 3 2 2 2 6 3" xfId="22603"/>
    <cellStyle name="Note 2 3 3 3 2 2 2 6 4" xfId="22604"/>
    <cellStyle name="Note 2 3 3 3 2 2 2 7" xfId="22605"/>
    <cellStyle name="Note 2 3 3 3 2 2 2 7 2" xfId="22606"/>
    <cellStyle name="Note 2 3 3 3 2 2 2 7 3" xfId="22607"/>
    <cellStyle name="Note 2 3 3 3 2 2 2 7 4" xfId="22608"/>
    <cellStyle name="Note 2 3 3 3 2 2 2 8" xfId="22609"/>
    <cellStyle name="Note 2 3 3 3 2 2 2 9" xfId="22610"/>
    <cellStyle name="Note 2 3 3 3 2 2 3" xfId="22611"/>
    <cellStyle name="Note 2 3 3 3 2 2 3 2" xfId="22612"/>
    <cellStyle name="Note 2 3 3 3 2 2 3 2 2" xfId="22613"/>
    <cellStyle name="Note 2 3 3 3 2 2 3 2 2 2" xfId="22614"/>
    <cellStyle name="Note 2 3 3 3 2 2 3 2 2 3" xfId="22615"/>
    <cellStyle name="Note 2 3 3 3 2 2 3 2 2 4" xfId="22616"/>
    <cellStyle name="Note 2 3 3 3 2 2 3 2 3" xfId="22617"/>
    <cellStyle name="Note 2 3 3 3 2 2 3 2 4" xfId="22618"/>
    <cellStyle name="Note 2 3 3 3 2 2 3 2 5" xfId="22619"/>
    <cellStyle name="Note 2 3 3 3 2 2 3 2 6" xfId="22620"/>
    <cellStyle name="Note 2 3 3 3 2 2 3 3" xfId="22621"/>
    <cellStyle name="Note 2 3 3 3 2 2 3 3 2" xfId="22622"/>
    <cellStyle name="Note 2 3 3 3 2 2 3 3 3" xfId="22623"/>
    <cellStyle name="Note 2 3 3 3 2 2 3 3 4" xfId="22624"/>
    <cellStyle name="Note 2 3 3 3 2 2 3 4" xfId="22625"/>
    <cellStyle name="Note 2 3 3 3 2 2 3 5" xfId="22626"/>
    <cellStyle name="Note 2 3 3 3 2 2 3 6" xfId="22627"/>
    <cellStyle name="Note 2 3 3 3 2 2 3 7" xfId="22628"/>
    <cellStyle name="Note 2 3 3 3 2 2 4" xfId="22629"/>
    <cellStyle name="Note 2 3 3 3 2 2 4 2" xfId="22630"/>
    <cellStyle name="Note 2 3 3 3 2 2 4 2 2" xfId="22631"/>
    <cellStyle name="Note 2 3 3 3 2 2 4 2 3" xfId="22632"/>
    <cellStyle name="Note 2 3 3 3 2 2 4 2 4" xfId="22633"/>
    <cellStyle name="Note 2 3 3 3 2 2 4 3" xfId="22634"/>
    <cellStyle name="Note 2 3 3 3 2 2 4 4" xfId="22635"/>
    <cellStyle name="Note 2 3 3 3 2 2 4 5" xfId="22636"/>
    <cellStyle name="Note 2 3 3 3 2 2 4 6" xfId="22637"/>
    <cellStyle name="Note 2 3 3 3 2 2 5" xfId="22638"/>
    <cellStyle name="Note 2 3 3 3 2 2 5 2" xfId="22639"/>
    <cellStyle name="Note 2 3 3 3 2 2 5 3" xfId="22640"/>
    <cellStyle name="Note 2 3 3 3 2 2 5 4" xfId="22641"/>
    <cellStyle name="Note 2 3 3 3 2 2 5 5" xfId="22642"/>
    <cellStyle name="Note 2 3 3 3 2 2 6" xfId="22643"/>
    <cellStyle name="Note 2 3 3 3 2 2 6 2" xfId="22644"/>
    <cellStyle name="Note 2 3 3 3 2 2 6 3" xfId="22645"/>
    <cellStyle name="Note 2 3 3 3 2 2 6 4" xfId="22646"/>
    <cellStyle name="Note 2 3 3 3 2 2 7" xfId="22647"/>
    <cellStyle name="Note 2 3 3 3 2 2 7 2" xfId="22648"/>
    <cellStyle name="Note 2 3 3 3 2 2 7 3" xfId="22649"/>
    <cellStyle name="Note 2 3 3 3 2 2 7 4" xfId="22650"/>
    <cellStyle name="Note 2 3 3 3 2 2 8" xfId="22651"/>
    <cellStyle name="Note 2 3 3 3 2 2 8 2" xfId="22652"/>
    <cellStyle name="Note 2 3 3 3 2 2 8 3" xfId="22653"/>
    <cellStyle name="Note 2 3 3 3 2 2 8 4" xfId="22654"/>
    <cellStyle name="Note 2 3 3 3 2 2 9" xfId="22655"/>
    <cellStyle name="Note 2 3 3 3 2 3" xfId="22656"/>
    <cellStyle name="Note 2 3 3 3 2 3 10" xfId="22657"/>
    <cellStyle name="Note 2 3 3 3 2 3 11" xfId="22658"/>
    <cellStyle name="Note 2 3 3 3 2 3 2" xfId="22659"/>
    <cellStyle name="Note 2 3 3 3 2 3 2 2" xfId="22660"/>
    <cellStyle name="Note 2 3 3 3 2 3 2 2 2" xfId="22661"/>
    <cellStyle name="Note 2 3 3 3 2 3 2 2 2 2" xfId="22662"/>
    <cellStyle name="Note 2 3 3 3 2 3 2 2 2 3" xfId="22663"/>
    <cellStyle name="Note 2 3 3 3 2 3 2 2 2 4" xfId="22664"/>
    <cellStyle name="Note 2 3 3 3 2 3 2 2 3" xfId="22665"/>
    <cellStyle name="Note 2 3 3 3 2 3 2 2 4" xfId="22666"/>
    <cellStyle name="Note 2 3 3 3 2 3 2 2 5" xfId="22667"/>
    <cellStyle name="Note 2 3 3 3 2 3 2 2 6" xfId="22668"/>
    <cellStyle name="Note 2 3 3 3 2 3 2 3" xfId="22669"/>
    <cellStyle name="Note 2 3 3 3 2 3 2 3 2" xfId="22670"/>
    <cellStyle name="Note 2 3 3 3 2 3 2 3 3" xfId="22671"/>
    <cellStyle name="Note 2 3 3 3 2 3 2 3 4" xfId="22672"/>
    <cellStyle name="Note 2 3 3 3 2 3 2 4" xfId="22673"/>
    <cellStyle name="Note 2 3 3 3 2 3 2 5" xfId="22674"/>
    <cellStyle name="Note 2 3 3 3 2 3 2 6" xfId="22675"/>
    <cellStyle name="Note 2 3 3 3 2 3 2 7" xfId="22676"/>
    <cellStyle name="Note 2 3 3 3 2 3 3" xfId="22677"/>
    <cellStyle name="Note 2 3 3 3 2 3 3 2" xfId="22678"/>
    <cellStyle name="Note 2 3 3 3 2 3 3 2 2" xfId="22679"/>
    <cellStyle name="Note 2 3 3 3 2 3 3 2 3" xfId="22680"/>
    <cellStyle name="Note 2 3 3 3 2 3 3 2 4" xfId="22681"/>
    <cellStyle name="Note 2 3 3 3 2 3 3 3" xfId="22682"/>
    <cellStyle name="Note 2 3 3 3 2 3 3 4" xfId="22683"/>
    <cellStyle name="Note 2 3 3 3 2 3 3 5" xfId="22684"/>
    <cellStyle name="Note 2 3 3 3 2 3 3 6" xfId="22685"/>
    <cellStyle name="Note 2 3 3 3 2 3 4" xfId="22686"/>
    <cellStyle name="Note 2 3 3 3 2 3 4 2" xfId="22687"/>
    <cellStyle name="Note 2 3 3 3 2 3 4 3" xfId="22688"/>
    <cellStyle name="Note 2 3 3 3 2 3 4 4" xfId="22689"/>
    <cellStyle name="Note 2 3 3 3 2 3 4 5" xfId="22690"/>
    <cellStyle name="Note 2 3 3 3 2 3 5" xfId="22691"/>
    <cellStyle name="Note 2 3 3 3 2 3 5 2" xfId="22692"/>
    <cellStyle name="Note 2 3 3 3 2 3 5 3" xfId="22693"/>
    <cellStyle name="Note 2 3 3 3 2 3 5 4" xfId="22694"/>
    <cellStyle name="Note 2 3 3 3 2 3 6" xfId="22695"/>
    <cellStyle name="Note 2 3 3 3 2 3 6 2" xfId="22696"/>
    <cellStyle name="Note 2 3 3 3 2 3 6 3" xfId="22697"/>
    <cellStyle name="Note 2 3 3 3 2 3 6 4" xfId="22698"/>
    <cellStyle name="Note 2 3 3 3 2 3 7" xfId="22699"/>
    <cellStyle name="Note 2 3 3 3 2 3 7 2" xfId="22700"/>
    <cellStyle name="Note 2 3 3 3 2 3 7 3" xfId="22701"/>
    <cellStyle name="Note 2 3 3 3 2 3 7 4" xfId="22702"/>
    <cellStyle name="Note 2 3 3 3 2 3 8" xfId="22703"/>
    <cellStyle name="Note 2 3 3 3 2 3 9" xfId="22704"/>
    <cellStyle name="Note 2 3 3 3 2 4" xfId="22705"/>
    <cellStyle name="Note 2 3 3 3 2 4 2" xfId="22706"/>
    <cellStyle name="Note 2 3 3 3 2 4 2 2" xfId="22707"/>
    <cellStyle name="Note 2 3 3 3 2 4 2 2 2" xfId="22708"/>
    <cellStyle name="Note 2 3 3 3 2 4 2 2 3" xfId="22709"/>
    <cellStyle name="Note 2 3 3 3 2 4 2 2 4" xfId="22710"/>
    <cellStyle name="Note 2 3 3 3 2 4 2 3" xfId="22711"/>
    <cellStyle name="Note 2 3 3 3 2 4 2 4" xfId="22712"/>
    <cellStyle name="Note 2 3 3 3 2 4 2 5" xfId="22713"/>
    <cellStyle name="Note 2 3 3 3 2 4 2 6" xfId="22714"/>
    <cellStyle name="Note 2 3 3 3 2 4 3" xfId="22715"/>
    <cellStyle name="Note 2 3 3 3 2 4 3 2" xfId="22716"/>
    <cellStyle name="Note 2 3 3 3 2 4 3 3" xfId="22717"/>
    <cellStyle name="Note 2 3 3 3 2 4 3 4" xfId="22718"/>
    <cellStyle name="Note 2 3 3 3 2 4 4" xfId="22719"/>
    <cellStyle name="Note 2 3 3 3 2 4 5" xfId="22720"/>
    <cellStyle name="Note 2 3 3 3 2 4 6" xfId="22721"/>
    <cellStyle name="Note 2 3 3 3 2 4 7" xfId="22722"/>
    <cellStyle name="Note 2 3 3 3 2 5" xfId="22723"/>
    <cellStyle name="Note 2 3 3 3 2 5 2" xfId="22724"/>
    <cellStyle name="Note 2 3 3 3 2 5 2 2" xfId="22725"/>
    <cellStyle name="Note 2 3 3 3 2 5 2 3" xfId="22726"/>
    <cellStyle name="Note 2 3 3 3 2 5 2 4" xfId="22727"/>
    <cellStyle name="Note 2 3 3 3 2 5 3" xfId="22728"/>
    <cellStyle name="Note 2 3 3 3 2 5 3 2" xfId="22729"/>
    <cellStyle name="Note 2 3 3 3 2 5 3 3" xfId="22730"/>
    <cellStyle name="Note 2 3 3 3 2 5 3 4" xfId="22731"/>
    <cellStyle name="Note 2 3 3 3 2 5 4" xfId="22732"/>
    <cellStyle name="Note 2 3 3 3 2 5 5" xfId="22733"/>
    <cellStyle name="Note 2 3 3 3 2 5 6" xfId="22734"/>
    <cellStyle name="Note 2 3 3 3 2 5 7" xfId="22735"/>
    <cellStyle name="Note 2 3 3 3 2 6" xfId="22736"/>
    <cellStyle name="Note 2 3 3 3 2 6 2" xfId="22737"/>
    <cellStyle name="Note 2 3 3 3 2 6 2 2" xfId="22738"/>
    <cellStyle name="Note 2 3 3 3 2 6 2 3" xfId="22739"/>
    <cellStyle name="Note 2 3 3 3 2 6 2 4" xfId="22740"/>
    <cellStyle name="Note 2 3 3 3 2 6 3" xfId="22741"/>
    <cellStyle name="Note 2 3 3 3 2 6 3 2" xfId="22742"/>
    <cellStyle name="Note 2 3 3 3 2 6 3 3" xfId="22743"/>
    <cellStyle name="Note 2 3 3 3 2 6 3 4" xfId="22744"/>
    <cellStyle name="Note 2 3 3 3 2 6 4" xfId="22745"/>
    <cellStyle name="Note 2 3 3 3 2 6 5" xfId="22746"/>
    <cellStyle name="Note 2 3 3 3 2 6 6" xfId="22747"/>
    <cellStyle name="Note 2 3 3 3 2 6 7" xfId="22748"/>
    <cellStyle name="Note 2 3 3 3 2 7" xfId="22749"/>
    <cellStyle name="Note 2 3 3 3 2 7 2" xfId="22750"/>
    <cellStyle name="Note 2 3 3 3 2 7 2 2" xfId="22751"/>
    <cellStyle name="Note 2 3 3 3 2 7 2 3" xfId="22752"/>
    <cellStyle name="Note 2 3 3 3 2 7 2 4" xfId="22753"/>
    <cellStyle name="Note 2 3 3 3 2 7 3" xfId="22754"/>
    <cellStyle name="Note 2 3 3 3 2 7 3 2" xfId="22755"/>
    <cellStyle name="Note 2 3 3 3 2 7 3 3" xfId="22756"/>
    <cellStyle name="Note 2 3 3 3 2 7 3 4" xfId="22757"/>
    <cellStyle name="Note 2 3 3 3 2 7 4" xfId="22758"/>
    <cellStyle name="Note 2 3 3 3 2 7 5" xfId="22759"/>
    <cellStyle name="Note 2 3 3 3 2 7 6" xfId="22760"/>
    <cellStyle name="Note 2 3 3 3 2 7 7" xfId="22761"/>
    <cellStyle name="Note 2 3 3 3 2 8" xfId="22762"/>
    <cellStyle name="Note 2 3 3 3 2 8 2" xfId="22763"/>
    <cellStyle name="Note 2 3 3 3 2 8 2 2" xfId="22764"/>
    <cellStyle name="Note 2 3 3 3 2 8 2 3" xfId="22765"/>
    <cellStyle name="Note 2 3 3 3 2 8 2 4" xfId="22766"/>
    <cellStyle name="Note 2 3 3 3 2 8 3" xfId="22767"/>
    <cellStyle name="Note 2 3 3 3 2 8 4" xfId="22768"/>
    <cellStyle name="Note 2 3 3 3 2 8 5" xfId="22769"/>
    <cellStyle name="Note 2 3 3 3 2 8 6" xfId="22770"/>
    <cellStyle name="Note 2 3 3 3 2 9" xfId="22771"/>
    <cellStyle name="Note 2 3 3 3 2 9 2" xfId="22772"/>
    <cellStyle name="Note 2 3 3 3 2 9 3" xfId="22773"/>
    <cellStyle name="Note 2 3 3 3 2 9 4" xfId="22774"/>
    <cellStyle name="Note 2 3 3 3 2 9 5" xfId="22775"/>
    <cellStyle name="Note 2 3 3 3 20" xfId="22776"/>
    <cellStyle name="Note 2 3 3 3 21" xfId="22777"/>
    <cellStyle name="Note 2 3 3 3 22" xfId="22778"/>
    <cellStyle name="Note 2 3 3 3 3" xfId="22779"/>
    <cellStyle name="Note 2 3 3 3 3 10" xfId="22780"/>
    <cellStyle name="Note 2 3 3 3 3 10 2" xfId="22781"/>
    <cellStyle name="Note 2 3 3 3 3 10 3" xfId="22782"/>
    <cellStyle name="Note 2 3 3 3 3 10 4" xfId="22783"/>
    <cellStyle name="Note 2 3 3 3 3 11" xfId="22784"/>
    <cellStyle name="Note 2 3 3 3 3 11 2" xfId="22785"/>
    <cellStyle name="Note 2 3 3 3 3 11 3" xfId="22786"/>
    <cellStyle name="Note 2 3 3 3 3 11 4" xfId="22787"/>
    <cellStyle name="Note 2 3 3 3 3 12" xfId="22788"/>
    <cellStyle name="Note 2 3 3 3 3 12 2" xfId="22789"/>
    <cellStyle name="Note 2 3 3 3 3 12 3" xfId="22790"/>
    <cellStyle name="Note 2 3 3 3 3 12 4" xfId="22791"/>
    <cellStyle name="Note 2 3 3 3 3 13" xfId="22792"/>
    <cellStyle name="Note 2 3 3 3 3 14" xfId="22793"/>
    <cellStyle name="Note 2 3 3 3 3 15" xfId="22794"/>
    <cellStyle name="Note 2 3 3 3 3 16" xfId="22795"/>
    <cellStyle name="Note 2 3 3 3 3 2" xfId="22796"/>
    <cellStyle name="Note 2 3 3 3 3 2 10" xfId="22797"/>
    <cellStyle name="Note 2 3 3 3 3 2 11" xfId="22798"/>
    <cellStyle name="Note 2 3 3 3 3 2 12" xfId="22799"/>
    <cellStyle name="Note 2 3 3 3 3 2 2" xfId="22800"/>
    <cellStyle name="Note 2 3 3 3 3 2 2 10" xfId="22801"/>
    <cellStyle name="Note 2 3 3 3 3 2 2 11" xfId="22802"/>
    <cellStyle name="Note 2 3 3 3 3 2 2 2" xfId="22803"/>
    <cellStyle name="Note 2 3 3 3 3 2 2 2 2" xfId="22804"/>
    <cellStyle name="Note 2 3 3 3 3 2 2 2 2 2" xfId="22805"/>
    <cellStyle name="Note 2 3 3 3 3 2 2 2 2 2 2" xfId="22806"/>
    <cellStyle name="Note 2 3 3 3 3 2 2 2 2 2 3" xfId="22807"/>
    <cellStyle name="Note 2 3 3 3 3 2 2 2 2 2 4" xfId="22808"/>
    <cellStyle name="Note 2 3 3 3 3 2 2 2 2 3" xfId="22809"/>
    <cellStyle name="Note 2 3 3 3 3 2 2 2 2 4" xfId="22810"/>
    <cellStyle name="Note 2 3 3 3 3 2 2 2 2 5" xfId="22811"/>
    <cellStyle name="Note 2 3 3 3 3 2 2 2 2 6" xfId="22812"/>
    <cellStyle name="Note 2 3 3 3 3 2 2 2 3" xfId="22813"/>
    <cellStyle name="Note 2 3 3 3 3 2 2 2 3 2" xfId="22814"/>
    <cellStyle name="Note 2 3 3 3 3 2 2 2 3 3" xfId="22815"/>
    <cellStyle name="Note 2 3 3 3 3 2 2 2 3 4" xfId="22816"/>
    <cellStyle name="Note 2 3 3 3 3 2 2 2 4" xfId="22817"/>
    <cellStyle name="Note 2 3 3 3 3 2 2 2 5" xfId="22818"/>
    <cellStyle name="Note 2 3 3 3 3 2 2 2 6" xfId="22819"/>
    <cellStyle name="Note 2 3 3 3 3 2 2 2 7" xfId="22820"/>
    <cellStyle name="Note 2 3 3 3 3 2 2 3" xfId="22821"/>
    <cellStyle name="Note 2 3 3 3 3 2 2 3 2" xfId="22822"/>
    <cellStyle name="Note 2 3 3 3 3 2 2 3 2 2" xfId="22823"/>
    <cellStyle name="Note 2 3 3 3 3 2 2 3 2 3" xfId="22824"/>
    <cellStyle name="Note 2 3 3 3 3 2 2 3 2 4" xfId="22825"/>
    <cellStyle name="Note 2 3 3 3 3 2 2 3 3" xfId="22826"/>
    <cellStyle name="Note 2 3 3 3 3 2 2 3 4" xfId="22827"/>
    <cellStyle name="Note 2 3 3 3 3 2 2 3 5" xfId="22828"/>
    <cellStyle name="Note 2 3 3 3 3 2 2 3 6" xfId="22829"/>
    <cellStyle name="Note 2 3 3 3 3 2 2 4" xfId="22830"/>
    <cellStyle name="Note 2 3 3 3 3 2 2 4 2" xfId="22831"/>
    <cellStyle name="Note 2 3 3 3 3 2 2 4 3" xfId="22832"/>
    <cellStyle name="Note 2 3 3 3 3 2 2 4 4" xfId="22833"/>
    <cellStyle name="Note 2 3 3 3 3 2 2 4 5" xfId="22834"/>
    <cellStyle name="Note 2 3 3 3 3 2 2 5" xfId="22835"/>
    <cellStyle name="Note 2 3 3 3 3 2 2 5 2" xfId="22836"/>
    <cellStyle name="Note 2 3 3 3 3 2 2 5 3" xfId="22837"/>
    <cellStyle name="Note 2 3 3 3 3 2 2 5 4" xfId="22838"/>
    <cellStyle name="Note 2 3 3 3 3 2 2 6" xfId="22839"/>
    <cellStyle name="Note 2 3 3 3 3 2 2 6 2" xfId="22840"/>
    <cellStyle name="Note 2 3 3 3 3 2 2 6 3" xfId="22841"/>
    <cellStyle name="Note 2 3 3 3 3 2 2 6 4" xfId="22842"/>
    <cellStyle name="Note 2 3 3 3 3 2 2 7" xfId="22843"/>
    <cellStyle name="Note 2 3 3 3 3 2 2 7 2" xfId="22844"/>
    <cellStyle name="Note 2 3 3 3 3 2 2 7 3" xfId="22845"/>
    <cellStyle name="Note 2 3 3 3 3 2 2 7 4" xfId="22846"/>
    <cellStyle name="Note 2 3 3 3 3 2 2 8" xfId="22847"/>
    <cellStyle name="Note 2 3 3 3 3 2 2 9" xfId="22848"/>
    <cellStyle name="Note 2 3 3 3 3 2 3" xfId="22849"/>
    <cellStyle name="Note 2 3 3 3 3 2 3 2" xfId="22850"/>
    <cellStyle name="Note 2 3 3 3 3 2 3 2 2" xfId="22851"/>
    <cellStyle name="Note 2 3 3 3 3 2 3 2 2 2" xfId="22852"/>
    <cellStyle name="Note 2 3 3 3 3 2 3 2 2 3" xfId="22853"/>
    <cellStyle name="Note 2 3 3 3 3 2 3 2 2 4" xfId="22854"/>
    <cellStyle name="Note 2 3 3 3 3 2 3 2 3" xfId="22855"/>
    <cellStyle name="Note 2 3 3 3 3 2 3 2 4" xfId="22856"/>
    <cellStyle name="Note 2 3 3 3 3 2 3 2 5" xfId="22857"/>
    <cellStyle name="Note 2 3 3 3 3 2 3 2 6" xfId="22858"/>
    <cellStyle name="Note 2 3 3 3 3 2 3 3" xfId="22859"/>
    <cellStyle name="Note 2 3 3 3 3 2 3 3 2" xfId="22860"/>
    <cellStyle name="Note 2 3 3 3 3 2 3 3 3" xfId="22861"/>
    <cellStyle name="Note 2 3 3 3 3 2 3 3 4" xfId="22862"/>
    <cellStyle name="Note 2 3 3 3 3 2 3 4" xfId="22863"/>
    <cellStyle name="Note 2 3 3 3 3 2 3 5" xfId="22864"/>
    <cellStyle name="Note 2 3 3 3 3 2 3 6" xfId="22865"/>
    <cellStyle name="Note 2 3 3 3 3 2 3 7" xfId="22866"/>
    <cellStyle name="Note 2 3 3 3 3 2 4" xfId="22867"/>
    <cellStyle name="Note 2 3 3 3 3 2 4 2" xfId="22868"/>
    <cellStyle name="Note 2 3 3 3 3 2 4 2 2" xfId="22869"/>
    <cellStyle name="Note 2 3 3 3 3 2 4 2 3" xfId="22870"/>
    <cellStyle name="Note 2 3 3 3 3 2 4 2 4" xfId="22871"/>
    <cellStyle name="Note 2 3 3 3 3 2 4 3" xfId="22872"/>
    <cellStyle name="Note 2 3 3 3 3 2 4 4" xfId="22873"/>
    <cellStyle name="Note 2 3 3 3 3 2 4 5" xfId="22874"/>
    <cellStyle name="Note 2 3 3 3 3 2 4 6" xfId="22875"/>
    <cellStyle name="Note 2 3 3 3 3 2 5" xfId="22876"/>
    <cellStyle name="Note 2 3 3 3 3 2 5 2" xfId="22877"/>
    <cellStyle name="Note 2 3 3 3 3 2 5 3" xfId="22878"/>
    <cellStyle name="Note 2 3 3 3 3 2 5 4" xfId="22879"/>
    <cellStyle name="Note 2 3 3 3 3 2 5 5" xfId="22880"/>
    <cellStyle name="Note 2 3 3 3 3 2 6" xfId="22881"/>
    <cellStyle name="Note 2 3 3 3 3 2 6 2" xfId="22882"/>
    <cellStyle name="Note 2 3 3 3 3 2 6 3" xfId="22883"/>
    <cellStyle name="Note 2 3 3 3 3 2 6 4" xfId="22884"/>
    <cellStyle name="Note 2 3 3 3 3 2 7" xfId="22885"/>
    <cellStyle name="Note 2 3 3 3 3 2 7 2" xfId="22886"/>
    <cellStyle name="Note 2 3 3 3 3 2 7 3" xfId="22887"/>
    <cellStyle name="Note 2 3 3 3 3 2 7 4" xfId="22888"/>
    <cellStyle name="Note 2 3 3 3 3 2 8" xfId="22889"/>
    <cellStyle name="Note 2 3 3 3 3 2 8 2" xfId="22890"/>
    <cellStyle name="Note 2 3 3 3 3 2 8 3" xfId="22891"/>
    <cellStyle name="Note 2 3 3 3 3 2 8 4" xfId="22892"/>
    <cellStyle name="Note 2 3 3 3 3 2 9" xfId="22893"/>
    <cellStyle name="Note 2 3 3 3 3 3" xfId="22894"/>
    <cellStyle name="Note 2 3 3 3 3 3 10" xfId="22895"/>
    <cellStyle name="Note 2 3 3 3 3 3 11" xfId="22896"/>
    <cellStyle name="Note 2 3 3 3 3 3 2" xfId="22897"/>
    <cellStyle name="Note 2 3 3 3 3 3 2 2" xfId="22898"/>
    <cellStyle name="Note 2 3 3 3 3 3 2 2 2" xfId="22899"/>
    <cellStyle name="Note 2 3 3 3 3 3 2 2 2 2" xfId="22900"/>
    <cellStyle name="Note 2 3 3 3 3 3 2 2 2 3" xfId="22901"/>
    <cellStyle name="Note 2 3 3 3 3 3 2 2 2 4" xfId="22902"/>
    <cellStyle name="Note 2 3 3 3 3 3 2 2 3" xfId="22903"/>
    <cellStyle name="Note 2 3 3 3 3 3 2 2 4" xfId="22904"/>
    <cellStyle name="Note 2 3 3 3 3 3 2 2 5" xfId="22905"/>
    <cellStyle name="Note 2 3 3 3 3 3 2 2 6" xfId="22906"/>
    <cellStyle name="Note 2 3 3 3 3 3 2 3" xfId="22907"/>
    <cellStyle name="Note 2 3 3 3 3 3 2 3 2" xfId="22908"/>
    <cellStyle name="Note 2 3 3 3 3 3 2 3 3" xfId="22909"/>
    <cellStyle name="Note 2 3 3 3 3 3 2 3 4" xfId="22910"/>
    <cellStyle name="Note 2 3 3 3 3 3 2 4" xfId="22911"/>
    <cellStyle name="Note 2 3 3 3 3 3 2 5" xfId="22912"/>
    <cellStyle name="Note 2 3 3 3 3 3 2 6" xfId="22913"/>
    <cellStyle name="Note 2 3 3 3 3 3 2 7" xfId="22914"/>
    <cellStyle name="Note 2 3 3 3 3 3 3" xfId="22915"/>
    <cellStyle name="Note 2 3 3 3 3 3 3 2" xfId="22916"/>
    <cellStyle name="Note 2 3 3 3 3 3 3 2 2" xfId="22917"/>
    <cellStyle name="Note 2 3 3 3 3 3 3 2 3" xfId="22918"/>
    <cellStyle name="Note 2 3 3 3 3 3 3 2 4" xfId="22919"/>
    <cellStyle name="Note 2 3 3 3 3 3 3 3" xfId="22920"/>
    <cellStyle name="Note 2 3 3 3 3 3 3 4" xfId="22921"/>
    <cellStyle name="Note 2 3 3 3 3 3 3 5" xfId="22922"/>
    <cellStyle name="Note 2 3 3 3 3 3 3 6" xfId="22923"/>
    <cellStyle name="Note 2 3 3 3 3 3 4" xfId="22924"/>
    <cellStyle name="Note 2 3 3 3 3 3 4 2" xfId="22925"/>
    <cellStyle name="Note 2 3 3 3 3 3 4 3" xfId="22926"/>
    <cellStyle name="Note 2 3 3 3 3 3 4 4" xfId="22927"/>
    <cellStyle name="Note 2 3 3 3 3 3 4 5" xfId="22928"/>
    <cellStyle name="Note 2 3 3 3 3 3 5" xfId="22929"/>
    <cellStyle name="Note 2 3 3 3 3 3 5 2" xfId="22930"/>
    <cellStyle name="Note 2 3 3 3 3 3 5 3" xfId="22931"/>
    <cellStyle name="Note 2 3 3 3 3 3 5 4" xfId="22932"/>
    <cellStyle name="Note 2 3 3 3 3 3 6" xfId="22933"/>
    <cellStyle name="Note 2 3 3 3 3 3 6 2" xfId="22934"/>
    <cellStyle name="Note 2 3 3 3 3 3 6 3" xfId="22935"/>
    <cellStyle name="Note 2 3 3 3 3 3 6 4" xfId="22936"/>
    <cellStyle name="Note 2 3 3 3 3 3 7" xfId="22937"/>
    <cellStyle name="Note 2 3 3 3 3 3 7 2" xfId="22938"/>
    <cellStyle name="Note 2 3 3 3 3 3 7 3" xfId="22939"/>
    <cellStyle name="Note 2 3 3 3 3 3 7 4" xfId="22940"/>
    <cellStyle name="Note 2 3 3 3 3 3 8" xfId="22941"/>
    <cellStyle name="Note 2 3 3 3 3 3 9" xfId="22942"/>
    <cellStyle name="Note 2 3 3 3 3 4" xfId="22943"/>
    <cellStyle name="Note 2 3 3 3 3 4 2" xfId="22944"/>
    <cellStyle name="Note 2 3 3 3 3 4 2 2" xfId="22945"/>
    <cellStyle name="Note 2 3 3 3 3 4 2 2 2" xfId="22946"/>
    <cellStyle name="Note 2 3 3 3 3 4 2 2 3" xfId="22947"/>
    <cellStyle name="Note 2 3 3 3 3 4 2 2 4" xfId="22948"/>
    <cellStyle name="Note 2 3 3 3 3 4 2 3" xfId="22949"/>
    <cellStyle name="Note 2 3 3 3 3 4 2 4" xfId="22950"/>
    <cellStyle name="Note 2 3 3 3 3 4 2 5" xfId="22951"/>
    <cellStyle name="Note 2 3 3 3 3 4 2 6" xfId="22952"/>
    <cellStyle name="Note 2 3 3 3 3 4 3" xfId="22953"/>
    <cellStyle name="Note 2 3 3 3 3 4 3 2" xfId="22954"/>
    <cellStyle name="Note 2 3 3 3 3 4 3 3" xfId="22955"/>
    <cellStyle name="Note 2 3 3 3 3 4 3 4" xfId="22956"/>
    <cellStyle name="Note 2 3 3 3 3 4 4" xfId="22957"/>
    <cellStyle name="Note 2 3 3 3 3 4 5" xfId="22958"/>
    <cellStyle name="Note 2 3 3 3 3 4 6" xfId="22959"/>
    <cellStyle name="Note 2 3 3 3 3 4 7" xfId="22960"/>
    <cellStyle name="Note 2 3 3 3 3 5" xfId="22961"/>
    <cellStyle name="Note 2 3 3 3 3 5 2" xfId="22962"/>
    <cellStyle name="Note 2 3 3 3 3 5 2 2" xfId="22963"/>
    <cellStyle name="Note 2 3 3 3 3 5 2 3" xfId="22964"/>
    <cellStyle name="Note 2 3 3 3 3 5 2 4" xfId="22965"/>
    <cellStyle name="Note 2 3 3 3 3 5 3" xfId="22966"/>
    <cellStyle name="Note 2 3 3 3 3 5 3 2" xfId="22967"/>
    <cellStyle name="Note 2 3 3 3 3 5 3 3" xfId="22968"/>
    <cellStyle name="Note 2 3 3 3 3 5 3 4" xfId="22969"/>
    <cellStyle name="Note 2 3 3 3 3 5 4" xfId="22970"/>
    <cellStyle name="Note 2 3 3 3 3 5 5" xfId="22971"/>
    <cellStyle name="Note 2 3 3 3 3 5 6" xfId="22972"/>
    <cellStyle name="Note 2 3 3 3 3 5 7" xfId="22973"/>
    <cellStyle name="Note 2 3 3 3 3 6" xfId="22974"/>
    <cellStyle name="Note 2 3 3 3 3 6 2" xfId="22975"/>
    <cellStyle name="Note 2 3 3 3 3 6 2 2" xfId="22976"/>
    <cellStyle name="Note 2 3 3 3 3 6 2 3" xfId="22977"/>
    <cellStyle name="Note 2 3 3 3 3 6 2 4" xfId="22978"/>
    <cellStyle name="Note 2 3 3 3 3 6 3" xfId="22979"/>
    <cellStyle name="Note 2 3 3 3 3 6 3 2" xfId="22980"/>
    <cellStyle name="Note 2 3 3 3 3 6 3 3" xfId="22981"/>
    <cellStyle name="Note 2 3 3 3 3 6 3 4" xfId="22982"/>
    <cellStyle name="Note 2 3 3 3 3 6 4" xfId="22983"/>
    <cellStyle name="Note 2 3 3 3 3 6 5" xfId="22984"/>
    <cellStyle name="Note 2 3 3 3 3 6 6" xfId="22985"/>
    <cellStyle name="Note 2 3 3 3 3 6 7" xfId="22986"/>
    <cellStyle name="Note 2 3 3 3 3 7" xfId="22987"/>
    <cellStyle name="Note 2 3 3 3 3 7 2" xfId="22988"/>
    <cellStyle name="Note 2 3 3 3 3 7 2 2" xfId="22989"/>
    <cellStyle name="Note 2 3 3 3 3 7 2 3" xfId="22990"/>
    <cellStyle name="Note 2 3 3 3 3 7 2 4" xfId="22991"/>
    <cellStyle name="Note 2 3 3 3 3 7 3" xfId="22992"/>
    <cellStyle name="Note 2 3 3 3 3 7 3 2" xfId="22993"/>
    <cellStyle name="Note 2 3 3 3 3 7 3 3" xfId="22994"/>
    <cellStyle name="Note 2 3 3 3 3 7 3 4" xfId="22995"/>
    <cellStyle name="Note 2 3 3 3 3 7 4" xfId="22996"/>
    <cellStyle name="Note 2 3 3 3 3 7 5" xfId="22997"/>
    <cellStyle name="Note 2 3 3 3 3 7 6" xfId="22998"/>
    <cellStyle name="Note 2 3 3 3 3 7 7" xfId="22999"/>
    <cellStyle name="Note 2 3 3 3 3 8" xfId="23000"/>
    <cellStyle name="Note 2 3 3 3 3 8 2" xfId="23001"/>
    <cellStyle name="Note 2 3 3 3 3 8 2 2" xfId="23002"/>
    <cellStyle name="Note 2 3 3 3 3 8 2 3" xfId="23003"/>
    <cellStyle name="Note 2 3 3 3 3 8 2 4" xfId="23004"/>
    <cellStyle name="Note 2 3 3 3 3 8 3" xfId="23005"/>
    <cellStyle name="Note 2 3 3 3 3 8 4" xfId="23006"/>
    <cellStyle name="Note 2 3 3 3 3 8 5" xfId="23007"/>
    <cellStyle name="Note 2 3 3 3 3 8 6" xfId="23008"/>
    <cellStyle name="Note 2 3 3 3 3 9" xfId="23009"/>
    <cellStyle name="Note 2 3 3 3 3 9 2" xfId="23010"/>
    <cellStyle name="Note 2 3 3 3 3 9 3" xfId="23011"/>
    <cellStyle name="Note 2 3 3 3 3 9 4" xfId="23012"/>
    <cellStyle name="Note 2 3 3 3 3 9 5" xfId="23013"/>
    <cellStyle name="Note 2 3 3 3 4" xfId="23014"/>
    <cellStyle name="Note 2 3 3 3 4 10" xfId="23015"/>
    <cellStyle name="Note 2 3 3 3 4 11" xfId="23016"/>
    <cellStyle name="Note 2 3 3 3 4 12" xfId="23017"/>
    <cellStyle name="Note 2 3 3 3 4 13" xfId="23018"/>
    <cellStyle name="Note 2 3 3 3 4 2" xfId="23019"/>
    <cellStyle name="Note 2 3 3 3 4 2 10" xfId="23020"/>
    <cellStyle name="Note 2 3 3 3 4 2 11" xfId="23021"/>
    <cellStyle name="Note 2 3 3 3 4 2 12" xfId="23022"/>
    <cellStyle name="Note 2 3 3 3 4 2 2" xfId="23023"/>
    <cellStyle name="Note 2 3 3 3 4 2 2 10" xfId="23024"/>
    <cellStyle name="Note 2 3 3 3 4 2 2 11" xfId="23025"/>
    <cellStyle name="Note 2 3 3 3 4 2 2 2" xfId="23026"/>
    <cellStyle name="Note 2 3 3 3 4 2 2 2 2" xfId="23027"/>
    <cellStyle name="Note 2 3 3 3 4 2 2 2 2 2" xfId="23028"/>
    <cellStyle name="Note 2 3 3 3 4 2 2 2 2 2 2" xfId="23029"/>
    <cellStyle name="Note 2 3 3 3 4 2 2 2 2 2 3" xfId="23030"/>
    <cellStyle name="Note 2 3 3 3 4 2 2 2 2 2 4" xfId="23031"/>
    <cellStyle name="Note 2 3 3 3 4 2 2 2 2 3" xfId="23032"/>
    <cellStyle name="Note 2 3 3 3 4 2 2 2 2 4" xfId="23033"/>
    <cellStyle name="Note 2 3 3 3 4 2 2 2 2 5" xfId="23034"/>
    <cellStyle name="Note 2 3 3 3 4 2 2 2 2 6" xfId="23035"/>
    <cellStyle name="Note 2 3 3 3 4 2 2 2 3" xfId="23036"/>
    <cellStyle name="Note 2 3 3 3 4 2 2 2 3 2" xfId="23037"/>
    <cellStyle name="Note 2 3 3 3 4 2 2 2 3 3" xfId="23038"/>
    <cellStyle name="Note 2 3 3 3 4 2 2 2 3 4" xfId="23039"/>
    <cellStyle name="Note 2 3 3 3 4 2 2 2 4" xfId="23040"/>
    <cellStyle name="Note 2 3 3 3 4 2 2 2 5" xfId="23041"/>
    <cellStyle name="Note 2 3 3 3 4 2 2 2 6" xfId="23042"/>
    <cellStyle name="Note 2 3 3 3 4 2 2 2 7" xfId="23043"/>
    <cellStyle name="Note 2 3 3 3 4 2 2 3" xfId="23044"/>
    <cellStyle name="Note 2 3 3 3 4 2 2 3 2" xfId="23045"/>
    <cellStyle name="Note 2 3 3 3 4 2 2 3 2 2" xfId="23046"/>
    <cellStyle name="Note 2 3 3 3 4 2 2 3 2 3" xfId="23047"/>
    <cellStyle name="Note 2 3 3 3 4 2 2 3 2 4" xfId="23048"/>
    <cellStyle name="Note 2 3 3 3 4 2 2 3 3" xfId="23049"/>
    <cellStyle name="Note 2 3 3 3 4 2 2 3 4" xfId="23050"/>
    <cellStyle name="Note 2 3 3 3 4 2 2 3 5" xfId="23051"/>
    <cellStyle name="Note 2 3 3 3 4 2 2 3 6" xfId="23052"/>
    <cellStyle name="Note 2 3 3 3 4 2 2 4" xfId="23053"/>
    <cellStyle name="Note 2 3 3 3 4 2 2 4 2" xfId="23054"/>
    <cellStyle name="Note 2 3 3 3 4 2 2 4 3" xfId="23055"/>
    <cellStyle name="Note 2 3 3 3 4 2 2 4 4" xfId="23056"/>
    <cellStyle name="Note 2 3 3 3 4 2 2 4 5" xfId="23057"/>
    <cellStyle name="Note 2 3 3 3 4 2 2 5" xfId="23058"/>
    <cellStyle name="Note 2 3 3 3 4 2 2 5 2" xfId="23059"/>
    <cellStyle name="Note 2 3 3 3 4 2 2 5 3" xfId="23060"/>
    <cellStyle name="Note 2 3 3 3 4 2 2 5 4" xfId="23061"/>
    <cellStyle name="Note 2 3 3 3 4 2 2 6" xfId="23062"/>
    <cellStyle name="Note 2 3 3 3 4 2 2 6 2" xfId="23063"/>
    <cellStyle name="Note 2 3 3 3 4 2 2 6 3" xfId="23064"/>
    <cellStyle name="Note 2 3 3 3 4 2 2 6 4" xfId="23065"/>
    <cellStyle name="Note 2 3 3 3 4 2 2 7" xfId="23066"/>
    <cellStyle name="Note 2 3 3 3 4 2 2 7 2" xfId="23067"/>
    <cellStyle name="Note 2 3 3 3 4 2 2 7 3" xfId="23068"/>
    <cellStyle name="Note 2 3 3 3 4 2 2 7 4" xfId="23069"/>
    <cellStyle name="Note 2 3 3 3 4 2 2 8" xfId="23070"/>
    <cellStyle name="Note 2 3 3 3 4 2 2 9" xfId="23071"/>
    <cellStyle name="Note 2 3 3 3 4 2 3" xfId="23072"/>
    <cellStyle name="Note 2 3 3 3 4 2 3 2" xfId="23073"/>
    <cellStyle name="Note 2 3 3 3 4 2 3 2 2" xfId="23074"/>
    <cellStyle name="Note 2 3 3 3 4 2 3 2 2 2" xfId="23075"/>
    <cellStyle name="Note 2 3 3 3 4 2 3 2 2 3" xfId="23076"/>
    <cellStyle name="Note 2 3 3 3 4 2 3 2 2 4" xfId="23077"/>
    <cellStyle name="Note 2 3 3 3 4 2 3 2 3" xfId="23078"/>
    <cellStyle name="Note 2 3 3 3 4 2 3 2 4" xfId="23079"/>
    <cellStyle name="Note 2 3 3 3 4 2 3 2 5" xfId="23080"/>
    <cellStyle name="Note 2 3 3 3 4 2 3 2 6" xfId="23081"/>
    <cellStyle name="Note 2 3 3 3 4 2 3 3" xfId="23082"/>
    <cellStyle name="Note 2 3 3 3 4 2 3 3 2" xfId="23083"/>
    <cellStyle name="Note 2 3 3 3 4 2 3 3 3" xfId="23084"/>
    <cellStyle name="Note 2 3 3 3 4 2 3 3 4" xfId="23085"/>
    <cellStyle name="Note 2 3 3 3 4 2 3 4" xfId="23086"/>
    <cellStyle name="Note 2 3 3 3 4 2 3 5" xfId="23087"/>
    <cellStyle name="Note 2 3 3 3 4 2 3 6" xfId="23088"/>
    <cellStyle name="Note 2 3 3 3 4 2 3 7" xfId="23089"/>
    <cellStyle name="Note 2 3 3 3 4 2 4" xfId="23090"/>
    <cellStyle name="Note 2 3 3 3 4 2 4 2" xfId="23091"/>
    <cellStyle name="Note 2 3 3 3 4 2 4 2 2" xfId="23092"/>
    <cellStyle name="Note 2 3 3 3 4 2 4 2 3" xfId="23093"/>
    <cellStyle name="Note 2 3 3 3 4 2 4 2 4" xfId="23094"/>
    <cellStyle name="Note 2 3 3 3 4 2 4 3" xfId="23095"/>
    <cellStyle name="Note 2 3 3 3 4 2 4 4" xfId="23096"/>
    <cellStyle name="Note 2 3 3 3 4 2 4 5" xfId="23097"/>
    <cellStyle name="Note 2 3 3 3 4 2 4 6" xfId="23098"/>
    <cellStyle name="Note 2 3 3 3 4 2 5" xfId="23099"/>
    <cellStyle name="Note 2 3 3 3 4 2 5 2" xfId="23100"/>
    <cellStyle name="Note 2 3 3 3 4 2 5 3" xfId="23101"/>
    <cellStyle name="Note 2 3 3 3 4 2 5 4" xfId="23102"/>
    <cellStyle name="Note 2 3 3 3 4 2 5 5" xfId="23103"/>
    <cellStyle name="Note 2 3 3 3 4 2 6" xfId="23104"/>
    <cellStyle name="Note 2 3 3 3 4 2 6 2" xfId="23105"/>
    <cellStyle name="Note 2 3 3 3 4 2 6 3" xfId="23106"/>
    <cellStyle name="Note 2 3 3 3 4 2 6 4" xfId="23107"/>
    <cellStyle name="Note 2 3 3 3 4 2 7" xfId="23108"/>
    <cellStyle name="Note 2 3 3 3 4 2 7 2" xfId="23109"/>
    <cellStyle name="Note 2 3 3 3 4 2 7 3" xfId="23110"/>
    <cellStyle name="Note 2 3 3 3 4 2 7 4" xfId="23111"/>
    <cellStyle name="Note 2 3 3 3 4 2 8" xfId="23112"/>
    <cellStyle name="Note 2 3 3 3 4 2 8 2" xfId="23113"/>
    <cellStyle name="Note 2 3 3 3 4 2 8 3" xfId="23114"/>
    <cellStyle name="Note 2 3 3 3 4 2 8 4" xfId="23115"/>
    <cellStyle name="Note 2 3 3 3 4 2 9" xfId="23116"/>
    <cellStyle name="Note 2 3 3 3 4 3" xfId="23117"/>
    <cellStyle name="Note 2 3 3 3 4 3 10" xfId="23118"/>
    <cellStyle name="Note 2 3 3 3 4 3 11" xfId="23119"/>
    <cellStyle name="Note 2 3 3 3 4 3 2" xfId="23120"/>
    <cellStyle name="Note 2 3 3 3 4 3 2 2" xfId="23121"/>
    <cellStyle name="Note 2 3 3 3 4 3 2 2 2" xfId="23122"/>
    <cellStyle name="Note 2 3 3 3 4 3 2 2 2 2" xfId="23123"/>
    <cellStyle name="Note 2 3 3 3 4 3 2 2 2 3" xfId="23124"/>
    <cellStyle name="Note 2 3 3 3 4 3 2 2 2 4" xfId="23125"/>
    <cellStyle name="Note 2 3 3 3 4 3 2 2 3" xfId="23126"/>
    <cellStyle name="Note 2 3 3 3 4 3 2 2 4" xfId="23127"/>
    <cellStyle name="Note 2 3 3 3 4 3 2 2 5" xfId="23128"/>
    <cellStyle name="Note 2 3 3 3 4 3 2 2 6" xfId="23129"/>
    <cellStyle name="Note 2 3 3 3 4 3 2 3" xfId="23130"/>
    <cellStyle name="Note 2 3 3 3 4 3 2 3 2" xfId="23131"/>
    <cellStyle name="Note 2 3 3 3 4 3 2 3 3" xfId="23132"/>
    <cellStyle name="Note 2 3 3 3 4 3 2 3 4" xfId="23133"/>
    <cellStyle name="Note 2 3 3 3 4 3 2 4" xfId="23134"/>
    <cellStyle name="Note 2 3 3 3 4 3 2 5" xfId="23135"/>
    <cellStyle name="Note 2 3 3 3 4 3 2 6" xfId="23136"/>
    <cellStyle name="Note 2 3 3 3 4 3 2 7" xfId="23137"/>
    <cellStyle name="Note 2 3 3 3 4 3 3" xfId="23138"/>
    <cellStyle name="Note 2 3 3 3 4 3 3 2" xfId="23139"/>
    <cellStyle name="Note 2 3 3 3 4 3 3 2 2" xfId="23140"/>
    <cellStyle name="Note 2 3 3 3 4 3 3 2 3" xfId="23141"/>
    <cellStyle name="Note 2 3 3 3 4 3 3 2 4" xfId="23142"/>
    <cellStyle name="Note 2 3 3 3 4 3 3 3" xfId="23143"/>
    <cellStyle name="Note 2 3 3 3 4 3 3 4" xfId="23144"/>
    <cellStyle name="Note 2 3 3 3 4 3 3 5" xfId="23145"/>
    <cellStyle name="Note 2 3 3 3 4 3 3 6" xfId="23146"/>
    <cellStyle name="Note 2 3 3 3 4 3 4" xfId="23147"/>
    <cellStyle name="Note 2 3 3 3 4 3 4 2" xfId="23148"/>
    <cellStyle name="Note 2 3 3 3 4 3 4 3" xfId="23149"/>
    <cellStyle name="Note 2 3 3 3 4 3 4 4" xfId="23150"/>
    <cellStyle name="Note 2 3 3 3 4 3 4 5" xfId="23151"/>
    <cellStyle name="Note 2 3 3 3 4 3 5" xfId="23152"/>
    <cellStyle name="Note 2 3 3 3 4 3 5 2" xfId="23153"/>
    <cellStyle name="Note 2 3 3 3 4 3 5 3" xfId="23154"/>
    <cellStyle name="Note 2 3 3 3 4 3 5 4" xfId="23155"/>
    <cellStyle name="Note 2 3 3 3 4 3 6" xfId="23156"/>
    <cellStyle name="Note 2 3 3 3 4 3 6 2" xfId="23157"/>
    <cellStyle name="Note 2 3 3 3 4 3 6 3" xfId="23158"/>
    <cellStyle name="Note 2 3 3 3 4 3 6 4" xfId="23159"/>
    <cellStyle name="Note 2 3 3 3 4 3 7" xfId="23160"/>
    <cellStyle name="Note 2 3 3 3 4 3 7 2" xfId="23161"/>
    <cellStyle name="Note 2 3 3 3 4 3 7 3" xfId="23162"/>
    <cellStyle name="Note 2 3 3 3 4 3 7 4" xfId="23163"/>
    <cellStyle name="Note 2 3 3 3 4 3 8" xfId="23164"/>
    <cellStyle name="Note 2 3 3 3 4 3 9" xfId="23165"/>
    <cellStyle name="Note 2 3 3 3 4 4" xfId="23166"/>
    <cellStyle name="Note 2 3 3 3 4 4 2" xfId="23167"/>
    <cellStyle name="Note 2 3 3 3 4 4 2 2" xfId="23168"/>
    <cellStyle name="Note 2 3 3 3 4 4 2 2 2" xfId="23169"/>
    <cellStyle name="Note 2 3 3 3 4 4 2 2 3" xfId="23170"/>
    <cellStyle name="Note 2 3 3 3 4 4 2 2 4" xfId="23171"/>
    <cellStyle name="Note 2 3 3 3 4 4 2 3" xfId="23172"/>
    <cellStyle name="Note 2 3 3 3 4 4 2 4" xfId="23173"/>
    <cellStyle name="Note 2 3 3 3 4 4 2 5" xfId="23174"/>
    <cellStyle name="Note 2 3 3 3 4 4 2 6" xfId="23175"/>
    <cellStyle name="Note 2 3 3 3 4 4 3" xfId="23176"/>
    <cellStyle name="Note 2 3 3 3 4 4 3 2" xfId="23177"/>
    <cellStyle name="Note 2 3 3 3 4 4 3 3" xfId="23178"/>
    <cellStyle name="Note 2 3 3 3 4 4 3 4" xfId="23179"/>
    <cellStyle name="Note 2 3 3 3 4 4 4" xfId="23180"/>
    <cellStyle name="Note 2 3 3 3 4 4 5" xfId="23181"/>
    <cellStyle name="Note 2 3 3 3 4 4 6" xfId="23182"/>
    <cellStyle name="Note 2 3 3 3 4 4 7" xfId="23183"/>
    <cellStyle name="Note 2 3 3 3 4 5" xfId="23184"/>
    <cellStyle name="Note 2 3 3 3 4 5 2" xfId="23185"/>
    <cellStyle name="Note 2 3 3 3 4 5 2 2" xfId="23186"/>
    <cellStyle name="Note 2 3 3 3 4 5 2 3" xfId="23187"/>
    <cellStyle name="Note 2 3 3 3 4 5 2 4" xfId="23188"/>
    <cellStyle name="Note 2 3 3 3 4 5 3" xfId="23189"/>
    <cellStyle name="Note 2 3 3 3 4 5 4" xfId="23190"/>
    <cellStyle name="Note 2 3 3 3 4 5 5" xfId="23191"/>
    <cellStyle name="Note 2 3 3 3 4 5 6" xfId="23192"/>
    <cellStyle name="Note 2 3 3 3 4 6" xfId="23193"/>
    <cellStyle name="Note 2 3 3 3 4 6 2" xfId="23194"/>
    <cellStyle name="Note 2 3 3 3 4 6 3" xfId="23195"/>
    <cellStyle name="Note 2 3 3 3 4 6 4" xfId="23196"/>
    <cellStyle name="Note 2 3 3 3 4 6 5" xfId="23197"/>
    <cellStyle name="Note 2 3 3 3 4 7" xfId="23198"/>
    <cellStyle name="Note 2 3 3 3 4 7 2" xfId="23199"/>
    <cellStyle name="Note 2 3 3 3 4 7 3" xfId="23200"/>
    <cellStyle name="Note 2 3 3 3 4 7 4" xfId="23201"/>
    <cellStyle name="Note 2 3 3 3 4 8" xfId="23202"/>
    <cellStyle name="Note 2 3 3 3 4 8 2" xfId="23203"/>
    <cellStyle name="Note 2 3 3 3 4 8 3" xfId="23204"/>
    <cellStyle name="Note 2 3 3 3 4 8 4" xfId="23205"/>
    <cellStyle name="Note 2 3 3 3 4 9" xfId="23206"/>
    <cellStyle name="Note 2 3 3 3 4 9 2" xfId="23207"/>
    <cellStyle name="Note 2 3 3 3 4 9 3" xfId="23208"/>
    <cellStyle name="Note 2 3 3 3 4 9 4" xfId="23209"/>
    <cellStyle name="Note 2 3 3 3 5" xfId="23210"/>
    <cellStyle name="Note 2 3 3 3 5 10" xfId="23211"/>
    <cellStyle name="Note 2 3 3 3 5 11" xfId="23212"/>
    <cellStyle name="Note 2 3 3 3 5 12" xfId="23213"/>
    <cellStyle name="Note 2 3 3 3 5 13" xfId="23214"/>
    <cellStyle name="Note 2 3 3 3 5 2" xfId="23215"/>
    <cellStyle name="Note 2 3 3 3 5 2 10" xfId="23216"/>
    <cellStyle name="Note 2 3 3 3 5 2 11" xfId="23217"/>
    <cellStyle name="Note 2 3 3 3 5 2 12" xfId="23218"/>
    <cellStyle name="Note 2 3 3 3 5 2 2" xfId="23219"/>
    <cellStyle name="Note 2 3 3 3 5 2 2 10" xfId="23220"/>
    <cellStyle name="Note 2 3 3 3 5 2 2 11" xfId="23221"/>
    <cellStyle name="Note 2 3 3 3 5 2 2 2" xfId="23222"/>
    <cellStyle name="Note 2 3 3 3 5 2 2 2 2" xfId="23223"/>
    <cellStyle name="Note 2 3 3 3 5 2 2 2 2 2" xfId="23224"/>
    <cellStyle name="Note 2 3 3 3 5 2 2 2 2 2 2" xfId="23225"/>
    <cellStyle name="Note 2 3 3 3 5 2 2 2 2 2 3" xfId="23226"/>
    <cellStyle name="Note 2 3 3 3 5 2 2 2 2 2 4" xfId="23227"/>
    <cellStyle name="Note 2 3 3 3 5 2 2 2 2 3" xfId="23228"/>
    <cellStyle name="Note 2 3 3 3 5 2 2 2 2 4" xfId="23229"/>
    <cellStyle name="Note 2 3 3 3 5 2 2 2 2 5" xfId="23230"/>
    <cellStyle name="Note 2 3 3 3 5 2 2 2 2 6" xfId="23231"/>
    <cellStyle name="Note 2 3 3 3 5 2 2 2 3" xfId="23232"/>
    <cellStyle name="Note 2 3 3 3 5 2 2 2 3 2" xfId="23233"/>
    <cellStyle name="Note 2 3 3 3 5 2 2 2 3 3" xfId="23234"/>
    <cellStyle name="Note 2 3 3 3 5 2 2 2 3 4" xfId="23235"/>
    <cellStyle name="Note 2 3 3 3 5 2 2 2 4" xfId="23236"/>
    <cellStyle name="Note 2 3 3 3 5 2 2 2 5" xfId="23237"/>
    <cellStyle name="Note 2 3 3 3 5 2 2 2 6" xfId="23238"/>
    <cellStyle name="Note 2 3 3 3 5 2 2 2 7" xfId="23239"/>
    <cellStyle name="Note 2 3 3 3 5 2 2 3" xfId="23240"/>
    <cellStyle name="Note 2 3 3 3 5 2 2 3 2" xfId="23241"/>
    <cellStyle name="Note 2 3 3 3 5 2 2 3 2 2" xfId="23242"/>
    <cellStyle name="Note 2 3 3 3 5 2 2 3 2 3" xfId="23243"/>
    <cellStyle name="Note 2 3 3 3 5 2 2 3 2 4" xfId="23244"/>
    <cellStyle name="Note 2 3 3 3 5 2 2 3 3" xfId="23245"/>
    <cellStyle name="Note 2 3 3 3 5 2 2 3 4" xfId="23246"/>
    <cellStyle name="Note 2 3 3 3 5 2 2 3 5" xfId="23247"/>
    <cellStyle name="Note 2 3 3 3 5 2 2 3 6" xfId="23248"/>
    <cellStyle name="Note 2 3 3 3 5 2 2 4" xfId="23249"/>
    <cellStyle name="Note 2 3 3 3 5 2 2 4 2" xfId="23250"/>
    <cellStyle name="Note 2 3 3 3 5 2 2 4 3" xfId="23251"/>
    <cellStyle name="Note 2 3 3 3 5 2 2 4 4" xfId="23252"/>
    <cellStyle name="Note 2 3 3 3 5 2 2 4 5" xfId="23253"/>
    <cellStyle name="Note 2 3 3 3 5 2 2 5" xfId="23254"/>
    <cellStyle name="Note 2 3 3 3 5 2 2 5 2" xfId="23255"/>
    <cellStyle name="Note 2 3 3 3 5 2 2 5 3" xfId="23256"/>
    <cellStyle name="Note 2 3 3 3 5 2 2 5 4" xfId="23257"/>
    <cellStyle name="Note 2 3 3 3 5 2 2 6" xfId="23258"/>
    <cellStyle name="Note 2 3 3 3 5 2 2 6 2" xfId="23259"/>
    <cellStyle name="Note 2 3 3 3 5 2 2 6 3" xfId="23260"/>
    <cellStyle name="Note 2 3 3 3 5 2 2 6 4" xfId="23261"/>
    <cellStyle name="Note 2 3 3 3 5 2 2 7" xfId="23262"/>
    <cellStyle name="Note 2 3 3 3 5 2 2 7 2" xfId="23263"/>
    <cellStyle name="Note 2 3 3 3 5 2 2 7 3" xfId="23264"/>
    <cellStyle name="Note 2 3 3 3 5 2 2 7 4" xfId="23265"/>
    <cellStyle name="Note 2 3 3 3 5 2 2 8" xfId="23266"/>
    <cellStyle name="Note 2 3 3 3 5 2 2 9" xfId="23267"/>
    <cellStyle name="Note 2 3 3 3 5 2 3" xfId="23268"/>
    <cellStyle name="Note 2 3 3 3 5 2 3 2" xfId="23269"/>
    <cellStyle name="Note 2 3 3 3 5 2 3 2 2" xfId="23270"/>
    <cellStyle name="Note 2 3 3 3 5 2 3 2 2 2" xfId="23271"/>
    <cellStyle name="Note 2 3 3 3 5 2 3 2 2 3" xfId="23272"/>
    <cellStyle name="Note 2 3 3 3 5 2 3 2 2 4" xfId="23273"/>
    <cellStyle name="Note 2 3 3 3 5 2 3 2 3" xfId="23274"/>
    <cellStyle name="Note 2 3 3 3 5 2 3 2 4" xfId="23275"/>
    <cellStyle name="Note 2 3 3 3 5 2 3 2 5" xfId="23276"/>
    <cellStyle name="Note 2 3 3 3 5 2 3 2 6" xfId="23277"/>
    <cellStyle name="Note 2 3 3 3 5 2 3 3" xfId="23278"/>
    <cellStyle name="Note 2 3 3 3 5 2 3 3 2" xfId="23279"/>
    <cellStyle name="Note 2 3 3 3 5 2 3 3 3" xfId="23280"/>
    <cellStyle name="Note 2 3 3 3 5 2 3 3 4" xfId="23281"/>
    <cellStyle name="Note 2 3 3 3 5 2 3 4" xfId="23282"/>
    <cellStyle name="Note 2 3 3 3 5 2 3 5" xfId="23283"/>
    <cellStyle name="Note 2 3 3 3 5 2 3 6" xfId="23284"/>
    <cellStyle name="Note 2 3 3 3 5 2 3 7" xfId="23285"/>
    <cellStyle name="Note 2 3 3 3 5 2 4" xfId="23286"/>
    <cellStyle name="Note 2 3 3 3 5 2 4 2" xfId="23287"/>
    <cellStyle name="Note 2 3 3 3 5 2 4 2 2" xfId="23288"/>
    <cellStyle name="Note 2 3 3 3 5 2 4 2 3" xfId="23289"/>
    <cellStyle name="Note 2 3 3 3 5 2 4 2 4" xfId="23290"/>
    <cellStyle name="Note 2 3 3 3 5 2 4 3" xfId="23291"/>
    <cellStyle name="Note 2 3 3 3 5 2 4 4" xfId="23292"/>
    <cellStyle name="Note 2 3 3 3 5 2 4 5" xfId="23293"/>
    <cellStyle name="Note 2 3 3 3 5 2 4 6" xfId="23294"/>
    <cellStyle name="Note 2 3 3 3 5 2 5" xfId="23295"/>
    <cellStyle name="Note 2 3 3 3 5 2 5 2" xfId="23296"/>
    <cellStyle name="Note 2 3 3 3 5 2 5 3" xfId="23297"/>
    <cellStyle name="Note 2 3 3 3 5 2 5 4" xfId="23298"/>
    <cellStyle name="Note 2 3 3 3 5 2 5 5" xfId="23299"/>
    <cellStyle name="Note 2 3 3 3 5 2 6" xfId="23300"/>
    <cellStyle name="Note 2 3 3 3 5 2 6 2" xfId="23301"/>
    <cellStyle name="Note 2 3 3 3 5 2 6 3" xfId="23302"/>
    <cellStyle name="Note 2 3 3 3 5 2 6 4" xfId="23303"/>
    <cellStyle name="Note 2 3 3 3 5 2 7" xfId="23304"/>
    <cellStyle name="Note 2 3 3 3 5 2 7 2" xfId="23305"/>
    <cellStyle name="Note 2 3 3 3 5 2 7 3" xfId="23306"/>
    <cellStyle name="Note 2 3 3 3 5 2 7 4" xfId="23307"/>
    <cellStyle name="Note 2 3 3 3 5 2 8" xfId="23308"/>
    <cellStyle name="Note 2 3 3 3 5 2 8 2" xfId="23309"/>
    <cellStyle name="Note 2 3 3 3 5 2 8 3" xfId="23310"/>
    <cellStyle name="Note 2 3 3 3 5 2 8 4" xfId="23311"/>
    <cellStyle name="Note 2 3 3 3 5 2 9" xfId="23312"/>
    <cellStyle name="Note 2 3 3 3 5 3" xfId="23313"/>
    <cellStyle name="Note 2 3 3 3 5 3 10" xfId="23314"/>
    <cellStyle name="Note 2 3 3 3 5 3 11" xfId="23315"/>
    <cellStyle name="Note 2 3 3 3 5 3 2" xfId="23316"/>
    <cellStyle name="Note 2 3 3 3 5 3 2 2" xfId="23317"/>
    <cellStyle name="Note 2 3 3 3 5 3 2 2 2" xfId="23318"/>
    <cellStyle name="Note 2 3 3 3 5 3 2 2 2 2" xfId="23319"/>
    <cellStyle name="Note 2 3 3 3 5 3 2 2 2 3" xfId="23320"/>
    <cellStyle name="Note 2 3 3 3 5 3 2 2 2 4" xfId="23321"/>
    <cellStyle name="Note 2 3 3 3 5 3 2 2 3" xfId="23322"/>
    <cellStyle name="Note 2 3 3 3 5 3 2 2 4" xfId="23323"/>
    <cellStyle name="Note 2 3 3 3 5 3 2 2 5" xfId="23324"/>
    <cellStyle name="Note 2 3 3 3 5 3 2 2 6" xfId="23325"/>
    <cellStyle name="Note 2 3 3 3 5 3 2 3" xfId="23326"/>
    <cellStyle name="Note 2 3 3 3 5 3 2 3 2" xfId="23327"/>
    <cellStyle name="Note 2 3 3 3 5 3 2 3 3" xfId="23328"/>
    <cellStyle name="Note 2 3 3 3 5 3 2 3 4" xfId="23329"/>
    <cellStyle name="Note 2 3 3 3 5 3 2 4" xfId="23330"/>
    <cellStyle name="Note 2 3 3 3 5 3 2 5" xfId="23331"/>
    <cellStyle name="Note 2 3 3 3 5 3 2 6" xfId="23332"/>
    <cellStyle name="Note 2 3 3 3 5 3 2 7" xfId="23333"/>
    <cellStyle name="Note 2 3 3 3 5 3 3" xfId="23334"/>
    <cellStyle name="Note 2 3 3 3 5 3 3 2" xfId="23335"/>
    <cellStyle name="Note 2 3 3 3 5 3 3 2 2" xfId="23336"/>
    <cellStyle name="Note 2 3 3 3 5 3 3 2 3" xfId="23337"/>
    <cellStyle name="Note 2 3 3 3 5 3 3 2 4" xfId="23338"/>
    <cellStyle name="Note 2 3 3 3 5 3 3 3" xfId="23339"/>
    <cellStyle name="Note 2 3 3 3 5 3 3 4" xfId="23340"/>
    <cellStyle name="Note 2 3 3 3 5 3 3 5" xfId="23341"/>
    <cellStyle name="Note 2 3 3 3 5 3 3 6" xfId="23342"/>
    <cellStyle name="Note 2 3 3 3 5 3 4" xfId="23343"/>
    <cellStyle name="Note 2 3 3 3 5 3 4 2" xfId="23344"/>
    <cellStyle name="Note 2 3 3 3 5 3 4 3" xfId="23345"/>
    <cellStyle name="Note 2 3 3 3 5 3 4 4" xfId="23346"/>
    <cellStyle name="Note 2 3 3 3 5 3 4 5" xfId="23347"/>
    <cellStyle name="Note 2 3 3 3 5 3 5" xfId="23348"/>
    <cellStyle name="Note 2 3 3 3 5 3 5 2" xfId="23349"/>
    <cellStyle name="Note 2 3 3 3 5 3 5 3" xfId="23350"/>
    <cellStyle name="Note 2 3 3 3 5 3 5 4" xfId="23351"/>
    <cellStyle name="Note 2 3 3 3 5 3 6" xfId="23352"/>
    <cellStyle name="Note 2 3 3 3 5 3 6 2" xfId="23353"/>
    <cellStyle name="Note 2 3 3 3 5 3 6 3" xfId="23354"/>
    <cellStyle name="Note 2 3 3 3 5 3 6 4" xfId="23355"/>
    <cellStyle name="Note 2 3 3 3 5 3 7" xfId="23356"/>
    <cellStyle name="Note 2 3 3 3 5 3 7 2" xfId="23357"/>
    <cellStyle name="Note 2 3 3 3 5 3 7 3" xfId="23358"/>
    <cellStyle name="Note 2 3 3 3 5 3 7 4" xfId="23359"/>
    <cellStyle name="Note 2 3 3 3 5 3 8" xfId="23360"/>
    <cellStyle name="Note 2 3 3 3 5 3 9" xfId="23361"/>
    <cellStyle name="Note 2 3 3 3 5 4" xfId="23362"/>
    <cellStyle name="Note 2 3 3 3 5 4 2" xfId="23363"/>
    <cellStyle name="Note 2 3 3 3 5 4 2 2" xfId="23364"/>
    <cellStyle name="Note 2 3 3 3 5 4 2 2 2" xfId="23365"/>
    <cellStyle name="Note 2 3 3 3 5 4 2 2 3" xfId="23366"/>
    <cellStyle name="Note 2 3 3 3 5 4 2 2 4" xfId="23367"/>
    <cellStyle name="Note 2 3 3 3 5 4 2 3" xfId="23368"/>
    <cellStyle name="Note 2 3 3 3 5 4 2 4" xfId="23369"/>
    <cellStyle name="Note 2 3 3 3 5 4 2 5" xfId="23370"/>
    <cellStyle name="Note 2 3 3 3 5 4 2 6" xfId="23371"/>
    <cellStyle name="Note 2 3 3 3 5 4 3" xfId="23372"/>
    <cellStyle name="Note 2 3 3 3 5 4 3 2" xfId="23373"/>
    <cellStyle name="Note 2 3 3 3 5 4 3 3" xfId="23374"/>
    <cellStyle name="Note 2 3 3 3 5 4 3 4" xfId="23375"/>
    <cellStyle name="Note 2 3 3 3 5 4 4" xfId="23376"/>
    <cellStyle name="Note 2 3 3 3 5 4 5" xfId="23377"/>
    <cellStyle name="Note 2 3 3 3 5 4 6" xfId="23378"/>
    <cellStyle name="Note 2 3 3 3 5 4 7" xfId="23379"/>
    <cellStyle name="Note 2 3 3 3 5 5" xfId="23380"/>
    <cellStyle name="Note 2 3 3 3 5 5 2" xfId="23381"/>
    <cellStyle name="Note 2 3 3 3 5 5 2 2" xfId="23382"/>
    <cellStyle name="Note 2 3 3 3 5 5 2 3" xfId="23383"/>
    <cellStyle name="Note 2 3 3 3 5 5 2 4" xfId="23384"/>
    <cellStyle name="Note 2 3 3 3 5 5 3" xfId="23385"/>
    <cellStyle name="Note 2 3 3 3 5 5 4" xfId="23386"/>
    <cellStyle name="Note 2 3 3 3 5 5 5" xfId="23387"/>
    <cellStyle name="Note 2 3 3 3 5 5 6" xfId="23388"/>
    <cellStyle name="Note 2 3 3 3 5 6" xfId="23389"/>
    <cellStyle name="Note 2 3 3 3 5 6 2" xfId="23390"/>
    <cellStyle name="Note 2 3 3 3 5 6 3" xfId="23391"/>
    <cellStyle name="Note 2 3 3 3 5 6 4" xfId="23392"/>
    <cellStyle name="Note 2 3 3 3 5 6 5" xfId="23393"/>
    <cellStyle name="Note 2 3 3 3 5 7" xfId="23394"/>
    <cellStyle name="Note 2 3 3 3 5 7 2" xfId="23395"/>
    <cellStyle name="Note 2 3 3 3 5 7 3" xfId="23396"/>
    <cellStyle name="Note 2 3 3 3 5 7 4" xfId="23397"/>
    <cellStyle name="Note 2 3 3 3 5 8" xfId="23398"/>
    <cellStyle name="Note 2 3 3 3 5 8 2" xfId="23399"/>
    <cellStyle name="Note 2 3 3 3 5 8 3" xfId="23400"/>
    <cellStyle name="Note 2 3 3 3 5 8 4" xfId="23401"/>
    <cellStyle name="Note 2 3 3 3 5 9" xfId="23402"/>
    <cellStyle name="Note 2 3 3 3 5 9 2" xfId="23403"/>
    <cellStyle name="Note 2 3 3 3 5 9 3" xfId="23404"/>
    <cellStyle name="Note 2 3 3 3 5 9 4" xfId="23405"/>
    <cellStyle name="Note 2 3 3 3 6" xfId="23406"/>
    <cellStyle name="Note 2 3 3 3 6 10" xfId="23407"/>
    <cellStyle name="Note 2 3 3 3 6 11" xfId="23408"/>
    <cellStyle name="Note 2 3 3 3 6 12" xfId="23409"/>
    <cellStyle name="Note 2 3 3 3 6 13" xfId="23410"/>
    <cellStyle name="Note 2 3 3 3 6 2" xfId="23411"/>
    <cellStyle name="Note 2 3 3 3 6 2 10" xfId="23412"/>
    <cellStyle name="Note 2 3 3 3 6 2 11" xfId="23413"/>
    <cellStyle name="Note 2 3 3 3 6 2 2" xfId="23414"/>
    <cellStyle name="Note 2 3 3 3 6 2 2 2" xfId="23415"/>
    <cellStyle name="Note 2 3 3 3 6 2 2 2 2" xfId="23416"/>
    <cellStyle name="Note 2 3 3 3 6 2 2 2 2 2" xfId="23417"/>
    <cellStyle name="Note 2 3 3 3 6 2 2 2 2 3" xfId="23418"/>
    <cellStyle name="Note 2 3 3 3 6 2 2 2 2 4" xfId="23419"/>
    <cellStyle name="Note 2 3 3 3 6 2 2 2 3" xfId="23420"/>
    <cellStyle name="Note 2 3 3 3 6 2 2 2 4" xfId="23421"/>
    <cellStyle name="Note 2 3 3 3 6 2 2 2 5" xfId="23422"/>
    <cellStyle name="Note 2 3 3 3 6 2 2 2 6" xfId="23423"/>
    <cellStyle name="Note 2 3 3 3 6 2 2 3" xfId="23424"/>
    <cellStyle name="Note 2 3 3 3 6 2 2 3 2" xfId="23425"/>
    <cellStyle name="Note 2 3 3 3 6 2 2 3 3" xfId="23426"/>
    <cellStyle name="Note 2 3 3 3 6 2 2 3 4" xfId="23427"/>
    <cellStyle name="Note 2 3 3 3 6 2 2 4" xfId="23428"/>
    <cellStyle name="Note 2 3 3 3 6 2 2 5" xfId="23429"/>
    <cellStyle name="Note 2 3 3 3 6 2 2 6" xfId="23430"/>
    <cellStyle name="Note 2 3 3 3 6 2 2 7" xfId="23431"/>
    <cellStyle name="Note 2 3 3 3 6 2 3" xfId="23432"/>
    <cellStyle name="Note 2 3 3 3 6 2 3 2" xfId="23433"/>
    <cellStyle name="Note 2 3 3 3 6 2 3 2 2" xfId="23434"/>
    <cellStyle name="Note 2 3 3 3 6 2 3 2 3" xfId="23435"/>
    <cellStyle name="Note 2 3 3 3 6 2 3 2 4" xfId="23436"/>
    <cellStyle name="Note 2 3 3 3 6 2 3 3" xfId="23437"/>
    <cellStyle name="Note 2 3 3 3 6 2 3 4" xfId="23438"/>
    <cellStyle name="Note 2 3 3 3 6 2 3 5" xfId="23439"/>
    <cellStyle name="Note 2 3 3 3 6 2 3 6" xfId="23440"/>
    <cellStyle name="Note 2 3 3 3 6 2 4" xfId="23441"/>
    <cellStyle name="Note 2 3 3 3 6 2 4 2" xfId="23442"/>
    <cellStyle name="Note 2 3 3 3 6 2 4 3" xfId="23443"/>
    <cellStyle name="Note 2 3 3 3 6 2 4 4" xfId="23444"/>
    <cellStyle name="Note 2 3 3 3 6 2 4 5" xfId="23445"/>
    <cellStyle name="Note 2 3 3 3 6 2 5" xfId="23446"/>
    <cellStyle name="Note 2 3 3 3 6 2 5 2" xfId="23447"/>
    <cellStyle name="Note 2 3 3 3 6 2 5 3" xfId="23448"/>
    <cellStyle name="Note 2 3 3 3 6 2 5 4" xfId="23449"/>
    <cellStyle name="Note 2 3 3 3 6 2 6" xfId="23450"/>
    <cellStyle name="Note 2 3 3 3 6 2 6 2" xfId="23451"/>
    <cellStyle name="Note 2 3 3 3 6 2 6 3" xfId="23452"/>
    <cellStyle name="Note 2 3 3 3 6 2 6 4" xfId="23453"/>
    <cellStyle name="Note 2 3 3 3 6 2 7" xfId="23454"/>
    <cellStyle name="Note 2 3 3 3 6 2 7 2" xfId="23455"/>
    <cellStyle name="Note 2 3 3 3 6 2 7 3" xfId="23456"/>
    <cellStyle name="Note 2 3 3 3 6 2 7 4" xfId="23457"/>
    <cellStyle name="Note 2 3 3 3 6 2 8" xfId="23458"/>
    <cellStyle name="Note 2 3 3 3 6 2 9" xfId="23459"/>
    <cellStyle name="Note 2 3 3 3 6 3" xfId="23460"/>
    <cellStyle name="Note 2 3 3 3 6 3 10" xfId="23461"/>
    <cellStyle name="Note 2 3 3 3 6 3 11" xfId="23462"/>
    <cellStyle name="Note 2 3 3 3 6 3 2" xfId="23463"/>
    <cellStyle name="Note 2 3 3 3 6 3 2 2" xfId="23464"/>
    <cellStyle name="Note 2 3 3 3 6 3 2 2 2" xfId="23465"/>
    <cellStyle name="Note 2 3 3 3 6 3 2 2 3" xfId="23466"/>
    <cellStyle name="Note 2 3 3 3 6 3 2 2 4" xfId="23467"/>
    <cellStyle name="Note 2 3 3 3 6 3 2 3" xfId="23468"/>
    <cellStyle name="Note 2 3 3 3 6 3 2 3 2" xfId="23469"/>
    <cellStyle name="Note 2 3 3 3 6 3 2 3 3" xfId="23470"/>
    <cellStyle name="Note 2 3 3 3 6 3 2 3 4" xfId="23471"/>
    <cellStyle name="Note 2 3 3 3 6 3 2 4" xfId="23472"/>
    <cellStyle name="Note 2 3 3 3 6 3 2 5" xfId="23473"/>
    <cellStyle name="Note 2 3 3 3 6 3 2 6" xfId="23474"/>
    <cellStyle name="Note 2 3 3 3 6 3 2 7" xfId="23475"/>
    <cellStyle name="Note 2 3 3 3 6 3 3" xfId="23476"/>
    <cellStyle name="Note 2 3 3 3 6 3 3 2" xfId="23477"/>
    <cellStyle name="Note 2 3 3 3 6 3 3 2 2" xfId="23478"/>
    <cellStyle name="Note 2 3 3 3 6 3 3 2 3" xfId="23479"/>
    <cellStyle name="Note 2 3 3 3 6 3 3 2 4" xfId="23480"/>
    <cellStyle name="Note 2 3 3 3 6 3 3 3" xfId="23481"/>
    <cellStyle name="Note 2 3 3 3 6 3 3 4" xfId="23482"/>
    <cellStyle name="Note 2 3 3 3 6 3 3 5" xfId="23483"/>
    <cellStyle name="Note 2 3 3 3 6 3 3 6" xfId="23484"/>
    <cellStyle name="Note 2 3 3 3 6 3 4" xfId="23485"/>
    <cellStyle name="Note 2 3 3 3 6 3 4 2" xfId="23486"/>
    <cellStyle name="Note 2 3 3 3 6 3 4 3" xfId="23487"/>
    <cellStyle name="Note 2 3 3 3 6 3 4 4" xfId="23488"/>
    <cellStyle name="Note 2 3 3 3 6 3 4 5" xfId="23489"/>
    <cellStyle name="Note 2 3 3 3 6 3 5" xfId="23490"/>
    <cellStyle name="Note 2 3 3 3 6 3 5 2" xfId="23491"/>
    <cellStyle name="Note 2 3 3 3 6 3 5 3" xfId="23492"/>
    <cellStyle name="Note 2 3 3 3 6 3 5 4" xfId="23493"/>
    <cellStyle name="Note 2 3 3 3 6 3 6" xfId="23494"/>
    <cellStyle name="Note 2 3 3 3 6 3 6 2" xfId="23495"/>
    <cellStyle name="Note 2 3 3 3 6 3 6 3" xfId="23496"/>
    <cellStyle name="Note 2 3 3 3 6 3 6 4" xfId="23497"/>
    <cellStyle name="Note 2 3 3 3 6 3 7" xfId="23498"/>
    <cellStyle name="Note 2 3 3 3 6 3 7 2" xfId="23499"/>
    <cellStyle name="Note 2 3 3 3 6 3 7 3" xfId="23500"/>
    <cellStyle name="Note 2 3 3 3 6 3 7 4" xfId="23501"/>
    <cellStyle name="Note 2 3 3 3 6 3 8" xfId="23502"/>
    <cellStyle name="Note 2 3 3 3 6 3 9" xfId="23503"/>
    <cellStyle name="Note 2 3 3 3 6 4" xfId="23504"/>
    <cellStyle name="Note 2 3 3 3 6 4 2" xfId="23505"/>
    <cellStyle name="Note 2 3 3 3 6 4 2 2" xfId="23506"/>
    <cellStyle name="Note 2 3 3 3 6 4 2 2 2" xfId="23507"/>
    <cellStyle name="Note 2 3 3 3 6 4 2 2 3" xfId="23508"/>
    <cellStyle name="Note 2 3 3 3 6 4 2 2 4" xfId="23509"/>
    <cellStyle name="Note 2 3 3 3 6 4 2 3" xfId="23510"/>
    <cellStyle name="Note 2 3 3 3 6 4 2 4" xfId="23511"/>
    <cellStyle name="Note 2 3 3 3 6 4 2 5" xfId="23512"/>
    <cellStyle name="Note 2 3 3 3 6 4 2 6" xfId="23513"/>
    <cellStyle name="Note 2 3 3 3 6 4 3" xfId="23514"/>
    <cellStyle name="Note 2 3 3 3 6 4 3 2" xfId="23515"/>
    <cellStyle name="Note 2 3 3 3 6 4 3 3" xfId="23516"/>
    <cellStyle name="Note 2 3 3 3 6 4 3 4" xfId="23517"/>
    <cellStyle name="Note 2 3 3 3 6 4 4" xfId="23518"/>
    <cellStyle name="Note 2 3 3 3 6 4 5" xfId="23519"/>
    <cellStyle name="Note 2 3 3 3 6 4 6" xfId="23520"/>
    <cellStyle name="Note 2 3 3 3 6 4 7" xfId="23521"/>
    <cellStyle name="Note 2 3 3 3 6 5" xfId="23522"/>
    <cellStyle name="Note 2 3 3 3 6 5 2" xfId="23523"/>
    <cellStyle name="Note 2 3 3 3 6 5 2 2" xfId="23524"/>
    <cellStyle name="Note 2 3 3 3 6 5 2 3" xfId="23525"/>
    <cellStyle name="Note 2 3 3 3 6 5 2 4" xfId="23526"/>
    <cellStyle name="Note 2 3 3 3 6 5 3" xfId="23527"/>
    <cellStyle name="Note 2 3 3 3 6 5 4" xfId="23528"/>
    <cellStyle name="Note 2 3 3 3 6 5 5" xfId="23529"/>
    <cellStyle name="Note 2 3 3 3 6 5 6" xfId="23530"/>
    <cellStyle name="Note 2 3 3 3 6 6" xfId="23531"/>
    <cellStyle name="Note 2 3 3 3 6 6 2" xfId="23532"/>
    <cellStyle name="Note 2 3 3 3 6 6 3" xfId="23533"/>
    <cellStyle name="Note 2 3 3 3 6 6 4" xfId="23534"/>
    <cellStyle name="Note 2 3 3 3 6 6 5" xfId="23535"/>
    <cellStyle name="Note 2 3 3 3 6 7" xfId="23536"/>
    <cellStyle name="Note 2 3 3 3 6 7 2" xfId="23537"/>
    <cellStyle name="Note 2 3 3 3 6 7 3" xfId="23538"/>
    <cellStyle name="Note 2 3 3 3 6 7 4" xfId="23539"/>
    <cellStyle name="Note 2 3 3 3 6 8" xfId="23540"/>
    <cellStyle name="Note 2 3 3 3 6 8 2" xfId="23541"/>
    <cellStyle name="Note 2 3 3 3 6 8 3" xfId="23542"/>
    <cellStyle name="Note 2 3 3 3 6 8 4" xfId="23543"/>
    <cellStyle name="Note 2 3 3 3 6 9" xfId="23544"/>
    <cellStyle name="Note 2 3 3 3 6 9 2" xfId="23545"/>
    <cellStyle name="Note 2 3 3 3 6 9 3" xfId="23546"/>
    <cellStyle name="Note 2 3 3 3 6 9 4" xfId="23547"/>
    <cellStyle name="Note 2 3 3 3 7" xfId="23548"/>
    <cellStyle name="Note 2 3 3 3 7 10" xfId="23549"/>
    <cellStyle name="Note 2 3 3 3 7 11" xfId="23550"/>
    <cellStyle name="Note 2 3 3 3 7 12" xfId="23551"/>
    <cellStyle name="Note 2 3 3 3 7 2" xfId="23552"/>
    <cellStyle name="Note 2 3 3 3 7 2 10" xfId="23553"/>
    <cellStyle name="Note 2 3 3 3 7 2 11" xfId="23554"/>
    <cellStyle name="Note 2 3 3 3 7 2 2" xfId="23555"/>
    <cellStyle name="Note 2 3 3 3 7 2 2 2" xfId="23556"/>
    <cellStyle name="Note 2 3 3 3 7 2 2 2 2" xfId="23557"/>
    <cellStyle name="Note 2 3 3 3 7 2 2 2 2 2" xfId="23558"/>
    <cellStyle name="Note 2 3 3 3 7 2 2 2 2 3" xfId="23559"/>
    <cellStyle name="Note 2 3 3 3 7 2 2 2 2 4" xfId="23560"/>
    <cellStyle name="Note 2 3 3 3 7 2 2 2 3" xfId="23561"/>
    <cellStyle name="Note 2 3 3 3 7 2 2 2 4" xfId="23562"/>
    <cellStyle name="Note 2 3 3 3 7 2 2 2 5" xfId="23563"/>
    <cellStyle name="Note 2 3 3 3 7 2 2 2 6" xfId="23564"/>
    <cellStyle name="Note 2 3 3 3 7 2 2 3" xfId="23565"/>
    <cellStyle name="Note 2 3 3 3 7 2 2 3 2" xfId="23566"/>
    <cellStyle name="Note 2 3 3 3 7 2 2 3 3" xfId="23567"/>
    <cellStyle name="Note 2 3 3 3 7 2 2 3 4" xfId="23568"/>
    <cellStyle name="Note 2 3 3 3 7 2 2 4" xfId="23569"/>
    <cellStyle name="Note 2 3 3 3 7 2 2 5" xfId="23570"/>
    <cellStyle name="Note 2 3 3 3 7 2 2 6" xfId="23571"/>
    <cellStyle name="Note 2 3 3 3 7 2 2 7" xfId="23572"/>
    <cellStyle name="Note 2 3 3 3 7 2 3" xfId="23573"/>
    <cellStyle name="Note 2 3 3 3 7 2 3 2" xfId="23574"/>
    <cellStyle name="Note 2 3 3 3 7 2 3 2 2" xfId="23575"/>
    <cellStyle name="Note 2 3 3 3 7 2 3 2 3" xfId="23576"/>
    <cellStyle name="Note 2 3 3 3 7 2 3 2 4" xfId="23577"/>
    <cellStyle name="Note 2 3 3 3 7 2 3 3" xfId="23578"/>
    <cellStyle name="Note 2 3 3 3 7 2 3 4" xfId="23579"/>
    <cellStyle name="Note 2 3 3 3 7 2 3 5" xfId="23580"/>
    <cellStyle name="Note 2 3 3 3 7 2 3 6" xfId="23581"/>
    <cellStyle name="Note 2 3 3 3 7 2 4" xfId="23582"/>
    <cellStyle name="Note 2 3 3 3 7 2 4 2" xfId="23583"/>
    <cellStyle name="Note 2 3 3 3 7 2 4 3" xfId="23584"/>
    <cellStyle name="Note 2 3 3 3 7 2 4 4" xfId="23585"/>
    <cellStyle name="Note 2 3 3 3 7 2 4 5" xfId="23586"/>
    <cellStyle name="Note 2 3 3 3 7 2 5" xfId="23587"/>
    <cellStyle name="Note 2 3 3 3 7 2 5 2" xfId="23588"/>
    <cellStyle name="Note 2 3 3 3 7 2 5 3" xfId="23589"/>
    <cellStyle name="Note 2 3 3 3 7 2 5 4" xfId="23590"/>
    <cellStyle name="Note 2 3 3 3 7 2 6" xfId="23591"/>
    <cellStyle name="Note 2 3 3 3 7 2 6 2" xfId="23592"/>
    <cellStyle name="Note 2 3 3 3 7 2 6 3" xfId="23593"/>
    <cellStyle name="Note 2 3 3 3 7 2 6 4" xfId="23594"/>
    <cellStyle name="Note 2 3 3 3 7 2 7" xfId="23595"/>
    <cellStyle name="Note 2 3 3 3 7 2 7 2" xfId="23596"/>
    <cellStyle name="Note 2 3 3 3 7 2 7 3" xfId="23597"/>
    <cellStyle name="Note 2 3 3 3 7 2 7 4" xfId="23598"/>
    <cellStyle name="Note 2 3 3 3 7 2 8" xfId="23599"/>
    <cellStyle name="Note 2 3 3 3 7 2 9" xfId="23600"/>
    <cellStyle name="Note 2 3 3 3 7 3" xfId="23601"/>
    <cellStyle name="Note 2 3 3 3 7 3 2" xfId="23602"/>
    <cellStyle name="Note 2 3 3 3 7 3 2 2" xfId="23603"/>
    <cellStyle name="Note 2 3 3 3 7 3 2 2 2" xfId="23604"/>
    <cellStyle name="Note 2 3 3 3 7 3 2 2 3" xfId="23605"/>
    <cellStyle name="Note 2 3 3 3 7 3 2 2 4" xfId="23606"/>
    <cellStyle name="Note 2 3 3 3 7 3 2 3" xfId="23607"/>
    <cellStyle name="Note 2 3 3 3 7 3 2 4" xfId="23608"/>
    <cellStyle name="Note 2 3 3 3 7 3 2 5" xfId="23609"/>
    <cellStyle name="Note 2 3 3 3 7 3 2 6" xfId="23610"/>
    <cellStyle name="Note 2 3 3 3 7 3 3" xfId="23611"/>
    <cellStyle name="Note 2 3 3 3 7 3 3 2" xfId="23612"/>
    <cellStyle name="Note 2 3 3 3 7 3 3 3" xfId="23613"/>
    <cellStyle name="Note 2 3 3 3 7 3 3 4" xfId="23614"/>
    <cellStyle name="Note 2 3 3 3 7 3 4" xfId="23615"/>
    <cellStyle name="Note 2 3 3 3 7 3 5" xfId="23616"/>
    <cellStyle name="Note 2 3 3 3 7 3 6" xfId="23617"/>
    <cellStyle name="Note 2 3 3 3 7 3 7" xfId="23618"/>
    <cellStyle name="Note 2 3 3 3 7 4" xfId="23619"/>
    <cellStyle name="Note 2 3 3 3 7 4 2" xfId="23620"/>
    <cellStyle name="Note 2 3 3 3 7 4 2 2" xfId="23621"/>
    <cellStyle name="Note 2 3 3 3 7 4 2 3" xfId="23622"/>
    <cellStyle name="Note 2 3 3 3 7 4 2 4" xfId="23623"/>
    <cellStyle name="Note 2 3 3 3 7 4 3" xfId="23624"/>
    <cellStyle name="Note 2 3 3 3 7 4 4" xfId="23625"/>
    <cellStyle name="Note 2 3 3 3 7 4 5" xfId="23626"/>
    <cellStyle name="Note 2 3 3 3 7 4 6" xfId="23627"/>
    <cellStyle name="Note 2 3 3 3 7 5" xfId="23628"/>
    <cellStyle name="Note 2 3 3 3 7 5 2" xfId="23629"/>
    <cellStyle name="Note 2 3 3 3 7 5 3" xfId="23630"/>
    <cellStyle name="Note 2 3 3 3 7 5 4" xfId="23631"/>
    <cellStyle name="Note 2 3 3 3 7 5 5" xfId="23632"/>
    <cellStyle name="Note 2 3 3 3 7 6" xfId="23633"/>
    <cellStyle name="Note 2 3 3 3 7 6 2" xfId="23634"/>
    <cellStyle name="Note 2 3 3 3 7 6 3" xfId="23635"/>
    <cellStyle name="Note 2 3 3 3 7 6 4" xfId="23636"/>
    <cellStyle name="Note 2 3 3 3 7 7" xfId="23637"/>
    <cellStyle name="Note 2 3 3 3 7 7 2" xfId="23638"/>
    <cellStyle name="Note 2 3 3 3 7 7 3" xfId="23639"/>
    <cellStyle name="Note 2 3 3 3 7 7 4" xfId="23640"/>
    <cellStyle name="Note 2 3 3 3 7 8" xfId="23641"/>
    <cellStyle name="Note 2 3 3 3 7 8 2" xfId="23642"/>
    <cellStyle name="Note 2 3 3 3 7 8 3" xfId="23643"/>
    <cellStyle name="Note 2 3 3 3 7 8 4" xfId="23644"/>
    <cellStyle name="Note 2 3 3 3 7 9" xfId="23645"/>
    <cellStyle name="Note 2 3 3 3 8" xfId="23646"/>
    <cellStyle name="Note 2 3 3 3 8 10" xfId="23647"/>
    <cellStyle name="Note 2 3 3 3 8 11" xfId="23648"/>
    <cellStyle name="Note 2 3 3 3 8 2" xfId="23649"/>
    <cellStyle name="Note 2 3 3 3 8 2 2" xfId="23650"/>
    <cellStyle name="Note 2 3 3 3 8 2 2 2" xfId="23651"/>
    <cellStyle name="Note 2 3 3 3 8 2 2 2 2" xfId="23652"/>
    <cellStyle name="Note 2 3 3 3 8 2 2 2 3" xfId="23653"/>
    <cellStyle name="Note 2 3 3 3 8 2 2 2 4" xfId="23654"/>
    <cellStyle name="Note 2 3 3 3 8 2 2 3" xfId="23655"/>
    <cellStyle name="Note 2 3 3 3 8 2 2 4" xfId="23656"/>
    <cellStyle name="Note 2 3 3 3 8 2 2 5" xfId="23657"/>
    <cellStyle name="Note 2 3 3 3 8 2 2 6" xfId="23658"/>
    <cellStyle name="Note 2 3 3 3 8 2 3" xfId="23659"/>
    <cellStyle name="Note 2 3 3 3 8 2 3 2" xfId="23660"/>
    <cellStyle name="Note 2 3 3 3 8 2 3 3" xfId="23661"/>
    <cellStyle name="Note 2 3 3 3 8 2 3 4" xfId="23662"/>
    <cellStyle name="Note 2 3 3 3 8 2 4" xfId="23663"/>
    <cellStyle name="Note 2 3 3 3 8 2 5" xfId="23664"/>
    <cellStyle name="Note 2 3 3 3 8 2 6" xfId="23665"/>
    <cellStyle name="Note 2 3 3 3 8 2 7" xfId="23666"/>
    <cellStyle name="Note 2 3 3 3 8 3" xfId="23667"/>
    <cellStyle name="Note 2 3 3 3 8 3 2" xfId="23668"/>
    <cellStyle name="Note 2 3 3 3 8 3 2 2" xfId="23669"/>
    <cellStyle name="Note 2 3 3 3 8 3 2 3" xfId="23670"/>
    <cellStyle name="Note 2 3 3 3 8 3 2 4" xfId="23671"/>
    <cellStyle name="Note 2 3 3 3 8 3 3" xfId="23672"/>
    <cellStyle name="Note 2 3 3 3 8 3 4" xfId="23673"/>
    <cellStyle name="Note 2 3 3 3 8 3 5" xfId="23674"/>
    <cellStyle name="Note 2 3 3 3 8 3 6" xfId="23675"/>
    <cellStyle name="Note 2 3 3 3 8 4" xfId="23676"/>
    <cellStyle name="Note 2 3 3 3 8 4 2" xfId="23677"/>
    <cellStyle name="Note 2 3 3 3 8 4 3" xfId="23678"/>
    <cellStyle name="Note 2 3 3 3 8 4 4" xfId="23679"/>
    <cellStyle name="Note 2 3 3 3 8 4 5" xfId="23680"/>
    <cellStyle name="Note 2 3 3 3 8 5" xfId="23681"/>
    <cellStyle name="Note 2 3 3 3 8 5 2" xfId="23682"/>
    <cellStyle name="Note 2 3 3 3 8 5 3" xfId="23683"/>
    <cellStyle name="Note 2 3 3 3 8 5 4" xfId="23684"/>
    <cellStyle name="Note 2 3 3 3 8 6" xfId="23685"/>
    <cellStyle name="Note 2 3 3 3 8 6 2" xfId="23686"/>
    <cellStyle name="Note 2 3 3 3 8 6 3" xfId="23687"/>
    <cellStyle name="Note 2 3 3 3 8 6 4" xfId="23688"/>
    <cellStyle name="Note 2 3 3 3 8 7" xfId="23689"/>
    <cellStyle name="Note 2 3 3 3 8 7 2" xfId="23690"/>
    <cellStyle name="Note 2 3 3 3 8 7 3" xfId="23691"/>
    <cellStyle name="Note 2 3 3 3 8 7 4" xfId="23692"/>
    <cellStyle name="Note 2 3 3 3 8 8" xfId="23693"/>
    <cellStyle name="Note 2 3 3 3 8 9" xfId="23694"/>
    <cellStyle name="Note 2 3 3 3 9" xfId="23695"/>
    <cellStyle name="Note 2 3 3 3 9 10" xfId="23696"/>
    <cellStyle name="Note 2 3 3 3 9 2" xfId="23697"/>
    <cellStyle name="Note 2 3 3 3 9 2 2" xfId="23698"/>
    <cellStyle name="Note 2 3 3 3 9 2 2 2" xfId="23699"/>
    <cellStyle name="Note 2 3 3 3 9 2 2 3" xfId="23700"/>
    <cellStyle name="Note 2 3 3 3 9 2 2 4" xfId="23701"/>
    <cellStyle name="Note 2 3 3 3 9 2 3" xfId="23702"/>
    <cellStyle name="Note 2 3 3 3 9 2 4" xfId="23703"/>
    <cellStyle name="Note 2 3 3 3 9 2 5" xfId="23704"/>
    <cellStyle name="Note 2 3 3 3 9 2 6" xfId="23705"/>
    <cellStyle name="Note 2 3 3 3 9 3" xfId="23706"/>
    <cellStyle name="Note 2 3 3 3 9 3 2" xfId="23707"/>
    <cellStyle name="Note 2 3 3 3 9 3 3" xfId="23708"/>
    <cellStyle name="Note 2 3 3 3 9 3 4" xfId="23709"/>
    <cellStyle name="Note 2 3 3 3 9 4" xfId="23710"/>
    <cellStyle name="Note 2 3 3 3 9 4 2" xfId="23711"/>
    <cellStyle name="Note 2 3 3 3 9 4 3" xfId="23712"/>
    <cellStyle name="Note 2 3 3 3 9 4 4" xfId="23713"/>
    <cellStyle name="Note 2 3 3 3 9 5" xfId="23714"/>
    <cellStyle name="Note 2 3 3 3 9 5 2" xfId="23715"/>
    <cellStyle name="Note 2 3 3 3 9 5 3" xfId="23716"/>
    <cellStyle name="Note 2 3 3 3 9 5 4" xfId="23717"/>
    <cellStyle name="Note 2 3 3 3 9 6" xfId="23718"/>
    <cellStyle name="Note 2 3 3 3 9 6 2" xfId="23719"/>
    <cellStyle name="Note 2 3 3 3 9 6 3" xfId="23720"/>
    <cellStyle name="Note 2 3 3 3 9 6 4" xfId="23721"/>
    <cellStyle name="Note 2 3 3 3 9 7" xfId="23722"/>
    <cellStyle name="Note 2 3 3 3 9 8" xfId="23723"/>
    <cellStyle name="Note 2 3 3 3 9 9" xfId="23724"/>
    <cellStyle name="Note 2 3 3 4" xfId="23725"/>
    <cellStyle name="Note 2 3 3 4 10" xfId="23726"/>
    <cellStyle name="Note 2 3 3 4 10 2" xfId="23727"/>
    <cellStyle name="Note 2 3 3 4 10 3" xfId="23728"/>
    <cellStyle name="Note 2 3 3 4 10 4" xfId="23729"/>
    <cellStyle name="Note 2 3 3 4 11" xfId="23730"/>
    <cellStyle name="Note 2 3 3 4 11 2" xfId="23731"/>
    <cellStyle name="Note 2 3 3 4 11 3" xfId="23732"/>
    <cellStyle name="Note 2 3 3 4 11 4" xfId="23733"/>
    <cellStyle name="Note 2 3 3 4 12" xfId="23734"/>
    <cellStyle name="Note 2 3 3 4 12 2" xfId="23735"/>
    <cellStyle name="Note 2 3 3 4 12 3" xfId="23736"/>
    <cellStyle name="Note 2 3 3 4 12 4" xfId="23737"/>
    <cellStyle name="Note 2 3 3 4 13" xfId="23738"/>
    <cellStyle name="Note 2 3 3 4 14" xfId="23739"/>
    <cellStyle name="Note 2 3 3 4 15" xfId="23740"/>
    <cellStyle name="Note 2 3 3 4 16" xfId="23741"/>
    <cellStyle name="Note 2 3 3 4 2" xfId="23742"/>
    <cellStyle name="Note 2 3 3 4 2 10" xfId="23743"/>
    <cellStyle name="Note 2 3 3 4 2 11" xfId="23744"/>
    <cellStyle name="Note 2 3 3 4 2 12" xfId="23745"/>
    <cellStyle name="Note 2 3 3 4 2 2" xfId="23746"/>
    <cellStyle name="Note 2 3 3 4 2 2 10" xfId="23747"/>
    <cellStyle name="Note 2 3 3 4 2 2 11" xfId="23748"/>
    <cellStyle name="Note 2 3 3 4 2 2 2" xfId="23749"/>
    <cellStyle name="Note 2 3 3 4 2 2 2 2" xfId="23750"/>
    <cellStyle name="Note 2 3 3 4 2 2 2 2 2" xfId="23751"/>
    <cellStyle name="Note 2 3 3 4 2 2 2 2 2 2" xfId="23752"/>
    <cellStyle name="Note 2 3 3 4 2 2 2 2 2 3" xfId="23753"/>
    <cellStyle name="Note 2 3 3 4 2 2 2 2 2 4" xfId="23754"/>
    <cellStyle name="Note 2 3 3 4 2 2 2 2 3" xfId="23755"/>
    <cellStyle name="Note 2 3 3 4 2 2 2 2 4" xfId="23756"/>
    <cellStyle name="Note 2 3 3 4 2 2 2 2 5" xfId="23757"/>
    <cellStyle name="Note 2 3 3 4 2 2 2 2 6" xfId="23758"/>
    <cellStyle name="Note 2 3 3 4 2 2 2 3" xfId="23759"/>
    <cellStyle name="Note 2 3 3 4 2 2 2 3 2" xfId="23760"/>
    <cellStyle name="Note 2 3 3 4 2 2 2 3 3" xfId="23761"/>
    <cellStyle name="Note 2 3 3 4 2 2 2 3 4" xfId="23762"/>
    <cellStyle name="Note 2 3 3 4 2 2 2 4" xfId="23763"/>
    <cellStyle name="Note 2 3 3 4 2 2 2 5" xfId="23764"/>
    <cellStyle name="Note 2 3 3 4 2 2 2 6" xfId="23765"/>
    <cellStyle name="Note 2 3 3 4 2 2 2 7" xfId="23766"/>
    <cellStyle name="Note 2 3 3 4 2 2 3" xfId="23767"/>
    <cellStyle name="Note 2 3 3 4 2 2 3 2" xfId="23768"/>
    <cellStyle name="Note 2 3 3 4 2 2 3 2 2" xfId="23769"/>
    <cellStyle name="Note 2 3 3 4 2 2 3 2 3" xfId="23770"/>
    <cellStyle name="Note 2 3 3 4 2 2 3 2 4" xfId="23771"/>
    <cellStyle name="Note 2 3 3 4 2 2 3 3" xfId="23772"/>
    <cellStyle name="Note 2 3 3 4 2 2 3 4" xfId="23773"/>
    <cellStyle name="Note 2 3 3 4 2 2 3 5" xfId="23774"/>
    <cellStyle name="Note 2 3 3 4 2 2 3 6" xfId="23775"/>
    <cellStyle name="Note 2 3 3 4 2 2 4" xfId="23776"/>
    <cellStyle name="Note 2 3 3 4 2 2 4 2" xfId="23777"/>
    <cellStyle name="Note 2 3 3 4 2 2 4 3" xfId="23778"/>
    <cellStyle name="Note 2 3 3 4 2 2 4 4" xfId="23779"/>
    <cellStyle name="Note 2 3 3 4 2 2 4 5" xfId="23780"/>
    <cellStyle name="Note 2 3 3 4 2 2 5" xfId="23781"/>
    <cellStyle name="Note 2 3 3 4 2 2 5 2" xfId="23782"/>
    <cellStyle name="Note 2 3 3 4 2 2 5 3" xfId="23783"/>
    <cellStyle name="Note 2 3 3 4 2 2 5 4" xfId="23784"/>
    <cellStyle name="Note 2 3 3 4 2 2 6" xfId="23785"/>
    <cellStyle name="Note 2 3 3 4 2 2 6 2" xfId="23786"/>
    <cellStyle name="Note 2 3 3 4 2 2 6 3" xfId="23787"/>
    <cellStyle name="Note 2 3 3 4 2 2 6 4" xfId="23788"/>
    <cellStyle name="Note 2 3 3 4 2 2 7" xfId="23789"/>
    <cellStyle name="Note 2 3 3 4 2 2 7 2" xfId="23790"/>
    <cellStyle name="Note 2 3 3 4 2 2 7 3" xfId="23791"/>
    <cellStyle name="Note 2 3 3 4 2 2 7 4" xfId="23792"/>
    <cellStyle name="Note 2 3 3 4 2 2 8" xfId="23793"/>
    <cellStyle name="Note 2 3 3 4 2 2 9" xfId="23794"/>
    <cellStyle name="Note 2 3 3 4 2 3" xfId="23795"/>
    <cellStyle name="Note 2 3 3 4 2 3 2" xfId="23796"/>
    <cellStyle name="Note 2 3 3 4 2 3 2 2" xfId="23797"/>
    <cellStyle name="Note 2 3 3 4 2 3 2 2 2" xfId="23798"/>
    <cellStyle name="Note 2 3 3 4 2 3 2 2 3" xfId="23799"/>
    <cellStyle name="Note 2 3 3 4 2 3 2 2 4" xfId="23800"/>
    <cellStyle name="Note 2 3 3 4 2 3 2 3" xfId="23801"/>
    <cellStyle name="Note 2 3 3 4 2 3 2 4" xfId="23802"/>
    <cellStyle name="Note 2 3 3 4 2 3 2 5" xfId="23803"/>
    <cellStyle name="Note 2 3 3 4 2 3 2 6" xfId="23804"/>
    <cellStyle name="Note 2 3 3 4 2 3 3" xfId="23805"/>
    <cellStyle name="Note 2 3 3 4 2 3 3 2" xfId="23806"/>
    <cellStyle name="Note 2 3 3 4 2 3 3 3" xfId="23807"/>
    <cellStyle name="Note 2 3 3 4 2 3 3 4" xfId="23808"/>
    <cellStyle name="Note 2 3 3 4 2 3 4" xfId="23809"/>
    <cellStyle name="Note 2 3 3 4 2 3 5" xfId="23810"/>
    <cellStyle name="Note 2 3 3 4 2 3 6" xfId="23811"/>
    <cellStyle name="Note 2 3 3 4 2 3 7" xfId="23812"/>
    <cellStyle name="Note 2 3 3 4 2 4" xfId="23813"/>
    <cellStyle name="Note 2 3 3 4 2 4 2" xfId="23814"/>
    <cellStyle name="Note 2 3 3 4 2 4 2 2" xfId="23815"/>
    <cellStyle name="Note 2 3 3 4 2 4 2 3" xfId="23816"/>
    <cellStyle name="Note 2 3 3 4 2 4 2 4" xfId="23817"/>
    <cellStyle name="Note 2 3 3 4 2 4 3" xfId="23818"/>
    <cellStyle name="Note 2 3 3 4 2 4 4" xfId="23819"/>
    <cellStyle name="Note 2 3 3 4 2 4 5" xfId="23820"/>
    <cellStyle name="Note 2 3 3 4 2 4 6" xfId="23821"/>
    <cellStyle name="Note 2 3 3 4 2 5" xfId="23822"/>
    <cellStyle name="Note 2 3 3 4 2 5 2" xfId="23823"/>
    <cellStyle name="Note 2 3 3 4 2 5 3" xfId="23824"/>
    <cellStyle name="Note 2 3 3 4 2 5 4" xfId="23825"/>
    <cellStyle name="Note 2 3 3 4 2 5 5" xfId="23826"/>
    <cellStyle name="Note 2 3 3 4 2 6" xfId="23827"/>
    <cellStyle name="Note 2 3 3 4 2 6 2" xfId="23828"/>
    <cellStyle name="Note 2 3 3 4 2 6 3" xfId="23829"/>
    <cellStyle name="Note 2 3 3 4 2 6 4" xfId="23830"/>
    <cellStyle name="Note 2 3 3 4 2 7" xfId="23831"/>
    <cellStyle name="Note 2 3 3 4 2 7 2" xfId="23832"/>
    <cellStyle name="Note 2 3 3 4 2 7 3" xfId="23833"/>
    <cellStyle name="Note 2 3 3 4 2 7 4" xfId="23834"/>
    <cellStyle name="Note 2 3 3 4 2 8" xfId="23835"/>
    <cellStyle name="Note 2 3 3 4 2 8 2" xfId="23836"/>
    <cellStyle name="Note 2 3 3 4 2 8 3" xfId="23837"/>
    <cellStyle name="Note 2 3 3 4 2 8 4" xfId="23838"/>
    <cellStyle name="Note 2 3 3 4 2 9" xfId="23839"/>
    <cellStyle name="Note 2 3 3 4 3" xfId="23840"/>
    <cellStyle name="Note 2 3 3 4 3 10" xfId="23841"/>
    <cellStyle name="Note 2 3 3 4 3 11" xfId="23842"/>
    <cellStyle name="Note 2 3 3 4 3 2" xfId="23843"/>
    <cellStyle name="Note 2 3 3 4 3 2 2" xfId="23844"/>
    <cellStyle name="Note 2 3 3 4 3 2 2 2" xfId="23845"/>
    <cellStyle name="Note 2 3 3 4 3 2 2 2 2" xfId="23846"/>
    <cellStyle name="Note 2 3 3 4 3 2 2 2 3" xfId="23847"/>
    <cellStyle name="Note 2 3 3 4 3 2 2 2 4" xfId="23848"/>
    <cellStyle name="Note 2 3 3 4 3 2 2 3" xfId="23849"/>
    <cellStyle name="Note 2 3 3 4 3 2 2 4" xfId="23850"/>
    <cellStyle name="Note 2 3 3 4 3 2 2 5" xfId="23851"/>
    <cellStyle name="Note 2 3 3 4 3 2 2 6" xfId="23852"/>
    <cellStyle name="Note 2 3 3 4 3 2 3" xfId="23853"/>
    <cellStyle name="Note 2 3 3 4 3 2 3 2" xfId="23854"/>
    <cellStyle name="Note 2 3 3 4 3 2 3 3" xfId="23855"/>
    <cellStyle name="Note 2 3 3 4 3 2 3 4" xfId="23856"/>
    <cellStyle name="Note 2 3 3 4 3 2 4" xfId="23857"/>
    <cellStyle name="Note 2 3 3 4 3 2 5" xfId="23858"/>
    <cellStyle name="Note 2 3 3 4 3 2 6" xfId="23859"/>
    <cellStyle name="Note 2 3 3 4 3 2 7" xfId="23860"/>
    <cellStyle name="Note 2 3 3 4 3 3" xfId="23861"/>
    <cellStyle name="Note 2 3 3 4 3 3 2" xfId="23862"/>
    <cellStyle name="Note 2 3 3 4 3 3 2 2" xfId="23863"/>
    <cellStyle name="Note 2 3 3 4 3 3 2 3" xfId="23864"/>
    <cellStyle name="Note 2 3 3 4 3 3 2 4" xfId="23865"/>
    <cellStyle name="Note 2 3 3 4 3 3 3" xfId="23866"/>
    <cellStyle name="Note 2 3 3 4 3 3 4" xfId="23867"/>
    <cellStyle name="Note 2 3 3 4 3 3 5" xfId="23868"/>
    <cellStyle name="Note 2 3 3 4 3 3 6" xfId="23869"/>
    <cellStyle name="Note 2 3 3 4 3 4" xfId="23870"/>
    <cellStyle name="Note 2 3 3 4 3 4 2" xfId="23871"/>
    <cellStyle name="Note 2 3 3 4 3 4 3" xfId="23872"/>
    <cellStyle name="Note 2 3 3 4 3 4 4" xfId="23873"/>
    <cellStyle name="Note 2 3 3 4 3 4 5" xfId="23874"/>
    <cellStyle name="Note 2 3 3 4 3 5" xfId="23875"/>
    <cellStyle name="Note 2 3 3 4 3 5 2" xfId="23876"/>
    <cellStyle name="Note 2 3 3 4 3 5 3" xfId="23877"/>
    <cellStyle name="Note 2 3 3 4 3 5 4" xfId="23878"/>
    <cellStyle name="Note 2 3 3 4 3 6" xfId="23879"/>
    <cellStyle name="Note 2 3 3 4 3 6 2" xfId="23880"/>
    <cellStyle name="Note 2 3 3 4 3 6 3" xfId="23881"/>
    <cellStyle name="Note 2 3 3 4 3 6 4" xfId="23882"/>
    <cellStyle name="Note 2 3 3 4 3 7" xfId="23883"/>
    <cellStyle name="Note 2 3 3 4 3 7 2" xfId="23884"/>
    <cellStyle name="Note 2 3 3 4 3 7 3" xfId="23885"/>
    <cellStyle name="Note 2 3 3 4 3 7 4" xfId="23886"/>
    <cellStyle name="Note 2 3 3 4 3 8" xfId="23887"/>
    <cellStyle name="Note 2 3 3 4 3 9" xfId="23888"/>
    <cellStyle name="Note 2 3 3 4 4" xfId="23889"/>
    <cellStyle name="Note 2 3 3 4 4 2" xfId="23890"/>
    <cellStyle name="Note 2 3 3 4 4 2 2" xfId="23891"/>
    <cellStyle name="Note 2 3 3 4 4 2 2 2" xfId="23892"/>
    <cellStyle name="Note 2 3 3 4 4 2 2 3" xfId="23893"/>
    <cellStyle name="Note 2 3 3 4 4 2 2 4" xfId="23894"/>
    <cellStyle name="Note 2 3 3 4 4 2 3" xfId="23895"/>
    <cellStyle name="Note 2 3 3 4 4 2 4" xfId="23896"/>
    <cellStyle name="Note 2 3 3 4 4 2 5" xfId="23897"/>
    <cellStyle name="Note 2 3 3 4 4 2 6" xfId="23898"/>
    <cellStyle name="Note 2 3 3 4 4 3" xfId="23899"/>
    <cellStyle name="Note 2 3 3 4 4 3 2" xfId="23900"/>
    <cellStyle name="Note 2 3 3 4 4 3 3" xfId="23901"/>
    <cellStyle name="Note 2 3 3 4 4 3 4" xfId="23902"/>
    <cellStyle name="Note 2 3 3 4 4 4" xfId="23903"/>
    <cellStyle name="Note 2 3 3 4 4 5" xfId="23904"/>
    <cellStyle name="Note 2 3 3 4 4 6" xfId="23905"/>
    <cellStyle name="Note 2 3 3 4 4 7" xfId="23906"/>
    <cellStyle name="Note 2 3 3 4 5" xfId="23907"/>
    <cellStyle name="Note 2 3 3 4 5 2" xfId="23908"/>
    <cellStyle name="Note 2 3 3 4 5 2 2" xfId="23909"/>
    <cellStyle name="Note 2 3 3 4 5 2 3" xfId="23910"/>
    <cellStyle name="Note 2 3 3 4 5 2 4" xfId="23911"/>
    <cellStyle name="Note 2 3 3 4 5 3" xfId="23912"/>
    <cellStyle name="Note 2 3 3 4 5 3 2" xfId="23913"/>
    <cellStyle name="Note 2 3 3 4 5 3 3" xfId="23914"/>
    <cellStyle name="Note 2 3 3 4 5 3 4" xfId="23915"/>
    <cellStyle name="Note 2 3 3 4 5 4" xfId="23916"/>
    <cellStyle name="Note 2 3 3 4 5 5" xfId="23917"/>
    <cellStyle name="Note 2 3 3 4 5 6" xfId="23918"/>
    <cellStyle name="Note 2 3 3 4 5 7" xfId="23919"/>
    <cellStyle name="Note 2 3 3 4 6" xfId="23920"/>
    <cellStyle name="Note 2 3 3 4 6 2" xfId="23921"/>
    <cellStyle name="Note 2 3 3 4 6 2 2" xfId="23922"/>
    <cellStyle name="Note 2 3 3 4 6 2 3" xfId="23923"/>
    <cellStyle name="Note 2 3 3 4 6 2 4" xfId="23924"/>
    <cellStyle name="Note 2 3 3 4 6 3" xfId="23925"/>
    <cellStyle name="Note 2 3 3 4 6 3 2" xfId="23926"/>
    <cellStyle name="Note 2 3 3 4 6 3 3" xfId="23927"/>
    <cellStyle name="Note 2 3 3 4 6 3 4" xfId="23928"/>
    <cellStyle name="Note 2 3 3 4 6 4" xfId="23929"/>
    <cellStyle name="Note 2 3 3 4 6 5" xfId="23930"/>
    <cellStyle name="Note 2 3 3 4 6 6" xfId="23931"/>
    <cellStyle name="Note 2 3 3 4 6 7" xfId="23932"/>
    <cellStyle name="Note 2 3 3 4 7" xfId="23933"/>
    <cellStyle name="Note 2 3 3 4 7 2" xfId="23934"/>
    <cellStyle name="Note 2 3 3 4 7 2 2" xfId="23935"/>
    <cellStyle name="Note 2 3 3 4 7 2 3" xfId="23936"/>
    <cellStyle name="Note 2 3 3 4 7 2 4" xfId="23937"/>
    <cellStyle name="Note 2 3 3 4 7 3" xfId="23938"/>
    <cellStyle name="Note 2 3 3 4 7 3 2" xfId="23939"/>
    <cellStyle name="Note 2 3 3 4 7 3 3" xfId="23940"/>
    <cellStyle name="Note 2 3 3 4 7 3 4" xfId="23941"/>
    <cellStyle name="Note 2 3 3 4 7 4" xfId="23942"/>
    <cellStyle name="Note 2 3 3 4 7 5" xfId="23943"/>
    <cellStyle name="Note 2 3 3 4 7 6" xfId="23944"/>
    <cellStyle name="Note 2 3 3 4 7 7" xfId="23945"/>
    <cellStyle name="Note 2 3 3 4 8" xfId="23946"/>
    <cellStyle name="Note 2 3 3 4 8 2" xfId="23947"/>
    <cellStyle name="Note 2 3 3 4 8 2 2" xfId="23948"/>
    <cellStyle name="Note 2 3 3 4 8 2 3" xfId="23949"/>
    <cellStyle name="Note 2 3 3 4 8 2 4" xfId="23950"/>
    <cellStyle name="Note 2 3 3 4 8 3" xfId="23951"/>
    <cellStyle name="Note 2 3 3 4 8 4" xfId="23952"/>
    <cellStyle name="Note 2 3 3 4 8 5" xfId="23953"/>
    <cellStyle name="Note 2 3 3 4 8 6" xfId="23954"/>
    <cellStyle name="Note 2 3 3 4 9" xfId="23955"/>
    <cellStyle name="Note 2 3 3 4 9 2" xfId="23956"/>
    <cellStyle name="Note 2 3 3 4 9 3" xfId="23957"/>
    <cellStyle name="Note 2 3 3 4 9 4" xfId="23958"/>
    <cellStyle name="Note 2 3 3 4 9 5" xfId="23959"/>
    <cellStyle name="Note 2 3 3 5" xfId="23960"/>
    <cellStyle name="Note 2 3 3 5 10" xfId="23961"/>
    <cellStyle name="Note 2 3 3 5 10 2" xfId="23962"/>
    <cellStyle name="Note 2 3 3 5 10 3" xfId="23963"/>
    <cellStyle name="Note 2 3 3 5 10 4" xfId="23964"/>
    <cellStyle name="Note 2 3 3 5 11" xfId="23965"/>
    <cellStyle name="Note 2 3 3 5 11 2" xfId="23966"/>
    <cellStyle name="Note 2 3 3 5 11 3" xfId="23967"/>
    <cellStyle name="Note 2 3 3 5 11 4" xfId="23968"/>
    <cellStyle name="Note 2 3 3 5 12" xfId="23969"/>
    <cellStyle name="Note 2 3 3 5 12 2" xfId="23970"/>
    <cellStyle name="Note 2 3 3 5 12 3" xfId="23971"/>
    <cellStyle name="Note 2 3 3 5 12 4" xfId="23972"/>
    <cellStyle name="Note 2 3 3 5 13" xfId="23973"/>
    <cellStyle name="Note 2 3 3 5 14" xfId="23974"/>
    <cellStyle name="Note 2 3 3 5 15" xfId="23975"/>
    <cellStyle name="Note 2 3 3 5 16" xfId="23976"/>
    <cellStyle name="Note 2 3 3 5 2" xfId="23977"/>
    <cellStyle name="Note 2 3 3 5 2 10" xfId="23978"/>
    <cellStyle name="Note 2 3 3 5 2 11" xfId="23979"/>
    <cellStyle name="Note 2 3 3 5 2 12" xfId="23980"/>
    <cellStyle name="Note 2 3 3 5 2 2" xfId="23981"/>
    <cellStyle name="Note 2 3 3 5 2 2 10" xfId="23982"/>
    <cellStyle name="Note 2 3 3 5 2 2 11" xfId="23983"/>
    <cellStyle name="Note 2 3 3 5 2 2 2" xfId="23984"/>
    <cellStyle name="Note 2 3 3 5 2 2 2 2" xfId="23985"/>
    <cellStyle name="Note 2 3 3 5 2 2 2 2 2" xfId="23986"/>
    <cellStyle name="Note 2 3 3 5 2 2 2 2 2 2" xfId="23987"/>
    <cellStyle name="Note 2 3 3 5 2 2 2 2 2 3" xfId="23988"/>
    <cellStyle name="Note 2 3 3 5 2 2 2 2 2 4" xfId="23989"/>
    <cellStyle name="Note 2 3 3 5 2 2 2 2 3" xfId="23990"/>
    <cellStyle name="Note 2 3 3 5 2 2 2 2 4" xfId="23991"/>
    <cellStyle name="Note 2 3 3 5 2 2 2 2 5" xfId="23992"/>
    <cellStyle name="Note 2 3 3 5 2 2 2 2 6" xfId="23993"/>
    <cellStyle name="Note 2 3 3 5 2 2 2 3" xfId="23994"/>
    <cellStyle name="Note 2 3 3 5 2 2 2 3 2" xfId="23995"/>
    <cellStyle name="Note 2 3 3 5 2 2 2 3 3" xfId="23996"/>
    <cellStyle name="Note 2 3 3 5 2 2 2 3 4" xfId="23997"/>
    <cellStyle name="Note 2 3 3 5 2 2 2 4" xfId="23998"/>
    <cellStyle name="Note 2 3 3 5 2 2 2 5" xfId="23999"/>
    <cellStyle name="Note 2 3 3 5 2 2 2 6" xfId="24000"/>
    <cellStyle name="Note 2 3 3 5 2 2 2 7" xfId="24001"/>
    <cellStyle name="Note 2 3 3 5 2 2 3" xfId="24002"/>
    <cellStyle name="Note 2 3 3 5 2 2 3 2" xfId="24003"/>
    <cellStyle name="Note 2 3 3 5 2 2 3 2 2" xfId="24004"/>
    <cellStyle name="Note 2 3 3 5 2 2 3 2 3" xfId="24005"/>
    <cellStyle name="Note 2 3 3 5 2 2 3 2 4" xfId="24006"/>
    <cellStyle name="Note 2 3 3 5 2 2 3 3" xfId="24007"/>
    <cellStyle name="Note 2 3 3 5 2 2 3 4" xfId="24008"/>
    <cellStyle name="Note 2 3 3 5 2 2 3 5" xfId="24009"/>
    <cellStyle name="Note 2 3 3 5 2 2 3 6" xfId="24010"/>
    <cellStyle name="Note 2 3 3 5 2 2 4" xfId="24011"/>
    <cellStyle name="Note 2 3 3 5 2 2 4 2" xfId="24012"/>
    <cellStyle name="Note 2 3 3 5 2 2 4 3" xfId="24013"/>
    <cellStyle name="Note 2 3 3 5 2 2 4 4" xfId="24014"/>
    <cellStyle name="Note 2 3 3 5 2 2 4 5" xfId="24015"/>
    <cellStyle name="Note 2 3 3 5 2 2 5" xfId="24016"/>
    <cellStyle name="Note 2 3 3 5 2 2 5 2" xfId="24017"/>
    <cellStyle name="Note 2 3 3 5 2 2 5 3" xfId="24018"/>
    <cellStyle name="Note 2 3 3 5 2 2 5 4" xfId="24019"/>
    <cellStyle name="Note 2 3 3 5 2 2 6" xfId="24020"/>
    <cellStyle name="Note 2 3 3 5 2 2 6 2" xfId="24021"/>
    <cellStyle name="Note 2 3 3 5 2 2 6 3" xfId="24022"/>
    <cellStyle name="Note 2 3 3 5 2 2 6 4" xfId="24023"/>
    <cellStyle name="Note 2 3 3 5 2 2 7" xfId="24024"/>
    <cellStyle name="Note 2 3 3 5 2 2 7 2" xfId="24025"/>
    <cellStyle name="Note 2 3 3 5 2 2 7 3" xfId="24026"/>
    <cellStyle name="Note 2 3 3 5 2 2 7 4" xfId="24027"/>
    <cellStyle name="Note 2 3 3 5 2 2 8" xfId="24028"/>
    <cellStyle name="Note 2 3 3 5 2 2 9" xfId="24029"/>
    <cellStyle name="Note 2 3 3 5 2 3" xfId="24030"/>
    <cellStyle name="Note 2 3 3 5 2 3 2" xfId="24031"/>
    <cellStyle name="Note 2 3 3 5 2 3 2 2" xfId="24032"/>
    <cellStyle name="Note 2 3 3 5 2 3 2 2 2" xfId="24033"/>
    <cellStyle name="Note 2 3 3 5 2 3 2 2 3" xfId="24034"/>
    <cellStyle name="Note 2 3 3 5 2 3 2 2 4" xfId="24035"/>
    <cellStyle name="Note 2 3 3 5 2 3 2 3" xfId="24036"/>
    <cellStyle name="Note 2 3 3 5 2 3 2 4" xfId="24037"/>
    <cellStyle name="Note 2 3 3 5 2 3 2 5" xfId="24038"/>
    <cellStyle name="Note 2 3 3 5 2 3 2 6" xfId="24039"/>
    <cellStyle name="Note 2 3 3 5 2 3 3" xfId="24040"/>
    <cellStyle name="Note 2 3 3 5 2 3 3 2" xfId="24041"/>
    <cellStyle name="Note 2 3 3 5 2 3 3 3" xfId="24042"/>
    <cellStyle name="Note 2 3 3 5 2 3 3 4" xfId="24043"/>
    <cellStyle name="Note 2 3 3 5 2 3 4" xfId="24044"/>
    <cellStyle name="Note 2 3 3 5 2 3 5" xfId="24045"/>
    <cellStyle name="Note 2 3 3 5 2 3 6" xfId="24046"/>
    <cellStyle name="Note 2 3 3 5 2 3 7" xfId="24047"/>
    <cellStyle name="Note 2 3 3 5 2 4" xfId="24048"/>
    <cellStyle name="Note 2 3 3 5 2 4 2" xfId="24049"/>
    <cellStyle name="Note 2 3 3 5 2 4 2 2" xfId="24050"/>
    <cellStyle name="Note 2 3 3 5 2 4 2 3" xfId="24051"/>
    <cellStyle name="Note 2 3 3 5 2 4 2 4" xfId="24052"/>
    <cellStyle name="Note 2 3 3 5 2 4 3" xfId="24053"/>
    <cellStyle name="Note 2 3 3 5 2 4 4" xfId="24054"/>
    <cellStyle name="Note 2 3 3 5 2 4 5" xfId="24055"/>
    <cellStyle name="Note 2 3 3 5 2 4 6" xfId="24056"/>
    <cellStyle name="Note 2 3 3 5 2 5" xfId="24057"/>
    <cellStyle name="Note 2 3 3 5 2 5 2" xfId="24058"/>
    <cellStyle name="Note 2 3 3 5 2 5 3" xfId="24059"/>
    <cellStyle name="Note 2 3 3 5 2 5 4" xfId="24060"/>
    <cellStyle name="Note 2 3 3 5 2 5 5" xfId="24061"/>
    <cellStyle name="Note 2 3 3 5 2 6" xfId="24062"/>
    <cellStyle name="Note 2 3 3 5 2 6 2" xfId="24063"/>
    <cellStyle name="Note 2 3 3 5 2 6 3" xfId="24064"/>
    <cellStyle name="Note 2 3 3 5 2 6 4" xfId="24065"/>
    <cellStyle name="Note 2 3 3 5 2 7" xfId="24066"/>
    <cellStyle name="Note 2 3 3 5 2 7 2" xfId="24067"/>
    <cellStyle name="Note 2 3 3 5 2 7 3" xfId="24068"/>
    <cellStyle name="Note 2 3 3 5 2 7 4" xfId="24069"/>
    <cellStyle name="Note 2 3 3 5 2 8" xfId="24070"/>
    <cellStyle name="Note 2 3 3 5 2 8 2" xfId="24071"/>
    <cellStyle name="Note 2 3 3 5 2 8 3" xfId="24072"/>
    <cellStyle name="Note 2 3 3 5 2 8 4" xfId="24073"/>
    <cellStyle name="Note 2 3 3 5 2 9" xfId="24074"/>
    <cellStyle name="Note 2 3 3 5 3" xfId="24075"/>
    <cellStyle name="Note 2 3 3 5 3 10" xfId="24076"/>
    <cellStyle name="Note 2 3 3 5 3 11" xfId="24077"/>
    <cellStyle name="Note 2 3 3 5 3 2" xfId="24078"/>
    <cellStyle name="Note 2 3 3 5 3 2 2" xfId="24079"/>
    <cellStyle name="Note 2 3 3 5 3 2 2 2" xfId="24080"/>
    <cellStyle name="Note 2 3 3 5 3 2 2 2 2" xfId="24081"/>
    <cellStyle name="Note 2 3 3 5 3 2 2 2 3" xfId="24082"/>
    <cellStyle name="Note 2 3 3 5 3 2 2 2 4" xfId="24083"/>
    <cellStyle name="Note 2 3 3 5 3 2 2 3" xfId="24084"/>
    <cellStyle name="Note 2 3 3 5 3 2 2 4" xfId="24085"/>
    <cellStyle name="Note 2 3 3 5 3 2 2 5" xfId="24086"/>
    <cellStyle name="Note 2 3 3 5 3 2 2 6" xfId="24087"/>
    <cellStyle name="Note 2 3 3 5 3 2 3" xfId="24088"/>
    <cellStyle name="Note 2 3 3 5 3 2 3 2" xfId="24089"/>
    <cellStyle name="Note 2 3 3 5 3 2 3 3" xfId="24090"/>
    <cellStyle name="Note 2 3 3 5 3 2 3 4" xfId="24091"/>
    <cellStyle name="Note 2 3 3 5 3 2 4" xfId="24092"/>
    <cellStyle name="Note 2 3 3 5 3 2 5" xfId="24093"/>
    <cellStyle name="Note 2 3 3 5 3 2 6" xfId="24094"/>
    <cellStyle name="Note 2 3 3 5 3 2 7" xfId="24095"/>
    <cellStyle name="Note 2 3 3 5 3 3" xfId="24096"/>
    <cellStyle name="Note 2 3 3 5 3 3 2" xfId="24097"/>
    <cellStyle name="Note 2 3 3 5 3 3 2 2" xfId="24098"/>
    <cellStyle name="Note 2 3 3 5 3 3 2 3" xfId="24099"/>
    <cellStyle name="Note 2 3 3 5 3 3 2 4" xfId="24100"/>
    <cellStyle name="Note 2 3 3 5 3 3 3" xfId="24101"/>
    <cellStyle name="Note 2 3 3 5 3 3 4" xfId="24102"/>
    <cellStyle name="Note 2 3 3 5 3 3 5" xfId="24103"/>
    <cellStyle name="Note 2 3 3 5 3 3 6" xfId="24104"/>
    <cellStyle name="Note 2 3 3 5 3 4" xfId="24105"/>
    <cellStyle name="Note 2 3 3 5 3 4 2" xfId="24106"/>
    <cellStyle name="Note 2 3 3 5 3 4 3" xfId="24107"/>
    <cellStyle name="Note 2 3 3 5 3 4 4" xfId="24108"/>
    <cellStyle name="Note 2 3 3 5 3 4 5" xfId="24109"/>
    <cellStyle name="Note 2 3 3 5 3 5" xfId="24110"/>
    <cellStyle name="Note 2 3 3 5 3 5 2" xfId="24111"/>
    <cellStyle name="Note 2 3 3 5 3 5 3" xfId="24112"/>
    <cellStyle name="Note 2 3 3 5 3 5 4" xfId="24113"/>
    <cellStyle name="Note 2 3 3 5 3 6" xfId="24114"/>
    <cellStyle name="Note 2 3 3 5 3 6 2" xfId="24115"/>
    <cellStyle name="Note 2 3 3 5 3 6 3" xfId="24116"/>
    <cellStyle name="Note 2 3 3 5 3 6 4" xfId="24117"/>
    <cellStyle name="Note 2 3 3 5 3 7" xfId="24118"/>
    <cellStyle name="Note 2 3 3 5 3 7 2" xfId="24119"/>
    <cellStyle name="Note 2 3 3 5 3 7 3" xfId="24120"/>
    <cellStyle name="Note 2 3 3 5 3 7 4" xfId="24121"/>
    <cellStyle name="Note 2 3 3 5 3 8" xfId="24122"/>
    <cellStyle name="Note 2 3 3 5 3 9" xfId="24123"/>
    <cellStyle name="Note 2 3 3 5 4" xfId="24124"/>
    <cellStyle name="Note 2 3 3 5 4 2" xfId="24125"/>
    <cellStyle name="Note 2 3 3 5 4 2 2" xfId="24126"/>
    <cellStyle name="Note 2 3 3 5 4 2 2 2" xfId="24127"/>
    <cellStyle name="Note 2 3 3 5 4 2 2 3" xfId="24128"/>
    <cellStyle name="Note 2 3 3 5 4 2 2 4" xfId="24129"/>
    <cellStyle name="Note 2 3 3 5 4 2 3" xfId="24130"/>
    <cellStyle name="Note 2 3 3 5 4 2 4" xfId="24131"/>
    <cellStyle name="Note 2 3 3 5 4 2 5" xfId="24132"/>
    <cellStyle name="Note 2 3 3 5 4 2 6" xfId="24133"/>
    <cellStyle name="Note 2 3 3 5 4 3" xfId="24134"/>
    <cellStyle name="Note 2 3 3 5 4 3 2" xfId="24135"/>
    <cellStyle name="Note 2 3 3 5 4 3 3" xfId="24136"/>
    <cellStyle name="Note 2 3 3 5 4 3 4" xfId="24137"/>
    <cellStyle name="Note 2 3 3 5 4 4" xfId="24138"/>
    <cellStyle name="Note 2 3 3 5 4 5" xfId="24139"/>
    <cellStyle name="Note 2 3 3 5 4 6" xfId="24140"/>
    <cellStyle name="Note 2 3 3 5 4 7" xfId="24141"/>
    <cellStyle name="Note 2 3 3 5 5" xfId="24142"/>
    <cellStyle name="Note 2 3 3 5 5 2" xfId="24143"/>
    <cellStyle name="Note 2 3 3 5 5 2 2" xfId="24144"/>
    <cellStyle name="Note 2 3 3 5 5 2 3" xfId="24145"/>
    <cellStyle name="Note 2 3 3 5 5 2 4" xfId="24146"/>
    <cellStyle name="Note 2 3 3 5 5 3" xfId="24147"/>
    <cellStyle name="Note 2 3 3 5 5 3 2" xfId="24148"/>
    <cellStyle name="Note 2 3 3 5 5 3 3" xfId="24149"/>
    <cellStyle name="Note 2 3 3 5 5 3 4" xfId="24150"/>
    <cellStyle name="Note 2 3 3 5 5 4" xfId="24151"/>
    <cellStyle name="Note 2 3 3 5 5 5" xfId="24152"/>
    <cellStyle name="Note 2 3 3 5 5 6" xfId="24153"/>
    <cellStyle name="Note 2 3 3 5 5 7" xfId="24154"/>
    <cellStyle name="Note 2 3 3 5 6" xfId="24155"/>
    <cellStyle name="Note 2 3 3 5 6 2" xfId="24156"/>
    <cellStyle name="Note 2 3 3 5 6 2 2" xfId="24157"/>
    <cellStyle name="Note 2 3 3 5 6 2 3" xfId="24158"/>
    <cellStyle name="Note 2 3 3 5 6 2 4" xfId="24159"/>
    <cellStyle name="Note 2 3 3 5 6 3" xfId="24160"/>
    <cellStyle name="Note 2 3 3 5 6 3 2" xfId="24161"/>
    <cellStyle name="Note 2 3 3 5 6 3 3" xfId="24162"/>
    <cellStyle name="Note 2 3 3 5 6 3 4" xfId="24163"/>
    <cellStyle name="Note 2 3 3 5 6 4" xfId="24164"/>
    <cellStyle name="Note 2 3 3 5 6 5" xfId="24165"/>
    <cellStyle name="Note 2 3 3 5 6 6" xfId="24166"/>
    <cellStyle name="Note 2 3 3 5 6 7" xfId="24167"/>
    <cellStyle name="Note 2 3 3 5 7" xfId="24168"/>
    <cellStyle name="Note 2 3 3 5 7 2" xfId="24169"/>
    <cellStyle name="Note 2 3 3 5 7 2 2" xfId="24170"/>
    <cellStyle name="Note 2 3 3 5 7 2 3" xfId="24171"/>
    <cellStyle name="Note 2 3 3 5 7 2 4" xfId="24172"/>
    <cellStyle name="Note 2 3 3 5 7 3" xfId="24173"/>
    <cellStyle name="Note 2 3 3 5 7 3 2" xfId="24174"/>
    <cellStyle name="Note 2 3 3 5 7 3 3" xfId="24175"/>
    <cellStyle name="Note 2 3 3 5 7 3 4" xfId="24176"/>
    <cellStyle name="Note 2 3 3 5 7 4" xfId="24177"/>
    <cellStyle name="Note 2 3 3 5 7 5" xfId="24178"/>
    <cellStyle name="Note 2 3 3 5 7 6" xfId="24179"/>
    <cellStyle name="Note 2 3 3 5 7 7" xfId="24180"/>
    <cellStyle name="Note 2 3 3 5 8" xfId="24181"/>
    <cellStyle name="Note 2 3 3 5 8 2" xfId="24182"/>
    <cellStyle name="Note 2 3 3 5 8 2 2" xfId="24183"/>
    <cellStyle name="Note 2 3 3 5 8 2 3" xfId="24184"/>
    <cellStyle name="Note 2 3 3 5 8 2 4" xfId="24185"/>
    <cellStyle name="Note 2 3 3 5 8 3" xfId="24186"/>
    <cellStyle name="Note 2 3 3 5 8 4" xfId="24187"/>
    <cellStyle name="Note 2 3 3 5 8 5" xfId="24188"/>
    <cellStyle name="Note 2 3 3 5 8 6" xfId="24189"/>
    <cellStyle name="Note 2 3 3 5 9" xfId="24190"/>
    <cellStyle name="Note 2 3 3 5 9 2" xfId="24191"/>
    <cellStyle name="Note 2 3 3 5 9 3" xfId="24192"/>
    <cellStyle name="Note 2 3 3 5 9 4" xfId="24193"/>
    <cellStyle name="Note 2 3 3 5 9 5" xfId="24194"/>
    <cellStyle name="Note 2 3 3 6" xfId="24195"/>
    <cellStyle name="Note 2 3 3 6 10" xfId="24196"/>
    <cellStyle name="Note 2 3 3 6 10 2" xfId="24197"/>
    <cellStyle name="Note 2 3 3 6 10 3" xfId="24198"/>
    <cellStyle name="Note 2 3 3 6 10 4" xfId="24199"/>
    <cellStyle name="Note 2 3 3 6 11" xfId="24200"/>
    <cellStyle name="Note 2 3 3 6 11 2" xfId="24201"/>
    <cellStyle name="Note 2 3 3 6 11 3" xfId="24202"/>
    <cellStyle name="Note 2 3 3 6 11 4" xfId="24203"/>
    <cellStyle name="Note 2 3 3 6 12" xfId="24204"/>
    <cellStyle name="Note 2 3 3 6 12 2" xfId="24205"/>
    <cellStyle name="Note 2 3 3 6 12 3" xfId="24206"/>
    <cellStyle name="Note 2 3 3 6 12 4" xfId="24207"/>
    <cellStyle name="Note 2 3 3 6 13" xfId="24208"/>
    <cellStyle name="Note 2 3 3 6 13 2" xfId="24209"/>
    <cellStyle name="Note 2 3 3 6 13 3" xfId="24210"/>
    <cellStyle name="Note 2 3 3 6 13 4" xfId="24211"/>
    <cellStyle name="Note 2 3 3 6 14" xfId="24212"/>
    <cellStyle name="Note 2 3 3 6 15" xfId="24213"/>
    <cellStyle name="Note 2 3 3 6 16" xfId="24214"/>
    <cellStyle name="Note 2 3 3 6 17" xfId="24215"/>
    <cellStyle name="Note 2 3 3 6 2" xfId="24216"/>
    <cellStyle name="Note 2 3 3 6 2 10" xfId="24217"/>
    <cellStyle name="Note 2 3 3 6 2 11" xfId="24218"/>
    <cellStyle name="Note 2 3 3 6 2 12" xfId="24219"/>
    <cellStyle name="Note 2 3 3 6 2 2" xfId="24220"/>
    <cellStyle name="Note 2 3 3 6 2 2 10" xfId="24221"/>
    <cellStyle name="Note 2 3 3 6 2 2 11" xfId="24222"/>
    <cellStyle name="Note 2 3 3 6 2 2 2" xfId="24223"/>
    <cellStyle name="Note 2 3 3 6 2 2 2 2" xfId="24224"/>
    <cellStyle name="Note 2 3 3 6 2 2 2 2 2" xfId="24225"/>
    <cellStyle name="Note 2 3 3 6 2 2 2 2 2 2" xfId="24226"/>
    <cellStyle name="Note 2 3 3 6 2 2 2 2 2 3" xfId="24227"/>
    <cellStyle name="Note 2 3 3 6 2 2 2 2 2 4" xfId="24228"/>
    <cellStyle name="Note 2 3 3 6 2 2 2 2 3" xfId="24229"/>
    <cellStyle name="Note 2 3 3 6 2 2 2 2 4" xfId="24230"/>
    <cellStyle name="Note 2 3 3 6 2 2 2 2 5" xfId="24231"/>
    <cellStyle name="Note 2 3 3 6 2 2 2 2 6" xfId="24232"/>
    <cellStyle name="Note 2 3 3 6 2 2 2 3" xfId="24233"/>
    <cellStyle name="Note 2 3 3 6 2 2 2 3 2" xfId="24234"/>
    <cellStyle name="Note 2 3 3 6 2 2 2 3 3" xfId="24235"/>
    <cellStyle name="Note 2 3 3 6 2 2 2 3 4" xfId="24236"/>
    <cellStyle name="Note 2 3 3 6 2 2 2 4" xfId="24237"/>
    <cellStyle name="Note 2 3 3 6 2 2 2 5" xfId="24238"/>
    <cellStyle name="Note 2 3 3 6 2 2 2 6" xfId="24239"/>
    <cellStyle name="Note 2 3 3 6 2 2 2 7" xfId="24240"/>
    <cellStyle name="Note 2 3 3 6 2 2 3" xfId="24241"/>
    <cellStyle name="Note 2 3 3 6 2 2 3 2" xfId="24242"/>
    <cellStyle name="Note 2 3 3 6 2 2 3 2 2" xfId="24243"/>
    <cellStyle name="Note 2 3 3 6 2 2 3 2 3" xfId="24244"/>
    <cellStyle name="Note 2 3 3 6 2 2 3 2 4" xfId="24245"/>
    <cellStyle name="Note 2 3 3 6 2 2 3 3" xfId="24246"/>
    <cellStyle name="Note 2 3 3 6 2 2 3 4" xfId="24247"/>
    <cellStyle name="Note 2 3 3 6 2 2 3 5" xfId="24248"/>
    <cellStyle name="Note 2 3 3 6 2 2 3 6" xfId="24249"/>
    <cellStyle name="Note 2 3 3 6 2 2 4" xfId="24250"/>
    <cellStyle name="Note 2 3 3 6 2 2 4 2" xfId="24251"/>
    <cellStyle name="Note 2 3 3 6 2 2 4 3" xfId="24252"/>
    <cellStyle name="Note 2 3 3 6 2 2 4 4" xfId="24253"/>
    <cellStyle name="Note 2 3 3 6 2 2 4 5" xfId="24254"/>
    <cellStyle name="Note 2 3 3 6 2 2 5" xfId="24255"/>
    <cellStyle name="Note 2 3 3 6 2 2 5 2" xfId="24256"/>
    <cellStyle name="Note 2 3 3 6 2 2 5 3" xfId="24257"/>
    <cellStyle name="Note 2 3 3 6 2 2 5 4" xfId="24258"/>
    <cellStyle name="Note 2 3 3 6 2 2 6" xfId="24259"/>
    <cellStyle name="Note 2 3 3 6 2 2 6 2" xfId="24260"/>
    <cellStyle name="Note 2 3 3 6 2 2 6 3" xfId="24261"/>
    <cellStyle name="Note 2 3 3 6 2 2 6 4" xfId="24262"/>
    <cellStyle name="Note 2 3 3 6 2 2 7" xfId="24263"/>
    <cellStyle name="Note 2 3 3 6 2 2 7 2" xfId="24264"/>
    <cellStyle name="Note 2 3 3 6 2 2 7 3" xfId="24265"/>
    <cellStyle name="Note 2 3 3 6 2 2 7 4" xfId="24266"/>
    <cellStyle name="Note 2 3 3 6 2 2 8" xfId="24267"/>
    <cellStyle name="Note 2 3 3 6 2 2 9" xfId="24268"/>
    <cellStyle name="Note 2 3 3 6 2 3" xfId="24269"/>
    <cellStyle name="Note 2 3 3 6 2 3 2" xfId="24270"/>
    <cellStyle name="Note 2 3 3 6 2 3 2 2" xfId="24271"/>
    <cellStyle name="Note 2 3 3 6 2 3 2 2 2" xfId="24272"/>
    <cellStyle name="Note 2 3 3 6 2 3 2 2 3" xfId="24273"/>
    <cellStyle name="Note 2 3 3 6 2 3 2 2 4" xfId="24274"/>
    <cellStyle name="Note 2 3 3 6 2 3 2 3" xfId="24275"/>
    <cellStyle name="Note 2 3 3 6 2 3 2 4" xfId="24276"/>
    <cellStyle name="Note 2 3 3 6 2 3 2 5" xfId="24277"/>
    <cellStyle name="Note 2 3 3 6 2 3 2 6" xfId="24278"/>
    <cellStyle name="Note 2 3 3 6 2 3 3" xfId="24279"/>
    <cellStyle name="Note 2 3 3 6 2 3 3 2" xfId="24280"/>
    <cellStyle name="Note 2 3 3 6 2 3 3 3" xfId="24281"/>
    <cellStyle name="Note 2 3 3 6 2 3 3 4" xfId="24282"/>
    <cellStyle name="Note 2 3 3 6 2 3 4" xfId="24283"/>
    <cellStyle name="Note 2 3 3 6 2 3 5" xfId="24284"/>
    <cellStyle name="Note 2 3 3 6 2 3 6" xfId="24285"/>
    <cellStyle name="Note 2 3 3 6 2 3 7" xfId="24286"/>
    <cellStyle name="Note 2 3 3 6 2 4" xfId="24287"/>
    <cellStyle name="Note 2 3 3 6 2 4 2" xfId="24288"/>
    <cellStyle name="Note 2 3 3 6 2 4 2 2" xfId="24289"/>
    <cellStyle name="Note 2 3 3 6 2 4 2 3" xfId="24290"/>
    <cellStyle name="Note 2 3 3 6 2 4 2 4" xfId="24291"/>
    <cellStyle name="Note 2 3 3 6 2 4 3" xfId="24292"/>
    <cellStyle name="Note 2 3 3 6 2 4 4" xfId="24293"/>
    <cellStyle name="Note 2 3 3 6 2 4 5" xfId="24294"/>
    <cellStyle name="Note 2 3 3 6 2 4 6" xfId="24295"/>
    <cellStyle name="Note 2 3 3 6 2 5" xfId="24296"/>
    <cellStyle name="Note 2 3 3 6 2 5 2" xfId="24297"/>
    <cellStyle name="Note 2 3 3 6 2 5 3" xfId="24298"/>
    <cellStyle name="Note 2 3 3 6 2 5 4" xfId="24299"/>
    <cellStyle name="Note 2 3 3 6 2 5 5" xfId="24300"/>
    <cellStyle name="Note 2 3 3 6 2 6" xfId="24301"/>
    <cellStyle name="Note 2 3 3 6 2 6 2" xfId="24302"/>
    <cellStyle name="Note 2 3 3 6 2 6 3" xfId="24303"/>
    <cellStyle name="Note 2 3 3 6 2 6 4" xfId="24304"/>
    <cellStyle name="Note 2 3 3 6 2 7" xfId="24305"/>
    <cellStyle name="Note 2 3 3 6 2 7 2" xfId="24306"/>
    <cellStyle name="Note 2 3 3 6 2 7 3" xfId="24307"/>
    <cellStyle name="Note 2 3 3 6 2 7 4" xfId="24308"/>
    <cellStyle name="Note 2 3 3 6 2 8" xfId="24309"/>
    <cellStyle name="Note 2 3 3 6 2 8 2" xfId="24310"/>
    <cellStyle name="Note 2 3 3 6 2 8 3" xfId="24311"/>
    <cellStyle name="Note 2 3 3 6 2 8 4" xfId="24312"/>
    <cellStyle name="Note 2 3 3 6 2 9" xfId="24313"/>
    <cellStyle name="Note 2 3 3 6 3" xfId="24314"/>
    <cellStyle name="Note 2 3 3 6 3 10" xfId="24315"/>
    <cellStyle name="Note 2 3 3 6 3 11" xfId="24316"/>
    <cellStyle name="Note 2 3 3 6 3 2" xfId="24317"/>
    <cellStyle name="Note 2 3 3 6 3 2 2" xfId="24318"/>
    <cellStyle name="Note 2 3 3 6 3 2 2 2" xfId="24319"/>
    <cellStyle name="Note 2 3 3 6 3 2 2 2 2" xfId="24320"/>
    <cellStyle name="Note 2 3 3 6 3 2 2 2 3" xfId="24321"/>
    <cellStyle name="Note 2 3 3 6 3 2 2 2 4" xfId="24322"/>
    <cellStyle name="Note 2 3 3 6 3 2 2 3" xfId="24323"/>
    <cellStyle name="Note 2 3 3 6 3 2 2 4" xfId="24324"/>
    <cellStyle name="Note 2 3 3 6 3 2 2 5" xfId="24325"/>
    <cellStyle name="Note 2 3 3 6 3 2 2 6" xfId="24326"/>
    <cellStyle name="Note 2 3 3 6 3 2 3" xfId="24327"/>
    <cellStyle name="Note 2 3 3 6 3 2 3 2" xfId="24328"/>
    <cellStyle name="Note 2 3 3 6 3 2 3 3" xfId="24329"/>
    <cellStyle name="Note 2 3 3 6 3 2 3 4" xfId="24330"/>
    <cellStyle name="Note 2 3 3 6 3 2 4" xfId="24331"/>
    <cellStyle name="Note 2 3 3 6 3 2 5" xfId="24332"/>
    <cellStyle name="Note 2 3 3 6 3 2 6" xfId="24333"/>
    <cellStyle name="Note 2 3 3 6 3 2 7" xfId="24334"/>
    <cellStyle name="Note 2 3 3 6 3 3" xfId="24335"/>
    <cellStyle name="Note 2 3 3 6 3 3 2" xfId="24336"/>
    <cellStyle name="Note 2 3 3 6 3 3 2 2" xfId="24337"/>
    <cellStyle name="Note 2 3 3 6 3 3 2 3" xfId="24338"/>
    <cellStyle name="Note 2 3 3 6 3 3 2 4" xfId="24339"/>
    <cellStyle name="Note 2 3 3 6 3 3 3" xfId="24340"/>
    <cellStyle name="Note 2 3 3 6 3 3 4" xfId="24341"/>
    <cellStyle name="Note 2 3 3 6 3 3 5" xfId="24342"/>
    <cellStyle name="Note 2 3 3 6 3 3 6" xfId="24343"/>
    <cellStyle name="Note 2 3 3 6 3 4" xfId="24344"/>
    <cellStyle name="Note 2 3 3 6 3 4 2" xfId="24345"/>
    <cellStyle name="Note 2 3 3 6 3 4 3" xfId="24346"/>
    <cellStyle name="Note 2 3 3 6 3 4 4" xfId="24347"/>
    <cellStyle name="Note 2 3 3 6 3 4 5" xfId="24348"/>
    <cellStyle name="Note 2 3 3 6 3 5" xfId="24349"/>
    <cellStyle name="Note 2 3 3 6 3 5 2" xfId="24350"/>
    <cellStyle name="Note 2 3 3 6 3 5 3" xfId="24351"/>
    <cellStyle name="Note 2 3 3 6 3 5 4" xfId="24352"/>
    <cellStyle name="Note 2 3 3 6 3 6" xfId="24353"/>
    <cellStyle name="Note 2 3 3 6 3 6 2" xfId="24354"/>
    <cellStyle name="Note 2 3 3 6 3 6 3" xfId="24355"/>
    <cellStyle name="Note 2 3 3 6 3 6 4" xfId="24356"/>
    <cellStyle name="Note 2 3 3 6 3 7" xfId="24357"/>
    <cellStyle name="Note 2 3 3 6 3 7 2" xfId="24358"/>
    <cellStyle name="Note 2 3 3 6 3 7 3" xfId="24359"/>
    <cellStyle name="Note 2 3 3 6 3 7 4" xfId="24360"/>
    <cellStyle name="Note 2 3 3 6 3 8" xfId="24361"/>
    <cellStyle name="Note 2 3 3 6 3 9" xfId="24362"/>
    <cellStyle name="Note 2 3 3 6 4" xfId="24363"/>
    <cellStyle name="Note 2 3 3 6 4 2" xfId="24364"/>
    <cellStyle name="Note 2 3 3 6 4 2 2" xfId="24365"/>
    <cellStyle name="Note 2 3 3 6 4 2 2 2" xfId="24366"/>
    <cellStyle name="Note 2 3 3 6 4 2 2 3" xfId="24367"/>
    <cellStyle name="Note 2 3 3 6 4 2 2 4" xfId="24368"/>
    <cellStyle name="Note 2 3 3 6 4 2 3" xfId="24369"/>
    <cellStyle name="Note 2 3 3 6 4 2 4" xfId="24370"/>
    <cellStyle name="Note 2 3 3 6 4 2 5" xfId="24371"/>
    <cellStyle name="Note 2 3 3 6 4 2 6" xfId="24372"/>
    <cellStyle name="Note 2 3 3 6 4 3" xfId="24373"/>
    <cellStyle name="Note 2 3 3 6 4 3 2" xfId="24374"/>
    <cellStyle name="Note 2 3 3 6 4 3 3" xfId="24375"/>
    <cellStyle name="Note 2 3 3 6 4 3 4" xfId="24376"/>
    <cellStyle name="Note 2 3 3 6 4 4" xfId="24377"/>
    <cellStyle name="Note 2 3 3 6 4 5" xfId="24378"/>
    <cellStyle name="Note 2 3 3 6 4 6" xfId="24379"/>
    <cellStyle name="Note 2 3 3 6 4 7" xfId="24380"/>
    <cellStyle name="Note 2 3 3 6 5" xfId="24381"/>
    <cellStyle name="Note 2 3 3 6 5 2" xfId="24382"/>
    <cellStyle name="Note 2 3 3 6 5 2 2" xfId="24383"/>
    <cellStyle name="Note 2 3 3 6 5 2 3" xfId="24384"/>
    <cellStyle name="Note 2 3 3 6 5 2 4" xfId="24385"/>
    <cellStyle name="Note 2 3 3 6 5 3" xfId="24386"/>
    <cellStyle name="Note 2 3 3 6 5 3 2" xfId="24387"/>
    <cellStyle name="Note 2 3 3 6 5 3 3" xfId="24388"/>
    <cellStyle name="Note 2 3 3 6 5 3 4" xfId="24389"/>
    <cellStyle name="Note 2 3 3 6 5 4" xfId="24390"/>
    <cellStyle name="Note 2 3 3 6 5 5" xfId="24391"/>
    <cellStyle name="Note 2 3 3 6 5 6" xfId="24392"/>
    <cellStyle name="Note 2 3 3 6 5 7" xfId="24393"/>
    <cellStyle name="Note 2 3 3 6 6" xfId="24394"/>
    <cellStyle name="Note 2 3 3 6 6 2" xfId="24395"/>
    <cellStyle name="Note 2 3 3 6 6 2 2" xfId="24396"/>
    <cellStyle name="Note 2 3 3 6 6 2 3" xfId="24397"/>
    <cellStyle name="Note 2 3 3 6 6 2 4" xfId="24398"/>
    <cellStyle name="Note 2 3 3 6 6 3" xfId="24399"/>
    <cellStyle name="Note 2 3 3 6 6 3 2" xfId="24400"/>
    <cellStyle name="Note 2 3 3 6 6 3 3" xfId="24401"/>
    <cellStyle name="Note 2 3 3 6 6 3 4" xfId="24402"/>
    <cellStyle name="Note 2 3 3 6 6 4" xfId="24403"/>
    <cellStyle name="Note 2 3 3 6 6 5" xfId="24404"/>
    <cellStyle name="Note 2 3 3 6 6 6" xfId="24405"/>
    <cellStyle name="Note 2 3 3 6 6 7" xfId="24406"/>
    <cellStyle name="Note 2 3 3 6 7" xfId="24407"/>
    <cellStyle name="Note 2 3 3 6 7 2" xfId="24408"/>
    <cellStyle name="Note 2 3 3 6 7 2 2" xfId="24409"/>
    <cellStyle name="Note 2 3 3 6 7 2 3" xfId="24410"/>
    <cellStyle name="Note 2 3 3 6 7 2 4" xfId="24411"/>
    <cellStyle name="Note 2 3 3 6 7 3" xfId="24412"/>
    <cellStyle name="Note 2 3 3 6 7 3 2" xfId="24413"/>
    <cellStyle name="Note 2 3 3 6 7 3 3" xfId="24414"/>
    <cellStyle name="Note 2 3 3 6 7 3 4" xfId="24415"/>
    <cellStyle name="Note 2 3 3 6 7 4" xfId="24416"/>
    <cellStyle name="Note 2 3 3 6 7 5" xfId="24417"/>
    <cellStyle name="Note 2 3 3 6 7 6" xfId="24418"/>
    <cellStyle name="Note 2 3 3 6 7 7" xfId="24419"/>
    <cellStyle name="Note 2 3 3 6 8" xfId="24420"/>
    <cellStyle name="Note 2 3 3 6 8 2" xfId="24421"/>
    <cellStyle name="Note 2 3 3 6 8 2 2" xfId="24422"/>
    <cellStyle name="Note 2 3 3 6 8 2 3" xfId="24423"/>
    <cellStyle name="Note 2 3 3 6 8 2 4" xfId="24424"/>
    <cellStyle name="Note 2 3 3 6 8 3" xfId="24425"/>
    <cellStyle name="Note 2 3 3 6 8 4" xfId="24426"/>
    <cellStyle name="Note 2 3 3 6 8 5" xfId="24427"/>
    <cellStyle name="Note 2 3 3 6 8 6" xfId="24428"/>
    <cellStyle name="Note 2 3 3 6 9" xfId="24429"/>
    <cellStyle name="Note 2 3 3 6 9 2" xfId="24430"/>
    <cellStyle name="Note 2 3 3 6 9 3" xfId="24431"/>
    <cellStyle name="Note 2 3 3 6 9 4" xfId="24432"/>
    <cellStyle name="Note 2 3 3 6 9 5" xfId="24433"/>
    <cellStyle name="Note 2 3 3 7" xfId="24434"/>
    <cellStyle name="Note 2 3 3 7 10" xfId="24435"/>
    <cellStyle name="Note 2 3 3 7 10 2" xfId="24436"/>
    <cellStyle name="Note 2 3 3 7 10 3" xfId="24437"/>
    <cellStyle name="Note 2 3 3 7 10 4" xfId="24438"/>
    <cellStyle name="Note 2 3 3 7 11" xfId="24439"/>
    <cellStyle name="Note 2 3 3 7 12" xfId="24440"/>
    <cellStyle name="Note 2 3 3 7 13" xfId="24441"/>
    <cellStyle name="Note 2 3 3 7 14" xfId="24442"/>
    <cellStyle name="Note 2 3 3 7 2" xfId="24443"/>
    <cellStyle name="Note 2 3 3 7 2 10" xfId="24444"/>
    <cellStyle name="Note 2 3 3 7 2 11" xfId="24445"/>
    <cellStyle name="Note 2 3 3 7 2 12" xfId="24446"/>
    <cellStyle name="Note 2 3 3 7 2 2" xfId="24447"/>
    <cellStyle name="Note 2 3 3 7 2 2 10" xfId="24448"/>
    <cellStyle name="Note 2 3 3 7 2 2 11" xfId="24449"/>
    <cellStyle name="Note 2 3 3 7 2 2 2" xfId="24450"/>
    <cellStyle name="Note 2 3 3 7 2 2 2 2" xfId="24451"/>
    <cellStyle name="Note 2 3 3 7 2 2 2 2 2" xfId="24452"/>
    <cellStyle name="Note 2 3 3 7 2 2 2 2 2 2" xfId="24453"/>
    <cellStyle name="Note 2 3 3 7 2 2 2 2 2 3" xfId="24454"/>
    <cellStyle name="Note 2 3 3 7 2 2 2 2 2 4" xfId="24455"/>
    <cellStyle name="Note 2 3 3 7 2 2 2 2 3" xfId="24456"/>
    <cellStyle name="Note 2 3 3 7 2 2 2 2 4" xfId="24457"/>
    <cellStyle name="Note 2 3 3 7 2 2 2 2 5" xfId="24458"/>
    <cellStyle name="Note 2 3 3 7 2 2 2 2 6" xfId="24459"/>
    <cellStyle name="Note 2 3 3 7 2 2 2 3" xfId="24460"/>
    <cellStyle name="Note 2 3 3 7 2 2 2 3 2" xfId="24461"/>
    <cellStyle name="Note 2 3 3 7 2 2 2 3 3" xfId="24462"/>
    <cellStyle name="Note 2 3 3 7 2 2 2 3 4" xfId="24463"/>
    <cellStyle name="Note 2 3 3 7 2 2 2 4" xfId="24464"/>
    <cellStyle name="Note 2 3 3 7 2 2 2 5" xfId="24465"/>
    <cellStyle name="Note 2 3 3 7 2 2 2 6" xfId="24466"/>
    <cellStyle name="Note 2 3 3 7 2 2 2 7" xfId="24467"/>
    <cellStyle name="Note 2 3 3 7 2 2 3" xfId="24468"/>
    <cellStyle name="Note 2 3 3 7 2 2 3 2" xfId="24469"/>
    <cellStyle name="Note 2 3 3 7 2 2 3 2 2" xfId="24470"/>
    <cellStyle name="Note 2 3 3 7 2 2 3 2 3" xfId="24471"/>
    <cellStyle name="Note 2 3 3 7 2 2 3 2 4" xfId="24472"/>
    <cellStyle name="Note 2 3 3 7 2 2 3 3" xfId="24473"/>
    <cellStyle name="Note 2 3 3 7 2 2 3 4" xfId="24474"/>
    <cellStyle name="Note 2 3 3 7 2 2 3 5" xfId="24475"/>
    <cellStyle name="Note 2 3 3 7 2 2 3 6" xfId="24476"/>
    <cellStyle name="Note 2 3 3 7 2 2 4" xfId="24477"/>
    <cellStyle name="Note 2 3 3 7 2 2 4 2" xfId="24478"/>
    <cellStyle name="Note 2 3 3 7 2 2 4 3" xfId="24479"/>
    <cellStyle name="Note 2 3 3 7 2 2 4 4" xfId="24480"/>
    <cellStyle name="Note 2 3 3 7 2 2 4 5" xfId="24481"/>
    <cellStyle name="Note 2 3 3 7 2 2 5" xfId="24482"/>
    <cellStyle name="Note 2 3 3 7 2 2 5 2" xfId="24483"/>
    <cellStyle name="Note 2 3 3 7 2 2 5 3" xfId="24484"/>
    <cellStyle name="Note 2 3 3 7 2 2 5 4" xfId="24485"/>
    <cellStyle name="Note 2 3 3 7 2 2 6" xfId="24486"/>
    <cellStyle name="Note 2 3 3 7 2 2 6 2" xfId="24487"/>
    <cellStyle name="Note 2 3 3 7 2 2 6 3" xfId="24488"/>
    <cellStyle name="Note 2 3 3 7 2 2 6 4" xfId="24489"/>
    <cellStyle name="Note 2 3 3 7 2 2 7" xfId="24490"/>
    <cellStyle name="Note 2 3 3 7 2 2 7 2" xfId="24491"/>
    <cellStyle name="Note 2 3 3 7 2 2 7 3" xfId="24492"/>
    <cellStyle name="Note 2 3 3 7 2 2 7 4" xfId="24493"/>
    <cellStyle name="Note 2 3 3 7 2 2 8" xfId="24494"/>
    <cellStyle name="Note 2 3 3 7 2 2 9" xfId="24495"/>
    <cellStyle name="Note 2 3 3 7 2 3" xfId="24496"/>
    <cellStyle name="Note 2 3 3 7 2 3 2" xfId="24497"/>
    <cellStyle name="Note 2 3 3 7 2 3 2 2" xfId="24498"/>
    <cellStyle name="Note 2 3 3 7 2 3 2 2 2" xfId="24499"/>
    <cellStyle name="Note 2 3 3 7 2 3 2 2 3" xfId="24500"/>
    <cellStyle name="Note 2 3 3 7 2 3 2 2 4" xfId="24501"/>
    <cellStyle name="Note 2 3 3 7 2 3 2 3" xfId="24502"/>
    <cellStyle name="Note 2 3 3 7 2 3 2 4" xfId="24503"/>
    <cellStyle name="Note 2 3 3 7 2 3 2 5" xfId="24504"/>
    <cellStyle name="Note 2 3 3 7 2 3 2 6" xfId="24505"/>
    <cellStyle name="Note 2 3 3 7 2 3 3" xfId="24506"/>
    <cellStyle name="Note 2 3 3 7 2 3 3 2" xfId="24507"/>
    <cellStyle name="Note 2 3 3 7 2 3 3 3" xfId="24508"/>
    <cellStyle name="Note 2 3 3 7 2 3 3 4" xfId="24509"/>
    <cellStyle name="Note 2 3 3 7 2 3 4" xfId="24510"/>
    <cellStyle name="Note 2 3 3 7 2 3 5" xfId="24511"/>
    <cellStyle name="Note 2 3 3 7 2 3 6" xfId="24512"/>
    <cellStyle name="Note 2 3 3 7 2 3 7" xfId="24513"/>
    <cellStyle name="Note 2 3 3 7 2 4" xfId="24514"/>
    <cellStyle name="Note 2 3 3 7 2 4 2" xfId="24515"/>
    <cellStyle name="Note 2 3 3 7 2 4 2 2" xfId="24516"/>
    <cellStyle name="Note 2 3 3 7 2 4 2 3" xfId="24517"/>
    <cellStyle name="Note 2 3 3 7 2 4 2 4" xfId="24518"/>
    <cellStyle name="Note 2 3 3 7 2 4 3" xfId="24519"/>
    <cellStyle name="Note 2 3 3 7 2 4 4" xfId="24520"/>
    <cellStyle name="Note 2 3 3 7 2 4 5" xfId="24521"/>
    <cellStyle name="Note 2 3 3 7 2 4 6" xfId="24522"/>
    <cellStyle name="Note 2 3 3 7 2 5" xfId="24523"/>
    <cellStyle name="Note 2 3 3 7 2 5 2" xfId="24524"/>
    <cellStyle name="Note 2 3 3 7 2 5 3" xfId="24525"/>
    <cellStyle name="Note 2 3 3 7 2 5 4" xfId="24526"/>
    <cellStyle name="Note 2 3 3 7 2 5 5" xfId="24527"/>
    <cellStyle name="Note 2 3 3 7 2 6" xfId="24528"/>
    <cellStyle name="Note 2 3 3 7 2 6 2" xfId="24529"/>
    <cellStyle name="Note 2 3 3 7 2 6 3" xfId="24530"/>
    <cellStyle name="Note 2 3 3 7 2 6 4" xfId="24531"/>
    <cellStyle name="Note 2 3 3 7 2 7" xfId="24532"/>
    <cellStyle name="Note 2 3 3 7 2 7 2" xfId="24533"/>
    <cellStyle name="Note 2 3 3 7 2 7 3" xfId="24534"/>
    <cellStyle name="Note 2 3 3 7 2 7 4" xfId="24535"/>
    <cellStyle name="Note 2 3 3 7 2 8" xfId="24536"/>
    <cellStyle name="Note 2 3 3 7 2 8 2" xfId="24537"/>
    <cellStyle name="Note 2 3 3 7 2 8 3" xfId="24538"/>
    <cellStyle name="Note 2 3 3 7 2 8 4" xfId="24539"/>
    <cellStyle name="Note 2 3 3 7 2 9" xfId="24540"/>
    <cellStyle name="Note 2 3 3 7 3" xfId="24541"/>
    <cellStyle name="Note 2 3 3 7 3 10" xfId="24542"/>
    <cellStyle name="Note 2 3 3 7 3 11" xfId="24543"/>
    <cellStyle name="Note 2 3 3 7 3 2" xfId="24544"/>
    <cellStyle name="Note 2 3 3 7 3 2 2" xfId="24545"/>
    <cellStyle name="Note 2 3 3 7 3 2 2 2" xfId="24546"/>
    <cellStyle name="Note 2 3 3 7 3 2 2 2 2" xfId="24547"/>
    <cellStyle name="Note 2 3 3 7 3 2 2 2 3" xfId="24548"/>
    <cellStyle name="Note 2 3 3 7 3 2 2 2 4" xfId="24549"/>
    <cellStyle name="Note 2 3 3 7 3 2 2 3" xfId="24550"/>
    <cellStyle name="Note 2 3 3 7 3 2 2 4" xfId="24551"/>
    <cellStyle name="Note 2 3 3 7 3 2 2 5" xfId="24552"/>
    <cellStyle name="Note 2 3 3 7 3 2 2 6" xfId="24553"/>
    <cellStyle name="Note 2 3 3 7 3 2 3" xfId="24554"/>
    <cellStyle name="Note 2 3 3 7 3 2 3 2" xfId="24555"/>
    <cellStyle name="Note 2 3 3 7 3 2 3 3" xfId="24556"/>
    <cellStyle name="Note 2 3 3 7 3 2 3 4" xfId="24557"/>
    <cellStyle name="Note 2 3 3 7 3 2 4" xfId="24558"/>
    <cellStyle name="Note 2 3 3 7 3 2 5" xfId="24559"/>
    <cellStyle name="Note 2 3 3 7 3 2 6" xfId="24560"/>
    <cellStyle name="Note 2 3 3 7 3 2 7" xfId="24561"/>
    <cellStyle name="Note 2 3 3 7 3 3" xfId="24562"/>
    <cellStyle name="Note 2 3 3 7 3 3 2" xfId="24563"/>
    <cellStyle name="Note 2 3 3 7 3 3 2 2" xfId="24564"/>
    <cellStyle name="Note 2 3 3 7 3 3 2 3" xfId="24565"/>
    <cellStyle name="Note 2 3 3 7 3 3 2 4" xfId="24566"/>
    <cellStyle name="Note 2 3 3 7 3 3 3" xfId="24567"/>
    <cellStyle name="Note 2 3 3 7 3 3 4" xfId="24568"/>
    <cellStyle name="Note 2 3 3 7 3 3 5" xfId="24569"/>
    <cellStyle name="Note 2 3 3 7 3 3 6" xfId="24570"/>
    <cellStyle name="Note 2 3 3 7 3 4" xfId="24571"/>
    <cellStyle name="Note 2 3 3 7 3 4 2" xfId="24572"/>
    <cellStyle name="Note 2 3 3 7 3 4 3" xfId="24573"/>
    <cellStyle name="Note 2 3 3 7 3 4 4" xfId="24574"/>
    <cellStyle name="Note 2 3 3 7 3 4 5" xfId="24575"/>
    <cellStyle name="Note 2 3 3 7 3 5" xfId="24576"/>
    <cellStyle name="Note 2 3 3 7 3 5 2" xfId="24577"/>
    <cellStyle name="Note 2 3 3 7 3 5 3" xfId="24578"/>
    <cellStyle name="Note 2 3 3 7 3 5 4" xfId="24579"/>
    <cellStyle name="Note 2 3 3 7 3 6" xfId="24580"/>
    <cellStyle name="Note 2 3 3 7 3 6 2" xfId="24581"/>
    <cellStyle name="Note 2 3 3 7 3 6 3" xfId="24582"/>
    <cellStyle name="Note 2 3 3 7 3 6 4" xfId="24583"/>
    <cellStyle name="Note 2 3 3 7 3 7" xfId="24584"/>
    <cellStyle name="Note 2 3 3 7 3 7 2" xfId="24585"/>
    <cellStyle name="Note 2 3 3 7 3 7 3" xfId="24586"/>
    <cellStyle name="Note 2 3 3 7 3 7 4" xfId="24587"/>
    <cellStyle name="Note 2 3 3 7 3 8" xfId="24588"/>
    <cellStyle name="Note 2 3 3 7 3 9" xfId="24589"/>
    <cellStyle name="Note 2 3 3 7 4" xfId="24590"/>
    <cellStyle name="Note 2 3 3 7 4 2" xfId="24591"/>
    <cellStyle name="Note 2 3 3 7 4 2 2" xfId="24592"/>
    <cellStyle name="Note 2 3 3 7 4 2 2 2" xfId="24593"/>
    <cellStyle name="Note 2 3 3 7 4 2 2 3" xfId="24594"/>
    <cellStyle name="Note 2 3 3 7 4 2 2 4" xfId="24595"/>
    <cellStyle name="Note 2 3 3 7 4 2 3" xfId="24596"/>
    <cellStyle name="Note 2 3 3 7 4 2 4" xfId="24597"/>
    <cellStyle name="Note 2 3 3 7 4 2 5" xfId="24598"/>
    <cellStyle name="Note 2 3 3 7 4 2 6" xfId="24599"/>
    <cellStyle name="Note 2 3 3 7 4 3" xfId="24600"/>
    <cellStyle name="Note 2 3 3 7 4 3 2" xfId="24601"/>
    <cellStyle name="Note 2 3 3 7 4 3 3" xfId="24602"/>
    <cellStyle name="Note 2 3 3 7 4 3 4" xfId="24603"/>
    <cellStyle name="Note 2 3 3 7 4 4" xfId="24604"/>
    <cellStyle name="Note 2 3 3 7 4 5" xfId="24605"/>
    <cellStyle name="Note 2 3 3 7 4 6" xfId="24606"/>
    <cellStyle name="Note 2 3 3 7 4 7" xfId="24607"/>
    <cellStyle name="Note 2 3 3 7 5" xfId="24608"/>
    <cellStyle name="Note 2 3 3 7 5 2" xfId="24609"/>
    <cellStyle name="Note 2 3 3 7 5 2 2" xfId="24610"/>
    <cellStyle name="Note 2 3 3 7 5 2 3" xfId="24611"/>
    <cellStyle name="Note 2 3 3 7 5 2 4" xfId="24612"/>
    <cellStyle name="Note 2 3 3 7 5 3" xfId="24613"/>
    <cellStyle name="Note 2 3 3 7 5 4" xfId="24614"/>
    <cellStyle name="Note 2 3 3 7 5 5" xfId="24615"/>
    <cellStyle name="Note 2 3 3 7 5 6" xfId="24616"/>
    <cellStyle name="Note 2 3 3 7 6" xfId="24617"/>
    <cellStyle name="Note 2 3 3 7 6 2" xfId="24618"/>
    <cellStyle name="Note 2 3 3 7 6 3" xfId="24619"/>
    <cellStyle name="Note 2 3 3 7 6 4" xfId="24620"/>
    <cellStyle name="Note 2 3 3 7 6 5" xfId="24621"/>
    <cellStyle name="Note 2 3 3 7 7" xfId="24622"/>
    <cellStyle name="Note 2 3 3 7 7 2" xfId="24623"/>
    <cellStyle name="Note 2 3 3 7 7 3" xfId="24624"/>
    <cellStyle name="Note 2 3 3 7 7 4" xfId="24625"/>
    <cellStyle name="Note 2 3 3 7 8" xfId="24626"/>
    <cellStyle name="Note 2 3 3 7 8 2" xfId="24627"/>
    <cellStyle name="Note 2 3 3 7 8 3" xfId="24628"/>
    <cellStyle name="Note 2 3 3 7 8 4" xfId="24629"/>
    <cellStyle name="Note 2 3 3 7 9" xfId="24630"/>
    <cellStyle name="Note 2 3 3 7 9 2" xfId="24631"/>
    <cellStyle name="Note 2 3 3 7 9 3" xfId="24632"/>
    <cellStyle name="Note 2 3 3 7 9 4" xfId="24633"/>
    <cellStyle name="Note 2 3 3 8" xfId="24634"/>
    <cellStyle name="Note 2 3 3 8 10" xfId="24635"/>
    <cellStyle name="Note 2 3 3 8 10 2" xfId="24636"/>
    <cellStyle name="Note 2 3 3 8 10 3" xfId="24637"/>
    <cellStyle name="Note 2 3 3 8 10 4" xfId="24638"/>
    <cellStyle name="Note 2 3 3 8 11" xfId="24639"/>
    <cellStyle name="Note 2 3 3 8 12" xfId="24640"/>
    <cellStyle name="Note 2 3 3 8 13" xfId="24641"/>
    <cellStyle name="Note 2 3 3 8 14" xfId="24642"/>
    <cellStyle name="Note 2 3 3 8 2" xfId="24643"/>
    <cellStyle name="Note 2 3 3 8 2 10" xfId="24644"/>
    <cellStyle name="Note 2 3 3 8 2 11" xfId="24645"/>
    <cellStyle name="Note 2 3 3 8 2 2" xfId="24646"/>
    <cellStyle name="Note 2 3 3 8 2 2 2" xfId="24647"/>
    <cellStyle name="Note 2 3 3 8 2 2 2 2" xfId="24648"/>
    <cellStyle name="Note 2 3 3 8 2 2 2 2 2" xfId="24649"/>
    <cellStyle name="Note 2 3 3 8 2 2 2 2 3" xfId="24650"/>
    <cellStyle name="Note 2 3 3 8 2 2 2 2 4" xfId="24651"/>
    <cellStyle name="Note 2 3 3 8 2 2 2 3" xfId="24652"/>
    <cellStyle name="Note 2 3 3 8 2 2 2 4" xfId="24653"/>
    <cellStyle name="Note 2 3 3 8 2 2 2 5" xfId="24654"/>
    <cellStyle name="Note 2 3 3 8 2 2 2 6" xfId="24655"/>
    <cellStyle name="Note 2 3 3 8 2 2 3" xfId="24656"/>
    <cellStyle name="Note 2 3 3 8 2 2 3 2" xfId="24657"/>
    <cellStyle name="Note 2 3 3 8 2 2 3 3" xfId="24658"/>
    <cellStyle name="Note 2 3 3 8 2 2 3 4" xfId="24659"/>
    <cellStyle name="Note 2 3 3 8 2 2 4" xfId="24660"/>
    <cellStyle name="Note 2 3 3 8 2 2 5" xfId="24661"/>
    <cellStyle name="Note 2 3 3 8 2 2 6" xfId="24662"/>
    <cellStyle name="Note 2 3 3 8 2 2 7" xfId="24663"/>
    <cellStyle name="Note 2 3 3 8 2 3" xfId="24664"/>
    <cellStyle name="Note 2 3 3 8 2 3 2" xfId="24665"/>
    <cellStyle name="Note 2 3 3 8 2 3 2 2" xfId="24666"/>
    <cellStyle name="Note 2 3 3 8 2 3 2 3" xfId="24667"/>
    <cellStyle name="Note 2 3 3 8 2 3 2 4" xfId="24668"/>
    <cellStyle name="Note 2 3 3 8 2 3 3" xfId="24669"/>
    <cellStyle name="Note 2 3 3 8 2 3 4" xfId="24670"/>
    <cellStyle name="Note 2 3 3 8 2 3 5" xfId="24671"/>
    <cellStyle name="Note 2 3 3 8 2 3 6" xfId="24672"/>
    <cellStyle name="Note 2 3 3 8 2 4" xfId="24673"/>
    <cellStyle name="Note 2 3 3 8 2 4 2" xfId="24674"/>
    <cellStyle name="Note 2 3 3 8 2 4 3" xfId="24675"/>
    <cellStyle name="Note 2 3 3 8 2 4 4" xfId="24676"/>
    <cellStyle name="Note 2 3 3 8 2 4 5" xfId="24677"/>
    <cellStyle name="Note 2 3 3 8 2 5" xfId="24678"/>
    <cellStyle name="Note 2 3 3 8 2 5 2" xfId="24679"/>
    <cellStyle name="Note 2 3 3 8 2 5 3" xfId="24680"/>
    <cellStyle name="Note 2 3 3 8 2 5 4" xfId="24681"/>
    <cellStyle name="Note 2 3 3 8 2 6" xfId="24682"/>
    <cellStyle name="Note 2 3 3 8 2 6 2" xfId="24683"/>
    <cellStyle name="Note 2 3 3 8 2 6 3" xfId="24684"/>
    <cellStyle name="Note 2 3 3 8 2 6 4" xfId="24685"/>
    <cellStyle name="Note 2 3 3 8 2 7" xfId="24686"/>
    <cellStyle name="Note 2 3 3 8 2 7 2" xfId="24687"/>
    <cellStyle name="Note 2 3 3 8 2 7 3" xfId="24688"/>
    <cellStyle name="Note 2 3 3 8 2 7 4" xfId="24689"/>
    <cellStyle name="Note 2 3 3 8 2 8" xfId="24690"/>
    <cellStyle name="Note 2 3 3 8 2 9" xfId="24691"/>
    <cellStyle name="Note 2 3 3 8 3" xfId="24692"/>
    <cellStyle name="Note 2 3 3 8 3 10" xfId="24693"/>
    <cellStyle name="Note 2 3 3 8 3 11" xfId="24694"/>
    <cellStyle name="Note 2 3 3 8 3 2" xfId="24695"/>
    <cellStyle name="Note 2 3 3 8 3 2 2" xfId="24696"/>
    <cellStyle name="Note 2 3 3 8 3 2 2 2" xfId="24697"/>
    <cellStyle name="Note 2 3 3 8 3 2 2 3" xfId="24698"/>
    <cellStyle name="Note 2 3 3 8 3 2 2 4" xfId="24699"/>
    <cellStyle name="Note 2 3 3 8 3 2 3" xfId="24700"/>
    <cellStyle name="Note 2 3 3 8 3 2 3 2" xfId="24701"/>
    <cellStyle name="Note 2 3 3 8 3 2 3 3" xfId="24702"/>
    <cellStyle name="Note 2 3 3 8 3 2 3 4" xfId="24703"/>
    <cellStyle name="Note 2 3 3 8 3 2 4" xfId="24704"/>
    <cellStyle name="Note 2 3 3 8 3 2 5" xfId="24705"/>
    <cellStyle name="Note 2 3 3 8 3 2 6" xfId="24706"/>
    <cellStyle name="Note 2 3 3 8 3 2 7" xfId="24707"/>
    <cellStyle name="Note 2 3 3 8 3 3" xfId="24708"/>
    <cellStyle name="Note 2 3 3 8 3 3 2" xfId="24709"/>
    <cellStyle name="Note 2 3 3 8 3 3 2 2" xfId="24710"/>
    <cellStyle name="Note 2 3 3 8 3 3 2 3" xfId="24711"/>
    <cellStyle name="Note 2 3 3 8 3 3 2 4" xfId="24712"/>
    <cellStyle name="Note 2 3 3 8 3 3 3" xfId="24713"/>
    <cellStyle name="Note 2 3 3 8 3 3 4" xfId="24714"/>
    <cellStyle name="Note 2 3 3 8 3 3 5" xfId="24715"/>
    <cellStyle name="Note 2 3 3 8 3 3 6" xfId="24716"/>
    <cellStyle name="Note 2 3 3 8 3 4" xfId="24717"/>
    <cellStyle name="Note 2 3 3 8 3 4 2" xfId="24718"/>
    <cellStyle name="Note 2 3 3 8 3 4 3" xfId="24719"/>
    <cellStyle name="Note 2 3 3 8 3 4 4" xfId="24720"/>
    <cellStyle name="Note 2 3 3 8 3 4 5" xfId="24721"/>
    <cellStyle name="Note 2 3 3 8 3 5" xfId="24722"/>
    <cellStyle name="Note 2 3 3 8 3 5 2" xfId="24723"/>
    <cellStyle name="Note 2 3 3 8 3 5 3" xfId="24724"/>
    <cellStyle name="Note 2 3 3 8 3 5 4" xfId="24725"/>
    <cellStyle name="Note 2 3 3 8 3 6" xfId="24726"/>
    <cellStyle name="Note 2 3 3 8 3 6 2" xfId="24727"/>
    <cellStyle name="Note 2 3 3 8 3 6 3" xfId="24728"/>
    <cellStyle name="Note 2 3 3 8 3 6 4" xfId="24729"/>
    <cellStyle name="Note 2 3 3 8 3 7" xfId="24730"/>
    <cellStyle name="Note 2 3 3 8 3 7 2" xfId="24731"/>
    <cellStyle name="Note 2 3 3 8 3 7 3" xfId="24732"/>
    <cellStyle name="Note 2 3 3 8 3 7 4" xfId="24733"/>
    <cellStyle name="Note 2 3 3 8 3 8" xfId="24734"/>
    <cellStyle name="Note 2 3 3 8 3 9" xfId="24735"/>
    <cellStyle name="Note 2 3 3 8 4" xfId="24736"/>
    <cellStyle name="Note 2 3 3 8 4 2" xfId="24737"/>
    <cellStyle name="Note 2 3 3 8 4 2 2" xfId="24738"/>
    <cellStyle name="Note 2 3 3 8 4 2 2 2" xfId="24739"/>
    <cellStyle name="Note 2 3 3 8 4 2 2 3" xfId="24740"/>
    <cellStyle name="Note 2 3 3 8 4 2 2 4" xfId="24741"/>
    <cellStyle name="Note 2 3 3 8 4 2 3" xfId="24742"/>
    <cellStyle name="Note 2 3 3 8 4 2 4" xfId="24743"/>
    <cellStyle name="Note 2 3 3 8 4 2 5" xfId="24744"/>
    <cellStyle name="Note 2 3 3 8 4 2 6" xfId="24745"/>
    <cellStyle name="Note 2 3 3 8 4 3" xfId="24746"/>
    <cellStyle name="Note 2 3 3 8 4 3 2" xfId="24747"/>
    <cellStyle name="Note 2 3 3 8 4 3 3" xfId="24748"/>
    <cellStyle name="Note 2 3 3 8 4 3 4" xfId="24749"/>
    <cellStyle name="Note 2 3 3 8 4 4" xfId="24750"/>
    <cellStyle name="Note 2 3 3 8 4 5" xfId="24751"/>
    <cellStyle name="Note 2 3 3 8 4 6" xfId="24752"/>
    <cellStyle name="Note 2 3 3 8 4 7" xfId="24753"/>
    <cellStyle name="Note 2 3 3 8 5" xfId="24754"/>
    <cellStyle name="Note 2 3 3 8 5 2" xfId="24755"/>
    <cellStyle name="Note 2 3 3 8 5 2 2" xfId="24756"/>
    <cellStyle name="Note 2 3 3 8 5 2 3" xfId="24757"/>
    <cellStyle name="Note 2 3 3 8 5 2 4" xfId="24758"/>
    <cellStyle name="Note 2 3 3 8 5 3" xfId="24759"/>
    <cellStyle name="Note 2 3 3 8 5 4" xfId="24760"/>
    <cellStyle name="Note 2 3 3 8 5 5" xfId="24761"/>
    <cellStyle name="Note 2 3 3 8 5 6" xfId="24762"/>
    <cellStyle name="Note 2 3 3 8 6" xfId="24763"/>
    <cellStyle name="Note 2 3 3 8 6 2" xfId="24764"/>
    <cellStyle name="Note 2 3 3 8 6 3" xfId="24765"/>
    <cellStyle name="Note 2 3 3 8 6 4" xfId="24766"/>
    <cellStyle name="Note 2 3 3 8 6 5" xfId="24767"/>
    <cellStyle name="Note 2 3 3 8 7" xfId="24768"/>
    <cellStyle name="Note 2 3 3 8 7 2" xfId="24769"/>
    <cellStyle name="Note 2 3 3 8 7 3" xfId="24770"/>
    <cellStyle name="Note 2 3 3 8 7 4" xfId="24771"/>
    <cellStyle name="Note 2 3 3 8 8" xfId="24772"/>
    <cellStyle name="Note 2 3 3 8 8 2" xfId="24773"/>
    <cellStyle name="Note 2 3 3 8 8 3" xfId="24774"/>
    <cellStyle name="Note 2 3 3 8 8 4" xfId="24775"/>
    <cellStyle name="Note 2 3 3 8 9" xfId="24776"/>
    <cellStyle name="Note 2 3 3 8 9 2" xfId="24777"/>
    <cellStyle name="Note 2 3 3 8 9 3" xfId="24778"/>
    <cellStyle name="Note 2 3 3 8 9 4" xfId="24779"/>
    <cellStyle name="Note 2 3 3 9" xfId="24780"/>
    <cellStyle name="Note 2 3 3 9 10" xfId="24781"/>
    <cellStyle name="Note 2 3 3 9 11" xfId="24782"/>
    <cellStyle name="Note 2 3 3 9 12" xfId="24783"/>
    <cellStyle name="Note 2 3 3 9 13" xfId="24784"/>
    <cellStyle name="Note 2 3 3 9 2" xfId="24785"/>
    <cellStyle name="Note 2 3 3 9 2 10" xfId="24786"/>
    <cellStyle name="Note 2 3 3 9 2 11" xfId="24787"/>
    <cellStyle name="Note 2 3 3 9 2 2" xfId="24788"/>
    <cellStyle name="Note 2 3 3 9 2 2 2" xfId="24789"/>
    <cellStyle name="Note 2 3 3 9 2 2 2 2" xfId="24790"/>
    <cellStyle name="Note 2 3 3 9 2 2 2 2 2" xfId="24791"/>
    <cellStyle name="Note 2 3 3 9 2 2 2 2 3" xfId="24792"/>
    <cellStyle name="Note 2 3 3 9 2 2 2 2 4" xfId="24793"/>
    <cellStyle name="Note 2 3 3 9 2 2 2 3" xfId="24794"/>
    <cellStyle name="Note 2 3 3 9 2 2 2 4" xfId="24795"/>
    <cellStyle name="Note 2 3 3 9 2 2 2 5" xfId="24796"/>
    <cellStyle name="Note 2 3 3 9 2 2 2 6" xfId="24797"/>
    <cellStyle name="Note 2 3 3 9 2 2 3" xfId="24798"/>
    <cellStyle name="Note 2 3 3 9 2 2 3 2" xfId="24799"/>
    <cellStyle name="Note 2 3 3 9 2 2 3 3" xfId="24800"/>
    <cellStyle name="Note 2 3 3 9 2 2 3 4" xfId="24801"/>
    <cellStyle name="Note 2 3 3 9 2 2 4" xfId="24802"/>
    <cellStyle name="Note 2 3 3 9 2 2 5" xfId="24803"/>
    <cellStyle name="Note 2 3 3 9 2 2 6" xfId="24804"/>
    <cellStyle name="Note 2 3 3 9 2 2 7" xfId="24805"/>
    <cellStyle name="Note 2 3 3 9 2 3" xfId="24806"/>
    <cellStyle name="Note 2 3 3 9 2 3 2" xfId="24807"/>
    <cellStyle name="Note 2 3 3 9 2 3 2 2" xfId="24808"/>
    <cellStyle name="Note 2 3 3 9 2 3 2 3" xfId="24809"/>
    <cellStyle name="Note 2 3 3 9 2 3 2 4" xfId="24810"/>
    <cellStyle name="Note 2 3 3 9 2 3 3" xfId="24811"/>
    <cellStyle name="Note 2 3 3 9 2 3 4" xfId="24812"/>
    <cellStyle name="Note 2 3 3 9 2 3 5" xfId="24813"/>
    <cellStyle name="Note 2 3 3 9 2 3 6" xfId="24814"/>
    <cellStyle name="Note 2 3 3 9 2 4" xfId="24815"/>
    <cellStyle name="Note 2 3 3 9 2 4 2" xfId="24816"/>
    <cellStyle name="Note 2 3 3 9 2 4 3" xfId="24817"/>
    <cellStyle name="Note 2 3 3 9 2 4 4" xfId="24818"/>
    <cellStyle name="Note 2 3 3 9 2 4 5" xfId="24819"/>
    <cellStyle name="Note 2 3 3 9 2 5" xfId="24820"/>
    <cellStyle name="Note 2 3 3 9 2 5 2" xfId="24821"/>
    <cellStyle name="Note 2 3 3 9 2 5 3" xfId="24822"/>
    <cellStyle name="Note 2 3 3 9 2 5 4" xfId="24823"/>
    <cellStyle name="Note 2 3 3 9 2 6" xfId="24824"/>
    <cellStyle name="Note 2 3 3 9 2 6 2" xfId="24825"/>
    <cellStyle name="Note 2 3 3 9 2 6 3" xfId="24826"/>
    <cellStyle name="Note 2 3 3 9 2 6 4" xfId="24827"/>
    <cellStyle name="Note 2 3 3 9 2 7" xfId="24828"/>
    <cellStyle name="Note 2 3 3 9 2 7 2" xfId="24829"/>
    <cellStyle name="Note 2 3 3 9 2 7 3" xfId="24830"/>
    <cellStyle name="Note 2 3 3 9 2 7 4" xfId="24831"/>
    <cellStyle name="Note 2 3 3 9 2 8" xfId="24832"/>
    <cellStyle name="Note 2 3 3 9 2 9" xfId="24833"/>
    <cellStyle name="Note 2 3 3 9 3" xfId="24834"/>
    <cellStyle name="Note 2 3 3 9 3 2" xfId="24835"/>
    <cellStyle name="Note 2 3 3 9 3 2 2" xfId="24836"/>
    <cellStyle name="Note 2 3 3 9 3 2 2 2" xfId="24837"/>
    <cellStyle name="Note 2 3 3 9 3 2 2 3" xfId="24838"/>
    <cellStyle name="Note 2 3 3 9 3 2 2 4" xfId="24839"/>
    <cellStyle name="Note 2 3 3 9 3 2 3" xfId="24840"/>
    <cellStyle name="Note 2 3 3 9 3 2 4" xfId="24841"/>
    <cellStyle name="Note 2 3 3 9 3 2 5" xfId="24842"/>
    <cellStyle name="Note 2 3 3 9 3 2 6" xfId="24843"/>
    <cellStyle name="Note 2 3 3 9 3 3" xfId="24844"/>
    <cellStyle name="Note 2 3 3 9 3 3 2" xfId="24845"/>
    <cellStyle name="Note 2 3 3 9 3 3 3" xfId="24846"/>
    <cellStyle name="Note 2 3 3 9 3 3 4" xfId="24847"/>
    <cellStyle name="Note 2 3 3 9 3 4" xfId="24848"/>
    <cellStyle name="Note 2 3 3 9 3 5" xfId="24849"/>
    <cellStyle name="Note 2 3 3 9 3 6" xfId="24850"/>
    <cellStyle name="Note 2 3 3 9 3 7" xfId="24851"/>
    <cellStyle name="Note 2 3 3 9 4" xfId="24852"/>
    <cellStyle name="Note 2 3 3 9 4 2" xfId="24853"/>
    <cellStyle name="Note 2 3 3 9 4 2 2" xfId="24854"/>
    <cellStyle name="Note 2 3 3 9 4 2 3" xfId="24855"/>
    <cellStyle name="Note 2 3 3 9 4 2 4" xfId="24856"/>
    <cellStyle name="Note 2 3 3 9 4 3" xfId="24857"/>
    <cellStyle name="Note 2 3 3 9 4 4" xfId="24858"/>
    <cellStyle name="Note 2 3 3 9 4 5" xfId="24859"/>
    <cellStyle name="Note 2 3 3 9 4 6" xfId="24860"/>
    <cellStyle name="Note 2 3 3 9 5" xfId="24861"/>
    <cellStyle name="Note 2 3 3 9 5 2" xfId="24862"/>
    <cellStyle name="Note 2 3 3 9 5 3" xfId="24863"/>
    <cellStyle name="Note 2 3 3 9 5 4" xfId="24864"/>
    <cellStyle name="Note 2 3 3 9 5 5" xfId="24865"/>
    <cellStyle name="Note 2 3 3 9 6" xfId="24866"/>
    <cellStyle name="Note 2 3 3 9 6 2" xfId="24867"/>
    <cellStyle name="Note 2 3 3 9 6 3" xfId="24868"/>
    <cellStyle name="Note 2 3 3 9 6 4" xfId="24869"/>
    <cellStyle name="Note 2 3 3 9 7" xfId="24870"/>
    <cellStyle name="Note 2 3 3 9 7 2" xfId="24871"/>
    <cellStyle name="Note 2 3 3 9 7 3" xfId="24872"/>
    <cellStyle name="Note 2 3 3 9 7 4" xfId="24873"/>
    <cellStyle name="Note 2 3 3 9 8" xfId="24874"/>
    <cellStyle name="Note 2 3 3 9 8 2" xfId="24875"/>
    <cellStyle name="Note 2 3 3 9 8 3" xfId="24876"/>
    <cellStyle name="Note 2 3 3 9 8 4" xfId="24877"/>
    <cellStyle name="Note 2 3 3 9 9" xfId="24878"/>
    <cellStyle name="Note 2 3 3 9 9 2" xfId="24879"/>
    <cellStyle name="Note 2 3 3 9 9 3" xfId="24880"/>
    <cellStyle name="Note 2 3 3 9 9 4" xfId="24881"/>
    <cellStyle name="Note 2 3 30" xfId="54968"/>
    <cellStyle name="Note 2 3 31" xfId="54969"/>
    <cellStyle name="Note 2 3 32" xfId="54970"/>
    <cellStyle name="Note 2 3 33" xfId="54971"/>
    <cellStyle name="Note 2 3 34" xfId="54972"/>
    <cellStyle name="Note 2 3 35" xfId="54973"/>
    <cellStyle name="Note 2 3 36" xfId="54974"/>
    <cellStyle name="Note 2 3 37" xfId="54975"/>
    <cellStyle name="Note 2 3 38" xfId="54976"/>
    <cellStyle name="Note 2 3 39" xfId="54977"/>
    <cellStyle name="Note 2 3 4" xfId="705"/>
    <cellStyle name="Note 2 3 4 10" xfId="24882"/>
    <cellStyle name="Note 2 3 4 10 10" xfId="24883"/>
    <cellStyle name="Note 2 3 4 10 2" xfId="24884"/>
    <cellStyle name="Note 2 3 4 10 2 2" xfId="24885"/>
    <cellStyle name="Note 2 3 4 10 2 2 2" xfId="24886"/>
    <cellStyle name="Note 2 3 4 10 2 2 3" xfId="24887"/>
    <cellStyle name="Note 2 3 4 10 2 2 4" xfId="24888"/>
    <cellStyle name="Note 2 3 4 10 2 3" xfId="24889"/>
    <cellStyle name="Note 2 3 4 10 2 4" xfId="24890"/>
    <cellStyle name="Note 2 3 4 10 2 5" xfId="24891"/>
    <cellStyle name="Note 2 3 4 10 2 6" xfId="24892"/>
    <cellStyle name="Note 2 3 4 10 3" xfId="24893"/>
    <cellStyle name="Note 2 3 4 10 3 2" xfId="24894"/>
    <cellStyle name="Note 2 3 4 10 3 3" xfId="24895"/>
    <cellStyle name="Note 2 3 4 10 3 4" xfId="24896"/>
    <cellStyle name="Note 2 3 4 10 4" xfId="24897"/>
    <cellStyle name="Note 2 3 4 10 4 2" xfId="24898"/>
    <cellStyle name="Note 2 3 4 10 4 3" xfId="24899"/>
    <cellStyle name="Note 2 3 4 10 4 4" xfId="24900"/>
    <cellStyle name="Note 2 3 4 10 5" xfId="24901"/>
    <cellStyle name="Note 2 3 4 10 5 2" xfId="24902"/>
    <cellStyle name="Note 2 3 4 10 5 3" xfId="24903"/>
    <cellStyle name="Note 2 3 4 10 5 4" xfId="24904"/>
    <cellStyle name="Note 2 3 4 10 6" xfId="24905"/>
    <cellStyle name="Note 2 3 4 10 6 2" xfId="24906"/>
    <cellStyle name="Note 2 3 4 10 6 3" xfId="24907"/>
    <cellStyle name="Note 2 3 4 10 6 4" xfId="24908"/>
    <cellStyle name="Note 2 3 4 10 7" xfId="24909"/>
    <cellStyle name="Note 2 3 4 10 8" xfId="24910"/>
    <cellStyle name="Note 2 3 4 10 9" xfId="24911"/>
    <cellStyle name="Note 2 3 4 11" xfId="24912"/>
    <cellStyle name="Note 2 3 4 11 2" xfId="24913"/>
    <cellStyle name="Note 2 3 4 11 2 2" xfId="24914"/>
    <cellStyle name="Note 2 3 4 11 2 3" xfId="24915"/>
    <cellStyle name="Note 2 3 4 11 2 4" xfId="24916"/>
    <cellStyle name="Note 2 3 4 11 3" xfId="24917"/>
    <cellStyle name="Note 2 3 4 11 3 2" xfId="24918"/>
    <cellStyle name="Note 2 3 4 11 3 3" xfId="24919"/>
    <cellStyle name="Note 2 3 4 11 3 4" xfId="24920"/>
    <cellStyle name="Note 2 3 4 11 4" xfId="24921"/>
    <cellStyle name="Note 2 3 4 11 5" xfId="24922"/>
    <cellStyle name="Note 2 3 4 11 6" xfId="24923"/>
    <cellStyle name="Note 2 3 4 11 7" xfId="24924"/>
    <cellStyle name="Note 2 3 4 12" xfId="24925"/>
    <cellStyle name="Note 2 3 4 12 2" xfId="24926"/>
    <cellStyle name="Note 2 3 4 12 2 2" xfId="24927"/>
    <cellStyle name="Note 2 3 4 12 2 3" xfId="24928"/>
    <cellStyle name="Note 2 3 4 12 2 4" xfId="24929"/>
    <cellStyle name="Note 2 3 4 12 3" xfId="24930"/>
    <cellStyle name="Note 2 3 4 12 3 2" xfId="24931"/>
    <cellStyle name="Note 2 3 4 12 3 3" xfId="24932"/>
    <cellStyle name="Note 2 3 4 12 3 4" xfId="24933"/>
    <cellStyle name="Note 2 3 4 12 4" xfId="24934"/>
    <cellStyle name="Note 2 3 4 12 5" xfId="24935"/>
    <cellStyle name="Note 2 3 4 12 6" xfId="24936"/>
    <cellStyle name="Note 2 3 4 12 7" xfId="24937"/>
    <cellStyle name="Note 2 3 4 13" xfId="24938"/>
    <cellStyle name="Note 2 3 4 13 2" xfId="24939"/>
    <cellStyle name="Note 2 3 4 13 2 2" xfId="24940"/>
    <cellStyle name="Note 2 3 4 13 2 3" xfId="24941"/>
    <cellStyle name="Note 2 3 4 13 2 4" xfId="24942"/>
    <cellStyle name="Note 2 3 4 13 3" xfId="24943"/>
    <cellStyle name="Note 2 3 4 13 3 2" xfId="24944"/>
    <cellStyle name="Note 2 3 4 13 3 3" xfId="24945"/>
    <cellStyle name="Note 2 3 4 13 3 4" xfId="24946"/>
    <cellStyle name="Note 2 3 4 13 4" xfId="24947"/>
    <cellStyle name="Note 2 3 4 13 5" xfId="24948"/>
    <cellStyle name="Note 2 3 4 13 6" xfId="24949"/>
    <cellStyle name="Note 2 3 4 13 7" xfId="24950"/>
    <cellStyle name="Note 2 3 4 14" xfId="24951"/>
    <cellStyle name="Note 2 3 4 14 2" xfId="24952"/>
    <cellStyle name="Note 2 3 4 14 2 2" xfId="24953"/>
    <cellStyle name="Note 2 3 4 14 2 3" xfId="24954"/>
    <cellStyle name="Note 2 3 4 14 2 4" xfId="24955"/>
    <cellStyle name="Note 2 3 4 14 3" xfId="24956"/>
    <cellStyle name="Note 2 3 4 14 3 2" xfId="24957"/>
    <cellStyle name="Note 2 3 4 14 3 3" xfId="24958"/>
    <cellStyle name="Note 2 3 4 14 3 4" xfId="24959"/>
    <cellStyle name="Note 2 3 4 14 4" xfId="24960"/>
    <cellStyle name="Note 2 3 4 14 5" xfId="24961"/>
    <cellStyle name="Note 2 3 4 14 6" xfId="24962"/>
    <cellStyle name="Note 2 3 4 14 7" xfId="24963"/>
    <cellStyle name="Note 2 3 4 15" xfId="24964"/>
    <cellStyle name="Note 2 3 4 15 2" xfId="24965"/>
    <cellStyle name="Note 2 3 4 15 2 2" xfId="24966"/>
    <cellStyle name="Note 2 3 4 15 2 3" xfId="24967"/>
    <cellStyle name="Note 2 3 4 15 2 4" xfId="24968"/>
    <cellStyle name="Note 2 3 4 15 3" xfId="24969"/>
    <cellStyle name="Note 2 3 4 15 4" xfId="24970"/>
    <cellStyle name="Note 2 3 4 15 5" xfId="24971"/>
    <cellStyle name="Note 2 3 4 15 6" xfId="24972"/>
    <cellStyle name="Note 2 3 4 16" xfId="24973"/>
    <cellStyle name="Note 2 3 4 16 2" xfId="24974"/>
    <cellStyle name="Note 2 3 4 16 3" xfId="24975"/>
    <cellStyle name="Note 2 3 4 17" xfId="24976"/>
    <cellStyle name="Note 2 3 4 17 2" xfId="24977"/>
    <cellStyle name="Note 2 3 4 17 3" xfId="24978"/>
    <cellStyle name="Note 2 3 4 17 4" xfId="24979"/>
    <cellStyle name="Note 2 3 4 18" xfId="24980"/>
    <cellStyle name="Note 2 3 4 18 2" xfId="24981"/>
    <cellStyle name="Note 2 3 4 18 3" xfId="24982"/>
    <cellStyle name="Note 2 3 4 18 4" xfId="24983"/>
    <cellStyle name="Note 2 3 4 19" xfId="24984"/>
    <cellStyle name="Note 2 3 4 19 2" xfId="24985"/>
    <cellStyle name="Note 2 3 4 19 3" xfId="24986"/>
    <cellStyle name="Note 2 3 4 19 4" xfId="24987"/>
    <cellStyle name="Note 2 3 4 2" xfId="706"/>
    <cellStyle name="Note 2 3 4 2 10" xfId="24988"/>
    <cellStyle name="Note 2 3 4 2 10 2" xfId="24989"/>
    <cellStyle name="Note 2 3 4 2 10 2 2" xfId="24990"/>
    <cellStyle name="Note 2 3 4 2 10 2 3" xfId="24991"/>
    <cellStyle name="Note 2 3 4 2 10 2 4" xfId="24992"/>
    <cellStyle name="Note 2 3 4 2 10 3" xfId="24993"/>
    <cellStyle name="Note 2 3 4 2 10 3 2" xfId="24994"/>
    <cellStyle name="Note 2 3 4 2 10 3 3" xfId="24995"/>
    <cellStyle name="Note 2 3 4 2 10 3 4" xfId="24996"/>
    <cellStyle name="Note 2 3 4 2 10 4" xfId="24997"/>
    <cellStyle name="Note 2 3 4 2 10 5" xfId="24998"/>
    <cellStyle name="Note 2 3 4 2 10 6" xfId="24999"/>
    <cellStyle name="Note 2 3 4 2 10 7" xfId="25000"/>
    <cellStyle name="Note 2 3 4 2 11" xfId="25001"/>
    <cellStyle name="Note 2 3 4 2 11 2" xfId="25002"/>
    <cellStyle name="Note 2 3 4 2 11 2 2" xfId="25003"/>
    <cellStyle name="Note 2 3 4 2 11 2 3" xfId="25004"/>
    <cellStyle name="Note 2 3 4 2 11 2 4" xfId="25005"/>
    <cellStyle name="Note 2 3 4 2 11 3" xfId="25006"/>
    <cellStyle name="Note 2 3 4 2 11 3 2" xfId="25007"/>
    <cellStyle name="Note 2 3 4 2 11 3 3" xfId="25008"/>
    <cellStyle name="Note 2 3 4 2 11 3 4" xfId="25009"/>
    <cellStyle name="Note 2 3 4 2 11 4" xfId="25010"/>
    <cellStyle name="Note 2 3 4 2 11 5" xfId="25011"/>
    <cellStyle name="Note 2 3 4 2 11 6" xfId="25012"/>
    <cellStyle name="Note 2 3 4 2 11 7" xfId="25013"/>
    <cellStyle name="Note 2 3 4 2 12" xfId="25014"/>
    <cellStyle name="Note 2 3 4 2 12 2" xfId="25015"/>
    <cellStyle name="Note 2 3 4 2 12 2 2" xfId="25016"/>
    <cellStyle name="Note 2 3 4 2 12 2 3" xfId="25017"/>
    <cellStyle name="Note 2 3 4 2 12 2 4" xfId="25018"/>
    <cellStyle name="Note 2 3 4 2 12 3" xfId="25019"/>
    <cellStyle name="Note 2 3 4 2 12 3 2" xfId="25020"/>
    <cellStyle name="Note 2 3 4 2 12 3 3" xfId="25021"/>
    <cellStyle name="Note 2 3 4 2 12 3 4" xfId="25022"/>
    <cellStyle name="Note 2 3 4 2 12 4" xfId="25023"/>
    <cellStyle name="Note 2 3 4 2 12 5" xfId="25024"/>
    <cellStyle name="Note 2 3 4 2 12 6" xfId="25025"/>
    <cellStyle name="Note 2 3 4 2 12 7" xfId="25026"/>
    <cellStyle name="Note 2 3 4 2 13" xfId="25027"/>
    <cellStyle name="Note 2 3 4 2 13 2" xfId="25028"/>
    <cellStyle name="Note 2 3 4 2 13 2 2" xfId="25029"/>
    <cellStyle name="Note 2 3 4 2 13 2 3" xfId="25030"/>
    <cellStyle name="Note 2 3 4 2 13 2 4" xfId="25031"/>
    <cellStyle name="Note 2 3 4 2 13 3" xfId="25032"/>
    <cellStyle name="Note 2 3 4 2 13 3 2" xfId="25033"/>
    <cellStyle name="Note 2 3 4 2 13 3 3" xfId="25034"/>
    <cellStyle name="Note 2 3 4 2 13 3 4" xfId="25035"/>
    <cellStyle name="Note 2 3 4 2 13 4" xfId="25036"/>
    <cellStyle name="Note 2 3 4 2 13 5" xfId="25037"/>
    <cellStyle name="Note 2 3 4 2 13 6" xfId="25038"/>
    <cellStyle name="Note 2 3 4 2 13 7" xfId="25039"/>
    <cellStyle name="Note 2 3 4 2 14" xfId="25040"/>
    <cellStyle name="Note 2 3 4 2 14 2" xfId="25041"/>
    <cellStyle name="Note 2 3 4 2 14 2 2" xfId="25042"/>
    <cellStyle name="Note 2 3 4 2 14 2 3" xfId="25043"/>
    <cellStyle name="Note 2 3 4 2 14 2 4" xfId="25044"/>
    <cellStyle name="Note 2 3 4 2 14 3" xfId="25045"/>
    <cellStyle name="Note 2 3 4 2 14 4" xfId="25046"/>
    <cellStyle name="Note 2 3 4 2 14 5" xfId="25047"/>
    <cellStyle name="Note 2 3 4 2 14 6" xfId="25048"/>
    <cellStyle name="Note 2 3 4 2 15" xfId="25049"/>
    <cellStyle name="Note 2 3 4 2 15 2" xfId="25050"/>
    <cellStyle name="Note 2 3 4 2 15 3" xfId="25051"/>
    <cellStyle name="Note 2 3 4 2 15 4" xfId="25052"/>
    <cellStyle name="Note 2 3 4 2 15 5" xfId="25053"/>
    <cellStyle name="Note 2 3 4 2 16" xfId="25054"/>
    <cellStyle name="Note 2 3 4 2 16 2" xfId="25055"/>
    <cellStyle name="Note 2 3 4 2 16 3" xfId="25056"/>
    <cellStyle name="Note 2 3 4 2 16 4" xfId="25057"/>
    <cellStyle name="Note 2 3 4 2 17" xfId="25058"/>
    <cellStyle name="Note 2 3 4 2 17 2" xfId="25059"/>
    <cellStyle name="Note 2 3 4 2 17 3" xfId="25060"/>
    <cellStyle name="Note 2 3 4 2 17 4" xfId="25061"/>
    <cellStyle name="Note 2 3 4 2 18" xfId="25062"/>
    <cellStyle name="Note 2 3 4 2 19" xfId="25063"/>
    <cellStyle name="Note 2 3 4 2 2" xfId="25064"/>
    <cellStyle name="Note 2 3 4 2 2 10" xfId="25065"/>
    <cellStyle name="Note 2 3 4 2 2 10 2" xfId="25066"/>
    <cellStyle name="Note 2 3 4 2 2 10 3" xfId="25067"/>
    <cellStyle name="Note 2 3 4 2 2 10 4" xfId="25068"/>
    <cellStyle name="Note 2 3 4 2 2 11" xfId="25069"/>
    <cellStyle name="Note 2 3 4 2 2 11 2" xfId="25070"/>
    <cellStyle name="Note 2 3 4 2 2 11 3" xfId="25071"/>
    <cellStyle name="Note 2 3 4 2 2 11 4" xfId="25072"/>
    <cellStyle name="Note 2 3 4 2 2 12" xfId="25073"/>
    <cellStyle name="Note 2 3 4 2 2 13" xfId="25074"/>
    <cellStyle name="Note 2 3 4 2 2 14" xfId="25075"/>
    <cellStyle name="Note 2 3 4 2 2 15" xfId="25076"/>
    <cellStyle name="Note 2 3 4 2 2 2" xfId="25077"/>
    <cellStyle name="Note 2 3 4 2 2 2 10" xfId="25078"/>
    <cellStyle name="Note 2 3 4 2 2 2 11" xfId="25079"/>
    <cellStyle name="Note 2 3 4 2 2 2 12" xfId="25080"/>
    <cellStyle name="Note 2 3 4 2 2 2 2" xfId="25081"/>
    <cellStyle name="Note 2 3 4 2 2 2 2 10" xfId="25082"/>
    <cellStyle name="Note 2 3 4 2 2 2 2 11" xfId="25083"/>
    <cellStyle name="Note 2 3 4 2 2 2 2 2" xfId="25084"/>
    <cellStyle name="Note 2 3 4 2 2 2 2 2 2" xfId="25085"/>
    <cellStyle name="Note 2 3 4 2 2 2 2 2 2 2" xfId="25086"/>
    <cellStyle name="Note 2 3 4 2 2 2 2 2 2 2 2" xfId="25087"/>
    <cellStyle name="Note 2 3 4 2 2 2 2 2 2 2 3" xfId="25088"/>
    <cellStyle name="Note 2 3 4 2 2 2 2 2 2 2 4" xfId="25089"/>
    <cellStyle name="Note 2 3 4 2 2 2 2 2 2 3" xfId="25090"/>
    <cellStyle name="Note 2 3 4 2 2 2 2 2 2 4" xfId="25091"/>
    <cellStyle name="Note 2 3 4 2 2 2 2 2 2 5" xfId="25092"/>
    <cellStyle name="Note 2 3 4 2 2 2 2 2 2 6" xfId="25093"/>
    <cellStyle name="Note 2 3 4 2 2 2 2 2 3" xfId="25094"/>
    <cellStyle name="Note 2 3 4 2 2 2 2 2 3 2" xfId="25095"/>
    <cellStyle name="Note 2 3 4 2 2 2 2 2 3 3" xfId="25096"/>
    <cellStyle name="Note 2 3 4 2 2 2 2 2 3 4" xfId="25097"/>
    <cellStyle name="Note 2 3 4 2 2 2 2 2 4" xfId="25098"/>
    <cellStyle name="Note 2 3 4 2 2 2 2 2 5" xfId="25099"/>
    <cellStyle name="Note 2 3 4 2 2 2 2 2 6" xfId="25100"/>
    <cellStyle name="Note 2 3 4 2 2 2 2 2 7" xfId="25101"/>
    <cellStyle name="Note 2 3 4 2 2 2 2 3" xfId="25102"/>
    <cellStyle name="Note 2 3 4 2 2 2 2 3 2" xfId="25103"/>
    <cellStyle name="Note 2 3 4 2 2 2 2 3 2 2" xfId="25104"/>
    <cellStyle name="Note 2 3 4 2 2 2 2 3 2 3" xfId="25105"/>
    <cellStyle name="Note 2 3 4 2 2 2 2 3 2 4" xfId="25106"/>
    <cellStyle name="Note 2 3 4 2 2 2 2 3 3" xfId="25107"/>
    <cellStyle name="Note 2 3 4 2 2 2 2 3 4" xfId="25108"/>
    <cellStyle name="Note 2 3 4 2 2 2 2 3 5" xfId="25109"/>
    <cellStyle name="Note 2 3 4 2 2 2 2 3 6" xfId="25110"/>
    <cellStyle name="Note 2 3 4 2 2 2 2 4" xfId="25111"/>
    <cellStyle name="Note 2 3 4 2 2 2 2 4 2" xfId="25112"/>
    <cellStyle name="Note 2 3 4 2 2 2 2 4 3" xfId="25113"/>
    <cellStyle name="Note 2 3 4 2 2 2 2 4 4" xfId="25114"/>
    <cellStyle name="Note 2 3 4 2 2 2 2 4 5" xfId="25115"/>
    <cellStyle name="Note 2 3 4 2 2 2 2 5" xfId="25116"/>
    <cellStyle name="Note 2 3 4 2 2 2 2 5 2" xfId="25117"/>
    <cellStyle name="Note 2 3 4 2 2 2 2 5 3" xfId="25118"/>
    <cellStyle name="Note 2 3 4 2 2 2 2 5 4" xfId="25119"/>
    <cellStyle name="Note 2 3 4 2 2 2 2 6" xfId="25120"/>
    <cellStyle name="Note 2 3 4 2 2 2 2 6 2" xfId="25121"/>
    <cellStyle name="Note 2 3 4 2 2 2 2 6 3" xfId="25122"/>
    <cellStyle name="Note 2 3 4 2 2 2 2 6 4" xfId="25123"/>
    <cellStyle name="Note 2 3 4 2 2 2 2 7" xfId="25124"/>
    <cellStyle name="Note 2 3 4 2 2 2 2 7 2" xfId="25125"/>
    <cellStyle name="Note 2 3 4 2 2 2 2 7 3" xfId="25126"/>
    <cellStyle name="Note 2 3 4 2 2 2 2 7 4" xfId="25127"/>
    <cellStyle name="Note 2 3 4 2 2 2 2 8" xfId="25128"/>
    <cellStyle name="Note 2 3 4 2 2 2 2 9" xfId="25129"/>
    <cellStyle name="Note 2 3 4 2 2 2 3" xfId="25130"/>
    <cellStyle name="Note 2 3 4 2 2 2 3 2" xfId="25131"/>
    <cellStyle name="Note 2 3 4 2 2 2 3 2 2" xfId="25132"/>
    <cellStyle name="Note 2 3 4 2 2 2 3 2 2 2" xfId="25133"/>
    <cellStyle name="Note 2 3 4 2 2 2 3 2 2 3" xfId="25134"/>
    <cellStyle name="Note 2 3 4 2 2 2 3 2 2 4" xfId="25135"/>
    <cellStyle name="Note 2 3 4 2 2 2 3 2 3" xfId="25136"/>
    <cellStyle name="Note 2 3 4 2 2 2 3 2 4" xfId="25137"/>
    <cellStyle name="Note 2 3 4 2 2 2 3 2 5" xfId="25138"/>
    <cellStyle name="Note 2 3 4 2 2 2 3 2 6" xfId="25139"/>
    <cellStyle name="Note 2 3 4 2 2 2 3 3" xfId="25140"/>
    <cellStyle name="Note 2 3 4 2 2 2 3 3 2" xfId="25141"/>
    <cellStyle name="Note 2 3 4 2 2 2 3 3 3" xfId="25142"/>
    <cellStyle name="Note 2 3 4 2 2 2 3 3 4" xfId="25143"/>
    <cellStyle name="Note 2 3 4 2 2 2 3 4" xfId="25144"/>
    <cellStyle name="Note 2 3 4 2 2 2 3 5" xfId="25145"/>
    <cellStyle name="Note 2 3 4 2 2 2 3 6" xfId="25146"/>
    <cellStyle name="Note 2 3 4 2 2 2 3 7" xfId="25147"/>
    <cellStyle name="Note 2 3 4 2 2 2 4" xfId="25148"/>
    <cellStyle name="Note 2 3 4 2 2 2 4 2" xfId="25149"/>
    <cellStyle name="Note 2 3 4 2 2 2 4 2 2" xfId="25150"/>
    <cellStyle name="Note 2 3 4 2 2 2 4 2 3" xfId="25151"/>
    <cellStyle name="Note 2 3 4 2 2 2 4 2 4" xfId="25152"/>
    <cellStyle name="Note 2 3 4 2 2 2 4 3" xfId="25153"/>
    <cellStyle name="Note 2 3 4 2 2 2 4 4" xfId="25154"/>
    <cellStyle name="Note 2 3 4 2 2 2 4 5" xfId="25155"/>
    <cellStyle name="Note 2 3 4 2 2 2 4 6" xfId="25156"/>
    <cellStyle name="Note 2 3 4 2 2 2 5" xfId="25157"/>
    <cellStyle name="Note 2 3 4 2 2 2 5 2" xfId="25158"/>
    <cellStyle name="Note 2 3 4 2 2 2 5 3" xfId="25159"/>
    <cellStyle name="Note 2 3 4 2 2 2 5 4" xfId="25160"/>
    <cellStyle name="Note 2 3 4 2 2 2 5 5" xfId="25161"/>
    <cellStyle name="Note 2 3 4 2 2 2 6" xfId="25162"/>
    <cellStyle name="Note 2 3 4 2 2 2 6 2" xfId="25163"/>
    <cellStyle name="Note 2 3 4 2 2 2 6 3" xfId="25164"/>
    <cellStyle name="Note 2 3 4 2 2 2 6 4" xfId="25165"/>
    <cellStyle name="Note 2 3 4 2 2 2 7" xfId="25166"/>
    <cellStyle name="Note 2 3 4 2 2 2 7 2" xfId="25167"/>
    <cellStyle name="Note 2 3 4 2 2 2 7 3" xfId="25168"/>
    <cellStyle name="Note 2 3 4 2 2 2 7 4" xfId="25169"/>
    <cellStyle name="Note 2 3 4 2 2 2 8" xfId="25170"/>
    <cellStyle name="Note 2 3 4 2 2 2 8 2" xfId="25171"/>
    <cellStyle name="Note 2 3 4 2 2 2 8 3" xfId="25172"/>
    <cellStyle name="Note 2 3 4 2 2 2 8 4" xfId="25173"/>
    <cellStyle name="Note 2 3 4 2 2 2 9" xfId="25174"/>
    <cellStyle name="Note 2 3 4 2 2 3" xfId="25175"/>
    <cellStyle name="Note 2 3 4 2 2 3 10" xfId="25176"/>
    <cellStyle name="Note 2 3 4 2 2 3 11" xfId="25177"/>
    <cellStyle name="Note 2 3 4 2 2 3 2" xfId="25178"/>
    <cellStyle name="Note 2 3 4 2 2 3 2 2" xfId="25179"/>
    <cellStyle name="Note 2 3 4 2 2 3 2 2 2" xfId="25180"/>
    <cellStyle name="Note 2 3 4 2 2 3 2 2 2 2" xfId="25181"/>
    <cellStyle name="Note 2 3 4 2 2 3 2 2 2 3" xfId="25182"/>
    <cellStyle name="Note 2 3 4 2 2 3 2 2 2 4" xfId="25183"/>
    <cellStyle name="Note 2 3 4 2 2 3 2 2 3" xfId="25184"/>
    <cellStyle name="Note 2 3 4 2 2 3 2 2 4" xfId="25185"/>
    <cellStyle name="Note 2 3 4 2 2 3 2 2 5" xfId="25186"/>
    <cellStyle name="Note 2 3 4 2 2 3 2 2 6" xfId="25187"/>
    <cellStyle name="Note 2 3 4 2 2 3 2 3" xfId="25188"/>
    <cellStyle name="Note 2 3 4 2 2 3 2 3 2" xfId="25189"/>
    <cellStyle name="Note 2 3 4 2 2 3 2 3 3" xfId="25190"/>
    <cellStyle name="Note 2 3 4 2 2 3 2 3 4" xfId="25191"/>
    <cellStyle name="Note 2 3 4 2 2 3 2 4" xfId="25192"/>
    <cellStyle name="Note 2 3 4 2 2 3 2 5" xfId="25193"/>
    <cellStyle name="Note 2 3 4 2 2 3 2 6" xfId="25194"/>
    <cellStyle name="Note 2 3 4 2 2 3 2 7" xfId="25195"/>
    <cellStyle name="Note 2 3 4 2 2 3 3" xfId="25196"/>
    <cellStyle name="Note 2 3 4 2 2 3 3 2" xfId="25197"/>
    <cellStyle name="Note 2 3 4 2 2 3 3 2 2" xfId="25198"/>
    <cellStyle name="Note 2 3 4 2 2 3 3 2 3" xfId="25199"/>
    <cellStyle name="Note 2 3 4 2 2 3 3 2 4" xfId="25200"/>
    <cellStyle name="Note 2 3 4 2 2 3 3 3" xfId="25201"/>
    <cellStyle name="Note 2 3 4 2 2 3 3 4" xfId="25202"/>
    <cellStyle name="Note 2 3 4 2 2 3 3 5" xfId="25203"/>
    <cellStyle name="Note 2 3 4 2 2 3 3 6" xfId="25204"/>
    <cellStyle name="Note 2 3 4 2 2 3 4" xfId="25205"/>
    <cellStyle name="Note 2 3 4 2 2 3 4 2" xfId="25206"/>
    <cellStyle name="Note 2 3 4 2 2 3 4 3" xfId="25207"/>
    <cellStyle name="Note 2 3 4 2 2 3 4 4" xfId="25208"/>
    <cellStyle name="Note 2 3 4 2 2 3 4 5" xfId="25209"/>
    <cellStyle name="Note 2 3 4 2 2 3 5" xfId="25210"/>
    <cellStyle name="Note 2 3 4 2 2 3 5 2" xfId="25211"/>
    <cellStyle name="Note 2 3 4 2 2 3 5 3" xfId="25212"/>
    <cellStyle name="Note 2 3 4 2 2 3 5 4" xfId="25213"/>
    <cellStyle name="Note 2 3 4 2 2 3 6" xfId="25214"/>
    <cellStyle name="Note 2 3 4 2 2 3 6 2" xfId="25215"/>
    <cellStyle name="Note 2 3 4 2 2 3 6 3" xfId="25216"/>
    <cellStyle name="Note 2 3 4 2 2 3 6 4" xfId="25217"/>
    <cellStyle name="Note 2 3 4 2 2 3 7" xfId="25218"/>
    <cellStyle name="Note 2 3 4 2 2 3 7 2" xfId="25219"/>
    <cellStyle name="Note 2 3 4 2 2 3 7 3" xfId="25220"/>
    <cellStyle name="Note 2 3 4 2 2 3 7 4" xfId="25221"/>
    <cellStyle name="Note 2 3 4 2 2 3 8" xfId="25222"/>
    <cellStyle name="Note 2 3 4 2 2 3 9" xfId="25223"/>
    <cellStyle name="Note 2 3 4 2 2 4" xfId="25224"/>
    <cellStyle name="Note 2 3 4 2 2 4 2" xfId="25225"/>
    <cellStyle name="Note 2 3 4 2 2 4 2 2" xfId="25226"/>
    <cellStyle name="Note 2 3 4 2 2 4 2 2 2" xfId="25227"/>
    <cellStyle name="Note 2 3 4 2 2 4 2 2 3" xfId="25228"/>
    <cellStyle name="Note 2 3 4 2 2 4 2 2 4" xfId="25229"/>
    <cellStyle name="Note 2 3 4 2 2 4 2 3" xfId="25230"/>
    <cellStyle name="Note 2 3 4 2 2 4 2 4" xfId="25231"/>
    <cellStyle name="Note 2 3 4 2 2 4 2 5" xfId="25232"/>
    <cellStyle name="Note 2 3 4 2 2 4 2 6" xfId="25233"/>
    <cellStyle name="Note 2 3 4 2 2 4 3" xfId="25234"/>
    <cellStyle name="Note 2 3 4 2 2 4 3 2" xfId="25235"/>
    <cellStyle name="Note 2 3 4 2 2 4 3 3" xfId="25236"/>
    <cellStyle name="Note 2 3 4 2 2 4 3 4" xfId="25237"/>
    <cellStyle name="Note 2 3 4 2 2 4 4" xfId="25238"/>
    <cellStyle name="Note 2 3 4 2 2 4 5" xfId="25239"/>
    <cellStyle name="Note 2 3 4 2 2 4 6" xfId="25240"/>
    <cellStyle name="Note 2 3 4 2 2 4 7" xfId="25241"/>
    <cellStyle name="Note 2 3 4 2 2 5" xfId="25242"/>
    <cellStyle name="Note 2 3 4 2 2 5 2" xfId="25243"/>
    <cellStyle name="Note 2 3 4 2 2 5 2 2" xfId="25244"/>
    <cellStyle name="Note 2 3 4 2 2 5 2 3" xfId="25245"/>
    <cellStyle name="Note 2 3 4 2 2 5 2 4" xfId="25246"/>
    <cellStyle name="Note 2 3 4 2 2 5 3" xfId="25247"/>
    <cellStyle name="Note 2 3 4 2 2 5 3 2" xfId="25248"/>
    <cellStyle name="Note 2 3 4 2 2 5 3 3" xfId="25249"/>
    <cellStyle name="Note 2 3 4 2 2 5 3 4" xfId="25250"/>
    <cellStyle name="Note 2 3 4 2 2 5 4" xfId="25251"/>
    <cellStyle name="Note 2 3 4 2 2 5 5" xfId="25252"/>
    <cellStyle name="Note 2 3 4 2 2 5 6" xfId="25253"/>
    <cellStyle name="Note 2 3 4 2 2 5 7" xfId="25254"/>
    <cellStyle name="Note 2 3 4 2 2 6" xfId="25255"/>
    <cellStyle name="Note 2 3 4 2 2 6 2" xfId="25256"/>
    <cellStyle name="Note 2 3 4 2 2 6 2 2" xfId="25257"/>
    <cellStyle name="Note 2 3 4 2 2 6 2 3" xfId="25258"/>
    <cellStyle name="Note 2 3 4 2 2 6 2 4" xfId="25259"/>
    <cellStyle name="Note 2 3 4 2 2 6 3" xfId="25260"/>
    <cellStyle name="Note 2 3 4 2 2 6 3 2" xfId="25261"/>
    <cellStyle name="Note 2 3 4 2 2 6 3 3" xfId="25262"/>
    <cellStyle name="Note 2 3 4 2 2 6 3 4" xfId="25263"/>
    <cellStyle name="Note 2 3 4 2 2 6 4" xfId="25264"/>
    <cellStyle name="Note 2 3 4 2 2 6 5" xfId="25265"/>
    <cellStyle name="Note 2 3 4 2 2 6 6" xfId="25266"/>
    <cellStyle name="Note 2 3 4 2 2 6 7" xfId="25267"/>
    <cellStyle name="Note 2 3 4 2 2 7" xfId="25268"/>
    <cellStyle name="Note 2 3 4 2 2 7 2" xfId="25269"/>
    <cellStyle name="Note 2 3 4 2 2 7 2 2" xfId="25270"/>
    <cellStyle name="Note 2 3 4 2 2 7 2 3" xfId="25271"/>
    <cellStyle name="Note 2 3 4 2 2 7 2 4" xfId="25272"/>
    <cellStyle name="Note 2 3 4 2 2 7 3" xfId="25273"/>
    <cellStyle name="Note 2 3 4 2 2 7 3 2" xfId="25274"/>
    <cellStyle name="Note 2 3 4 2 2 7 3 3" xfId="25275"/>
    <cellStyle name="Note 2 3 4 2 2 7 3 4" xfId="25276"/>
    <cellStyle name="Note 2 3 4 2 2 7 4" xfId="25277"/>
    <cellStyle name="Note 2 3 4 2 2 7 5" xfId="25278"/>
    <cellStyle name="Note 2 3 4 2 2 7 6" xfId="25279"/>
    <cellStyle name="Note 2 3 4 2 2 7 7" xfId="25280"/>
    <cellStyle name="Note 2 3 4 2 2 8" xfId="25281"/>
    <cellStyle name="Note 2 3 4 2 2 8 2" xfId="25282"/>
    <cellStyle name="Note 2 3 4 2 2 8 2 2" xfId="25283"/>
    <cellStyle name="Note 2 3 4 2 2 8 2 3" xfId="25284"/>
    <cellStyle name="Note 2 3 4 2 2 8 2 4" xfId="25285"/>
    <cellStyle name="Note 2 3 4 2 2 8 3" xfId="25286"/>
    <cellStyle name="Note 2 3 4 2 2 8 4" xfId="25287"/>
    <cellStyle name="Note 2 3 4 2 2 8 5" xfId="25288"/>
    <cellStyle name="Note 2 3 4 2 2 8 6" xfId="25289"/>
    <cellStyle name="Note 2 3 4 2 2 9" xfId="25290"/>
    <cellStyle name="Note 2 3 4 2 2 9 2" xfId="25291"/>
    <cellStyle name="Note 2 3 4 2 2 9 3" xfId="25292"/>
    <cellStyle name="Note 2 3 4 2 2 9 4" xfId="25293"/>
    <cellStyle name="Note 2 3 4 2 2 9 5" xfId="25294"/>
    <cellStyle name="Note 2 3 4 2 20" xfId="25295"/>
    <cellStyle name="Note 2 3 4 2 21" xfId="25296"/>
    <cellStyle name="Note 2 3 4 2 3" xfId="25297"/>
    <cellStyle name="Note 2 3 4 2 3 10" xfId="25298"/>
    <cellStyle name="Note 2 3 4 2 3 10 2" xfId="25299"/>
    <cellStyle name="Note 2 3 4 2 3 10 3" xfId="25300"/>
    <cellStyle name="Note 2 3 4 2 3 10 4" xfId="25301"/>
    <cellStyle name="Note 2 3 4 2 3 11" xfId="25302"/>
    <cellStyle name="Note 2 3 4 2 3 11 2" xfId="25303"/>
    <cellStyle name="Note 2 3 4 2 3 11 3" xfId="25304"/>
    <cellStyle name="Note 2 3 4 2 3 11 4" xfId="25305"/>
    <cellStyle name="Note 2 3 4 2 3 12" xfId="25306"/>
    <cellStyle name="Note 2 3 4 2 3 13" xfId="25307"/>
    <cellStyle name="Note 2 3 4 2 3 14" xfId="25308"/>
    <cellStyle name="Note 2 3 4 2 3 15" xfId="25309"/>
    <cellStyle name="Note 2 3 4 2 3 2" xfId="25310"/>
    <cellStyle name="Note 2 3 4 2 3 2 10" xfId="25311"/>
    <cellStyle name="Note 2 3 4 2 3 2 11" xfId="25312"/>
    <cellStyle name="Note 2 3 4 2 3 2 12" xfId="25313"/>
    <cellStyle name="Note 2 3 4 2 3 2 2" xfId="25314"/>
    <cellStyle name="Note 2 3 4 2 3 2 2 10" xfId="25315"/>
    <cellStyle name="Note 2 3 4 2 3 2 2 11" xfId="25316"/>
    <cellStyle name="Note 2 3 4 2 3 2 2 2" xfId="25317"/>
    <cellStyle name="Note 2 3 4 2 3 2 2 2 2" xfId="25318"/>
    <cellStyle name="Note 2 3 4 2 3 2 2 2 2 2" xfId="25319"/>
    <cellStyle name="Note 2 3 4 2 3 2 2 2 2 2 2" xfId="25320"/>
    <cellStyle name="Note 2 3 4 2 3 2 2 2 2 2 3" xfId="25321"/>
    <cellStyle name="Note 2 3 4 2 3 2 2 2 2 2 4" xfId="25322"/>
    <cellStyle name="Note 2 3 4 2 3 2 2 2 2 3" xfId="25323"/>
    <cellStyle name="Note 2 3 4 2 3 2 2 2 2 4" xfId="25324"/>
    <cellStyle name="Note 2 3 4 2 3 2 2 2 2 5" xfId="25325"/>
    <cellStyle name="Note 2 3 4 2 3 2 2 2 2 6" xfId="25326"/>
    <cellStyle name="Note 2 3 4 2 3 2 2 2 3" xfId="25327"/>
    <cellStyle name="Note 2 3 4 2 3 2 2 2 3 2" xfId="25328"/>
    <cellStyle name="Note 2 3 4 2 3 2 2 2 3 3" xfId="25329"/>
    <cellStyle name="Note 2 3 4 2 3 2 2 2 3 4" xfId="25330"/>
    <cellStyle name="Note 2 3 4 2 3 2 2 2 4" xfId="25331"/>
    <cellStyle name="Note 2 3 4 2 3 2 2 2 5" xfId="25332"/>
    <cellStyle name="Note 2 3 4 2 3 2 2 2 6" xfId="25333"/>
    <cellStyle name="Note 2 3 4 2 3 2 2 2 7" xfId="25334"/>
    <cellStyle name="Note 2 3 4 2 3 2 2 3" xfId="25335"/>
    <cellStyle name="Note 2 3 4 2 3 2 2 3 2" xfId="25336"/>
    <cellStyle name="Note 2 3 4 2 3 2 2 3 2 2" xfId="25337"/>
    <cellStyle name="Note 2 3 4 2 3 2 2 3 2 3" xfId="25338"/>
    <cellStyle name="Note 2 3 4 2 3 2 2 3 2 4" xfId="25339"/>
    <cellStyle name="Note 2 3 4 2 3 2 2 3 3" xfId="25340"/>
    <cellStyle name="Note 2 3 4 2 3 2 2 3 4" xfId="25341"/>
    <cellStyle name="Note 2 3 4 2 3 2 2 3 5" xfId="25342"/>
    <cellStyle name="Note 2 3 4 2 3 2 2 3 6" xfId="25343"/>
    <cellStyle name="Note 2 3 4 2 3 2 2 4" xfId="25344"/>
    <cellStyle name="Note 2 3 4 2 3 2 2 4 2" xfId="25345"/>
    <cellStyle name="Note 2 3 4 2 3 2 2 4 3" xfId="25346"/>
    <cellStyle name="Note 2 3 4 2 3 2 2 4 4" xfId="25347"/>
    <cellStyle name="Note 2 3 4 2 3 2 2 4 5" xfId="25348"/>
    <cellStyle name="Note 2 3 4 2 3 2 2 5" xfId="25349"/>
    <cellStyle name="Note 2 3 4 2 3 2 2 5 2" xfId="25350"/>
    <cellStyle name="Note 2 3 4 2 3 2 2 5 3" xfId="25351"/>
    <cellStyle name="Note 2 3 4 2 3 2 2 5 4" xfId="25352"/>
    <cellStyle name="Note 2 3 4 2 3 2 2 6" xfId="25353"/>
    <cellStyle name="Note 2 3 4 2 3 2 2 6 2" xfId="25354"/>
    <cellStyle name="Note 2 3 4 2 3 2 2 6 3" xfId="25355"/>
    <cellStyle name="Note 2 3 4 2 3 2 2 6 4" xfId="25356"/>
    <cellStyle name="Note 2 3 4 2 3 2 2 7" xfId="25357"/>
    <cellStyle name="Note 2 3 4 2 3 2 2 7 2" xfId="25358"/>
    <cellStyle name="Note 2 3 4 2 3 2 2 7 3" xfId="25359"/>
    <cellStyle name="Note 2 3 4 2 3 2 2 7 4" xfId="25360"/>
    <cellStyle name="Note 2 3 4 2 3 2 2 8" xfId="25361"/>
    <cellStyle name="Note 2 3 4 2 3 2 2 9" xfId="25362"/>
    <cellStyle name="Note 2 3 4 2 3 2 3" xfId="25363"/>
    <cellStyle name="Note 2 3 4 2 3 2 3 2" xfId="25364"/>
    <cellStyle name="Note 2 3 4 2 3 2 3 2 2" xfId="25365"/>
    <cellStyle name="Note 2 3 4 2 3 2 3 2 2 2" xfId="25366"/>
    <cellStyle name="Note 2 3 4 2 3 2 3 2 2 3" xfId="25367"/>
    <cellStyle name="Note 2 3 4 2 3 2 3 2 2 4" xfId="25368"/>
    <cellStyle name="Note 2 3 4 2 3 2 3 2 3" xfId="25369"/>
    <cellStyle name="Note 2 3 4 2 3 2 3 2 4" xfId="25370"/>
    <cellStyle name="Note 2 3 4 2 3 2 3 2 5" xfId="25371"/>
    <cellStyle name="Note 2 3 4 2 3 2 3 2 6" xfId="25372"/>
    <cellStyle name="Note 2 3 4 2 3 2 3 3" xfId="25373"/>
    <cellStyle name="Note 2 3 4 2 3 2 3 3 2" xfId="25374"/>
    <cellStyle name="Note 2 3 4 2 3 2 3 3 3" xfId="25375"/>
    <cellStyle name="Note 2 3 4 2 3 2 3 3 4" xfId="25376"/>
    <cellStyle name="Note 2 3 4 2 3 2 3 4" xfId="25377"/>
    <cellStyle name="Note 2 3 4 2 3 2 3 5" xfId="25378"/>
    <cellStyle name="Note 2 3 4 2 3 2 3 6" xfId="25379"/>
    <cellStyle name="Note 2 3 4 2 3 2 3 7" xfId="25380"/>
    <cellStyle name="Note 2 3 4 2 3 2 4" xfId="25381"/>
    <cellStyle name="Note 2 3 4 2 3 2 4 2" xfId="25382"/>
    <cellStyle name="Note 2 3 4 2 3 2 4 2 2" xfId="25383"/>
    <cellStyle name="Note 2 3 4 2 3 2 4 2 3" xfId="25384"/>
    <cellStyle name="Note 2 3 4 2 3 2 4 2 4" xfId="25385"/>
    <cellStyle name="Note 2 3 4 2 3 2 4 3" xfId="25386"/>
    <cellStyle name="Note 2 3 4 2 3 2 4 4" xfId="25387"/>
    <cellStyle name="Note 2 3 4 2 3 2 4 5" xfId="25388"/>
    <cellStyle name="Note 2 3 4 2 3 2 4 6" xfId="25389"/>
    <cellStyle name="Note 2 3 4 2 3 2 5" xfId="25390"/>
    <cellStyle name="Note 2 3 4 2 3 2 5 2" xfId="25391"/>
    <cellStyle name="Note 2 3 4 2 3 2 5 3" xfId="25392"/>
    <cellStyle name="Note 2 3 4 2 3 2 5 4" xfId="25393"/>
    <cellStyle name="Note 2 3 4 2 3 2 5 5" xfId="25394"/>
    <cellStyle name="Note 2 3 4 2 3 2 6" xfId="25395"/>
    <cellStyle name="Note 2 3 4 2 3 2 6 2" xfId="25396"/>
    <cellStyle name="Note 2 3 4 2 3 2 6 3" xfId="25397"/>
    <cellStyle name="Note 2 3 4 2 3 2 6 4" xfId="25398"/>
    <cellStyle name="Note 2 3 4 2 3 2 7" xfId="25399"/>
    <cellStyle name="Note 2 3 4 2 3 2 7 2" xfId="25400"/>
    <cellStyle name="Note 2 3 4 2 3 2 7 3" xfId="25401"/>
    <cellStyle name="Note 2 3 4 2 3 2 7 4" xfId="25402"/>
    <cellStyle name="Note 2 3 4 2 3 2 8" xfId="25403"/>
    <cellStyle name="Note 2 3 4 2 3 2 8 2" xfId="25404"/>
    <cellStyle name="Note 2 3 4 2 3 2 8 3" xfId="25405"/>
    <cellStyle name="Note 2 3 4 2 3 2 8 4" xfId="25406"/>
    <cellStyle name="Note 2 3 4 2 3 2 9" xfId="25407"/>
    <cellStyle name="Note 2 3 4 2 3 3" xfId="25408"/>
    <cellStyle name="Note 2 3 4 2 3 3 10" xfId="25409"/>
    <cellStyle name="Note 2 3 4 2 3 3 11" xfId="25410"/>
    <cellStyle name="Note 2 3 4 2 3 3 2" xfId="25411"/>
    <cellStyle name="Note 2 3 4 2 3 3 2 2" xfId="25412"/>
    <cellStyle name="Note 2 3 4 2 3 3 2 2 2" xfId="25413"/>
    <cellStyle name="Note 2 3 4 2 3 3 2 2 2 2" xfId="25414"/>
    <cellStyle name="Note 2 3 4 2 3 3 2 2 2 3" xfId="25415"/>
    <cellStyle name="Note 2 3 4 2 3 3 2 2 2 4" xfId="25416"/>
    <cellStyle name="Note 2 3 4 2 3 3 2 2 3" xfId="25417"/>
    <cellStyle name="Note 2 3 4 2 3 3 2 2 4" xfId="25418"/>
    <cellStyle name="Note 2 3 4 2 3 3 2 2 5" xfId="25419"/>
    <cellStyle name="Note 2 3 4 2 3 3 2 2 6" xfId="25420"/>
    <cellStyle name="Note 2 3 4 2 3 3 2 3" xfId="25421"/>
    <cellStyle name="Note 2 3 4 2 3 3 2 3 2" xfId="25422"/>
    <cellStyle name="Note 2 3 4 2 3 3 2 3 3" xfId="25423"/>
    <cellStyle name="Note 2 3 4 2 3 3 2 3 4" xfId="25424"/>
    <cellStyle name="Note 2 3 4 2 3 3 2 4" xfId="25425"/>
    <cellStyle name="Note 2 3 4 2 3 3 2 5" xfId="25426"/>
    <cellStyle name="Note 2 3 4 2 3 3 2 6" xfId="25427"/>
    <cellStyle name="Note 2 3 4 2 3 3 2 7" xfId="25428"/>
    <cellStyle name="Note 2 3 4 2 3 3 3" xfId="25429"/>
    <cellStyle name="Note 2 3 4 2 3 3 3 2" xfId="25430"/>
    <cellStyle name="Note 2 3 4 2 3 3 3 2 2" xfId="25431"/>
    <cellStyle name="Note 2 3 4 2 3 3 3 2 3" xfId="25432"/>
    <cellStyle name="Note 2 3 4 2 3 3 3 2 4" xfId="25433"/>
    <cellStyle name="Note 2 3 4 2 3 3 3 3" xfId="25434"/>
    <cellStyle name="Note 2 3 4 2 3 3 3 4" xfId="25435"/>
    <cellStyle name="Note 2 3 4 2 3 3 3 5" xfId="25436"/>
    <cellStyle name="Note 2 3 4 2 3 3 3 6" xfId="25437"/>
    <cellStyle name="Note 2 3 4 2 3 3 4" xfId="25438"/>
    <cellStyle name="Note 2 3 4 2 3 3 4 2" xfId="25439"/>
    <cellStyle name="Note 2 3 4 2 3 3 4 3" xfId="25440"/>
    <cellStyle name="Note 2 3 4 2 3 3 4 4" xfId="25441"/>
    <cellStyle name="Note 2 3 4 2 3 3 4 5" xfId="25442"/>
    <cellStyle name="Note 2 3 4 2 3 3 5" xfId="25443"/>
    <cellStyle name="Note 2 3 4 2 3 3 5 2" xfId="25444"/>
    <cellStyle name="Note 2 3 4 2 3 3 5 3" xfId="25445"/>
    <cellStyle name="Note 2 3 4 2 3 3 5 4" xfId="25446"/>
    <cellStyle name="Note 2 3 4 2 3 3 6" xfId="25447"/>
    <cellStyle name="Note 2 3 4 2 3 3 6 2" xfId="25448"/>
    <cellStyle name="Note 2 3 4 2 3 3 6 3" xfId="25449"/>
    <cellStyle name="Note 2 3 4 2 3 3 6 4" xfId="25450"/>
    <cellStyle name="Note 2 3 4 2 3 3 7" xfId="25451"/>
    <cellStyle name="Note 2 3 4 2 3 3 7 2" xfId="25452"/>
    <cellStyle name="Note 2 3 4 2 3 3 7 3" xfId="25453"/>
    <cellStyle name="Note 2 3 4 2 3 3 7 4" xfId="25454"/>
    <cellStyle name="Note 2 3 4 2 3 3 8" xfId="25455"/>
    <cellStyle name="Note 2 3 4 2 3 3 9" xfId="25456"/>
    <cellStyle name="Note 2 3 4 2 3 4" xfId="25457"/>
    <cellStyle name="Note 2 3 4 2 3 4 2" xfId="25458"/>
    <cellStyle name="Note 2 3 4 2 3 4 2 2" xfId="25459"/>
    <cellStyle name="Note 2 3 4 2 3 4 2 2 2" xfId="25460"/>
    <cellStyle name="Note 2 3 4 2 3 4 2 2 3" xfId="25461"/>
    <cellStyle name="Note 2 3 4 2 3 4 2 2 4" xfId="25462"/>
    <cellStyle name="Note 2 3 4 2 3 4 2 3" xfId="25463"/>
    <cellStyle name="Note 2 3 4 2 3 4 2 4" xfId="25464"/>
    <cellStyle name="Note 2 3 4 2 3 4 2 5" xfId="25465"/>
    <cellStyle name="Note 2 3 4 2 3 4 2 6" xfId="25466"/>
    <cellStyle name="Note 2 3 4 2 3 4 3" xfId="25467"/>
    <cellStyle name="Note 2 3 4 2 3 4 3 2" xfId="25468"/>
    <cellStyle name="Note 2 3 4 2 3 4 3 3" xfId="25469"/>
    <cellStyle name="Note 2 3 4 2 3 4 3 4" xfId="25470"/>
    <cellStyle name="Note 2 3 4 2 3 4 4" xfId="25471"/>
    <cellStyle name="Note 2 3 4 2 3 4 5" xfId="25472"/>
    <cellStyle name="Note 2 3 4 2 3 4 6" xfId="25473"/>
    <cellStyle name="Note 2 3 4 2 3 4 7" xfId="25474"/>
    <cellStyle name="Note 2 3 4 2 3 5" xfId="25475"/>
    <cellStyle name="Note 2 3 4 2 3 5 2" xfId="25476"/>
    <cellStyle name="Note 2 3 4 2 3 5 2 2" xfId="25477"/>
    <cellStyle name="Note 2 3 4 2 3 5 2 3" xfId="25478"/>
    <cellStyle name="Note 2 3 4 2 3 5 2 4" xfId="25479"/>
    <cellStyle name="Note 2 3 4 2 3 5 3" xfId="25480"/>
    <cellStyle name="Note 2 3 4 2 3 5 3 2" xfId="25481"/>
    <cellStyle name="Note 2 3 4 2 3 5 3 3" xfId="25482"/>
    <cellStyle name="Note 2 3 4 2 3 5 3 4" xfId="25483"/>
    <cellStyle name="Note 2 3 4 2 3 5 4" xfId="25484"/>
    <cellStyle name="Note 2 3 4 2 3 5 5" xfId="25485"/>
    <cellStyle name="Note 2 3 4 2 3 5 6" xfId="25486"/>
    <cellStyle name="Note 2 3 4 2 3 5 7" xfId="25487"/>
    <cellStyle name="Note 2 3 4 2 3 6" xfId="25488"/>
    <cellStyle name="Note 2 3 4 2 3 6 2" xfId="25489"/>
    <cellStyle name="Note 2 3 4 2 3 6 2 2" xfId="25490"/>
    <cellStyle name="Note 2 3 4 2 3 6 2 3" xfId="25491"/>
    <cellStyle name="Note 2 3 4 2 3 6 2 4" xfId="25492"/>
    <cellStyle name="Note 2 3 4 2 3 6 3" xfId="25493"/>
    <cellStyle name="Note 2 3 4 2 3 6 3 2" xfId="25494"/>
    <cellStyle name="Note 2 3 4 2 3 6 3 3" xfId="25495"/>
    <cellStyle name="Note 2 3 4 2 3 6 3 4" xfId="25496"/>
    <cellStyle name="Note 2 3 4 2 3 6 4" xfId="25497"/>
    <cellStyle name="Note 2 3 4 2 3 6 5" xfId="25498"/>
    <cellStyle name="Note 2 3 4 2 3 6 6" xfId="25499"/>
    <cellStyle name="Note 2 3 4 2 3 6 7" xfId="25500"/>
    <cellStyle name="Note 2 3 4 2 3 7" xfId="25501"/>
    <cellStyle name="Note 2 3 4 2 3 7 2" xfId="25502"/>
    <cellStyle name="Note 2 3 4 2 3 7 2 2" xfId="25503"/>
    <cellStyle name="Note 2 3 4 2 3 7 2 3" xfId="25504"/>
    <cellStyle name="Note 2 3 4 2 3 7 2 4" xfId="25505"/>
    <cellStyle name="Note 2 3 4 2 3 7 3" xfId="25506"/>
    <cellStyle name="Note 2 3 4 2 3 7 3 2" xfId="25507"/>
    <cellStyle name="Note 2 3 4 2 3 7 3 3" xfId="25508"/>
    <cellStyle name="Note 2 3 4 2 3 7 3 4" xfId="25509"/>
    <cellStyle name="Note 2 3 4 2 3 7 4" xfId="25510"/>
    <cellStyle name="Note 2 3 4 2 3 7 5" xfId="25511"/>
    <cellStyle name="Note 2 3 4 2 3 7 6" xfId="25512"/>
    <cellStyle name="Note 2 3 4 2 3 7 7" xfId="25513"/>
    <cellStyle name="Note 2 3 4 2 3 8" xfId="25514"/>
    <cellStyle name="Note 2 3 4 2 3 8 2" xfId="25515"/>
    <cellStyle name="Note 2 3 4 2 3 8 2 2" xfId="25516"/>
    <cellStyle name="Note 2 3 4 2 3 8 2 3" xfId="25517"/>
    <cellStyle name="Note 2 3 4 2 3 8 2 4" xfId="25518"/>
    <cellStyle name="Note 2 3 4 2 3 8 3" xfId="25519"/>
    <cellStyle name="Note 2 3 4 2 3 8 4" xfId="25520"/>
    <cellStyle name="Note 2 3 4 2 3 8 5" xfId="25521"/>
    <cellStyle name="Note 2 3 4 2 3 8 6" xfId="25522"/>
    <cellStyle name="Note 2 3 4 2 3 9" xfId="25523"/>
    <cellStyle name="Note 2 3 4 2 3 9 2" xfId="25524"/>
    <cellStyle name="Note 2 3 4 2 3 9 3" xfId="25525"/>
    <cellStyle name="Note 2 3 4 2 3 9 4" xfId="25526"/>
    <cellStyle name="Note 2 3 4 2 3 9 5" xfId="25527"/>
    <cellStyle name="Note 2 3 4 2 4" xfId="25528"/>
    <cellStyle name="Note 2 3 4 2 4 10" xfId="25529"/>
    <cellStyle name="Note 2 3 4 2 4 10 2" xfId="25530"/>
    <cellStyle name="Note 2 3 4 2 4 10 3" xfId="25531"/>
    <cellStyle name="Note 2 3 4 2 4 10 4" xfId="25532"/>
    <cellStyle name="Note 2 3 4 2 4 11" xfId="25533"/>
    <cellStyle name="Note 2 3 4 2 4 11 2" xfId="25534"/>
    <cellStyle name="Note 2 3 4 2 4 11 3" xfId="25535"/>
    <cellStyle name="Note 2 3 4 2 4 11 4" xfId="25536"/>
    <cellStyle name="Note 2 3 4 2 4 12" xfId="25537"/>
    <cellStyle name="Note 2 3 4 2 4 12 2" xfId="25538"/>
    <cellStyle name="Note 2 3 4 2 4 12 3" xfId="25539"/>
    <cellStyle name="Note 2 3 4 2 4 12 4" xfId="25540"/>
    <cellStyle name="Note 2 3 4 2 4 13" xfId="25541"/>
    <cellStyle name="Note 2 3 4 2 4 14" xfId="25542"/>
    <cellStyle name="Note 2 3 4 2 4 15" xfId="25543"/>
    <cellStyle name="Note 2 3 4 2 4 16" xfId="25544"/>
    <cellStyle name="Note 2 3 4 2 4 2" xfId="25545"/>
    <cellStyle name="Note 2 3 4 2 4 2 10" xfId="25546"/>
    <cellStyle name="Note 2 3 4 2 4 2 11" xfId="25547"/>
    <cellStyle name="Note 2 3 4 2 4 2 12" xfId="25548"/>
    <cellStyle name="Note 2 3 4 2 4 2 2" xfId="25549"/>
    <cellStyle name="Note 2 3 4 2 4 2 2 10" xfId="25550"/>
    <cellStyle name="Note 2 3 4 2 4 2 2 11" xfId="25551"/>
    <cellStyle name="Note 2 3 4 2 4 2 2 2" xfId="25552"/>
    <cellStyle name="Note 2 3 4 2 4 2 2 2 2" xfId="25553"/>
    <cellStyle name="Note 2 3 4 2 4 2 2 2 2 2" xfId="25554"/>
    <cellStyle name="Note 2 3 4 2 4 2 2 2 2 2 2" xfId="25555"/>
    <cellStyle name="Note 2 3 4 2 4 2 2 2 2 2 3" xfId="25556"/>
    <cellStyle name="Note 2 3 4 2 4 2 2 2 2 2 4" xfId="25557"/>
    <cellStyle name="Note 2 3 4 2 4 2 2 2 2 3" xfId="25558"/>
    <cellStyle name="Note 2 3 4 2 4 2 2 2 2 4" xfId="25559"/>
    <cellStyle name="Note 2 3 4 2 4 2 2 2 2 5" xfId="25560"/>
    <cellStyle name="Note 2 3 4 2 4 2 2 2 2 6" xfId="25561"/>
    <cellStyle name="Note 2 3 4 2 4 2 2 2 3" xfId="25562"/>
    <cellStyle name="Note 2 3 4 2 4 2 2 2 3 2" xfId="25563"/>
    <cellStyle name="Note 2 3 4 2 4 2 2 2 3 3" xfId="25564"/>
    <cellStyle name="Note 2 3 4 2 4 2 2 2 3 4" xfId="25565"/>
    <cellStyle name="Note 2 3 4 2 4 2 2 2 4" xfId="25566"/>
    <cellStyle name="Note 2 3 4 2 4 2 2 2 5" xfId="25567"/>
    <cellStyle name="Note 2 3 4 2 4 2 2 2 6" xfId="25568"/>
    <cellStyle name="Note 2 3 4 2 4 2 2 2 7" xfId="25569"/>
    <cellStyle name="Note 2 3 4 2 4 2 2 3" xfId="25570"/>
    <cellStyle name="Note 2 3 4 2 4 2 2 3 2" xfId="25571"/>
    <cellStyle name="Note 2 3 4 2 4 2 2 3 2 2" xfId="25572"/>
    <cellStyle name="Note 2 3 4 2 4 2 2 3 2 3" xfId="25573"/>
    <cellStyle name="Note 2 3 4 2 4 2 2 3 2 4" xfId="25574"/>
    <cellStyle name="Note 2 3 4 2 4 2 2 3 3" xfId="25575"/>
    <cellStyle name="Note 2 3 4 2 4 2 2 3 4" xfId="25576"/>
    <cellStyle name="Note 2 3 4 2 4 2 2 3 5" xfId="25577"/>
    <cellStyle name="Note 2 3 4 2 4 2 2 3 6" xfId="25578"/>
    <cellStyle name="Note 2 3 4 2 4 2 2 4" xfId="25579"/>
    <cellStyle name="Note 2 3 4 2 4 2 2 4 2" xfId="25580"/>
    <cellStyle name="Note 2 3 4 2 4 2 2 4 3" xfId="25581"/>
    <cellStyle name="Note 2 3 4 2 4 2 2 4 4" xfId="25582"/>
    <cellStyle name="Note 2 3 4 2 4 2 2 4 5" xfId="25583"/>
    <cellStyle name="Note 2 3 4 2 4 2 2 5" xfId="25584"/>
    <cellStyle name="Note 2 3 4 2 4 2 2 5 2" xfId="25585"/>
    <cellStyle name="Note 2 3 4 2 4 2 2 5 3" xfId="25586"/>
    <cellStyle name="Note 2 3 4 2 4 2 2 5 4" xfId="25587"/>
    <cellStyle name="Note 2 3 4 2 4 2 2 6" xfId="25588"/>
    <cellStyle name="Note 2 3 4 2 4 2 2 6 2" xfId="25589"/>
    <cellStyle name="Note 2 3 4 2 4 2 2 6 3" xfId="25590"/>
    <cellStyle name="Note 2 3 4 2 4 2 2 6 4" xfId="25591"/>
    <cellStyle name="Note 2 3 4 2 4 2 2 7" xfId="25592"/>
    <cellStyle name="Note 2 3 4 2 4 2 2 7 2" xfId="25593"/>
    <cellStyle name="Note 2 3 4 2 4 2 2 7 3" xfId="25594"/>
    <cellStyle name="Note 2 3 4 2 4 2 2 7 4" xfId="25595"/>
    <cellStyle name="Note 2 3 4 2 4 2 2 8" xfId="25596"/>
    <cellStyle name="Note 2 3 4 2 4 2 2 9" xfId="25597"/>
    <cellStyle name="Note 2 3 4 2 4 2 3" xfId="25598"/>
    <cellStyle name="Note 2 3 4 2 4 2 3 2" xfId="25599"/>
    <cellStyle name="Note 2 3 4 2 4 2 3 2 2" xfId="25600"/>
    <cellStyle name="Note 2 3 4 2 4 2 3 2 2 2" xfId="25601"/>
    <cellStyle name="Note 2 3 4 2 4 2 3 2 2 3" xfId="25602"/>
    <cellStyle name="Note 2 3 4 2 4 2 3 2 2 4" xfId="25603"/>
    <cellStyle name="Note 2 3 4 2 4 2 3 2 3" xfId="25604"/>
    <cellStyle name="Note 2 3 4 2 4 2 3 2 4" xfId="25605"/>
    <cellStyle name="Note 2 3 4 2 4 2 3 2 5" xfId="25606"/>
    <cellStyle name="Note 2 3 4 2 4 2 3 2 6" xfId="25607"/>
    <cellStyle name="Note 2 3 4 2 4 2 3 3" xfId="25608"/>
    <cellStyle name="Note 2 3 4 2 4 2 3 3 2" xfId="25609"/>
    <cellStyle name="Note 2 3 4 2 4 2 3 3 3" xfId="25610"/>
    <cellStyle name="Note 2 3 4 2 4 2 3 3 4" xfId="25611"/>
    <cellStyle name="Note 2 3 4 2 4 2 3 4" xfId="25612"/>
    <cellStyle name="Note 2 3 4 2 4 2 3 5" xfId="25613"/>
    <cellStyle name="Note 2 3 4 2 4 2 3 6" xfId="25614"/>
    <cellStyle name="Note 2 3 4 2 4 2 3 7" xfId="25615"/>
    <cellStyle name="Note 2 3 4 2 4 2 4" xfId="25616"/>
    <cellStyle name="Note 2 3 4 2 4 2 4 2" xfId="25617"/>
    <cellStyle name="Note 2 3 4 2 4 2 4 2 2" xfId="25618"/>
    <cellStyle name="Note 2 3 4 2 4 2 4 2 3" xfId="25619"/>
    <cellStyle name="Note 2 3 4 2 4 2 4 2 4" xfId="25620"/>
    <cellStyle name="Note 2 3 4 2 4 2 4 3" xfId="25621"/>
    <cellStyle name="Note 2 3 4 2 4 2 4 4" xfId="25622"/>
    <cellStyle name="Note 2 3 4 2 4 2 4 5" xfId="25623"/>
    <cellStyle name="Note 2 3 4 2 4 2 4 6" xfId="25624"/>
    <cellStyle name="Note 2 3 4 2 4 2 5" xfId="25625"/>
    <cellStyle name="Note 2 3 4 2 4 2 5 2" xfId="25626"/>
    <cellStyle name="Note 2 3 4 2 4 2 5 3" xfId="25627"/>
    <cellStyle name="Note 2 3 4 2 4 2 5 4" xfId="25628"/>
    <cellStyle name="Note 2 3 4 2 4 2 5 5" xfId="25629"/>
    <cellStyle name="Note 2 3 4 2 4 2 6" xfId="25630"/>
    <cellStyle name="Note 2 3 4 2 4 2 6 2" xfId="25631"/>
    <cellStyle name="Note 2 3 4 2 4 2 6 3" xfId="25632"/>
    <cellStyle name="Note 2 3 4 2 4 2 6 4" xfId="25633"/>
    <cellStyle name="Note 2 3 4 2 4 2 7" xfId="25634"/>
    <cellStyle name="Note 2 3 4 2 4 2 7 2" xfId="25635"/>
    <cellStyle name="Note 2 3 4 2 4 2 7 3" xfId="25636"/>
    <cellStyle name="Note 2 3 4 2 4 2 7 4" xfId="25637"/>
    <cellStyle name="Note 2 3 4 2 4 2 8" xfId="25638"/>
    <cellStyle name="Note 2 3 4 2 4 2 8 2" xfId="25639"/>
    <cellStyle name="Note 2 3 4 2 4 2 8 3" xfId="25640"/>
    <cellStyle name="Note 2 3 4 2 4 2 8 4" xfId="25641"/>
    <cellStyle name="Note 2 3 4 2 4 2 9" xfId="25642"/>
    <cellStyle name="Note 2 3 4 2 4 3" xfId="25643"/>
    <cellStyle name="Note 2 3 4 2 4 3 10" xfId="25644"/>
    <cellStyle name="Note 2 3 4 2 4 3 11" xfId="25645"/>
    <cellStyle name="Note 2 3 4 2 4 3 2" xfId="25646"/>
    <cellStyle name="Note 2 3 4 2 4 3 2 2" xfId="25647"/>
    <cellStyle name="Note 2 3 4 2 4 3 2 2 2" xfId="25648"/>
    <cellStyle name="Note 2 3 4 2 4 3 2 2 2 2" xfId="25649"/>
    <cellStyle name="Note 2 3 4 2 4 3 2 2 2 3" xfId="25650"/>
    <cellStyle name="Note 2 3 4 2 4 3 2 2 2 4" xfId="25651"/>
    <cellStyle name="Note 2 3 4 2 4 3 2 2 3" xfId="25652"/>
    <cellStyle name="Note 2 3 4 2 4 3 2 2 4" xfId="25653"/>
    <cellStyle name="Note 2 3 4 2 4 3 2 2 5" xfId="25654"/>
    <cellStyle name="Note 2 3 4 2 4 3 2 2 6" xfId="25655"/>
    <cellStyle name="Note 2 3 4 2 4 3 2 3" xfId="25656"/>
    <cellStyle name="Note 2 3 4 2 4 3 2 3 2" xfId="25657"/>
    <cellStyle name="Note 2 3 4 2 4 3 2 3 3" xfId="25658"/>
    <cellStyle name="Note 2 3 4 2 4 3 2 3 4" xfId="25659"/>
    <cellStyle name="Note 2 3 4 2 4 3 2 4" xfId="25660"/>
    <cellStyle name="Note 2 3 4 2 4 3 2 5" xfId="25661"/>
    <cellStyle name="Note 2 3 4 2 4 3 2 6" xfId="25662"/>
    <cellStyle name="Note 2 3 4 2 4 3 2 7" xfId="25663"/>
    <cellStyle name="Note 2 3 4 2 4 3 3" xfId="25664"/>
    <cellStyle name="Note 2 3 4 2 4 3 3 2" xfId="25665"/>
    <cellStyle name="Note 2 3 4 2 4 3 3 2 2" xfId="25666"/>
    <cellStyle name="Note 2 3 4 2 4 3 3 2 3" xfId="25667"/>
    <cellStyle name="Note 2 3 4 2 4 3 3 2 4" xfId="25668"/>
    <cellStyle name="Note 2 3 4 2 4 3 3 3" xfId="25669"/>
    <cellStyle name="Note 2 3 4 2 4 3 3 4" xfId="25670"/>
    <cellStyle name="Note 2 3 4 2 4 3 3 5" xfId="25671"/>
    <cellStyle name="Note 2 3 4 2 4 3 3 6" xfId="25672"/>
    <cellStyle name="Note 2 3 4 2 4 3 4" xfId="25673"/>
    <cellStyle name="Note 2 3 4 2 4 3 4 2" xfId="25674"/>
    <cellStyle name="Note 2 3 4 2 4 3 4 3" xfId="25675"/>
    <cellStyle name="Note 2 3 4 2 4 3 4 4" xfId="25676"/>
    <cellStyle name="Note 2 3 4 2 4 3 4 5" xfId="25677"/>
    <cellStyle name="Note 2 3 4 2 4 3 5" xfId="25678"/>
    <cellStyle name="Note 2 3 4 2 4 3 5 2" xfId="25679"/>
    <cellStyle name="Note 2 3 4 2 4 3 5 3" xfId="25680"/>
    <cellStyle name="Note 2 3 4 2 4 3 5 4" xfId="25681"/>
    <cellStyle name="Note 2 3 4 2 4 3 6" xfId="25682"/>
    <cellStyle name="Note 2 3 4 2 4 3 6 2" xfId="25683"/>
    <cellStyle name="Note 2 3 4 2 4 3 6 3" xfId="25684"/>
    <cellStyle name="Note 2 3 4 2 4 3 6 4" xfId="25685"/>
    <cellStyle name="Note 2 3 4 2 4 3 7" xfId="25686"/>
    <cellStyle name="Note 2 3 4 2 4 3 7 2" xfId="25687"/>
    <cellStyle name="Note 2 3 4 2 4 3 7 3" xfId="25688"/>
    <cellStyle name="Note 2 3 4 2 4 3 7 4" xfId="25689"/>
    <cellStyle name="Note 2 3 4 2 4 3 8" xfId="25690"/>
    <cellStyle name="Note 2 3 4 2 4 3 9" xfId="25691"/>
    <cellStyle name="Note 2 3 4 2 4 4" xfId="25692"/>
    <cellStyle name="Note 2 3 4 2 4 4 2" xfId="25693"/>
    <cellStyle name="Note 2 3 4 2 4 4 2 2" xfId="25694"/>
    <cellStyle name="Note 2 3 4 2 4 4 2 2 2" xfId="25695"/>
    <cellStyle name="Note 2 3 4 2 4 4 2 2 3" xfId="25696"/>
    <cellStyle name="Note 2 3 4 2 4 4 2 2 4" xfId="25697"/>
    <cellStyle name="Note 2 3 4 2 4 4 2 3" xfId="25698"/>
    <cellStyle name="Note 2 3 4 2 4 4 2 4" xfId="25699"/>
    <cellStyle name="Note 2 3 4 2 4 4 2 5" xfId="25700"/>
    <cellStyle name="Note 2 3 4 2 4 4 2 6" xfId="25701"/>
    <cellStyle name="Note 2 3 4 2 4 4 3" xfId="25702"/>
    <cellStyle name="Note 2 3 4 2 4 4 3 2" xfId="25703"/>
    <cellStyle name="Note 2 3 4 2 4 4 3 3" xfId="25704"/>
    <cellStyle name="Note 2 3 4 2 4 4 3 4" xfId="25705"/>
    <cellStyle name="Note 2 3 4 2 4 4 4" xfId="25706"/>
    <cellStyle name="Note 2 3 4 2 4 4 5" xfId="25707"/>
    <cellStyle name="Note 2 3 4 2 4 4 6" xfId="25708"/>
    <cellStyle name="Note 2 3 4 2 4 4 7" xfId="25709"/>
    <cellStyle name="Note 2 3 4 2 4 5" xfId="25710"/>
    <cellStyle name="Note 2 3 4 2 4 5 2" xfId="25711"/>
    <cellStyle name="Note 2 3 4 2 4 5 2 2" xfId="25712"/>
    <cellStyle name="Note 2 3 4 2 4 5 2 3" xfId="25713"/>
    <cellStyle name="Note 2 3 4 2 4 5 2 4" xfId="25714"/>
    <cellStyle name="Note 2 3 4 2 4 5 3" xfId="25715"/>
    <cellStyle name="Note 2 3 4 2 4 5 3 2" xfId="25716"/>
    <cellStyle name="Note 2 3 4 2 4 5 3 3" xfId="25717"/>
    <cellStyle name="Note 2 3 4 2 4 5 3 4" xfId="25718"/>
    <cellStyle name="Note 2 3 4 2 4 5 4" xfId="25719"/>
    <cellStyle name="Note 2 3 4 2 4 5 5" xfId="25720"/>
    <cellStyle name="Note 2 3 4 2 4 5 6" xfId="25721"/>
    <cellStyle name="Note 2 3 4 2 4 5 7" xfId="25722"/>
    <cellStyle name="Note 2 3 4 2 4 6" xfId="25723"/>
    <cellStyle name="Note 2 3 4 2 4 6 2" xfId="25724"/>
    <cellStyle name="Note 2 3 4 2 4 6 2 2" xfId="25725"/>
    <cellStyle name="Note 2 3 4 2 4 6 2 3" xfId="25726"/>
    <cellStyle name="Note 2 3 4 2 4 6 2 4" xfId="25727"/>
    <cellStyle name="Note 2 3 4 2 4 6 3" xfId="25728"/>
    <cellStyle name="Note 2 3 4 2 4 6 3 2" xfId="25729"/>
    <cellStyle name="Note 2 3 4 2 4 6 3 3" xfId="25730"/>
    <cellStyle name="Note 2 3 4 2 4 6 3 4" xfId="25731"/>
    <cellStyle name="Note 2 3 4 2 4 6 4" xfId="25732"/>
    <cellStyle name="Note 2 3 4 2 4 6 5" xfId="25733"/>
    <cellStyle name="Note 2 3 4 2 4 6 6" xfId="25734"/>
    <cellStyle name="Note 2 3 4 2 4 6 7" xfId="25735"/>
    <cellStyle name="Note 2 3 4 2 4 7" xfId="25736"/>
    <cellStyle name="Note 2 3 4 2 4 7 2" xfId="25737"/>
    <cellStyle name="Note 2 3 4 2 4 7 2 2" xfId="25738"/>
    <cellStyle name="Note 2 3 4 2 4 7 2 3" xfId="25739"/>
    <cellStyle name="Note 2 3 4 2 4 7 2 4" xfId="25740"/>
    <cellStyle name="Note 2 3 4 2 4 7 3" xfId="25741"/>
    <cellStyle name="Note 2 3 4 2 4 7 3 2" xfId="25742"/>
    <cellStyle name="Note 2 3 4 2 4 7 3 3" xfId="25743"/>
    <cellStyle name="Note 2 3 4 2 4 7 3 4" xfId="25744"/>
    <cellStyle name="Note 2 3 4 2 4 7 4" xfId="25745"/>
    <cellStyle name="Note 2 3 4 2 4 7 5" xfId="25746"/>
    <cellStyle name="Note 2 3 4 2 4 7 6" xfId="25747"/>
    <cellStyle name="Note 2 3 4 2 4 7 7" xfId="25748"/>
    <cellStyle name="Note 2 3 4 2 4 8" xfId="25749"/>
    <cellStyle name="Note 2 3 4 2 4 8 2" xfId="25750"/>
    <cellStyle name="Note 2 3 4 2 4 8 2 2" xfId="25751"/>
    <cellStyle name="Note 2 3 4 2 4 8 2 3" xfId="25752"/>
    <cellStyle name="Note 2 3 4 2 4 8 2 4" xfId="25753"/>
    <cellStyle name="Note 2 3 4 2 4 8 3" xfId="25754"/>
    <cellStyle name="Note 2 3 4 2 4 8 4" xfId="25755"/>
    <cellStyle name="Note 2 3 4 2 4 8 5" xfId="25756"/>
    <cellStyle name="Note 2 3 4 2 4 8 6" xfId="25757"/>
    <cellStyle name="Note 2 3 4 2 4 9" xfId="25758"/>
    <cellStyle name="Note 2 3 4 2 4 9 2" xfId="25759"/>
    <cellStyle name="Note 2 3 4 2 4 9 3" xfId="25760"/>
    <cellStyle name="Note 2 3 4 2 4 9 4" xfId="25761"/>
    <cellStyle name="Note 2 3 4 2 4 9 5" xfId="25762"/>
    <cellStyle name="Note 2 3 4 2 5" xfId="25763"/>
    <cellStyle name="Note 2 3 4 2 5 10" xfId="25764"/>
    <cellStyle name="Note 2 3 4 2 5 11" xfId="25765"/>
    <cellStyle name="Note 2 3 4 2 5 12" xfId="25766"/>
    <cellStyle name="Note 2 3 4 2 5 13" xfId="25767"/>
    <cellStyle name="Note 2 3 4 2 5 2" xfId="25768"/>
    <cellStyle name="Note 2 3 4 2 5 2 10" xfId="25769"/>
    <cellStyle name="Note 2 3 4 2 5 2 11" xfId="25770"/>
    <cellStyle name="Note 2 3 4 2 5 2 12" xfId="25771"/>
    <cellStyle name="Note 2 3 4 2 5 2 2" xfId="25772"/>
    <cellStyle name="Note 2 3 4 2 5 2 2 10" xfId="25773"/>
    <cellStyle name="Note 2 3 4 2 5 2 2 11" xfId="25774"/>
    <cellStyle name="Note 2 3 4 2 5 2 2 2" xfId="25775"/>
    <cellStyle name="Note 2 3 4 2 5 2 2 2 2" xfId="25776"/>
    <cellStyle name="Note 2 3 4 2 5 2 2 2 2 2" xfId="25777"/>
    <cellStyle name="Note 2 3 4 2 5 2 2 2 2 2 2" xfId="25778"/>
    <cellStyle name="Note 2 3 4 2 5 2 2 2 2 2 3" xfId="25779"/>
    <cellStyle name="Note 2 3 4 2 5 2 2 2 2 2 4" xfId="25780"/>
    <cellStyle name="Note 2 3 4 2 5 2 2 2 2 3" xfId="25781"/>
    <cellStyle name="Note 2 3 4 2 5 2 2 2 2 4" xfId="25782"/>
    <cellStyle name="Note 2 3 4 2 5 2 2 2 2 5" xfId="25783"/>
    <cellStyle name="Note 2 3 4 2 5 2 2 2 2 6" xfId="25784"/>
    <cellStyle name="Note 2 3 4 2 5 2 2 2 3" xfId="25785"/>
    <cellStyle name="Note 2 3 4 2 5 2 2 2 3 2" xfId="25786"/>
    <cellStyle name="Note 2 3 4 2 5 2 2 2 3 3" xfId="25787"/>
    <cellStyle name="Note 2 3 4 2 5 2 2 2 3 4" xfId="25788"/>
    <cellStyle name="Note 2 3 4 2 5 2 2 2 4" xfId="25789"/>
    <cellStyle name="Note 2 3 4 2 5 2 2 2 5" xfId="25790"/>
    <cellStyle name="Note 2 3 4 2 5 2 2 2 6" xfId="25791"/>
    <cellStyle name="Note 2 3 4 2 5 2 2 2 7" xfId="25792"/>
    <cellStyle name="Note 2 3 4 2 5 2 2 3" xfId="25793"/>
    <cellStyle name="Note 2 3 4 2 5 2 2 3 2" xfId="25794"/>
    <cellStyle name="Note 2 3 4 2 5 2 2 3 2 2" xfId="25795"/>
    <cellStyle name="Note 2 3 4 2 5 2 2 3 2 3" xfId="25796"/>
    <cellStyle name="Note 2 3 4 2 5 2 2 3 2 4" xfId="25797"/>
    <cellStyle name="Note 2 3 4 2 5 2 2 3 3" xfId="25798"/>
    <cellStyle name="Note 2 3 4 2 5 2 2 3 4" xfId="25799"/>
    <cellStyle name="Note 2 3 4 2 5 2 2 3 5" xfId="25800"/>
    <cellStyle name="Note 2 3 4 2 5 2 2 3 6" xfId="25801"/>
    <cellStyle name="Note 2 3 4 2 5 2 2 4" xfId="25802"/>
    <cellStyle name="Note 2 3 4 2 5 2 2 4 2" xfId="25803"/>
    <cellStyle name="Note 2 3 4 2 5 2 2 4 3" xfId="25804"/>
    <cellStyle name="Note 2 3 4 2 5 2 2 4 4" xfId="25805"/>
    <cellStyle name="Note 2 3 4 2 5 2 2 4 5" xfId="25806"/>
    <cellStyle name="Note 2 3 4 2 5 2 2 5" xfId="25807"/>
    <cellStyle name="Note 2 3 4 2 5 2 2 5 2" xfId="25808"/>
    <cellStyle name="Note 2 3 4 2 5 2 2 5 3" xfId="25809"/>
    <cellStyle name="Note 2 3 4 2 5 2 2 5 4" xfId="25810"/>
    <cellStyle name="Note 2 3 4 2 5 2 2 6" xfId="25811"/>
    <cellStyle name="Note 2 3 4 2 5 2 2 6 2" xfId="25812"/>
    <cellStyle name="Note 2 3 4 2 5 2 2 6 3" xfId="25813"/>
    <cellStyle name="Note 2 3 4 2 5 2 2 6 4" xfId="25814"/>
    <cellStyle name="Note 2 3 4 2 5 2 2 7" xfId="25815"/>
    <cellStyle name="Note 2 3 4 2 5 2 2 7 2" xfId="25816"/>
    <cellStyle name="Note 2 3 4 2 5 2 2 7 3" xfId="25817"/>
    <cellStyle name="Note 2 3 4 2 5 2 2 7 4" xfId="25818"/>
    <cellStyle name="Note 2 3 4 2 5 2 2 8" xfId="25819"/>
    <cellStyle name="Note 2 3 4 2 5 2 2 9" xfId="25820"/>
    <cellStyle name="Note 2 3 4 2 5 2 3" xfId="25821"/>
    <cellStyle name="Note 2 3 4 2 5 2 3 2" xfId="25822"/>
    <cellStyle name="Note 2 3 4 2 5 2 3 2 2" xfId="25823"/>
    <cellStyle name="Note 2 3 4 2 5 2 3 2 2 2" xfId="25824"/>
    <cellStyle name="Note 2 3 4 2 5 2 3 2 2 3" xfId="25825"/>
    <cellStyle name="Note 2 3 4 2 5 2 3 2 2 4" xfId="25826"/>
    <cellStyle name="Note 2 3 4 2 5 2 3 2 3" xfId="25827"/>
    <cellStyle name="Note 2 3 4 2 5 2 3 2 4" xfId="25828"/>
    <cellStyle name="Note 2 3 4 2 5 2 3 2 5" xfId="25829"/>
    <cellStyle name="Note 2 3 4 2 5 2 3 2 6" xfId="25830"/>
    <cellStyle name="Note 2 3 4 2 5 2 3 3" xfId="25831"/>
    <cellStyle name="Note 2 3 4 2 5 2 3 3 2" xfId="25832"/>
    <cellStyle name="Note 2 3 4 2 5 2 3 3 3" xfId="25833"/>
    <cellStyle name="Note 2 3 4 2 5 2 3 3 4" xfId="25834"/>
    <cellStyle name="Note 2 3 4 2 5 2 3 4" xfId="25835"/>
    <cellStyle name="Note 2 3 4 2 5 2 3 5" xfId="25836"/>
    <cellStyle name="Note 2 3 4 2 5 2 3 6" xfId="25837"/>
    <cellStyle name="Note 2 3 4 2 5 2 3 7" xfId="25838"/>
    <cellStyle name="Note 2 3 4 2 5 2 4" xfId="25839"/>
    <cellStyle name="Note 2 3 4 2 5 2 4 2" xfId="25840"/>
    <cellStyle name="Note 2 3 4 2 5 2 4 2 2" xfId="25841"/>
    <cellStyle name="Note 2 3 4 2 5 2 4 2 3" xfId="25842"/>
    <cellStyle name="Note 2 3 4 2 5 2 4 2 4" xfId="25843"/>
    <cellStyle name="Note 2 3 4 2 5 2 4 3" xfId="25844"/>
    <cellStyle name="Note 2 3 4 2 5 2 4 4" xfId="25845"/>
    <cellStyle name="Note 2 3 4 2 5 2 4 5" xfId="25846"/>
    <cellStyle name="Note 2 3 4 2 5 2 4 6" xfId="25847"/>
    <cellStyle name="Note 2 3 4 2 5 2 5" xfId="25848"/>
    <cellStyle name="Note 2 3 4 2 5 2 5 2" xfId="25849"/>
    <cellStyle name="Note 2 3 4 2 5 2 5 3" xfId="25850"/>
    <cellStyle name="Note 2 3 4 2 5 2 5 4" xfId="25851"/>
    <cellStyle name="Note 2 3 4 2 5 2 5 5" xfId="25852"/>
    <cellStyle name="Note 2 3 4 2 5 2 6" xfId="25853"/>
    <cellStyle name="Note 2 3 4 2 5 2 6 2" xfId="25854"/>
    <cellStyle name="Note 2 3 4 2 5 2 6 3" xfId="25855"/>
    <cellStyle name="Note 2 3 4 2 5 2 6 4" xfId="25856"/>
    <cellStyle name="Note 2 3 4 2 5 2 7" xfId="25857"/>
    <cellStyle name="Note 2 3 4 2 5 2 7 2" xfId="25858"/>
    <cellStyle name="Note 2 3 4 2 5 2 7 3" xfId="25859"/>
    <cellStyle name="Note 2 3 4 2 5 2 7 4" xfId="25860"/>
    <cellStyle name="Note 2 3 4 2 5 2 8" xfId="25861"/>
    <cellStyle name="Note 2 3 4 2 5 2 8 2" xfId="25862"/>
    <cellStyle name="Note 2 3 4 2 5 2 8 3" xfId="25863"/>
    <cellStyle name="Note 2 3 4 2 5 2 8 4" xfId="25864"/>
    <cellStyle name="Note 2 3 4 2 5 2 9" xfId="25865"/>
    <cellStyle name="Note 2 3 4 2 5 3" xfId="25866"/>
    <cellStyle name="Note 2 3 4 2 5 3 10" xfId="25867"/>
    <cellStyle name="Note 2 3 4 2 5 3 11" xfId="25868"/>
    <cellStyle name="Note 2 3 4 2 5 3 2" xfId="25869"/>
    <cellStyle name="Note 2 3 4 2 5 3 2 2" xfId="25870"/>
    <cellStyle name="Note 2 3 4 2 5 3 2 2 2" xfId="25871"/>
    <cellStyle name="Note 2 3 4 2 5 3 2 2 2 2" xfId="25872"/>
    <cellStyle name="Note 2 3 4 2 5 3 2 2 2 3" xfId="25873"/>
    <cellStyle name="Note 2 3 4 2 5 3 2 2 2 4" xfId="25874"/>
    <cellStyle name="Note 2 3 4 2 5 3 2 2 3" xfId="25875"/>
    <cellStyle name="Note 2 3 4 2 5 3 2 2 4" xfId="25876"/>
    <cellStyle name="Note 2 3 4 2 5 3 2 2 5" xfId="25877"/>
    <cellStyle name="Note 2 3 4 2 5 3 2 2 6" xfId="25878"/>
    <cellStyle name="Note 2 3 4 2 5 3 2 3" xfId="25879"/>
    <cellStyle name="Note 2 3 4 2 5 3 2 3 2" xfId="25880"/>
    <cellStyle name="Note 2 3 4 2 5 3 2 3 3" xfId="25881"/>
    <cellStyle name="Note 2 3 4 2 5 3 2 3 4" xfId="25882"/>
    <cellStyle name="Note 2 3 4 2 5 3 2 4" xfId="25883"/>
    <cellStyle name="Note 2 3 4 2 5 3 2 5" xfId="25884"/>
    <cellStyle name="Note 2 3 4 2 5 3 2 6" xfId="25885"/>
    <cellStyle name="Note 2 3 4 2 5 3 2 7" xfId="25886"/>
    <cellStyle name="Note 2 3 4 2 5 3 3" xfId="25887"/>
    <cellStyle name="Note 2 3 4 2 5 3 3 2" xfId="25888"/>
    <cellStyle name="Note 2 3 4 2 5 3 3 2 2" xfId="25889"/>
    <cellStyle name="Note 2 3 4 2 5 3 3 2 3" xfId="25890"/>
    <cellStyle name="Note 2 3 4 2 5 3 3 2 4" xfId="25891"/>
    <cellStyle name="Note 2 3 4 2 5 3 3 3" xfId="25892"/>
    <cellStyle name="Note 2 3 4 2 5 3 3 4" xfId="25893"/>
    <cellStyle name="Note 2 3 4 2 5 3 3 5" xfId="25894"/>
    <cellStyle name="Note 2 3 4 2 5 3 3 6" xfId="25895"/>
    <cellStyle name="Note 2 3 4 2 5 3 4" xfId="25896"/>
    <cellStyle name="Note 2 3 4 2 5 3 4 2" xfId="25897"/>
    <cellStyle name="Note 2 3 4 2 5 3 4 3" xfId="25898"/>
    <cellStyle name="Note 2 3 4 2 5 3 4 4" xfId="25899"/>
    <cellStyle name="Note 2 3 4 2 5 3 4 5" xfId="25900"/>
    <cellStyle name="Note 2 3 4 2 5 3 5" xfId="25901"/>
    <cellStyle name="Note 2 3 4 2 5 3 5 2" xfId="25902"/>
    <cellStyle name="Note 2 3 4 2 5 3 5 3" xfId="25903"/>
    <cellStyle name="Note 2 3 4 2 5 3 5 4" xfId="25904"/>
    <cellStyle name="Note 2 3 4 2 5 3 6" xfId="25905"/>
    <cellStyle name="Note 2 3 4 2 5 3 6 2" xfId="25906"/>
    <cellStyle name="Note 2 3 4 2 5 3 6 3" xfId="25907"/>
    <cellStyle name="Note 2 3 4 2 5 3 6 4" xfId="25908"/>
    <cellStyle name="Note 2 3 4 2 5 3 7" xfId="25909"/>
    <cellStyle name="Note 2 3 4 2 5 3 7 2" xfId="25910"/>
    <cellStyle name="Note 2 3 4 2 5 3 7 3" xfId="25911"/>
    <cellStyle name="Note 2 3 4 2 5 3 7 4" xfId="25912"/>
    <cellStyle name="Note 2 3 4 2 5 3 8" xfId="25913"/>
    <cellStyle name="Note 2 3 4 2 5 3 9" xfId="25914"/>
    <cellStyle name="Note 2 3 4 2 5 4" xfId="25915"/>
    <cellStyle name="Note 2 3 4 2 5 4 2" xfId="25916"/>
    <cellStyle name="Note 2 3 4 2 5 4 2 2" xfId="25917"/>
    <cellStyle name="Note 2 3 4 2 5 4 2 2 2" xfId="25918"/>
    <cellStyle name="Note 2 3 4 2 5 4 2 2 3" xfId="25919"/>
    <cellStyle name="Note 2 3 4 2 5 4 2 2 4" xfId="25920"/>
    <cellStyle name="Note 2 3 4 2 5 4 2 3" xfId="25921"/>
    <cellStyle name="Note 2 3 4 2 5 4 2 4" xfId="25922"/>
    <cellStyle name="Note 2 3 4 2 5 4 2 5" xfId="25923"/>
    <cellStyle name="Note 2 3 4 2 5 4 2 6" xfId="25924"/>
    <cellStyle name="Note 2 3 4 2 5 4 3" xfId="25925"/>
    <cellStyle name="Note 2 3 4 2 5 4 3 2" xfId="25926"/>
    <cellStyle name="Note 2 3 4 2 5 4 3 3" xfId="25927"/>
    <cellStyle name="Note 2 3 4 2 5 4 3 4" xfId="25928"/>
    <cellStyle name="Note 2 3 4 2 5 4 4" xfId="25929"/>
    <cellStyle name="Note 2 3 4 2 5 4 5" xfId="25930"/>
    <cellStyle name="Note 2 3 4 2 5 4 6" xfId="25931"/>
    <cellStyle name="Note 2 3 4 2 5 4 7" xfId="25932"/>
    <cellStyle name="Note 2 3 4 2 5 5" xfId="25933"/>
    <cellStyle name="Note 2 3 4 2 5 5 2" xfId="25934"/>
    <cellStyle name="Note 2 3 4 2 5 5 2 2" xfId="25935"/>
    <cellStyle name="Note 2 3 4 2 5 5 2 3" xfId="25936"/>
    <cellStyle name="Note 2 3 4 2 5 5 2 4" xfId="25937"/>
    <cellStyle name="Note 2 3 4 2 5 5 3" xfId="25938"/>
    <cellStyle name="Note 2 3 4 2 5 5 4" xfId="25939"/>
    <cellStyle name="Note 2 3 4 2 5 5 5" xfId="25940"/>
    <cellStyle name="Note 2 3 4 2 5 5 6" xfId="25941"/>
    <cellStyle name="Note 2 3 4 2 5 6" xfId="25942"/>
    <cellStyle name="Note 2 3 4 2 5 6 2" xfId="25943"/>
    <cellStyle name="Note 2 3 4 2 5 6 3" xfId="25944"/>
    <cellStyle name="Note 2 3 4 2 5 6 4" xfId="25945"/>
    <cellStyle name="Note 2 3 4 2 5 6 5" xfId="25946"/>
    <cellStyle name="Note 2 3 4 2 5 7" xfId="25947"/>
    <cellStyle name="Note 2 3 4 2 5 7 2" xfId="25948"/>
    <cellStyle name="Note 2 3 4 2 5 7 3" xfId="25949"/>
    <cellStyle name="Note 2 3 4 2 5 7 4" xfId="25950"/>
    <cellStyle name="Note 2 3 4 2 5 8" xfId="25951"/>
    <cellStyle name="Note 2 3 4 2 5 8 2" xfId="25952"/>
    <cellStyle name="Note 2 3 4 2 5 8 3" xfId="25953"/>
    <cellStyle name="Note 2 3 4 2 5 8 4" xfId="25954"/>
    <cellStyle name="Note 2 3 4 2 5 9" xfId="25955"/>
    <cellStyle name="Note 2 3 4 2 5 9 2" xfId="25956"/>
    <cellStyle name="Note 2 3 4 2 5 9 3" xfId="25957"/>
    <cellStyle name="Note 2 3 4 2 5 9 4" xfId="25958"/>
    <cellStyle name="Note 2 3 4 2 6" xfId="25959"/>
    <cellStyle name="Note 2 3 4 2 6 10" xfId="25960"/>
    <cellStyle name="Note 2 3 4 2 6 11" xfId="25961"/>
    <cellStyle name="Note 2 3 4 2 6 12" xfId="25962"/>
    <cellStyle name="Note 2 3 4 2 6 13" xfId="25963"/>
    <cellStyle name="Note 2 3 4 2 6 2" xfId="25964"/>
    <cellStyle name="Note 2 3 4 2 6 2 10" xfId="25965"/>
    <cellStyle name="Note 2 3 4 2 6 2 11" xfId="25966"/>
    <cellStyle name="Note 2 3 4 2 6 2 2" xfId="25967"/>
    <cellStyle name="Note 2 3 4 2 6 2 2 2" xfId="25968"/>
    <cellStyle name="Note 2 3 4 2 6 2 2 2 2" xfId="25969"/>
    <cellStyle name="Note 2 3 4 2 6 2 2 2 2 2" xfId="25970"/>
    <cellStyle name="Note 2 3 4 2 6 2 2 2 2 3" xfId="25971"/>
    <cellStyle name="Note 2 3 4 2 6 2 2 2 2 4" xfId="25972"/>
    <cellStyle name="Note 2 3 4 2 6 2 2 2 3" xfId="25973"/>
    <cellStyle name="Note 2 3 4 2 6 2 2 2 4" xfId="25974"/>
    <cellStyle name="Note 2 3 4 2 6 2 2 2 5" xfId="25975"/>
    <cellStyle name="Note 2 3 4 2 6 2 2 2 6" xfId="25976"/>
    <cellStyle name="Note 2 3 4 2 6 2 2 3" xfId="25977"/>
    <cellStyle name="Note 2 3 4 2 6 2 2 3 2" xfId="25978"/>
    <cellStyle name="Note 2 3 4 2 6 2 2 3 3" xfId="25979"/>
    <cellStyle name="Note 2 3 4 2 6 2 2 3 4" xfId="25980"/>
    <cellStyle name="Note 2 3 4 2 6 2 2 4" xfId="25981"/>
    <cellStyle name="Note 2 3 4 2 6 2 2 5" xfId="25982"/>
    <cellStyle name="Note 2 3 4 2 6 2 2 6" xfId="25983"/>
    <cellStyle name="Note 2 3 4 2 6 2 2 7" xfId="25984"/>
    <cellStyle name="Note 2 3 4 2 6 2 3" xfId="25985"/>
    <cellStyle name="Note 2 3 4 2 6 2 3 2" xfId="25986"/>
    <cellStyle name="Note 2 3 4 2 6 2 3 2 2" xfId="25987"/>
    <cellStyle name="Note 2 3 4 2 6 2 3 2 3" xfId="25988"/>
    <cellStyle name="Note 2 3 4 2 6 2 3 2 4" xfId="25989"/>
    <cellStyle name="Note 2 3 4 2 6 2 3 3" xfId="25990"/>
    <cellStyle name="Note 2 3 4 2 6 2 3 4" xfId="25991"/>
    <cellStyle name="Note 2 3 4 2 6 2 3 5" xfId="25992"/>
    <cellStyle name="Note 2 3 4 2 6 2 3 6" xfId="25993"/>
    <cellStyle name="Note 2 3 4 2 6 2 4" xfId="25994"/>
    <cellStyle name="Note 2 3 4 2 6 2 4 2" xfId="25995"/>
    <cellStyle name="Note 2 3 4 2 6 2 4 3" xfId="25996"/>
    <cellStyle name="Note 2 3 4 2 6 2 4 4" xfId="25997"/>
    <cellStyle name="Note 2 3 4 2 6 2 4 5" xfId="25998"/>
    <cellStyle name="Note 2 3 4 2 6 2 5" xfId="25999"/>
    <cellStyle name="Note 2 3 4 2 6 2 5 2" xfId="26000"/>
    <cellStyle name="Note 2 3 4 2 6 2 5 3" xfId="26001"/>
    <cellStyle name="Note 2 3 4 2 6 2 5 4" xfId="26002"/>
    <cellStyle name="Note 2 3 4 2 6 2 6" xfId="26003"/>
    <cellStyle name="Note 2 3 4 2 6 2 6 2" xfId="26004"/>
    <cellStyle name="Note 2 3 4 2 6 2 6 3" xfId="26005"/>
    <cellStyle name="Note 2 3 4 2 6 2 6 4" xfId="26006"/>
    <cellStyle name="Note 2 3 4 2 6 2 7" xfId="26007"/>
    <cellStyle name="Note 2 3 4 2 6 2 7 2" xfId="26008"/>
    <cellStyle name="Note 2 3 4 2 6 2 7 3" xfId="26009"/>
    <cellStyle name="Note 2 3 4 2 6 2 7 4" xfId="26010"/>
    <cellStyle name="Note 2 3 4 2 6 2 8" xfId="26011"/>
    <cellStyle name="Note 2 3 4 2 6 2 9" xfId="26012"/>
    <cellStyle name="Note 2 3 4 2 6 3" xfId="26013"/>
    <cellStyle name="Note 2 3 4 2 6 3 10" xfId="26014"/>
    <cellStyle name="Note 2 3 4 2 6 3 11" xfId="26015"/>
    <cellStyle name="Note 2 3 4 2 6 3 2" xfId="26016"/>
    <cellStyle name="Note 2 3 4 2 6 3 2 2" xfId="26017"/>
    <cellStyle name="Note 2 3 4 2 6 3 2 2 2" xfId="26018"/>
    <cellStyle name="Note 2 3 4 2 6 3 2 2 3" xfId="26019"/>
    <cellStyle name="Note 2 3 4 2 6 3 2 2 4" xfId="26020"/>
    <cellStyle name="Note 2 3 4 2 6 3 2 3" xfId="26021"/>
    <cellStyle name="Note 2 3 4 2 6 3 2 3 2" xfId="26022"/>
    <cellStyle name="Note 2 3 4 2 6 3 2 3 3" xfId="26023"/>
    <cellStyle name="Note 2 3 4 2 6 3 2 3 4" xfId="26024"/>
    <cellStyle name="Note 2 3 4 2 6 3 2 4" xfId="26025"/>
    <cellStyle name="Note 2 3 4 2 6 3 2 5" xfId="26026"/>
    <cellStyle name="Note 2 3 4 2 6 3 2 6" xfId="26027"/>
    <cellStyle name="Note 2 3 4 2 6 3 2 7" xfId="26028"/>
    <cellStyle name="Note 2 3 4 2 6 3 3" xfId="26029"/>
    <cellStyle name="Note 2 3 4 2 6 3 3 2" xfId="26030"/>
    <cellStyle name="Note 2 3 4 2 6 3 3 2 2" xfId="26031"/>
    <cellStyle name="Note 2 3 4 2 6 3 3 2 3" xfId="26032"/>
    <cellStyle name="Note 2 3 4 2 6 3 3 2 4" xfId="26033"/>
    <cellStyle name="Note 2 3 4 2 6 3 3 3" xfId="26034"/>
    <cellStyle name="Note 2 3 4 2 6 3 3 4" xfId="26035"/>
    <cellStyle name="Note 2 3 4 2 6 3 3 5" xfId="26036"/>
    <cellStyle name="Note 2 3 4 2 6 3 3 6" xfId="26037"/>
    <cellStyle name="Note 2 3 4 2 6 3 4" xfId="26038"/>
    <cellStyle name="Note 2 3 4 2 6 3 4 2" xfId="26039"/>
    <cellStyle name="Note 2 3 4 2 6 3 4 3" xfId="26040"/>
    <cellStyle name="Note 2 3 4 2 6 3 4 4" xfId="26041"/>
    <cellStyle name="Note 2 3 4 2 6 3 4 5" xfId="26042"/>
    <cellStyle name="Note 2 3 4 2 6 3 5" xfId="26043"/>
    <cellStyle name="Note 2 3 4 2 6 3 5 2" xfId="26044"/>
    <cellStyle name="Note 2 3 4 2 6 3 5 3" xfId="26045"/>
    <cellStyle name="Note 2 3 4 2 6 3 5 4" xfId="26046"/>
    <cellStyle name="Note 2 3 4 2 6 3 6" xfId="26047"/>
    <cellStyle name="Note 2 3 4 2 6 3 6 2" xfId="26048"/>
    <cellStyle name="Note 2 3 4 2 6 3 6 3" xfId="26049"/>
    <cellStyle name="Note 2 3 4 2 6 3 6 4" xfId="26050"/>
    <cellStyle name="Note 2 3 4 2 6 3 7" xfId="26051"/>
    <cellStyle name="Note 2 3 4 2 6 3 7 2" xfId="26052"/>
    <cellStyle name="Note 2 3 4 2 6 3 7 3" xfId="26053"/>
    <cellStyle name="Note 2 3 4 2 6 3 7 4" xfId="26054"/>
    <cellStyle name="Note 2 3 4 2 6 3 8" xfId="26055"/>
    <cellStyle name="Note 2 3 4 2 6 3 9" xfId="26056"/>
    <cellStyle name="Note 2 3 4 2 6 4" xfId="26057"/>
    <cellStyle name="Note 2 3 4 2 6 4 2" xfId="26058"/>
    <cellStyle name="Note 2 3 4 2 6 4 2 2" xfId="26059"/>
    <cellStyle name="Note 2 3 4 2 6 4 2 2 2" xfId="26060"/>
    <cellStyle name="Note 2 3 4 2 6 4 2 2 3" xfId="26061"/>
    <cellStyle name="Note 2 3 4 2 6 4 2 2 4" xfId="26062"/>
    <cellStyle name="Note 2 3 4 2 6 4 2 3" xfId="26063"/>
    <cellStyle name="Note 2 3 4 2 6 4 2 4" xfId="26064"/>
    <cellStyle name="Note 2 3 4 2 6 4 2 5" xfId="26065"/>
    <cellStyle name="Note 2 3 4 2 6 4 2 6" xfId="26066"/>
    <cellStyle name="Note 2 3 4 2 6 4 3" xfId="26067"/>
    <cellStyle name="Note 2 3 4 2 6 4 3 2" xfId="26068"/>
    <cellStyle name="Note 2 3 4 2 6 4 3 3" xfId="26069"/>
    <cellStyle name="Note 2 3 4 2 6 4 3 4" xfId="26070"/>
    <cellStyle name="Note 2 3 4 2 6 4 4" xfId="26071"/>
    <cellStyle name="Note 2 3 4 2 6 4 5" xfId="26072"/>
    <cellStyle name="Note 2 3 4 2 6 4 6" xfId="26073"/>
    <cellStyle name="Note 2 3 4 2 6 4 7" xfId="26074"/>
    <cellStyle name="Note 2 3 4 2 6 5" xfId="26075"/>
    <cellStyle name="Note 2 3 4 2 6 5 2" xfId="26076"/>
    <cellStyle name="Note 2 3 4 2 6 5 2 2" xfId="26077"/>
    <cellStyle name="Note 2 3 4 2 6 5 2 3" xfId="26078"/>
    <cellStyle name="Note 2 3 4 2 6 5 2 4" xfId="26079"/>
    <cellStyle name="Note 2 3 4 2 6 5 3" xfId="26080"/>
    <cellStyle name="Note 2 3 4 2 6 5 4" xfId="26081"/>
    <cellStyle name="Note 2 3 4 2 6 5 5" xfId="26082"/>
    <cellStyle name="Note 2 3 4 2 6 5 6" xfId="26083"/>
    <cellStyle name="Note 2 3 4 2 6 6" xfId="26084"/>
    <cellStyle name="Note 2 3 4 2 6 6 2" xfId="26085"/>
    <cellStyle name="Note 2 3 4 2 6 6 3" xfId="26086"/>
    <cellStyle name="Note 2 3 4 2 6 6 4" xfId="26087"/>
    <cellStyle name="Note 2 3 4 2 6 6 5" xfId="26088"/>
    <cellStyle name="Note 2 3 4 2 6 7" xfId="26089"/>
    <cellStyle name="Note 2 3 4 2 6 7 2" xfId="26090"/>
    <cellStyle name="Note 2 3 4 2 6 7 3" xfId="26091"/>
    <cellStyle name="Note 2 3 4 2 6 7 4" xfId="26092"/>
    <cellStyle name="Note 2 3 4 2 6 8" xfId="26093"/>
    <cellStyle name="Note 2 3 4 2 6 8 2" xfId="26094"/>
    <cellStyle name="Note 2 3 4 2 6 8 3" xfId="26095"/>
    <cellStyle name="Note 2 3 4 2 6 8 4" xfId="26096"/>
    <cellStyle name="Note 2 3 4 2 6 9" xfId="26097"/>
    <cellStyle name="Note 2 3 4 2 6 9 2" xfId="26098"/>
    <cellStyle name="Note 2 3 4 2 6 9 3" xfId="26099"/>
    <cellStyle name="Note 2 3 4 2 6 9 4" xfId="26100"/>
    <cellStyle name="Note 2 3 4 2 7" xfId="26101"/>
    <cellStyle name="Note 2 3 4 2 7 10" xfId="26102"/>
    <cellStyle name="Note 2 3 4 2 7 11" xfId="26103"/>
    <cellStyle name="Note 2 3 4 2 7 12" xfId="26104"/>
    <cellStyle name="Note 2 3 4 2 7 2" xfId="26105"/>
    <cellStyle name="Note 2 3 4 2 7 2 10" xfId="26106"/>
    <cellStyle name="Note 2 3 4 2 7 2 11" xfId="26107"/>
    <cellStyle name="Note 2 3 4 2 7 2 2" xfId="26108"/>
    <cellStyle name="Note 2 3 4 2 7 2 2 2" xfId="26109"/>
    <cellStyle name="Note 2 3 4 2 7 2 2 2 2" xfId="26110"/>
    <cellStyle name="Note 2 3 4 2 7 2 2 2 2 2" xfId="26111"/>
    <cellStyle name="Note 2 3 4 2 7 2 2 2 2 3" xfId="26112"/>
    <cellStyle name="Note 2 3 4 2 7 2 2 2 2 4" xfId="26113"/>
    <cellStyle name="Note 2 3 4 2 7 2 2 2 3" xfId="26114"/>
    <cellStyle name="Note 2 3 4 2 7 2 2 2 4" xfId="26115"/>
    <cellStyle name="Note 2 3 4 2 7 2 2 2 5" xfId="26116"/>
    <cellStyle name="Note 2 3 4 2 7 2 2 2 6" xfId="26117"/>
    <cellStyle name="Note 2 3 4 2 7 2 2 3" xfId="26118"/>
    <cellStyle name="Note 2 3 4 2 7 2 2 3 2" xfId="26119"/>
    <cellStyle name="Note 2 3 4 2 7 2 2 3 3" xfId="26120"/>
    <cellStyle name="Note 2 3 4 2 7 2 2 3 4" xfId="26121"/>
    <cellStyle name="Note 2 3 4 2 7 2 2 4" xfId="26122"/>
    <cellStyle name="Note 2 3 4 2 7 2 2 5" xfId="26123"/>
    <cellStyle name="Note 2 3 4 2 7 2 2 6" xfId="26124"/>
    <cellStyle name="Note 2 3 4 2 7 2 2 7" xfId="26125"/>
    <cellStyle name="Note 2 3 4 2 7 2 3" xfId="26126"/>
    <cellStyle name="Note 2 3 4 2 7 2 3 2" xfId="26127"/>
    <cellStyle name="Note 2 3 4 2 7 2 3 2 2" xfId="26128"/>
    <cellStyle name="Note 2 3 4 2 7 2 3 2 3" xfId="26129"/>
    <cellStyle name="Note 2 3 4 2 7 2 3 2 4" xfId="26130"/>
    <cellStyle name="Note 2 3 4 2 7 2 3 3" xfId="26131"/>
    <cellStyle name="Note 2 3 4 2 7 2 3 4" xfId="26132"/>
    <cellStyle name="Note 2 3 4 2 7 2 3 5" xfId="26133"/>
    <cellStyle name="Note 2 3 4 2 7 2 3 6" xfId="26134"/>
    <cellStyle name="Note 2 3 4 2 7 2 4" xfId="26135"/>
    <cellStyle name="Note 2 3 4 2 7 2 4 2" xfId="26136"/>
    <cellStyle name="Note 2 3 4 2 7 2 4 3" xfId="26137"/>
    <cellStyle name="Note 2 3 4 2 7 2 4 4" xfId="26138"/>
    <cellStyle name="Note 2 3 4 2 7 2 4 5" xfId="26139"/>
    <cellStyle name="Note 2 3 4 2 7 2 5" xfId="26140"/>
    <cellStyle name="Note 2 3 4 2 7 2 5 2" xfId="26141"/>
    <cellStyle name="Note 2 3 4 2 7 2 5 3" xfId="26142"/>
    <cellStyle name="Note 2 3 4 2 7 2 5 4" xfId="26143"/>
    <cellStyle name="Note 2 3 4 2 7 2 6" xfId="26144"/>
    <cellStyle name="Note 2 3 4 2 7 2 6 2" xfId="26145"/>
    <cellStyle name="Note 2 3 4 2 7 2 6 3" xfId="26146"/>
    <cellStyle name="Note 2 3 4 2 7 2 6 4" xfId="26147"/>
    <cellStyle name="Note 2 3 4 2 7 2 7" xfId="26148"/>
    <cellStyle name="Note 2 3 4 2 7 2 7 2" xfId="26149"/>
    <cellStyle name="Note 2 3 4 2 7 2 7 3" xfId="26150"/>
    <cellStyle name="Note 2 3 4 2 7 2 7 4" xfId="26151"/>
    <cellStyle name="Note 2 3 4 2 7 2 8" xfId="26152"/>
    <cellStyle name="Note 2 3 4 2 7 2 9" xfId="26153"/>
    <cellStyle name="Note 2 3 4 2 7 3" xfId="26154"/>
    <cellStyle name="Note 2 3 4 2 7 3 2" xfId="26155"/>
    <cellStyle name="Note 2 3 4 2 7 3 2 2" xfId="26156"/>
    <cellStyle name="Note 2 3 4 2 7 3 2 2 2" xfId="26157"/>
    <cellStyle name="Note 2 3 4 2 7 3 2 2 3" xfId="26158"/>
    <cellStyle name="Note 2 3 4 2 7 3 2 2 4" xfId="26159"/>
    <cellStyle name="Note 2 3 4 2 7 3 2 3" xfId="26160"/>
    <cellStyle name="Note 2 3 4 2 7 3 2 4" xfId="26161"/>
    <cellStyle name="Note 2 3 4 2 7 3 2 5" xfId="26162"/>
    <cellStyle name="Note 2 3 4 2 7 3 2 6" xfId="26163"/>
    <cellStyle name="Note 2 3 4 2 7 3 3" xfId="26164"/>
    <cellStyle name="Note 2 3 4 2 7 3 3 2" xfId="26165"/>
    <cellStyle name="Note 2 3 4 2 7 3 3 3" xfId="26166"/>
    <cellStyle name="Note 2 3 4 2 7 3 3 4" xfId="26167"/>
    <cellStyle name="Note 2 3 4 2 7 3 4" xfId="26168"/>
    <cellStyle name="Note 2 3 4 2 7 3 5" xfId="26169"/>
    <cellStyle name="Note 2 3 4 2 7 3 6" xfId="26170"/>
    <cellStyle name="Note 2 3 4 2 7 3 7" xfId="26171"/>
    <cellStyle name="Note 2 3 4 2 7 4" xfId="26172"/>
    <cellStyle name="Note 2 3 4 2 7 4 2" xfId="26173"/>
    <cellStyle name="Note 2 3 4 2 7 4 2 2" xfId="26174"/>
    <cellStyle name="Note 2 3 4 2 7 4 2 3" xfId="26175"/>
    <cellStyle name="Note 2 3 4 2 7 4 2 4" xfId="26176"/>
    <cellStyle name="Note 2 3 4 2 7 4 3" xfId="26177"/>
    <cellStyle name="Note 2 3 4 2 7 4 4" xfId="26178"/>
    <cellStyle name="Note 2 3 4 2 7 4 5" xfId="26179"/>
    <cellStyle name="Note 2 3 4 2 7 4 6" xfId="26180"/>
    <cellStyle name="Note 2 3 4 2 7 5" xfId="26181"/>
    <cellStyle name="Note 2 3 4 2 7 5 2" xfId="26182"/>
    <cellStyle name="Note 2 3 4 2 7 5 3" xfId="26183"/>
    <cellStyle name="Note 2 3 4 2 7 5 4" xfId="26184"/>
    <cellStyle name="Note 2 3 4 2 7 5 5" xfId="26185"/>
    <cellStyle name="Note 2 3 4 2 7 6" xfId="26186"/>
    <cellStyle name="Note 2 3 4 2 7 6 2" xfId="26187"/>
    <cellStyle name="Note 2 3 4 2 7 6 3" xfId="26188"/>
    <cellStyle name="Note 2 3 4 2 7 6 4" xfId="26189"/>
    <cellStyle name="Note 2 3 4 2 7 7" xfId="26190"/>
    <cellStyle name="Note 2 3 4 2 7 7 2" xfId="26191"/>
    <cellStyle name="Note 2 3 4 2 7 7 3" xfId="26192"/>
    <cellStyle name="Note 2 3 4 2 7 7 4" xfId="26193"/>
    <cellStyle name="Note 2 3 4 2 7 8" xfId="26194"/>
    <cellStyle name="Note 2 3 4 2 7 8 2" xfId="26195"/>
    <cellStyle name="Note 2 3 4 2 7 8 3" xfId="26196"/>
    <cellStyle name="Note 2 3 4 2 7 8 4" xfId="26197"/>
    <cellStyle name="Note 2 3 4 2 7 9" xfId="26198"/>
    <cellStyle name="Note 2 3 4 2 8" xfId="26199"/>
    <cellStyle name="Note 2 3 4 2 8 10" xfId="26200"/>
    <cellStyle name="Note 2 3 4 2 8 11" xfId="26201"/>
    <cellStyle name="Note 2 3 4 2 8 2" xfId="26202"/>
    <cellStyle name="Note 2 3 4 2 8 2 2" xfId="26203"/>
    <cellStyle name="Note 2 3 4 2 8 2 2 2" xfId="26204"/>
    <cellStyle name="Note 2 3 4 2 8 2 2 2 2" xfId="26205"/>
    <cellStyle name="Note 2 3 4 2 8 2 2 2 3" xfId="26206"/>
    <cellStyle name="Note 2 3 4 2 8 2 2 2 4" xfId="26207"/>
    <cellStyle name="Note 2 3 4 2 8 2 2 3" xfId="26208"/>
    <cellStyle name="Note 2 3 4 2 8 2 2 4" xfId="26209"/>
    <cellStyle name="Note 2 3 4 2 8 2 2 5" xfId="26210"/>
    <cellStyle name="Note 2 3 4 2 8 2 2 6" xfId="26211"/>
    <cellStyle name="Note 2 3 4 2 8 2 3" xfId="26212"/>
    <cellStyle name="Note 2 3 4 2 8 2 3 2" xfId="26213"/>
    <cellStyle name="Note 2 3 4 2 8 2 3 3" xfId="26214"/>
    <cellStyle name="Note 2 3 4 2 8 2 3 4" xfId="26215"/>
    <cellStyle name="Note 2 3 4 2 8 2 4" xfId="26216"/>
    <cellStyle name="Note 2 3 4 2 8 2 5" xfId="26217"/>
    <cellStyle name="Note 2 3 4 2 8 2 6" xfId="26218"/>
    <cellStyle name="Note 2 3 4 2 8 2 7" xfId="26219"/>
    <cellStyle name="Note 2 3 4 2 8 3" xfId="26220"/>
    <cellStyle name="Note 2 3 4 2 8 3 2" xfId="26221"/>
    <cellStyle name="Note 2 3 4 2 8 3 2 2" xfId="26222"/>
    <cellStyle name="Note 2 3 4 2 8 3 2 3" xfId="26223"/>
    <cellStyle name="Note 2 3 4 2 8 3 2 4" xfId="26224"/>
    <cellStyle name="Note 2 3 4 2 8 3 3" xfId="26225"/>
    <cellStyle name="Note 2 3 4 2 8 3 4" xfId="26226"/>
    <cellStyle name="Note 2 3 4 2 8 3 5" xfId="26227"/>
    <cellStyle name="Note 2 3 4 2 8 3 6" xfId="26228"/>
    <cellStyle name="Note 2 3 4 2 8 4" xfId="26229"/>
    <cellStyle name="Note 2 3 4 2 8 4 2" xfId="26230"/>
    <cellStyle name="Note 2 3 4 2 8 4 3" xfId="26231"/>
    <cellStyle name="Note 2 3 4 2 8 4 4" xfId="26232"/>
    <cellStyle name="Note 2 3 4 2 8 4 5" xfId="26233"/>
    <cellStyle name="Note 2 3 4 2 8 5" xfId="26234"/>
    <cellStyle name="Note 2 3 4 2 8 5 2" xfId="26235"/>
    <cellStyle name="Note 2 3 4 2 8 5 3" xfId="26236"/>
    <cellStyle name="Note 2 3 4 2 8 5 4" xfId="26237"/>
    <cellStyle name="Note 2 3 4 2 8 6" xfId="26238"/>
    <cellStyle name="Note 2 3 4 2 8 6 2" xfId="26239"/>
    <cellStyle name="Note 2 3 4 2 8 6 3" xfId="26240"/>
    <cellStyle name="Note 2 3 4 2 8 6 4" xfId="26241"/>
    <cellStyle name="Note 2 3 4 2 8 7" xfId="26242"/>
    <cellStyle name="Note 2 3 4 2 8 7 2" xfId="26243"/>
    <cellStyle name="Note 2 3 4 2 8 7 3" xfId="26244"/>
    <cellStyle name="Note 2 3 4 2 8 7 4" xfId="26245"/>
    <cellStyle name="Note 2 3 4 2 8 8" xfId="26246"/>
    <cellStyle name="Note 2 3 4 2 8 9" xfId="26247"/>
    <cellStyle name="Note 2 3 4 2 9" xfId="26248"/>
    <cellStyle name="Note 2 3 4 2 9 10" xfId="26249"/>
    <cellStyle name="Note 2 3 4 2 9 2" xfId="26250"/>
    <cellStyle name="Note 2 3 4 2 9 2 2" xfId="26251"/>
    <cellStyle name="Note 2 3 4 2 9 2 2 2" xfId="26252"/>
    <cellStyle name="Note 2 3 4 2 9 2 2 3" xfId="26253"/>
    <cellStyle name="Note 2 3 4 2 9 2 2 4" xfId="26254"/>
    <cellStyle name="Note 2 3 4 2 9 2 3" xfId="26255"/>
    <cellStyle name="Note 2 3 4 2 9 2 4" xfId="26256"/>
    <cellStyle name="Note 2 3 4 2 9 2 5" xfId="26257"/>
    <cellStyle name="Note 2 3 4 2 9 2 6" xfId="26258"/>
    <cellStyle name="Note 2 3 4 2 9 3" xfId="26259"/>
    <cellStyle name="Note 2 3 4 2 9 3 2" xfId="26260"/>
    <cellStyle name="Note 2 3 4 2 9 3 3" xfId="26261"/>
    <cellStyle name="Note 2 3 4 2 9 3 4" xfId="26262"/>
    <cellStyle name="Note 2 3 4 2 9 4" xfId="26263"/>
    <cellStyle name="Note 2 3 4 2 9 4 2" xfId="26264"/>
    <cellStyle name="Note 2 3 4 2 9 4 3" xfId="26265"/>
    <cellStyle name="Note 2 3 4 2 9 4 4" xfId="26266"/>
    <cellStyle name="Note 2 3 4 2 9 5" xfId="26267"/>
    <cellStyle name="Note 2 3 4 2 9 5 2" xfId="26268"/>
    <cellStyle name="Note 2 3 4 2 9 5 3" xfId="26269"/>
    <cellStyle name="Note 2 3 4 2 9 5 4" xfId="26270"/>
    <cellStyle name="Note 2 3 4 2 9 6" xfId="26271"/>
    <cellStyle name="Note 2 3 4 2 9 6 2" xfId="26272"/>
    <cellStyle name="Note 2 3 4 2 9 6 3" xfId="26273"/>
    <cellStyle name="Note 2 3 4 2 9 6 4" xfId="26274"/>
    <cellStyle name="Note 2 3 4 2 9 7" xfId="26275"/>
    <cellStyle name="Note 2 3 4 2 9 8" xfId="26276"/>
    <cellStyle name="Note 2 3 4 2 9 9" xfId="26277"/>
    <cellStyle name="Note 2 3 4 20" xfId="26278"/>
    <cellStyle name="Note 2 3 4 21" xfId="26279"/>
    <cellStyle name="Note 2 3 4 22" xfId="26280"/>
    <cellStyle name="Note 2 3 4 23" xfId="26281"/>
    <cellStyle name="Note 2 3 4 3" xfId="707"/>
    <cellStyle name="Note 2 3 4 3 10" xfId="26282"/>
    <cellStyle name="Note 2 3 4 3 10 2" xfId="26283"/>
    <cellStyle name="Note 2 3 4 3 10 3" xfId="26284"/>
    <cellStyle name="Note 2 3 4 3 10 4" xfId="26285"/>
    <cellStyle name="Note 2 3 4 3 11" xfId="26286"/>
    <cellStyle name="Note 2 3 4 3 11 2" xfId="26287"/>
    <cellStyle name="Note 2 3 4 3 11 3" xfId="26288"/>
    <cellStyle name="Note 2 3 4 3 11 4" xfId="26289"/>
    <cellStyle name="Note 2 3 4 3 12" xfId="26290"/>
    <cellStyle name="Note 2 3 4 3 13" xfId="26291"/>
    <cellStyle name="Note 2 3 4 3 14" xfId="26292"/>
    <cellStyle name="Note 2 3 4 3 15" xfId="26293"/>
    <cellStyle name="Note 2 3 4 3 2" xfId="26294"/>
    <cellStyle name="Note 2 3 4 3 2 10" xfId="26295"/>
    <cellStyle name="Note 2 3 4 3 2 11" xfId="26296"/>
    <cellStyle name="Note 2 3 4 3 2 12" xfId="26297"/>
    <cellStyle name="Note 2 3 4 3 2 2" xfId="26298"/>
    <cellStyle name="Note 2 3 4 3 2 2 10" xfId="26299"/>
    <cellStyle name="Note 2 3 4 3 2 2 11" xfId="26300"/>
    <cellStyle name="Note 2 3 4 3 2 2 2" xfId="26301"/>
    <cellStyle name="Note 2 3 4 3 2 2 2 2" xfId="26302"/>
    <cellStyle name="Note 2 3 4 3 2 2 2 2 2" xfId="26303"/>
    <cellStyle name="Note 2 3 4 3 2 2 2 2 2 2" xfId="26304"/>
    <cellStyle name="Note 2 3 4 3 2 2 2 2 2 3" xfId="26305"/>
    <cellStyle name="Note 2 3 4 3 2 2 2 2 2 4" xfId="26306"/>
    <cellStyle name="Note 2 3 4 3 2 2 2 2 3" xfId="26307"/>
    <cellStyle name="Note 2 3 4 3 2 2 2 2 4" xfId="26308"/>
    <cellStyle name="Note 2 3 4 3 2 2 2 2 5" xfId="26309"/>
    <cellStyle name="Note 2 3 4 3 2 2 2 2 6" xfId="26310"/>
    <cellStyle name="Note 2 3 4 3 2 2 2 3" xfId="26311"/>
    <cellStyle name="Note 2 3 4 3 2 2 2 3 2" xfId="26312"/>
    <cellStyle name="Note 2 3 4 3 2 2 2 3 3" xfId="26313"/>
    <cellStyle name="Note 2 3 4 3 2 2 2 3 4" xfId="26314"/>
    <cellStyle name="Note 2 3 4 3 2 2 2 4" xfId="26315"/>
    <cellStyle name="Note 2 3 4 3 2 2 2 5" xfId="26316"/>
    <cellStyle name="Note 2 3 4 3 2 2 2 6" xfId="26317"/>
    <cellStyle name="Note 2 3 4 3 2 2 2 7" xfId="26318"/>
    <cellStyle name="Note 2 3 4 3 2 2 3" xfId="26319"/>
    <cellStyle name="Note 2 3 4 3 2 2 3 2" xfId="26320"/>
    <cellStyle name="Note 2 3 4 3 2 2 3 2 2" xfId="26321"/>
    <cellStyle name="Note 2 3 4 3 2 2 3 2 3" xfId="26322"/>
    <cellStyle name="Note 2 3 4 3 2 2 3 2 4" xfId="26323"/>
    <cellStyle name="Note 2 3 4 3 2 2 3 3" xfId="26324"/>
    <cellStyle name="Note 2 3 4 3 2 2 3 4" xfId="26325"/>
    <cellStyle name="Note 2 3 4 3 2 2 3 5" xfId="26326"/>
    <cellStyle name="Note 2 3 4 3 2 2 3 6" xfId="26327"/>
    <cellStyle name="Note 2 3 4 3 2 2 4" xfId="26328"/>
    <cellStyle name="Note 2 3 4 3 2 2 4 2" xfId="26329"/>
    <cellStyle name="Note 2 3 4 3 2 2 4 3" xfId="26330"/>
    <cellStyle name="Note 2 3 4 3 2 2 4 4" xfId="26331"/>
    <cellStyle name="Note 2 3 4 3 2 2 4 5" xfId="26332"/>
    <cellStyle name="Note 2 3 4 3 2 2 5" xfId="26333"/>
    <cellStyle name="Note 2 3 4 3 2 2 5 2" xfId="26334"/>
    <cellStyle name="Note 2 3 4 3 2 2 5 3" xfId="26335"/>
    <cellStyle name="Note 2 3 4 3 2 2 5 4" xfId="26336"/>
    <cellStyle name="Note 2 3 4 3 2 2 6" xfId="26337"/>
    <cellStyle name="Note 2 3 4 3 2 2 6 2" xfId="26338"/>
    <cellStyle name="Note 2 3 4 3 2 2 6 3" xfId="26339"/>
    <cellStyle name="Note 2 3 4 3 2 2 6 4" xfId="26340"/>
    <cellStyle name="Note 2 3 4 3 2 2 7" xfId="26341"/>
    <cellStyle name="Note 2 3 4 3 2 2 7 2" xfId="26342"/>
    <cellStyle name="Note 2 3 4 3 2 2 7 3" xfId="26343"/>
    <cellStyle name="Note 2 3 4 3 2 2 7 4" xfId="26344"/>
    <cellStyle name="Note 2 3 4 3 2 2 8" xfId="26345"/>
    <cellStyle name="Note 2 3 4 3 2 2 9" xfId="26346"/>
    <cellStyle name="Note 2 3 4 3 2 3" xfId="26347"/>
    <cellStyle name="Note 2 3 4 3 2 3 2" xfId="26348"/>
    <cellStyle name="Note 2 3 4 3 2 3 2 2" xfId="26349"/>
    <cellStyle name="Note 2 3 4 3 2 3 2 2 2" xfId="26350"/>
    <cellStyle name="Note 2 3 4 3 2 3 2 2 3" xfId="26351"/>
    <cellStyle name="Note 2 3 4 3 2 3 2 2 4" xfId="26352"/>
    <cellStyle name="Note 2 3 4 3 2 3 2 3" xfId="26353"/>
    <cellStyle name="Note 2 3 4 3 2 3 2 4" xfId="26354"/>
    <cellStyle name="Note 2 3 4 3 2 3 2 5" xfId="26355"/>
    <cellStyle name="Note 2 3 4 3 2 3 2 6" xfId="26356"/>
    <cellStyle name="Note 2 3 4 3 2 3 3" xfId="26357"/>
    <cellStyle name="Note 2 3 4 3 2 3 3 2" xfId="26358"/>
    <cellStyle name="Note 2 3 4 3 2 3 3 3" xfId="26359"/>
    <cellStyle name="Note 2 3 4 3 2 3 3 4" xfId="26360"/>
    <cellStyle name="Note 2 3 4 3 2 3 4" xfId="26361"/>
    <cellStyle name="Note 2 3 4 3 2 3 5" xfId="26362"/>
    <cellStyle name="Note 2 3 4 3 2 3 6" xfId="26363"/>
    <cellStyle name="Note 2 3 4 3 2 3 7" xfId="26364"/>
    <cellStyle name="Note 2 3 4 3 2 4" xfId="26365"/>
    <cellStyle name="Note 2 3 4 3 2 4 2" xfId="26366"/>
    <cellStyle name="Note 2 3 4 3 2 4 2 2" xfId="26367"/>
    <cellStyle name="Note 2 3 4 3 2 4 2 3" xfId="26368"/>
    <cellStyle name="Note 2 3 4 3 2 4 2 4" xfId="26369"/>
    <cellStyle name="Note 2 3 4 3 2 4 3" xfId="26370"/>
    <cellStyle name="Note 2 3 4 3 2 4 4" xfId="26371"/>
    <cellStyle name="Note 2 3 4 3 2 4 5" xfId="26372"/>
    <cellStyle name="Note 2 3 4 3 2 4 6" xfId="26373"/>
    <cellStyle name="Note 2 3 4 3 2 5" xfId="26374"/>
    <cellStyle name="Note 2 3 4 3 2 5 2" xfId="26375"/>
    <cellStyle name="Note 2 3 4 3 2 5 3" xfId="26376"/>
    <cellStyle name="Note 2 3 4 3 2 5 4" xfId="26377"/>
    <cellStyle name="Note 2 3 4 3 2 5 5" xfId="26378"/>
    <cellStyle name="Note 2 3 4 3 2 6" xfId="26379"/>
    <cellStyle name="Note 2 3 4 3 2 6 2" xfId="26380"/>
    <cellStyle name="Note 2 3 4 3 2 6 3" xfId="26381"/>
    <cellStyle name="Note 2 3 4 3 2 6 4" xfId="26382"/>
    <cellStyle name="Note 2 3 4 3 2 7" xfId="26383"/>
    <cellStyle name="Note 2 3 4 3 2 7 2" xfId="26384"/>
    <cellStyle name="Note 2 3 4 3 2 7 3" xfId="26385"/>
    <cellStyle name="Note 2 3 4 3 2 7 4" xfId="26386"/>
    <cellStyle name="Note 2 3 4 3 2 8" xfId="26387"/>
    <cellStyle name="Note 2 3 4 3 2 8 2" xfId="26388"/>
    <cellStyle name="Note 2 3 4 3 2 8 3" xfId="26389"/>
    <cellStyle name="Note 2 3 4 3 2 8 4" xfId="26390"/>
    <cellStyle name="Note 2 3 4 3 2 9" xfId="26391"/>
    <cellStyle name="Note 2 3 4 3 3" xfId="26392"/>
    <cellStyle name="Note 2 3 4 3 3 10" xfId="26393"/>
    <cellStyle name="Note 2 3 4 3 3 11" xfId="26394"/>
    <cellStyle name="Note 2 3 4 3 3 2" xfId="26395"/>
    <cellStyle name="Note 2 3 4 3 3 2 2" xfId="26396"/>
    <cellStyle name="Note 2 3 4 3 3 2 2 2" xfId="26397"/>
    <cellStyle name="Note 2 3 4 3 3 2 2 2 2" xfId="26398"/>
    <cellStyle name="Note 2 3 4 3 3 2 2 2 3" xfId="26399"/>
    <cellStyle name="Note 2 3 4 3 3 2 2 2 4" xfId="26400"/>
    <cellStyle name="Note 2 3 4 3 3 2 2 3" xfId="26401"/>
    <cellStyle name="Note 2 3 4 3 3 2 2 4" xfId="26402"/>
    <cellStyle name="Note 2 3 4 3 3 2 2 5" xfId="26403"/>
    <cellStyle name="Note 2 3 4 3 3 2 2 6" xfId="26404"/>
    <cellStyle name="Note 2 3 4 3 3 2 3" xfId="26405"/>
    <cellStyle name="Note 2 3 4 3 3 2 3 2" xfId="26406"/>
    <cellStyle name="Note 2 3 4 3 3 2 3 3" xfId="26407"/>
    <cellStyle name="Note 2 3 4 3 3 2 3 4" xfId="26408"/>
    <cellStyle name="Note 2 3 4 3 3 2 4" xfId="26409"/>
    <cellStyle name="Note 2 3 4 3 3 2 5" xfId="26410"/>
    <cellStyle name="Note 2 3 4 3 3 2 6" xfId="26411"/>
    <cellStyle name="Note 2 3 4 3 3 2 7" xfId="26412"/>
    <cellStyle name="Note 2 3 4 3 3 3" xfId="26413"/>
    <cellStyle name="Note 2 3 4 3 3 3 2" xfId="26414"/>
    <cellStyle name="Note 2 3 4 3 3 3 2 2" xfId="26415"/>
    <cellStyle name="Note 2 3 4 3 3 3 2 3" xfId="26416"/>
    <cellStyle name="Note 2 3 4 3 3 3 2 4" xfId="26417"/>
    <cellStyle name="Note 2 3 4 3 3 3 3" xfId="26418"/>
    <cellStyle name="Note 2 3 4 3 3 3 4" xfId="26419"/>
    <cellStyle name="Note 2 3 4 3 3 3 5" xfId="26420"/>
    <cellStyle name="Note 2 3 4 3 3 3 6" xfId="26421"/>
    <cellStyle name="Note 2 3 4 3 3 4" xfId="26422"/>
    <cellStyle name="Note 2 3 4 3 3 4 2" xfId="26423"/>
    <cellStyle name="Note 2 3 4 3 3 4 3" xfId="26424"/>
    <cellStyle name="Note 2 3 4 3 3 4 4" xfId="26425"/>
    <cellStyle name="Note 2 3 4 3 3 4 5" xfId="26426"/>
    <cellStyle name="Note 2 3 4 3 3 5" xfId="26427"/>
    <cellStyle name="Note 2 3 4 3 3 5 2" xfId="26428"/>
    <cellStyle name="Note 2 3 4 3 3 5 3" xfId="26429"/>
    <cellStyle name="Note 2 3 4 3 3 5 4" xfId="26430"/>
    <cellStyle name="Note 2 3 4 3 3 6" xfId="26431"/>
    <cellStyle name="Note 2 3 4 3 3 6 2" xfId="26432"/>
    <cellStyle name="Note 2 3 4 3 3 6 3" xfId="26433"/>
    <cellStyle name="Note 2 3 4 3 3 6 4" xfId="26434"/>
    <cellStyle name="Note 2 3 4 3 3 7" xfId="26435"/>
    <cellStyle name="Note 2 3 4 3 3 7 2" xfId="26436"/>
    <cellStyle name="Note 2 3 4 3 3 7 3" xfId="26437"/>
    <cellStyle name="Note 2 3 4 3 3 7 4" xfId="26438"/>
    <cellStyle name="Note 2 3 4 3 3 8" xfId="26439"/>
    <cellStyle name="Note 2 3 4 3 3 9" xfId="26440"/>
    <cellStyle name="Note 2 3 4 3 4" xfId="26441"/>
    <cellStyle name="Note 2 3 4 3 4 2" xfId="26442"/>
    <cellStyle name="Note 2 3 4 3 4 2 2" xfId="26443"/>
    <cellStyle name="Note 2 3 4 3 4 2 2 2" xfId="26444"/>
    <cellStyle name="Note 2 3 4 3 4 2 2 3" xfId="26445"/>
    <cellStyle name="Note 2 3 4 3 4 2 2 4" xfId="26446"/>
    <cellStyle name="Note 2 3 4 3 4 2 3" xfId="26447"/>
    <cellStyle name="Note 2 3 4 3 4 2 4" xfId="26448"/>
    <cellStyle name="Note 2 3 4 3 4 2 5" xfId="26449"/>
    <cellStyle name="Note 2 3 4 3 4 2 6" xfId="26450"/>
    <cellStyle name="Note 2 3 4 3 4 3" xfId="26451"/>
    <cellStyle name="Note 2 3 4 3 4 3 2" xfId="26452"/>
    <cellStyle name="Note 2 3 4 3 4 3 3" xfId="26453"/>
    <cellStyle name="Note 2 3 4 3 4 3 4" xfId="26454"/>
    <cellStyle name="Note 2 3 4 3 4 4" xfId="26455"/>
    <cellStyle name="Note 2 3 4 3 4 5" xfId="26456"/>
    <cellStyle name="Note 2 3 4 3 4 6" xfId="26457"/>
    <cellStyle name="Note 2 3 4 3 4 7" xfId="26458"/>
    <cellStyle name="Note 2 3 4 3 5" xfId="26459"/>
    <cellStyle name="Note 2 3 4 3 5 2" xfId="26460"/>
    <cellStyle name="Note 2 3 4 3 5 2 2" xfId="26461"/>
    <cellStyle name="Note 2 3 4 3 5 2 3" xfId="26462"/>
    <cellStyle name="Note 2 3 4 3 5 2 4" xfId="26463"/>
    <cellStyle name="Note 2 3 4 3 5 3" xfId="26464"/>
    <cellStyle name="Note 2 3 4 3 5 3 2" xfId="26465"/>
    <cellStyle name="Note 2 3 4 3 5 3 3" xfId="26466"/>
    <cellStyle name="Note 2 3 4 3 5 3 4" xfId="26467"/>
    <cellStyle name="Note 2 3 4 3 5 4" xfId="26468"/>
    <cellStyle name="Note 2 3 4 3 5 5" xfId="26469"/>
    <cellStyle name="Note 2 3 4 3 5 6" xfId="26470"/>
    <cellStyle name="Note 2 3 4 3 5 7" xfId="26471"/>
    <cellStyle name="Note 2 3 4 3 6" xfId="26472"/>
    <cellStyle name="Note 2 3 4 3 6 2" xfId="26473"/>
    <cellStyle name="Note 2 3 4 3 6 2 2" xfId="26474"/>
    <cellStyle name="Note 2 3 4 3 6 2 3" xfId="26475"/>
    <cellStyle name="Note 2 3 4 3 6 2 4" xfId="26476"/>
    <cellStyle name="Note 2 3 4 3 6 3" xfId="26477"/>
    <cellStyle name="Note 2 3 4 3 6 3 2" xfId="26478"/>
    <cellStyle name="Note 2 3 4 3 6 3 3" xfId="26479"/>
    <cellStyle name="Note 2 3 4 3 6 3 4" xfId="26480"/>
    <cellStyle name="Note 2 3 4 3 6 4" xfId="26481"/>
    <cellStyle name="Note 2 3 4 3 6 5" xfId="26482"/>
    <cellStyle name="Note 2 3 4 3 6 6" xfId="26483"/>
    <cellStyle name="Note 2 3 4 3 6 7" xfId="26484"/>
    <cellStyle name="Note 2 3 4 3 7" xfId="26485"/>
    <cellStyle name="Note 2 3 4 3 7 2" xfId="26486"/>
    <cellStyle name="Note 2 3 4 3 7 2 2" xfId="26487"/>
    <cellStyle name="Note 2 3 4 3 7 2 3" xfId="26488"/>
    <cellStyle name="Note 2 3 4 3 7 2 4" xfId="26489"/>
    <cellStyle name="Note 2 3 4 3 7 3" xfId="26490"/>
    <cellStyle name="Note 2 3 4 3 7 3 2" xfId="26491"/>
    <cellStyle name="Note 2 3 4 3 7 3 3" xfId="26492"/>
    <cellStyle name="Note 2 3 4 3 7 3 4" xfId="26493"/>
    <cellStyle name="Note 2 3 4 3 7 4" xfId="26494"/>
    <cellStyle name="Note 2 3 4 3 7 5" xfId="26495"/>
    <cellStyle name="Note 2 3 4 3 7 6" xfId="26496"/>
    <cellStyle name="Note 2 3 4 3 7 7" xfId="26497"/>
    <cellStyle name="Note 2 3 4 3 8" xfId="26498"/>
    <cellStyle name="Note 2 3 4 3 8 2" xfId="26499"/>
    <cellStyle name="Note 2 3 4 3 8 2 2" xfId="26500"/>
    <cellStyle name="Note 2 3 4 3 8 2 3" xfId="26501"/>
    <cellStyle name="Note 2 3 4 3 8 2 4" xfId="26502"/>
    <cellStyle name="Note 2 3 4 3 8 3" xfId="26503"/>
    <cellStyle name="Note 2 3 4 3 8 4" xfId="26504"/>
    <cellStyle name="Note 2 3 4 3 8 5" xfId="26505"/>
    <cellStyle name="Note 2 3 4 3 8 6" xfId="26506"/>
    <cellStyle name="Note 2 3 4 3 9" xfId="26507"/>
    <cellStyle name="Note 2 3 4 3 9 2" xfId="26508"/>
    <cellStyle name="Note 2 3 4 3 9 3" xfId="26509"/>
    <cellStyle name="Note 2 3 4 3 9 4" xfId="26510"/>
    <cellStyle name="Note 2 3 4 3 9 5" xfId="26511"/>
    <cellStyle name="Note 2 3 4 4" xfId="26512"/>
    <cellStyle name="Note 2 3 4 4 10" xfId="26513"/>
    <cellStyle name="Note 2 3 4 4 10 2" xfId="26514"/>
    <cellStyle name="Note 2 3 4 4 10 3" xfId="26515"/>
    <cellStyle name="Note 2 3 4 4 10 4" xfId="26516"/>
    <cellStyle name="Note 2 3 4 4 11" xfId="26517"/>
    <cellStyle name="Note 2 3 4 4 11 2" xfId="26518"/>
    <cellStyle name="Note 2 3 4 4 11 3" xfId="26519"/>
    <cellStyle name="Note 2 3 4 4 11 4" xfId="26520"/>
    <cellStyle name="Note 2 3 4 4 12" xfId="26521"/>
    <cellStyle name="Note 2 3 4 4 13" xfId="26522"/>
    <cellStyle name="Note 2 3 4 4 14" xfId="26523"/>
    <cellStyle name="Note 2 3 4 4 15" xfId="26524"/>
    <cellStyle name="Note 2 3 4 4 2" xfId="26525"/>
    <cellStyle name="Note 2 3 4 4 2 10" xfId="26526"/>
    <cellStyle name="Note 2 3 4 4 2 11" xfId="26527"/>
    <cellStyle name="Note 2 3 4 4 2 12" xfId="26528"/>
    <cellStyle name="Note 2 3 4 4 2 2" xfId="26529"/>
    <cellStyle name="Note 2 3 4 4 2 2 10" xfId="26530"/>
    <cellStyle name="Note 2 3 4 4 2 2 11" xfId="26531"/>
    <cellStyle name="Note 2 3 4 4 2 2 2" xfId="26532"/>
    <cellStyle name="Note 2 3 4 4 2 2 2 2" xfId="26533"/>
    <cellStyle name="Note 2 3 4 4 2 2 2 2 2" xfId="26534"/>
    <cellStyle name="Note 2 3 4 4 2 2 2 2 2 2" xfId="26535"/>
    <cellStyle name="Note 2 3 4 4 2 2 2 2 2 3" xfId="26536"/>
    <cellStyle name="Note 2 3 4 4 2 2 2 2 2 4" xfId="26537"/>
    <cellStyle name="Note 2 3 4 4 2 2 2 2 3" xfId="26538"/>
    <cellStyle name="Note 2 3 4 4 2 2 2 2 4" xfId="26539"/>
    <cellStyle name="Note 2 3 4 4 2 2 2 2 5" xfId="26540"/>
    <cellStyle name="Note 2 3 4 4 2 2 2 2 6" xfId="26541"/>
    <cellStyle name="Note 2 3 4 4 2 2 2 3" xfId="26542"/>
    <cellStyle name="Note 2 3 4 4 2 2 2 3 2" xfId="26543"/>
    <cellStyle name="Note 2 3 4 4 2 2 2 3 3" xfId="26544"/>
    <cellStyle name="Note 2 3 4 4 2 2 2 3 4" xfId="26545"/>
    <cellStyle name="Note 2 3 4 4 2 2 2 4" xfId="26546"/>
    <cellStyle name="Note 2 3 4 4 2 2 2 5" xfId="26547"/>
    <cellStyle name="Note 2 3 4 4 2 2 2 6" xfId="26548"/>
    <cellStyle name="Note 2 3 4 4 2 2 2 7" xfId="26549"/>
    <cellStyle name="Note 2 3 4 4 2 2 3" xfId="26550"/>
    <cellStyle name="Note 2 3 4 4 2 2 3 2" xfId="26551"/>
    <cellStyle name="Note 2 3 4 4 2 2 3 2 2" xfId="26552"/>
    <cellStyle name="Note 2 3 4 4 2 2 3 2 3" xfId="26553"/>
    <cellStyle name="Note 2 3 4 4 2 2 3 2 4" xfId="26554"/>
    <cellStyle name="Note 2 3 4 4 2 2 3 3" xfId="26555"/>
    <cellStyle name="Note 2 3 4 4 2 2 3 4" xfId="26556"/>
    <cellStyle name="Note 2 3 4 4 2 2 3 5" xfId="26557"/>
    <cellStyle name="Note 2 3 4 4 2 2 3 6" xfId="26558"/>
    <cellStyle name="Note 2 3 4 4 2 2 4" xfId="26559"/>
    <cellStyle name="Note 2 3 4 4 2 2 4 2" xfId="26560"/>
    <cellStyle name="Note 2 3 4 4 2 2 4 3" xfId="26561"/>
    <cellStyle name="Note 2 3 4 4 2 2 4 4" xfId="26562"/>
    <cellStyle name="Note 2 3 4 4 2 2 4 5" xfId="26563"/>
    <cellStyle name="Note 2 3 4 4 2 2 5" xfId="26564"/>
    <cellStyle name="Note 2 3 4 4 2 2 5 2" xfId="26565"/>
    <cellStyle name="Note 2 3 4 4 2 2 5 3" xfId="26566"/>
    <cellStyle name="Note 2 3 4 4 2 2 5 4" xfId="26567"/>
    <cellStyle name="Note 2 3 4 4 2 2 6" xfId="26568"/>
    <cellStyle name="Note 2 3 4 4 2 2 6 2" xfId="26569"/>
    <cellStyle name="Note 2 3 4 4 2 2 6 3" xfId="26570"/>
    <cellStyle name="Note 2 3 4 4 2 2 6 4" xfId="26571"/>
    <cellStyle name="Note 2 3 4 4 2 2 7" xfId="26572"/>
    <cellStyle name="Note 2 3 4 4 2 2 7 2" xfId="26573"/>
    <cellStyle name="Note 2 3 4 4 2 2 7 3" xfId="26574"/>
    <cellStyle name="Note 2 3 4 4 2 2 7 4" xfId="26575"/>
    <cellStyle name="Note 2 3 4 4 2 2 8" xfId="26576"/>
    <cellStyle name="Note 2 3 4 4 2 2 9" xfId="26577"/>
    <cellStyle name="Note 2 3 4 4 2 3" xfId="26578"/>
    <cellStyle name="Note 2 3 4 4 2 3 2" xfId="26579"/>
    <cellStyle name="Note 2 3 4 4 2 3 2 2" xfId="26580"/>
    <cellStyle name="Note 2 3 4 4 2 3 2 2 2" xfId="26581"/>
    <cellStyle name="Note 2 3 4 4 2 3 2 2 3" xfId="26582"/>
    <cellStyle name="Note 2 3 4 4 2 3 2 2 4" xfId="26583"/>
    <cellStyle name="Note 2 3 4 4 2 3 2 3" xfId="26584"/>
    <cellStyle name="Note 2 3 4 4 2 3 2 4" xfId="26585"/>
    <cellStyle name="Note 2 3 4 4 2 3 2 5" xfId="26586"/>
    <cellStyle name="Note 2 3 4 4 2 3 2 6" xfId="26587"/>
    <cellStyle name="Note 2 3 4 4 2 3 3" xfId="26588"/>
    <cellStyle name="Note 2 3 4 4 2 3 3 2" xfId="26589"/>
    <cellStyle name="Note 2 3 4 4 2 3 3 3" xfId="26590"/>
    <cellStyle name="Note 2 3 4 4 2 3 3 4" xfId="26591"/>
    <cellStyle name="Note 2 3 4 4 2 3 4" xfId="26592"/>
    <cellStyle name="Note 2 3 4 4 2 3 5" xfId="26593"/>
    <cellStyle name="Note 2 3 4 4 2 3 6" xfId="26594"/>
    <cellStyle name="Note 2 3 4 4 2 3 7" xfId="26595"/>
    <cellStyle name="Note 2 3 4 4 2 4" xfId="26596"/>
    <cellStyle name="Note 2 3 4 4 2 4 2" xfId="26597"/>
    <cellStyle name="Note 2 3 4 4 2 4 2 2" xfId="26598"/>
    <cellStyle name="Note 2 3 4 4 2 4 2 3" xfId="26599"/>
    <cellStyle name="Note 2 3 4 4 2 4 2 4" xfId="26600"/>
    <cellStyle name="Note 2 3 4 4 2 4 3" xfId="26601"/>
    <cellStyle name="Note 2 3 4 4 2 4 4" xfId="26602"/>
    <cellStyle name="Note 2 3 4 4 2 4 5" xfId="26603"/>
    <cellStyle name="Note 2 3 4 4 2 4 6" xfId="26604"/>
    <cellStyle name="Note 2 3 4 4 2 5" xfId="26605"/>
    <cellStyle name="Note 2 3 4 4 2 5 2" xfId="26606"/>
    <cellStyle name="Note 2 3 4 4 2 5 3" xfId="26607"/>
    <cellStyle name="Note 2 3 4 4 2 5 4" xfId="26608"/>
    <cellStyle name="Note 2 3 4 4 2 5 5" xfId="26609"/>
    <cellStyle name="Note 2 3 4 4 2 6" xfId="26610"/>
    <cellStyle name="Note 2 3 4 4 2 6 2" xfId="26611"/>
    <cellStyle name="Note 2 3 4 4 2 6 3" xfId="26612"/>
    <cellStyle name="Note 2 3 4 4 2 6 4" xfId="26613"/>
    <cellStyle name="Note 2 3 4 4 2 7" xfId="26614"/>
    <cellStyle name="Note 2 3 4 4 2 7 2" xfId="26615"/>
    <cellStyle name="Note 2 3 4 4 2 7 3" xfId="26616"/>
    <cellStyle name="Note 2 3 4 4 2 7 4" xfId="26617"/>
    <cellStyle name="Note 2 3 4 4 2 8" xfId="26618"/>
    <cellStyle name="Note 2 3 4 4 2 8 2" xfId="26619"/>
    <cellStyle name="Note 2 3 4 4 2 8 3" xfId="26620"/>
    <cellStyle name="Note 2 3 4 4 2 8 4" xfId="26621"/>
    <cellStyle name="Note 2 3 4 4 2 9" xfId="26622"/>
    <cellStyle name="Note 2 3 4 4 3" xfId="26623"/>
    <cellStyle name="Note 2 3 4 4 3 10" xfId="26624"/>
    <cellStyle name="Note 2 3 4 4 3 11" xfId="26625"/>
    <cellStyle name="Note 2 3 4 4 3 2" xfId="26626"/>
    <cellStyle name="Note 2 3 4 4 3 2 2" xfId="26627"/>
    <cellStyle name="Note 2 3 4 4 3 2 2 2" xfId="26628"/>
    <cellStyle name="Note 2 3 4 4 3 2 2 2 2" xfId="26629"/>
    <cellStyle name="Note 2 3 4 4 3 2 2 2 3" xfId="26630"/>
    <cellStyle name="Note 2 3 4 4 3 2 2 2 4" xfId="26631"/>
    <cellStyle name="Note 2 3 4 4 3 2 2 3" xfId="26632"/>
    <cellStyle name="Note 2 3 4 4 3 2 2 4" xfId="26633"/>
    <cellStyle name="Note 2 3 4 4 3 2 2 5" xfId="26634"/>
    <cellStyle name="Note 2 3 4 4 3 2 2 6" xfId="26635"/>
    <cellStyle name="Note 2 3 4 4 3 2 3" xfId="26636"/>
    <cellStyle name="Note 2 3 4 4 3 2 3 2" xfId="26637"/>
    <cellStyle name="Note 2 3 4 4 3 2 3 3" xfId="26638"/>
    <cellStyle name="Note 2 3 4 4 3 2 3 4" xfId="26639"/>
    <cellStyle name="Note 2 3 4 4 3 2 4" xfId="26640"/>
    <cellStyle name="Note 2 3 4 4 3 2 5" xfId="26641"/>
    <cellStyle name="Note 2 3 4 4 3 2 6" xfId="26642"/>
    <cellStyle name="Note 2 3 4 4 3 2 7" xfId="26643"/>
    <cellStyle name="Note 2 3 4 4 3 3" xfId="26644"/>
    <cellStyle name="Note 2 3 4 4 3 3 2" xfId="26645"/>
    <cellStyle name="Note 2 3 4 4 3 3 2 2" xfId="26646"/>
    <cellStyle name="Note 2 3 4 4 3 3 2 3" xfId="26647"/>
    <cellStyle name="Note 2 3 4 4 3 3 2 4" xfId="26648"/>
    <cellStyle name="Note 2 3 4 4 3 3 3" xfId="26649"/>
    <cellStyle name="Note 2 3 4 4 3 3 4" xfId="26650"/>
    <cellStyle name="Note 2 3 4 4 3 3 5" xfId="26651"/>
    <cellStyle name="Note 2 3 4 4 3 3 6" xfId="26652"/>
    <cellStyle name="Note 2 3 4 4 3 4" xfId="26653"/>
    <cellStyle name="Note 2 3 4 4 3 4 2" xfId="26654"/>
    <cellStyle name="Note 2 3 4 4 3 4 3" xfId="26655"/>
    <cellStyle name="Note 2 3 4 4 3 4 4" xfId="26656"/>
    <cellStyle name="Note 2 3 4 4 3 4 5" xfId="26657"/>
    <cellStyle name="Note 2 3 4 4 3 5" xfId="26658"/>
    <cellStyle name="Note 2 3 4 4 3 5 2" xfId="26659"/>
    <cellStyle name="Note 2 3 4 4 3 5 3" xfId="26660"/>
    <cellStyle name="Note 2 3 4 4 3 5 4" xfId="26661"/>
    <cellStyle name="Note 2 3 4 4 3 6" xfId="26662"/>
    <cellStyle name="Note 2 3 4 4 3 6 2" xfId="26663"/>
    <cellStyle name="Note 2 3 4 4 3 6 3" xfId="26664"/>
    <cellStyle name="Note 2 3 4 4 3 6 4" xfId="26665"/>
    <cellStyle name="Note 2 3 4 4 3 7" xfId="26666"/>
    <cellStyle name="Note 2 3 4 4 3 7 2" xfId="26667"/>
    <cellStyle name="Note 2 3 4 4 3 7 3" xfId="26668"/>
    <cellStyle name="Note 2 3 4 4 3 7 4" xfId="26669"/>
    <cellStyle name="Note 2 3 4 4 3 8" xfId="26670"/>
    <cellStyle name="Note 2 3 4 4 3 9" xfId="26671"/>
    <cellStyle name="Note 2 3 4 4 4" xfId="26672"/>
    <cellStyle name="Note 2 3 4 4 4 2" xfId="26673"/>
    <cellStyle name="Note 2 3 4 4 4 2 2" xfId="26674"/>
    <cellStyle name="Note 2 3 4 4 4 2 2 2" xfId="26675"/>
    <cellStyle name="Note 2 3 4 4 4 2 2 3" xfId="26676"/>
    <cellStyle name="Note 2 3 4 4 4 2 2 4" xfId="26677"/>
    <cellStyle name="Note 2 3 4 4 4 2 3" xfId="26678"/>
    <cellStyle name="Note 2 3 4 4 4 2 4" xfId="26679"/>
    <cellStyle name="Note 2 3 4 4 4 2 5" xfId="26680"/>
    <cellStyle name="Note 2 3 4 4 4 2 6" xfId="26681"/>
    <cellStyle name="Note 2 3 4 4 4 3" xfId="26682"/>
    <cellStyle name="Note 2 3 4 4 4 3 2" xfId="26683"/>
    <cellStyle name="Note 2 3 4 4 4 3 3" xfId="26684"/>
    <cellStyle name="Note 2 3 4 4 4 3 4" xfId="26685"/>
    <cellStyle name="Note 2 3 4 4 4 4" xfId="26686"/>
    <cellStyle name="Note 2 3 4 4 4 5" xfId="26687"/>
    <cellStyle name="Note 2 3 4 4 4 6" xfId="26688"/>
    <cellStyle name="Note 2 3 4 4 4 7" xfId="26689"/>
    <cellStyle name="Note 2 3 4 4 5" xfId="26690"/>
    <cellStyle name="Note 2 3 4 4 5 2" xfId="26691"/>
    <cellStyle name="Note 2 3 4 4 5 2 2" xfId="26692"/>
    <cellStyle name="Note 2 3 4 4 5 2 3" xfId="26693"/>
    <cellStyle name="Note 2 3 4 4 5 2 4" xfId="26694"/>
    <cellStyle name="Note 2 3 4 4 5 3" xfId="26695"/>
    <cellStyle name="Note 2 3 4 4 5 3 2" xfId="26696"/>
    <cellStyle name="Note 2 3 4 4 5 3 3" xfId="26697"/>
    <cellStyle name="Note 2 3 4 4 5 3 4" xfId="26698"/>
    <cellStyle name="Note 2 3 4 4 5 4" xfId="26699"/>
    <cellStyle name="Note 2 3 4 4 5 5" xfId="26700"/>
    <cellStyle name="Note 2 3 4 4 5 6" xfId="26701"/>
    <cellStyle name="Note 2 3 4 4 5 7" xfId="26702"/>
    <cellStyle name="Note 2 3 4 4 6" xfId="26703"/>
    <cellStyle name="Note 2 3 4 4 6 2" xfId="26704"/>
    <cellStyle name="Note 2 3 4 4 6 2 2" xfId="26705"/>
    <cellStyle name="Note 2 3 4 4 6 2 3" xfId="26706"/>
    <cellStyle name="Note 2 3 4 4 6 2 4" xfId="26707"/>
    <cellStyle name="Note 2 3 4 4 6 3" xfId="26708"/>
    <cellStyle name="Note 2 3 4 4 6 3 2" xfId="26709"/>
    <cellStyle name="Note 2 3 4 4 6 3 3" xfId="26710"/>
    <cellStyle name="Note 2 3 4 4 6 3 4" xfId="26711"/>
    <cellStyle name="Note 2 3 4 4 6 4" xfId="26712"/>
    <cellStyle name="Note 2 3 4 4 6 5" xfId="26713"/>
    <cellStyle name="Note 2 3 4 4 6 6" xfId="26714"/>
    <cellStyle name="Note 2 3 4 4 6 7" xfId="26715"/>
    <cellStyle name="Note 2 3 4 4 7" xfId="26716"/>
    <cellStyle name="Note 2 3 4 4 7 2" xfId="26717"/>
    <cellStyle name="Note 2 3 4 4 7 2 2" xfId="26718"/>
    <cellStyle name="Note 2 3 4 4 7 2 3" xfId="26719"/>
    <cellStyle name="Note 2 3 4 4 7 2 4" xfId="26720"/>
    <cellStyle name="Note 2 3 4 4 7 3" xfId="26721"/>
    <cellStyle name="Note 2 3 4 4 7 3 2" xfId="26722"/>
    <cellStyle name="Note 2 3 4 4 7 3 3" xfId="26723"/>
    <cellStyle name="Note 2 3 4 4 7 3 4" xfId="26724"/>
    <cellStyle name="Note 2 3 4 4 7 4" xfId="26725"/>
    <cellStyle name="Note 2 3 4 4 7 5" xfId="26726"/>
    <cellStyle name="Note 2 3 4 4 7 6" xfId="26727"/>
    <cellStyle name="Note 2 3 4 4 7 7" xfId="26728"/>
    <cellStyle name="Note 2 3 4 4 8" xfId="26729"/>
    <cellStyle name="Note 2 3 4 4 8 2" xfId="26730"/>
    <cellStyle name="Note 2 3 4 4 8 2 2" xfId="26731"/>
    <cellStyle name="Note 2 3 4 4 8 2 3" xfId="26732"/>
    <cellStyle name="Note 2 3 4 4 8 2 4" xfId="26733"/>
    <cellStyle name="Note 2 3 4 4 8 3" xfId="26734"/>
    <cellStyle name="Note 2 3 4 4 8 4" xfId="26735"/>
    <cellStyle name="Note 2 3 4 4 8 5" xfId="26736"/>
    <cellStyle name="Note 2 3 4 4 8 6" xfId="26737"/>
    <cellStyle name="Note 2 3 4 4 9" xfId="26738"/>
    <cellStyle name="Note 2 3 4 4 9 2" xfId="26739"/>
    <cellStyle name="Note 2 3 4 4 9 3" xfId="26740"/>
    <cellStyle name="Note 2 3 4 4 9 4" xfId="26741"/>
    <cellStyle name="Note 2 3 4 4 9 5" xfId="26742"/>
    <cellStyle name="Note 2 3 4 5" xfId="26743"/>
    <cellStyle name="Note 2 3 4 5 10" xfId="26744"/>
    <cellStyle name="Note 2 3 4 5 10 2" xfId="26745"/>
    <cellStyle name="Note 2 3 4 5 10 3" xfId="26746"/>
    <cellStyle name="Note 2 3 4 5 10 4" xfId="26747"/>
    <cellStyle name="Note 2 3 4 5 11" xfId="26748"/>
    <cellStyle name="Note 2 3 4 5 11 2" xfId="26749"/>
    <cellStyle name="Note 2 3 4 5 11 3" xfId="26750"/>
    <cellStyle name="Note 2 3 4 5 11 4" xfId="26751"/>
    <cellStyle name="Note 2 3 4 5 12" xfId="26752"/>
    <cellStyle name="Note 2 3 4 5 12 2" xfId="26753"/>
    <cellStyle name="Note 2 3 4 5 12 3" xfId="26754"/>
    <cellStyle name="Note 2 3 4 5 12 4" xfId="26755"/>
    <cellStyle name="Note 2 3 4 5 13" xfId="26756"/>
    <cellStyle name="Note 2 3 4 5 14" xfId="26757"/>
    <cellStyle name="Note 2 3 4 5 15" xfId="26758"/>
    <cellStyle name="Note 2 3 4 5 16" xfId="26759"/>
    <cellStyle name="Note 2 3 4 5 2" xfId="26760"/>
    <cellStyle name="Note 2 3 4 5 2 10" xfId="26761"/>
    <cellStyle name="Note 2 3 4 5 2 11" xfId="26762"/>
    <cellStyle name="Note 2 3 4 5 2 12" xfId="26763"/>
    <cellStyle name="Note 2 3 4 5 2 2" xfId="26764"/>
    <cellStyle name="Note 2 3 4 5 2 2 10" xfId="26765"/>
    <cellStyle name="Note 2 3 4 5 2 2 11" xfId="26766"/>
    <cellStyle name="Note 2 3 4 5 2 2 2" xfId="26767"/>
    <cellStyle name="Note 2 3 4 5 2 2 2 2" xfId="26768"/>
    <cellStyle name="Note 2 3 4 5 2 2 2 2 2" xfId="26769"/>
    <cellStyle name="Note 2 3 4 5 2 2 2 2 2 2" xfId="26770"/>
    <cellStyle name="Note 2 3 4 5 2 2 2 2 2 3" xfId="26771"/>
    <cellStyle name="Note 2 3 4 5 2 2 2 2 2 4" xfId="26772"/>
    <cellStyle name="Note 2 3 4 5 2 2 2 2 3" xfId="26773"/>
    <cellStyle name="Note 2 3 4 5 2 2 2 2 4" xfId="26774"/>
    <cellStyle name="Note 2 3 4 5 2 2 2 2 5" xfId="26775"/>
    <cellStyle name="Note 2 3 4 5 2 2 2 2 6" xfId="26776"/>
    <cellStyle name="Note 2 3 4 5 2 2 2 3" xfId="26777"/>
    <cellStyle name="Note 2 3 4 5 2 2 2 3 2" xfId="26778"/>
    <cellStyle name="Note 2 3 4 5 2 2 2 3 3" xfId="26779"/>
    <cellStyle name="Note 2 3 4 5 2 2 2 3 4" xfId="26780"/>
    <cellStyle name="Note 2 3 4 5 2 2 2 4" xfId="26781"/>
    <cellStyle name="Note 2 3 4 5 2 2 2 5" xfId="26782"/>
    <cellStyle name="Note 2 3 4 5 2 2 2 6" xfId="26783"/>
    <cellStyle name="Note 2 3 4 5 2 2 2 7" xfId="26784"/>
    <cellStyle name="Note 2 3 4 5 2 2 3" xfId="26785"/>
    <cellStyle name="Note 2 3 4 5 2 2 3 2" xfId="26786"/>
    <cellStyle name="Note 2 3 4 5 2 2 3 2 2" xfId="26787"/>
    <cellStyle name="Note 2 3 4 5 2 2 3 2 3" xfId="26788"/>
    <cellStyle name="Note 2 3 4 5 2 2 3 2 4" xfId="26789"/>
    <cellStyle name="Note 2 3 4 5 2 2 3 3" xfId="26790"/>
    <cellStyle name="Note 2 3 4 5 2 2 3 4" xfId="26791"/>
    <cellStyle name="Note 2 3 4 5 2 2 3 5" xfId="26792"/>
    <cellStyle name="Note 2 3 4 5 2 2 3 6" xfId="26793"/>
    <cellStyle name="Note 2 3 4 5 2 2 4" xfId="26794"/>
    <cellStyle name="Note 2 3 4 5 2 2 4 2" xfId="26795"/>
    <cellStyle name="Note 2 3 4 5 2 2 4 3" xfId="26796"/>
    <cellStyle name="Note 2 3 4 5 2 2 4 4" xfId="26797"/>
    <cellStyle name="Note 2 3 4 5 2 2 4 5" xfId="26798"/>
    <cellStyle name="Note 2 3 4 5 2 2 5" xfId="26799"/>
    <cellStyle name="Note 2 3 4 5 2 2 5 2" xfId="26800"/>
    <cellStyle name="Note 2 3 4 5 2 2 5 3" xfId="26801"/>
    <cellStyle name="Note 2 3 4 5 2 2 5 4" xfId="26802"/>
    <cellStyle name="Note 2 3 4 5 2 2 6" xfId="26803"/>
    <cellStyle name="Note 2 3 4 5 2 2 6 2" xfId="26804"/>
    <cellStyle name="Note 2 3 4 5 2 2 6 3" xfId="26805"/>
    <cellStyle name="Note 2 3 4 5 2 2 6 4" xfId="26806"/>
    <cellStyle name="Note 2 3 4 5 2 2 7" xfId="26807"/>
    <cellStyle name="Note 2 3 4 5 2 2 7 2" xfId="26808"/>
    <cellStyle name="Note 2 3 4 5 2 2 7 3" xfId="26809"/>
    <cellStyle name="Note 2 3 4 5 2 2 7 4" xfId="26810"/>
    <cellStyle name="Note 2 3 4 5 2 2 8" xfId="26811"/>
    <cellStyle name="Note 2 3 4 5 2 2 9" xfId="26812"/>
    <cellStyle name="Note 2 3 4 5 2 3" xfId="26813"/>
    <cellStyle name="Note 2 3 4 5 2 3 2" xfId="26814"/>
    <cellStyle name="Note 2 3 4 5 2 3 2 2" xfId="26815"/>
    <cellStyle name="Note 2 3 4 5 2 3 2 2 2" xfId="26816"/>
    <cellStyle name="Note 2 3 4 5 2 3 2 2 3" xfId="26817"/>
    <cellStyle name="Note 2 3 4 5 2 3 2 2 4" xfId="26818"/>
    <cellStyle name="Note 2 3 4 5 2 3 2 3" xfId="26819"/>
    <cellStyle name="Note 2 3 4 5 2 3 2 4" xfId="26820"/>
    <cellStyle name="Note 2 3 4 5 2 3 2 5" xfId="26821"/>
    <cellStyle name="Note 2 3 4 5 2 3 2 6" xfId="26822"/>
    <cellStyle name="Note 2 3 4 5 2 3 3" xfId="26823"/>
    <cellStyle name="Note 2 3 4 5 2 3 3 2" xfId="26824"/>
    <cellStyle name="Note 2 3 4 5 2 3 3 3" xfId="26825"/>
    <cellStyle name="Note 2 3 4 5 2 3 3 4" xfId="26826"/>
    <cellStyle name="Note 2 3 4 5 2 3 4" xfId="26827"/>
    <cellStyle name="Note 2 3 4 5 2 3 5" xfId="26828"/>
    <cellStyle name="Note 2 3 4 5 2 3 6" xfId="26829"/>
    <cellStyle name="Note 2 3 4 5 2 3 7" xfId="26830"/>
    <cellStyle name="Note 2 3 4 5 2 4" xfId="26831"/>
    <cellStyle name="Note 2 3 4 5 2 4 2" xfId="26832"/>
    <cellStyle name="Note 2 3 4 5 2 4 2 2" xfId="26833"/>
    <cellStyle name="Note 2 3 4 5 2 4 2 3" xfId="26834"/>
    <cellStyle name="Note 2 3 4 5 2 4 2 4" xfId="26835"/>
    <cellStyle name="Note 2 3 4 5 2 4 3" xfId="26836"/>
    <cellStyle name="Note 2 3 4 5 2 4 4" xfId="26837"/>
    <cellStyle name="Note 2 3 4 5 2 4 5" xfId="26838"/>
    <cellStyle name="Note 2 3 4 5 2 4 6" xfId="26839"/>
    <cellStyle name="Note 2 3 4 5 2 5" xfId="26840"/>
    <cellStyle name="Note 2 3 4 5 2 5 2" xfId="26841"/>
    <cellStyle name="Note 2 3 4 5 2 5 3" xfId="26842"/>
    <cellStyle name="Note 2 3 4 5 2 5 4" xfId="26843"/>
    <cellStyle name="Note 2 3 4 5 2 5 5" xfId="26844"/>
    <cellStyle name="Note 2 3 4 5 2 6" xfId="26845"/>
    <cellStyle name="Note 2 3 4 5 2 6 2" xfId="26846"/>
    <cellStyle name="Note 2 3 4 5 2 6 3" xfId="26847"/>
    <cellStyle name="Note 2 3 4 5 2 6 4" xfId="26848"/>
    <cellStyle name="Note 2 3 4 5 2 7" xfId="26849"/>
    <cellStyle name="Note 2 3 4 5 2 7 2" xfId="26850"/>
    <cellStyle name="Note 2 3 4 5 2 7 3" xfId="26851"/>
    <cellStyle name="Note 2 3 4 5 2 7 4" xfId="26852"/>
    <cellStyle name="Note 2 3 4 5 2 8" xfId="26853"/>
    <cellStyle name="Note 2 3 4 5 2 8 2" xfId="26854"/>
    <cellStyle name="Note 2 3 4 5 2 8 3" xfId="26855"/>
    <cellStyle name="Note 2 3 4 5 2 8 4" xfId="26856"/>
    <cellStyle name="Note 2 3 4 5 2 9" xfId="26857"/>
    <cellStyle name="Note 2 3 4 5 3" xfId="26858"/>
    <cellStyle name="Note 2 3 4 5 3 10" xfId="26859"/>
    <cellStyle name="Note 2 3 4 5 3 11" xfId="26860"/>
    <cellStyle name="Note 2 3 4 5 3 2" xfId="26861"/>
    <cellStyle name="Note 2 3 4 5 3 2 2" xfId="26862"/>
    <cellStyle name="Note 2 3 4 5 3 2 2 2" xfId="26863"/>
    <cellStyle name="Note 2 3 4 5 3 2 2 2 2" xfId="26864"/>
    <cellStyle name="Note 2 3 4 5 3 2 2 2 3" xfId="26865"/>
    <cellStyle name="Note 2 3 4 5 3 2 2 2 4" xfId="26866"/>
    <cellStyle name="Note 2 3 4 5 3 2 2 3" xfId="26867"/>
    <cellStyle name="Note 2 3 4 5 3 2 2 4" xfId="26868"/>
    <cellStyle name="Note 2 3 4 5 3 2 2 5" xfId="26869"/>
    <cellStyle name="Note 2 3 4 5 3 2 2 6" xfId="26870"/>
    <cellStyle name="Note 2 3 4 5 3 2 3" xfId="26871"/>
    <cellStyle name="Note 2 3 4 5 3 2 3 2" xfId="26872"/>
    <cellStyle name="Note 2 3 4 5 3 2 3 3" xfId="26873"/>
    <cellStyle name="Note 2 3 4 5 3 2 3 4" xfId="26874"/>
    <cellStyle name="Note 2 3 4 5 3 2 4" xfId="26875"/>
    <cellStyle name="Note 2 3 4 5 3 2 5" xfId="26876"/>
    <cellStyle name="Note 2 3 4 5 3 2 6" xfId="26877"/>
    <cellStyle name="Note 2 3 4 5 3 2 7" xfId="26878"/>
    <cellStyle name="Note 2 3 4 5 3 3" xfId="26879"/>
    <cellStyle name="Note 2 3 4 5 3 3 2" xfId="26880"/>
    <cellStyle name="Note 2 3 4 5 3 3 2 2" xfId="26881"/>
    <cellStyle name="Note 2 3 4 5 3 3 2 3" xfId="26882"/>
    <cellStyle name="Note 2 3 4 5 3 3 2 4" xfId="26883"/>
    <cellStyle name="Note 2 3 4 5 3 3 3" xfId="26884"/>
    <cellStyle name="Note 2 3 4 5 3 3 4" xfId="26885"/>
    <cellStyle name="Note 2 3 4 5 3 3 5" xfId="26886"/>
    <cellStyle name="Note 2 3 4 5 3 3 6" xfId="26887"/>
    <cellStyle name="Note 2 3 4 5 3 4" xfId="26888"/>
    <cellStyle name="Note 2 3 4 5 3 4 2" xfId="26889"/>
    <cellStyle name="Note 2 3 4 5 3 4 3" xfId="26890"/>
    <cellStyle name="Note 2 3 4 5 3 4 4" xfId="26891"/>
    <cellStyle name="Note 2 3 4 5 3 4 5" xfId="26892"/>
    <cellStyle name="Note 2 3 4 5 3 5" xfId="26893"/>
    <cellStyle name="Note 2 3 4 5 3 5 2" xfId="26894"/>
    <cellStyle name="Note 2 3 4 5 3 5 3" xfId="26895"/>
    <cellStyle name="Note 2 3 4 5 3 5 4" xfId="26896"/>
    <cellStyle name="Note 2 3 4 5 3 6" xfId="26897"/>
    <cellStyle name="Note 2 3 4 5 3 6 2" xfId="26898"/>
    <cellStyle name="Note 2 3 4 5 3 6 3" xfId="26899"/>
    <cellStyle name="Note 2 3 4 5 3 6 4" xfId="26900"/>
    <cellStyle name="Note 2 3 4 5 3 7" xfId="26901"/>
    <cellStyle name="Note 2 3 4 5 3 7 2" xfId="26902"/>
    <cellStyle name="Note 2 3 4 5 3 7 3" xfId="26903"/>
    <cellStyle name="Note 2 3 4 5 3 7 4" xfId="26904"/>
    <cellStyle name="Note 2 3 4 5 3 8" xfId="26905"/>
    <cellStyle name="Note 2 3 4 5 3 9" xfId="26906"/>
    <cellStyle name="Note 2 3 4 5 4" xfId="26907"/>
    <cellStyle name="Note 2 3 4 5 4 2" xfId="26908"/>
    <cellStyle name="Note 2 3 4 5 4 2 2" xfId="26909"/>
    <cellStyle name="Note 2 3 4 5 4 2 2 2" xfId="26910"/>
    <cellStyle name="Note 2 3 4 5 4 2 2 3" xfId="26911"/>
    <cellStyle name="Note 2 3 4 5 4 2 2 4" xfId="26912"/>
    <cellStyle name="Note 2 3 4 5 4 2 3" xfId="26913"/>
    <cellStyle name="Note 2 3 4 5 4 2 4" xfId="26914"/>
    <cellStyle name="Note 2 3 4 5 4 2 5" xfId="26915"/>
    <cellStyle name="Note 2 3 4 5 4 2 6" xfId="26916"/>
    <cellStyle name="Note 2 3 4 5 4 3" xfId="26917"/>
    <cellStyle name="Note 2 3 4 5 4 3 2" xfId="26918"/>
    <cellStyle name="Note 2 3 4 5 4 3 3" xfId="26919"/>
    <cellStyle name="Note 2 3 4 5 4 3 4" xfId="26920"/>
    <cellStyle name="Note 2 3 4 5 4 4" xfId="26921"/>
    <cellStyle name="Note 2 3 4 5 4 5" xfId="26922"/>
    <cellStyle name="Note 2 3 4 5 4 6" xfId="26923"/>
    <cellStyle name="Note 2 3 4 5 4 7" xfId="26924"/>
    <cellStyle name="Note 2 3 4 5 5" xfId="26925"/>
    <cellStyle name="Note 2 3 4 5 5 2" xfId="26926"/>
    <cellStyle name="Note 2 3 4 5 5 2 2" xfId="26927"/>
    <cellStyle name="Note 2 3 4 5 5 2 3" xfId="26928"/>
    <cellStyle name="Note 2 3 4 5 5 2 4" xfId="26929"/>
    <cellStyle name="Note 2 3 4 5 5 3" xfId="26930"/>
    <cellStyle name="Note 2 3 4 5 5 3 2" xfId="26931"/>
    <cellStyle name="Note 2 3 4 5 5 3 3" xfId="26932"/>
    <cellStyle name="Note 2 3 4 5 5 3 4" xfId="26933"/>
    <cellStyle name="Note 2 3 4 5 5 4" xfId="26934"/>
    <cellStyle name="Note 2 3 4 5 5 5" xfId="26935"/>
    <cellStyle name="Note 2 3 4 5 5 6" xfId="26936"/>
    <cellStyle name="Note 2 3 4 5 5 7" xfId="26937"/>
    <cellStyle name="Note 2 3 4 5 6" xfId="26938"/>
    <cellStyle name="Note 2 3 4 5 6 2" xfId="26939"/>
    <cellStyle name="Note 2 3 4 5 6 2 2" xfId="26940"/>
    <cellStyle name="Note 2 3 4 5 6 2 3" xfId="26941"/>
    <cellStyle name="Note 2 3 4 5 6 2 4" xfId="26942"/>
    <cellStyle name="Note 2 3 4 5 6 3" xfId="26943"/>
    <cellStyle name="Note 2 3 4 5 6 3 2" xfId="26944"/>
    <cellStyle name="Note 2 3 4 5 6 3 3" xfId="26945"/>
    <cellStyle name="Note 2 3 4 5 6 3 4" xfId="26946"/>
    <cellStyle name="Note 2 3 4 5 6 4" xfId="26947"/>
    <cellStyle name="Note 2 3 4 5 6 5" xfId="26948"/>
    <cellStyle name="Note 2 3 4 5 6 6" xfId="26949"/>
    <cellStyle name="Note 2 3 4 5 6 7" xfId="26950"/>
    <cellStyle name="Note 2 3 4 5 7" xfId="26951"/>
    <cellStyle name="Note 2 3 4 5 7 2" xfId="26952"/>
    <cellStyle name="Note 2 3 4 5 7 2 2" xfId="26953"/>
    <cellStyle name="Note 2 3 4 5 7 2 3" xfId="26954"/>
    <cellStyle name="Note 2 3 4 5 7 2 4" xfId="26955"/>
    <cellStyle name="Note 2 3 4 5 7 3" xfId="26956"/>
    <cellStyle name="Note 2 3 4 5 7 3 2" xfId="26957"/>
    <cellStyle name="Note 2 3 4 5 7 3 3" xfId="26958"/>
    <cellStyle name="Note 2 3 4 5 7 3 4" xfId="26959"/>
    <cellStyle name="Note 2 3 4 5 7 4" xfId="26960"/>
    <cellStyle name="Note 2 3 4 5 7 5" xfId="26961"/>
    <cellStyle name="Note 2 3 4 5 7 6" xfId="26962"/>
    <cellStyle name="Note 2 3 4 5 7 7" xfId="26963"/>
    <cellStyle name="Note 2 3 4 5 8" xfId="26964"/>
    <cellStyle name="Note 2 3 4 5 8 2" xfId="26965"/>
    <cellStyle name="Note 2 3 4 5 8 2 2" xfId="26966"/>
    <cellStyle name="Note 2 3 4 5 8 2 3" xfId="26967"/>
    <cellStyle name="Note 2 3 4 5 8 2 4" xfId="26968"/>
    <cellStyle name="Note 2 3 4 5 8 3" xfId="26969"/>
    <cellStyle name="Note 2 3 4 5 8 4" xfId="26970"/>
    <cellStyle name="Note 2 3 4 5 8 5" xfId="26971"/>
    <cellStyle name="Note 2 3 4 5 8 6" xfId="26972"/>
    <cellStyle name="Note 2 3 4 5 9" xfId="26973"/>
    <cellStyle name="Note 2 3 4 5 9 2" xfId="26974"/>
    <cellStyle name="Note 2 3 4 5 9 3" xfId="26975"/>
    <cellStyle name="Note 2 3 4 5 9 4" xfId="26976"/>
    <cellStyle name="Note 2 3 4 5 9 5" xfId="26977"/>
    <cellStyle name="Note 2 3 4 6" xfId="26978"/>
    <cellStyle name="Note 2 3 4 6 10" xfId="26979"/>
    <cellStyle name="Note 2 3 4 6 11" xfId="26980"/>
    <cellStyle name="Note 2 3 4 6 12" xfId="26981"/>
    <cellStyle name="Note 2 3 4 6 13" xfId="26982"/>
    <cellStyle name="Note 2 3 4 6 2" xfId="26983"/>
    <cellStyle name="Note 2 3 4 6 2 10" xfId="26984"/>
    <cellStyle name="Note 2 3 4 6 2 11" xfId="26985"/>
    <cellStyle name="Note 2 3 4 6 2 12" xfId="26986"/>
    <cellStyle name="Note 2 3 4 6 2 2" xfId="26987"/>
    <cellStyle name="Note 2 3 4 6 2 2 10" xfId="26988"/>
    <cellStyle name="Note 2 3 4 6 2 2 11" xfId="26989"/>
    <cellStyle name="Note 2 3 4 6 2 2 2" xfId="26990"/>
    <cellStyle name="Note 2 3 4 6 2 2 2 2" xfId="26991"/>
    <cellStyle name="Note 2 3 4 6 2 2 2 2 2" xfId="26992"/>
    <cellStyle name="Note 2 3 4 6 2 2 2 2 2 2" xfId="26993"/>
    <cellStyle name="Note 2 3 4 6 2 2 2 2 2 3" xfId="26994"/>
    <cellStyle name="Note 2 3 4 6 2 2 2 2 2 4" xfId="26995"/>
    <cellStyle name="Note 2 3 4 6 2 2 2 2 3" xfId="26996"/>
    <cellStyle name="Note 2 3 4 6 2 2 2 2 4" xfId="26997"/>
    <cellStyle name="Note 2 3 4 6 2 2 2 2 5" xfId="26998"/>
    <cellStyle name="Note 2 3 4 6 2 2 2 2 6" xfId="26999"/>
    <cellStyle name="Note 2 3 4 6 2 2 2 3" xfId="27000"/>
    <cellStyle name="Note 2 3 4 6 2 2 2 3 2" xfId="27001"/>
    <cellStyle name="Note 2 3 4 6 2 2 2 3 3" xfId="27002"/>
    <cellStyle name="Note 2 3 4 6 2 2 2 3 4" xfId="27003"/>
    <cellStyle name="Note 2 3 4 6 2 2 2 4" xfId="27004"/>
    <cellStyle name="Note 2 3 4 6 2 2 2 5" xfId="27005"/>
    <cellStyle name="Note 2 3 4 6 2 2 2 6" xfId="27006"/>
    <cellStyle name="Note 2 3 4 6 2 2 2 7" xfId="27007"/>
    <cellStyle name="Note 2 3 4 6 2 2 3" xfId="27008"/>
    <cellStyle name="Note 2 3 4 6 2 2 3 2" xfId="27009"/>
    <cellStyle name="Note 2 3 4 6 2 2 3 2 2" xfId="27010"/>
    <cellStyle name="Note 2 3 4 6 2 2 3 2 3" xfId="27011"/>
    <cellStyle name="Note 2 3 4 6 2 2 3 2 4" xfId="27012"/>
    <cellStyle name="Note 2 3 4 6 2 2 3 3" xfId="27013"/>
    <cellStyle name="Note 2 3 4 6 2 2 3 4" xfId="27014"/>
    <cellStyle name="Note 2 3 4 6 2 2 3 5" xfId="27015"/>
    <cellStyle name="Note 2 3 4 6 2 2 3 6" xfId="27016"/>
    <cellStyle name="Note 2 3 4 6 2 2 4" xfId="27017"/>
    <cellStyle name="Note 2 3 4 6 2 2 4 2" xfId="27018"/>
    <cellStyle name="Note 2 3 4 6 2 2 4 3" xfId="27019"/>
    <cellStyle name="Note 2 3 4 6 2 2 4 4" xfId="27020"/>
    <cellStyle name="Note 2 3 4 6 2 2 4 5" xfId="27021"/>
    <cellStyle name="Note 2 3 4 6 2 2 5" xfId="27022"/>
    <cellStyle name="Note 2 3 4 6 2 2 5 2" xfId="27023"/>
    <cellStyle name="Note 2 3 4 6 2 2 5 3" xfId="27024"/>
    <cellStyle name="Note 2 3 4 6 2 2 5 4" xfId="27025"/>
    <cellStyle name="Note 2 3 4 6 2 2 6" xfId="27026"/>
    <cellStyle name="Note 2 3 4 6 2 2 6 2" xfId="27027"/>
    <cellStyle name="Note 2 3 4 6 2 2 6 3" xfId="27028"/>
    <cellStyle name="Note 2 3 4 6 2 2 6 4" xfId="27029"/>
    <cellStyle name="Note 2 3 4 6 2 2 7" xfId="27030"/>
    <cellStyle name="Note 2 3 4 6 2 2 7 2" xfId="27031"/>
    <cellStyle name="Note 2 3 4 6 2 2 7 3" xfId="27032"/>
    <cellStyle name="Note 2 3 4 6 2 2 7 4" xfId="27033"/>
    <cellStyle name="Note 2 3 4 6 2 2 8" xfId="27034"/>
    <cellStyle name="Note 2 3 4 6 2 2 9" xfId="27035"/>
    <cellStyle name="Note 2 3 4 6 2 3" xfId="27036"/>
    <cellStyle name="Note 2 3 4 6 2 3 2" xfId="27037"/>
    <cellStyle name="Note 2 3 4 6 2 3 2 2" xfId="27038"/>
    <cellStyle name="Note 2 3 4 6 2 3 2 2 2" xfId="27039"/>
    <cellStyle name="Note 2 3 4 6 2 3 2 2 3" xfId="27040"/>
    <cellStyle name="Note 2 3 4 6 2 3 2 2 4" xfId="27041"/>
    <cellStyle name="Note 2 3 4 6 2 3 2 3" xfId="27042"/>
    <cellStyle name="Note 2 3 4 6 2 3 2 4" xfId="27043"/>
    <cellStyle name="Note 2 3 4 6 2 3 2 5" xfId="27044"/>
    <cellStyle name="Note 2 3 4 6 2 3 2 6" xfId="27045"/>
    <cellStyle name="Note 2 3 4 6 2 3 3" xfId="27046"/>
    <cellStyle name="Note 2 3 4 6 2 3 3 2" xfId="27047"/>
    <cellStyle name="Note 2 3 4 6 2 3 3 3" xfId="27048"/>
    <cellStyle name="Note 2 3 4 6 2 3 3 4" xfId="27049"/>
    <cellStyle name="Note 2 3 4 6 2 3 4" xfId="27050"/>
    <cellStyle name="Note 2 3 4 6 2 3 5" xfId="27051"/>
    <cellStyle name="Note 2 3 4 6 2 3 6" xfId="27052"/>
    <cellStyle name="Note 2 3 4 6 2 3 7" xfId="27053"/>
    <cellStyle name="Note 2 3 4 6 2 4" xfId="27054"/>
    <cellStyle name="Note 2 3 4 6 2 4 2" xfId="27055"/>
    <cellStyle name="Note 2 3 4 6 2 4 2 2" xfId="27056"/>
    <cellStyle name="Note 2 3 4 6 2 4 2 3" xfId="27057"/>
    <cellStyle name="Note 2 3 4 6 2 4 2 4" xfId="27058"/>
    <cellStyle name="Note 2 3 4 6 2 4 3" xfId="27059"/>
    <cellStyle name="Note 2 3 4 6 2 4 4" xfId="27060"/>
    <cellStyle name="Note 2 3 4 6 2 4 5" xfId="27061"/>
    <cellStyle name="Note 2 3 4 6 2 4 6" xfId="27062"/>
    <cellStyle name="Note 2 3 4 6 2 5" xfId="27063"/>
    <cellStyle name="Note 2 3 4 6 2 5 2" xfId="27064"/>
    <cellStyle name="Note 2 3 4 6 2 5 3" xfId="27065"/>
    <cellStyle name="Note 2 3 4 6 2 5 4" xfId="27066"/>
    <cellStyle name="Note 2 3 4 6 2 5 5" xfId="27067"/>
    <cellStyle name="Note 2 3 4 6 2 6" xfId="27068"/>
    <cellStyle name="Note 2 3 4 6 2 6 2" xfId="27069"/>
    <cellStyle name="Note 2 3 4 6 2 6 3" xfId="27070"/>
    <cellStyle name="Note 2 3 4 6 2 6 4" xfId="27071"/>
    <cellStyle name="Note 2 3 4 6 2 7" xfId="27072"/>
    <cellStyle name="Note 2 3 4 6 2 7 2" xfId="27073"/>
    <cellStyle name="Note 2 3 4 6 2 7 3" xfId="27074"/>
    <cellStyle name="Note 2 3 4 6 2 7 4" xfId="27075"/>
    <cellStyle name="Note 2 3 4 6 2 8" xfId="27076"/>
    <cellStyle name="Note 2 3 4 6 2 8 2" xfId="27077"/>
    <cellStyle name="Note 2 3 4 6 2 8 3" xfId="27078"/>
    <cellStyle name="Note 2 3 4 6 2 8 4" xfId="27079"/>
    <cellStyle name="Note 2 3 4 6 2 9" xfId="27080"/>
    <cellStyle name="Note 2 3 4 6 3" xfId="27081"/>
    <cellStyle name="Note 2 3 4 6 3 10" xfId="27082"/>
    <cellStyle name="Note 2 3 4 6 3 11" xfId="27083"/>
    <cellStyle name="Note 2 3 4 6 3 2" xfId="27084"/>
    <cellStyle name="Note 2 3 4 6 3 2 2" xfId="27085"/>
    <cellStyle name="Note 2 3 4 6 3 2 2 2" xfId="27086"/>
    <cellStyle name="Note 2 3 4 6 3 2 2 2 2" xfId="27087"/>
    <cellStyle name="Note 2 3 4 6 3 2 2 2 3" xfId="27088"/>
    <cellStyle name="Note 2 3 4 6 3 2 2 2 4" xfId="27089"/>
    <cellStyle name="Note 2 3 4 6 3 2 2 3" xfId="27090"/>
    <cellStyle name="Note 2 3 4 6 3 2 2 4" xfId="27091"/>
    <cellStyle name="Note 2 3 4 6 3 2 2 5" xfId="27092"/>
    <cellStyle name="Note 2 3 4 6 3 2 2 6" xfId="27093"/>
    <cellStyle name="Note 2 3 4 6 3 2 3" xfId="27094"/>
    <cellStyle name="Note 2 3 4 6 3 2 3 2" xfId="27095"/>
    <cellStyle name="Note 2 3 4 6 3 2 3 3" xfId="27096"/>
    <cellStyle name="Note 2 3 4 6 3 2 3 4" xfId="27097"/>
    <cellStyle name="Note 2 3 4 6 3 2 4" xfId="27098"/>
    <cellStyle name="Note 2 3 4 6 3 2 5" xfId="27099"/>
    <cellStyle name="Note 2 3 4 6 3 2 6" xfId="27100"/>
    <cellStyle name="Note 2 3 4 6 3 2 7" xfId="27101"/>
    <cellStyle name="Note 2 3 4 6 3 3" xfId="27102"/>
    <cellStyle name="Note 2 3 4 6 3 3 2" xfId="27103"/>
    <cellStyle name="Note 2 3 4 6 3 3 2 2" xfId="27104"/>
    <cellStyle name="Note 2 3 4 6 3 3 2 3" xfId="27105"/>
    <cellStyle name="Note 2 3 4 6 3 3 2 4" xfId="27106"/>
    <cellStyle name="Note 2 3 4 6 3 3 3" xfId="27107"/>
    <cellStyle name="Note 2 3 4 6 3 3 4" xfId="27108"/>
    <cellStyle name="Note 2 3 4 6 3 3 5" xfId="27109"/>
    <cellStyle name="Note 2 3 4 6 3 3 6" xfId="27110"/>
    <cellStyle name="Note 2 3 4 6 3 4" xfId="27111"/>
    <cellStyle name="Note 2 3 4 6 3 4 2" xfId="27112"/>
    <cellStyle name="Note 2 3 4 6 3 4 3" xfId="27113"/>
    <cellStyle name="Note 2 3 4 6 3 4 4" xfId="27114"/>
    <cellStyle name="Note 2 3 4 6 3 4 5" xfId="27115"/>
    <cellStyle name="Note 2 3 4 6 3 5" xfId="27116"/>
    <cellStyle name="Note 2 3 4 6 3 5 2" xfId="27117"/>
    <cellStyle name="Note 2 3 4 6 3 5 3" xfId="27118"/>
    <cellStyle name="Note 2 3 4 6 3 5 4" xfId="27119"/>
    <cellStyle name="Note 2 3 4 6 3 6" xfId="27120"/>
    <cellStyle name="Note 2 3 4 6 3 6 2" xfId="27121"/>
    <cellStyle name="Note 2 3 4 6 3 6 3" xfId="27122"/>
    <cellStyle name="Note 2 3 4 6 3 6 4" xfId="27123"/>
    <cellStyle name="Note 2 3 4 6 3 7" xfId="27124"/>
    <cellStyle name="Note 2 3 4 6 3 7 2" xfId="27125"/>
    <cellStyle name="Note 2 3 4 6 3 7 3" xfId="27126"/>
    <cellStyle name="Note 2 3 4 6 3 7 4" xfId="27127"/>
    <cellStyle name="Note 2 3 4 6 3 8" xfId="27128"/>
    <cellStyle name="Note 2 3 4 6 3 9" xfId="27129"/>
    <cellStyle name="Note 2 3 4 6 4" xfId="27130"/>
    <cellStyle name="Note 2 3 4 6 4 2" xfId="27131"/>
    <cellStyle name="Note 2 3 4 6 4 2 2" xfId="27132"/>
    <cellStyle name="Note 2 3 4 6 4 2 2 2" xfId="27133"/>
    <cellStyle name="Note 2 3 4 6 4 2 2 3" xfId="27134"/>
    <cellStyle name="Note 2 3 4 6 4 2 2 4" xfId="27135"/>
    <cellStyle name="Note 2 3 4 6 4 2 3" xfId="27136"/>
    <cellStyle name="Note 2 3 4 6 4 2 4" xfId="27137"/>
    <cellStyle name="Note 2 3 4 6 4 2 5" xfId="27138"/>
    <cellStyle name="Note 2 3 4 6 4 2 6" xfId="27139"/>
    <cellStyle name="Note 2 3 4 6 4 3" xfId="27140"/>
    <cellStyle name="Note 2 3 4 6 4 3 2" xfId="27141"/>
    <cellStyle name="Note 2 3 4 6 4 3 3" xfId="27142"/>
    <cellStyle name="Note 2 3 4 6 4 3 4" xfId="27143"/>
    <cellStyle name="Note 2 3 4 6 4 4" xfId="27144"/>
    <cellStyle name="Note 2 3 4 6 4 5" xfId="27145"/>
    <cellStyle name="Note 2 3 4 6 4 6" xfId="27146"/>
    <cellStyle name="Note 2 3 4 6 4 7" xfId="27147"/>
    <cellStyle name="Note 2 3 4 6 5" xfId="27148"/>
    <cellStyle name="Note 2 3 4 6 5 2" xfId="27149"/>
    <cellStyle name="Note 2 3 4 6 5 2 2" xfId="27150"/>
    <cellStyle name="Note 2 3 4 6 5 2 3" xfId="27151"/>
    <cellStyle name="Note 2 3 4 6 5 2 4" xfId="27152"/>
    <cellStyle name="Note 2 3 4 6 5 3" xfId="27153"/>
    <cellStyle name="Note 2 3 4 6 5 4" xfId="27154"/>
    <cellStyle name="Note 2 3 4 6 5 5" xfId="27155"/>
    <cellStyle name="Note 2 3 4 6 5 6" xfId="27156"/>
    <cellStyle name="Note 2 3 4 6 6" xfId="27157"/>
    <cellStyle name="Note 2 3 4 6 6 2" xfId="27158"/>
    <cellStyle name="Note 2 3 4 6 6 3" xfId="27159"/>
    <cellStyle name="Note 2 3 4 6 6 4" xfId="27160"/>
    <cellStyle name="Note 2 3 4 6 6 5" xfId="27161"/>
    <cellStyle name="Note 2 3 4 6 7" xfId="27162"/>
    <cellStyle name="Note 2 3 4 6 7 2" xfId="27163"/>
    <cellStyle name="Note 2 3 4 6 7 3" xfId="27164"/>
    <cellStyle name="Note 2 3 4 6 7 4" xfId="27165"/>
    <cellStyle name="Note 2 3 4 6 8" xfId="27166"/>
    <cellStyle name="Note 2 3 4 6 8 2" xfId="27167"/>
    <cellStyle name="Note 2 3 4 6 8 3" xfId="27168"/>
    <cellStyle name="Note 2 3 4 6 8 4" xfId="27169"/>
    <cellStyle name="Note 2 3 4 6 9" xfId="27170"/>
    <cellStyle name="Note 2 3 4 6 9 2" xfId="27171"/>
    <cellStyle name="Note 2 3 4 6 9 3" xfId="27172"/>
    <cellStyle name="Note 2 3 4 6 9 4" xfId="27173"/>
    <cellStyle name="Note 2 3 4 7" xfId="27174"/>
    <cellStyle name="Note 2 3 4 7 10" xfId="27175"/>
    <cellStyle name="Note 2 3 4 7 11" xfId="27176"/>
    <cellStyle name="Note 2 3 4 7 12" xfId="27177"/>
    <cellStyle name="Note 2 3 4 7 13" xfId="27178"/>
    <cellStyle name="Note 2 3 4 7 2" xfId="27179"/>
    <cellStyle name="Note 2 3 4 7 2 10" xfId="27180"/>
    <cellStyle name="Note 2 3 4 7 2 11" xfId="27181"/>
    <cellStyle name="Note 2 3 4 7 2 2" xfId="27182"/>
    <cellStyle name="Note 2 3 4 7 2 2 2" xfId="27183"/>
    <cellStyle name="Note 2 3 4 7 2 2 2 2" xfId="27184"/>
    <cellStyle name="Note 2 3 4 7 2 2 2 2 2" xfId="27185"/>
    <cellStyle name="Note 2 3 4 7 2 2 2 2 3" xfId="27186"/>
    <cellStyle name="Note 2 3 4 7 2 2 2 2 4" xfId="27187"/>
    <cellStyle name="Note 2 3 4 7 2 2 2 3" xfId="27188"/>
    <cellStyle name="Note 2 3 4 7 2 2 2 4" xfId="27189"/>
    <cellStyle name="Note 2 3 4 7 2 2 2 5" xfId="27190"/>
    <cellStyle name="Note 2 3 4 7 2 2 2 6" xfId="27191"/>
    <cellStyle name="Note 2 3 4 7 2 2 3" xfId="27192"/>
    <cellStyle name="Note 2 3 4 7 2 2 3 2" xfId="27193"/>
    <cellStyle name="Note 2 3 4 7 2 2 3 3" xfId="27194"/>
    <cellStyle name="Note 2 3 4 7 2 2 3 4" xfId="27195"/>
    <cellStyle name="Note 2 3 4 7 2 2 4" xfId="27196"/>
    <cellStyle name="Note 2 3 4 7 2 2 5" xfId="27197"/>
    <cellStyle name="Note 2 3 4 7 2 2 6" xfId="27198"/>
    <cellStyle name="Note 2 3 4 7 2 2 7" xfId="27199"/>
    <cellStyle name="Note 2 3 4 7 2 3" xfId="27200"/>
    <cellStyle name="Note 2 3 4 7 2 3 2" xfId="27201"/>
    <cellStyle name="Note 2 3 4 7 2 3 2 2" xfId="27202"/>
    <cellStyle name="Note 2 3 4 7 2 3 2 3" xfId="27203"/>
    <cellStyle name="Note 2 3 4 7 2 3 2 4" xfId="27204"/>
    <cellStyle name="Note 2 3 4 7 2 3 3" xfId="27205"/>
    <cellStyle name="Note 2 3 4 7 2 3 4" xfId="27206"/>
    <cellStyle name="Note 2 3 4 7 2 3 5" xfId="27207"/>
    <cellStyle name="Note 2 3 4 7 2 3 6" xfId="27208"/>
    <cellStyle name="Note 2 3 4 7 2 4" xfId="27209"/>
    <cellStyle name="Note 2 3 4 7 2 4 2" xfId="27210"/>
    <cellStyle name="Note 2 3 4 7 2 4 3" xfId="27211"/>
    <cellStyle name="Note 2 3 4 7 2 4 4" xfId="27212"/>
    <cellStyle name="Note 2 3 4 7 2 4 5" xfId="27213"/>
    <cellStyle name="Note 2 3 4 7 2 5" xfId="27214"/>
    <cellStyle name="Note 2 3 4 7 2 5 2" xfId="27215"/>
    <cellStyle name="Note 2 3 4 7 2 5 3" xfId="27216"/>
    <cellStyle name="Note 2 3 4 7 2 5 4" xfId="27217"/>
    <cellStyle name="Note 2 3 4 7 2 6" xfId="27218"/>
    <cellStyle name="Note 2 3 4 7 2 6 2" xfId="27219"/>
    <cellStyle name="Note 2 3 4 7 2 6 3" xfId="27220"/>
    <cellStyle name="Note 2 3 4 7 2 6 4" xfId="27221"/>
    <cellStyle name="Note 2 3 4 7 2 7" xfId="27222"/>
    <cellStyle name="Note 2 3 4 7 2 7 2" xfId="27223"/>
    <cellStyle name="Note 2 3 4 7 2 7 3" xfId="27224"/>
    <cellStyle name="Note 2 3 4 7 2 7 4" xfId="27225"/>
    <cellStyle name="Note 2 3 4 7 2 8" xfId="27226"/>
    <cellStyle name="Note 2 3 4 7 2 9" xfId="27227"/>
    <cellStyle name="Note 2 3 4 7 3" xfId="27228"/>
    <cellStyle name="Note 2 3 4 7 3 10" xfId="27229"/>
    <cellStyle name="Note 2 3 4 7 3 11" xfId="27230"/>
    <cellStyle name="Note 2 3 4 7 3 2" xfId="27231"/>
    <cellStyle name="Note 2 3 4 7 3 2 2" xfId="27232"/>
    <cellStyle name="Note 2 3 4 7 3 2 2 2" xfId="27233"/>
    <cellStyle name="Note 2 3 4 7 3 2 2 3" xfId="27234"/>
    <cellStyle name="Note 2 3 4 7 3 2 2 4" xfId="27235"/>
    <cellStyle name="Note 2 3 4 7 3 2 3" xfId="27236"/>
    <cellStyle name="Note 2 3 4 7 3 2 3 2" xfId="27237"/>
    <cellStyle name="Note 2 3 4 7 3 2 3 3" xfId="27238"/>
    <cellStyle name="Note 2 3 4 7 3 2 3 4" xfId="27239"/>
    <cellStyle name="Note 2 3 4 7 3 2 4" xfId="27240"/>
    <cellStyle name="Note 2 3 4 7 3 2 5" xfId="27241"/>
    <cellStyle name="Note 2 3 4 7 3 2 6" xfId="27242"/>
    <cellStyle name="Note 2 3 4 7 3 2 7" xfId="27243"/>
    <cellStyle name="Note 2 3 4 7 3 3" xfId="27244"/>
    <cellStyle name="Note 2 3 4 7 3 3 2" xfId="27245"/>
    <cellStyle name="Note 2 3 4 7 3 3 2 2" xfId="27246"/>
    <cellStyle name="Note 2 3 4 7 3 3 2 3" xfId="27247"/>
    <cellStyle name="Note 2 3 4 7 3 3 2 4" xfId="27248"/>
    <cellStyle name="Note 2 3 4 7 3 3 3" xfId="27249"/>
    <cellStyle name="Note 2 3 4 7 3 3 4" xfId="27250"/>
    <cellStyle name="Note 2 3 4 7 3 3 5" xfId="27251"/>
    <cellStyle name="Note 2 3 4 7 3 3 6" xfId="27252"/>
    <cellStyle name="Note 2 3 4 7 3 4" xfId="27253"/>
    <cellStyle name="Note 2 3 4 7 3 4 2" xfId="27254"/>
    <cellStyle name="Note 2 3 4 7 3 4 3" xfId="27255"/>
    <cellStyle name="Note 2 3 4 7 3 4 4" xfId="27256"/>
    <cellStyle name="Note 2 3 4 7 3 4 5" xfId="27257"/>
    <cellStyle name="Note 2 3 4 7 3 5" xfId="27258"/>
    <cellStyle name="Note 2 3 4 7 3 5 2" xfId="27259"/>
    <cellStyle name="Note 2 3 4 7 3 5 3" xfId="27260"/>
    <cellStyle name="Note 2 3 4 7 3 5 4" xfId="27261"/>
    <cellStyle name="Note 2 3 4 7 3 6" xfId="27262"/>
    <cellStyle name="Note 2 3 4 7 3 6 2" xfId="27263"/>
    <cellStyle name="Note 2 3 4 7 3 6 3" xfId="27264"/>
    <cellStyle name="Note 2 3 4 7 3 6 4" xfId="27265"/>
    <cellStyle name="Note 2 3 4 7 3 7" xfId="27266"/>
    <cellStyle name="Note 2 3 4 7 3 7 2" xfId="27267"/>
    <cellStyle name="Note 2 3 4 7 3 7 3" xfId="27268"/>
    <cellStyle name="Note 2 3 4 7 3 7 4" xfId="27269"/>
    <cellStyle name="Note 2 3 4 7 3 8" xfId="27270"/>
    <cellStyle name="Note 2 3 4 7 3 9" xfId="27271"/>
    <cellStyle name="Note 2 3 4 7 4" xfId="27272"/>
    <cellStyle name="Note 2 3 4 7 4 2" xfId="27273"/>
    <cellStyle name="Note 2 3 4 7 4 2 2" xfId="27274"/>
    <cellStyle name="Note 2 3 4 7 4 2 2 2" xfId="27275"/>
    <cellStyle name="Note 2 3 4 7 4 2 2 3" xfId="27276"/>
    <cellStyle name="Note 2 3 4 7 4 2 2 4" xfId="27277"/>
    <cellStyle name="Note 2 3 4 7 4 2 3" xfId="27278"/>
    <cellStyle name="Note 2 3 4 7 4 2 4" xfId="27279"/>
    <cellStyle name="Note 2 3 4 7 4 2 5" xfId="27280"/>
    <cellStyle name="Note 2 3 4 7 4 2 6" xfId="27281"/>
    <cellStyle name="Note 2 3 4 7 4 3" xfId="27282"/>
    <cellStyle name="Note 2 3 4 7 4 3 2" xfId="27283"/>
    <cellStyle name="Note 2 3 4 7 4 3 3" xfId="27284"/>
    <cellStyle name="Note 2 3 4 7 4 3 4" xfId="27285"/>
    <cellStyle name="Note 2 3 4 7 4 4" xfId="27286"/>
    <cellStyle name="Note 2 3 4 7 4 5" xfId="27287"/>
    <cellStyle name="Note 2 3 4 7 4 6" xfId="27288"/>
    <cellStyle name="Note 2 3 4 7 4 7" xfId="27289"/>
    <cellStyle name="Note 2 3 4 7 5" xfId="27290"/>
    <cellStyle name="Note 2 3 4 7 5 2" xfId="27291"/>
    <cellStyle name="Note 2 3 4 7 5 2 2" xfId="27292"/>
    <cellStyle name="Note 2 3 4 7 5 2 3" xfId="27293"/>
    <cellStyle name="Note 2 3 4 7 5 2 4" xfId="27294"/>
    <cellStyle name="Note 2 3 4 7 5 3" xfId="27295"/>
    <cellStyle name="Note 2 3 4 7 5 4" xfId="27296"/>
    <cellStyle name="Note 2 3 4 7 5 5" xfId="27297"/>
    <cellStyle name="Note 2 3 4 7 5 6" xfId="27298"/>
    <cellStyle name="Note 2 3 4 7 6" xfId="27299"/>
    <cellStyle name="Note 2 3 4 7 6 2" xfId="27300"/>
    <cellStyle name="Note 2 3 4 7 6 3" xfId="27301"/>
    <cellStyle name="Note 2 3 4 7 6 4" xfId="27302"/>
    <cellStyle name="Note 2 3 4 7 6 5" xfId="27303"/>
    <cellStyle name="Note 2 3 4 7 7" xfId="27304"/>
    <cellStyle name="Note 2 3 4 7 7 2" xfId="27305"/>
    <cellStyle name="Note 2 3 4 7 7 3" xfId="27306"/>
    <cellStyle name="Note 2 3 4 7 7 4" xfId="27307"/>
    <cellStyle name="Note 2 3 4 7 8" xfId="27308"/>
    <cellStyle name="Note 2 3 4 7 8 2" xfId="27309"/>
    <cellStyle name="Note 2 3 4 7 8 3" xfId="27310"/>
    <cellStyle name="Note 2 3 4 7 8 4" xfId="27311"/>
    <cellStyle name="Note 2 3 4 7 9" xfId="27312"/>
    <cellStyle name="Note 2 3 4 7 9 2" xfId="27313"/>
    <cellStyle name="Note 2 3 4 7 9 3" xfId="27314"/>
    <cellStyle name="Note 2 3 4 7 9 4" xfId="27315"/>
    <cellStyle name="Note 2 3 4 8" xfId="27316"/>
    <cellStyle name="Note 2 3 4 8 10" xfId="27317"/>
    <cellStyle name="Note 2 3 4 8 11" xfId="27318"/>
    <cellStyle name="Note 2 3 4 8 12" xfId="27319"/>
    <cellStyle name="Note 2 3 4 8 2" xfId="27320"/>
    <cellStyle name="Note 2 3 4 8 2 10" xfId="27321"/>
    <cellStyle name="Note 2 3 4 8 2 11" xfId="27322"/>
    <cellStyle name="Note 2 3 4 8 2 2" xfId="27323"/>
    <cellStyle name="Note 2 3 4 8 2 2 2" xfId="27324"/>
    <cellStyle name="Note 2 3 4 8 2 2 2 2" xfId="27325"/>
    <cellStyle name="Note 2 3 4 8 2 2 2 2 2" xfId="27326"/>
    <cellStyle name="Note 2 3 4 8 2 2 2 2 3" xfId="27327"/>
    <cellStyle name="Note 2 3 4 8 2 2 2 2 4" xfId="27328"/>
    <cellStyle name="Note 2 3 4 8 2 2 2 3" xfId="27329"/>
    <cellStyle name="Note 2 3 4 8 2 2 2 4" xfId="27330"/>
    <cellStyle name="Note 2 3 4 8 2 2 2 5" xfId="27331"/>
    <cellStyle name="Note 2 3 4 8 2 2 2 6" xfId="27332"/>
    <cellStyle name="Note 2 3 4 8 2 2 3" xfId="27333"/>
    <cellStyle name="Note 2 3 4 8 2 2 3 2" xfId="27334"/>
    <cellStyle name="Note 2 3 4 8 2 2 3 3" xfId="27335"/>
    <cellStyle name="Note 2 3 4 8 2 2 3 4" xfId="27336"/>
    <cellStyle name="Note 2 3 4 8 2 2 4" xfId="27337"/>
    <cellStyle name="Note 2 3 4 8 2 2 5" xfId="27338"/>
    <cellStyle name="Note 2 3 4 8 2 2 6" xfId="27339"/>
    <cellStyle name="Note 2 3 4 8 2 2 7" xfId="27340"/>
    <cellStyle name="Note 2 3 4 8 2 3" xfId="27341"/>
    <cellStyle name="Note 2 3 4 8 2 3 2" xfId="27342"/>
    <cellStyle name="Note 2 3 4 8 2 3 2 2" xfId="27343"/>
    <cellStyle name="Note 2 3 4 8 2 3 2 3" xfId="27344"/>
    <cellStyle name="Note 2 3 4 8 2 3 2 4" xfId="27345"/>
    <cellStyle name="Note 2 3 4 8 2 3 3" xfId="27346"/>
    <cellStyle name="Note 2 3 4 8 2 3 4" xfId="27347"/>
    <cellStyle name="Note 2 3 4 8 2 3 5" xfId="27348"/>
    <cellStyle name="Note 2 3 4 8 2 3 6" xfId="27349"/>
    <cellStyle name="Note 2 3 4 8 2 4" xfId="27350"/>
    <cellStyle name="Note 2 3 4 8 2 4 2" xfId="27351"/>
    <cellStyle name="Note 2 3 4 8 2 4 3" xfId="27352"/>
    <cellStyle name="Note 2 3 4 8 2 4 4" xfId="27353"/>
    <cellStyle name="Note 2 3 4 8 2 4 5" xfId="27354"/>
    <cellStyle name="Note 2 3 4 8 2 5" xfId="27355"/>
    <cellStyle name="Note 2 3 4 8 2 5 2" xfId="27356"/>
    <cellStyle name="Note 2 3 4 8 2 5 3" xfId="27357"/>
    <cellStyle name="Note 2 3 4 8 2 5 4" xfId="27358"/>
    <cellStyle name="Note 2 3 4 8 2 6" xfId="27359"/>
    <cellStyle name="Note 2 3 4 8 2 6 2" xfId="27360"/>
    <cellStyle name="Note 2 3 4 8 2 6 3" xfId="27361"/>
    <cellStyle name="Note 2 3 4 8 2 6 4" xfId="27362"/>
    <cellStyle name="Note 2 3 4 8 2 7" xfId="27363"/>
    <cellStyle name="Note 2 3 4 8 2 7 2" xfId="27364"/>
    <cellStyle name="Note 2 3 4 8 2 7 3" xfId="27365"/>
    <cellStyle name="Note 2 3 4 8 2 7 4" xfId="27366"/>
    <cellStyle name="Note 2 3 4 8 2 8" xfId="27367"/>
    <cellStyle name="Note 2 3 4 8 2 9" xfId="27368"/>
    <cellStyle name="Note 2 3 4 8 3" xfId="27369"/>
    <cellStyle name="Note 2 3 4 8 3 2" xfId="27370"/>
    <cellStyle name="Note 2 3 4 8 3 2 2" xfId="27371"/>
    <cellStyle name="Note 2 3 4 8 3 2 2 2" xfId="27372"/>
    <cellStyle name="Note 2 3 4 8 3 2 2 3" xfId="27373"/>
    <cellStyle name="Note 2 3 4 8 3 2 2 4" xfId="27374"/>
    <cellStyle name="Note 2 3 4 8 3 2 3" xfId="27375"/>
    <cellStyle name="Note 2 3 4 8 3 2 4" xfId="27376"/>
    <cellStyle name="Note 2 3 4 8 3 2 5" xfId="27377"/>
    <cellStyle name="Note 2 3 4 8 3 2 6" xfId="27378"/>
    <cellStyle name="Note 2 3 4 8 3 3" xfId="27379"/>
    <cellStyle name="Note 2 3 4 8 3 3 2" xfId="27380"/>
    <cellStyle name="Note 2 3 4 8 3 3 3" xfId="27381"/>
    <cellStyle name="Note 2 3 4 8 3 3 4" xfId="27382"/>
    <cellStyle name="Note 2 3 4 8 3 4" xfId="27383"/>
    <cellStyle name="Note 2 3 4 8 3 5" xfId="27384"/>
    <cellStyle name="Note 2 3 4 8 3 6" xfId="27385"/>
    <cellStyle name="Note 2 3 4 8 3 7" xfId="27386"/>
    <cellStyle name="Note 2 3 4 8 4" xfId="27387"/>
    <cellStyle name="Note 2 3 4 8 4 2" xfId="27388"/>
    <cellStyle name="Note 2 3 4 8 4 2 2" xfId="27389"/>
    <cellStyle name="Note 2 3 4 8 4 2 3" xfId="27390"/>
    <cellStyle name="Note 2 3 4 8 4 2 4" xfId="27391"/>
    <cellStyle name="Note 2 3 4 8 4 3" xfId="27392"/>
    <cellStyle name="Note 2 3 4 8 4 4" xfId="27393"/>
    <cellStyle name="Note 2 3 4 8 4 5" xfId="27394"/>
    <cellStyle name="Note 2 3 4 8 4 6" xfId="27395"/>
    <cellStyle name="Note 2 3 4 8 5" xfId="27396"/>
    <cellStyle name="Note 2 3 4 8 5 2" xfId="27397"/>
    <cellStyle name="Note 2 3 4 8 5 3" xfId="27398"/>
    <cellStyle name="Note 2 3 4 8 5 4" xfId="27399"/>
    <cellStyle name="Note 2 3 4 8 5 5" xfId="27400"/>
    <cellStyle name="Note 2 3 4 8 6" xfId="27401"/>
    <cellStyle name="Note 2 3 4 8 6 2" xfId="27402"/>
    <cellStyle name="Note 2 3 4 8 6 3" xfId="27403"/>
    <cellStyle name="Note 2 3 4 8 6 4" xfId="27404"/>
    <cellStyle name="Note 2 3 4 8 7" xfId="27405"/>
    <cellStyle name="Note 2 3 4 8 7 2" xfId="27406"/>
    <cellStyle name="Note 2 3 4 8 7 3" xfId="27407"/>
    <cellStyle name="Note 2 3 4 8 7 4" xfId="27408"/>
    <cellStyle name="Note 2 3 4 8 8" xfId="27409"/>
    <cellStyle name="Note 2 3 4 8 8 2" xfId="27410"/>
    <cellStyle name="Note 2 3 4 8 8 3" xfId="27411"/>
    <cellStyle name="Note 2 3 4 8 8 4" xfId="27412"/>
    <cellStyle name="Note 2 3 4 8 9" xfId="27413"/>
    <cellStyle name="Note 2 3 4 9" xfId="27414"/>
    <cellStyle name="Note 2 3 4 9 10" xfId="27415"/>
    <cellStyle name="Note 2 3 4 9 11" xfId="27416"/>
    <cellStyle name="Note 2 3 4 9 2" xfId="27417"/>
    <cellStyle name="Note 2 3 4 9 2 2" xfId="27418"/>
    <cellStyle name="Note 2 3 4 9 2 2 2" xfId="27419"/>
    <cellStyle name="Note 2 3 4 9 2 2 2 2" xfId="27420"/>
    <cellStyle name="Note 2 3 4 9 2 2 2 3" xfId="27421"/>
    <cellStyle name="Note 2 3 4 9 2 2 2 4" xfId="27422"/>
    <cellStyle name="Note 2 3 4 9 2 2 3" xfId="27423"/>
    <cellStyle name="Note 2 3 4 9 2 2 4" xfId="27424"/>
    <cellStyle name="Note 2 3 4 9 2 2 5" xfId="27425"/>
    <cellStyle name="Note 2 3 4 9 2 2 6" xfId="27426"/>
    <cellStyle name="Note 2 3 4 9 2 3" xfId="27427"/>
    <cellStyle name="Note 2 3 4 9 2 3 2" xfId="27428"/>
    <cellStyle name="Note 2 3 4 9 2 3 3" xfId="27429"/>
    <cellStyle name="Note 2 3 4 9 2 3 4" xfId="27430"/>
    <cellStyle name="Note 2 3 4 9 2 4" xfId="27431"/>
    <cellStyle name="Note 2 3 4 9 2 5" xfId="27432"/>
    <cellStyle name="Note 2 3 4 9 2 6" xfId="27433"/>
    <cellStyle name="Note 2 3 4 9 2 7" xfId="27434"/>
    <cellStyle name="Note 2 3 4 9 3" xfId="27435"/>
    <cellStyle name="Note 2 3 4 9 3 2" xfId="27436"/>
    <cellStyle name="Note 2 3 4 9 3 2 2" xfId="27437"/>
    <cellStyle name="Note 2 3 4 9 3 2 3" xfId="27438"/>
    <cellStyle name="Note 2 3 4 9 3 2 4" xfId="27439"/>
    <cellStyle name="Note 2 3 4 9 3 3" xfId="27440"/>
    <cellStyle name="Note 2 3 4 9 3 4" xfId="27441"/>
    <cellStyle name="Note 2 3 4 9 3 5" xfId="27442"/>
    <cellStyle name="Note 2 3 4 9 3 6" xfId="27443"/>
    <cellStyle name="Note 2 3 4 9 4" xfId="27444"/>
    <cellStyle name="Note 2 3 4 9 4 2" xfId="27445"/>
    <cellStyle name="Note 2 3 4 9 4 3" xfId="27446"/>
    <cellStyle name="Note 2 3 4 9 4 4" xfId="27447"/>
    <cellStyle name="Note 2 3 4 9 4 5" xfId="27448"/>
    <cellStyle name="Note 2 3 4 9 5" xfId="27449"/>
    <cellStyle name="Note 2 3 4 9 5 2" xfId="27450"/>
    <cellStyle name="Note 2 3 4 9 5 3" xfId="27451"/>
    <cellStyle name="Note 2 3 4 9 5 4" xfId="27452"/>
    <cellStyle name="Note 2 3 4 9 6" xfId="27453"/>
    <cellStyle name="Note 2 3 4 9 6 2" xfId="27454"/>
    <cellStyle name="Note 2 3 4 9 6 3" xfId="27455"/>
    <cellStyle name="Note 2 3 4 9 6 4" xfId="27456"/>
    <cellStyle name="Note 2 3 4 9 7" xfId="27457"/>
    <cellStyle name="Note 2 3 4 9 7 2" xfId="27458"/>
    <cellStyle name="Note 2 3 4 9 7 3" xfId="27459"/>
    <cellStyle name="Note 2 3 4 9 7 4" xfId="27460"/>
    <cellStyle name="Note 2 3 4 9 8" xfId="27461"/>
    <cellStyle name="Note 2 3 4 9 9" xfId="27462"/>
    <cellStyle name="Note 2 3 40" xfId="54978"/>
    <cellStyle name="Note 2 3 5" xfId="708"/>
    <cellStyle name="Note 2 3 5 2" xfId="709"/>
    <cellStyle name="Note 2 3 5 2 2" xfId="27463"/>
    <cellStyle name="Note 2 3 5 3" xfId="710"/>
    <cellStyle name="Note 2 3 5 4" xfId="27464"/>
    <cellStyle name="Note 2 3 5 5" xfId="27465"/>
    <cellStyle name="Note 2 3 5 6" xfId="27466"/>
    <cellStyle name="Note 2 3 6" xfId="711"/>
    <cellStyle name="Note 2 3 6 2" xfId="712"/>
    <cellStyle name="Note 2 3 6 2 2" xfId="27467"/>
    <cellStyle name="Note 2 3 6 3" xfId="713"/>
    <cellStyle name="Note 2 3 6 4" xfId="27468"/>
    <cellStyle name="Note 2 3 7" xfId="714"/>
    <cellStyle name="Note 2 3 7 2" xfId="715"/>
    <cellStyle name="Note 2 3 7 3" xfId="716"/>
    <cellStyle name="Note 2 3 8" xfId="717"/>
    <cellStyle name="Note 2 3 8 10" xfId="27469"/>
    <cellStyle name="Note 2 3 8 2" xfId="718"/>
    <cellStyle name="Note 2 3 8 2 2" xfId="27470"/>
    <cellStyle name="Note 2 3 8 2 2 2" xfId="27471"/>
    <cellStyle name="Note 2 3 8 2 2 3" xfId="27472"/>
    <cellStyle name="Note 2 3 8 2 2 4" xfId="27473"/>
    <cellStyle name="Note 2 3 8 2 3" xfId="27474"/>
    <cellStyle name="Note 2 3 8 2 3 2" xfId="27475"/>
    <cellStyle name="Note 2 3 8 2 3 3" xfId="27476"/>
    <cellStyle name="Note 2 3 8 2 3 4" xfId="27477"/>
    <cellStyle name="Note 2 3 8 2 4" xfId="27478"/>
    <cellStyle name="Note 2 3 8 2 5" xfId="27479"/>
    <cellStyle name="Note 2 3 8 2 6" xfId="27480"/>
    <cellStyle name="Note 2 3 8 2 7" xfId="27481"/>
    <cellStyle name="Note 2 3 8 3" xfId="719"/>
    <cellStyle name="Note 2 3 8 3 2" xfId="27482"/>
    <cellStyle name="Note 2 3 8 3 2 2" xfId="27483"/>
    <cellStyle name="Note 2 3 8 3 2 3" xfId="27484"/>
    <cellStyle name="Note 2 3 8 3 2 4" xfId="27485"/>
    <cellStyle name="Note 2 3 8 3 3" xfId="27486"/>
    <cellStyle name="Note 2 3 8 3 3 2" xfId="27487"/>
    <cellStyle name="Note 2 3 8 3 3 3" xfId="27488"/>
    <cellStyle name="Note 2 3 8 3 3 4" xfId="27489"/>
    <cellStyle name="Note 2 3 8 3 4" xfId="27490"/>
    <cellStyle name="Note 2 3 8 3 5" xfId="27491"/>
    <cellStyle name="Note 2 3 8 3 6" xfId="27492"/>
    <cellStyle name="Note 2 3 8 3 7" xfId="27493"/>
    <cellStyle name="Note 2 3 8 4" xfId="27494"/>
    <cellStyle name="Note 2 3 8 4 2" xfId="27495"/>
    <cellStyle name="Note 2 3 8 4 3" xfId="27496"/>
    <cellStyle name="Note 2 3 8 4 4" xfId="27497"/>
    <cellStyle name="Note 2 3 8 5" xfId="27498"/>
    <cellStyle name="Note 2 3 8 5 2" xfId="27499"/>
    <cellStyle name="Note 2 3 8 5 3" xfId="27500"/>
    <cellStyle name="Note 2 3 8 5 4" xfId="27501"/>
    <cellStyle name="Note 2 3 8 6" xfId="27502"/>
    <cellStyle name="Note 2 3 8 7" xfId="27503"/>
    <cellStyle name="Note 2 3 8 8" xfId="27504"/>
    <cellStyle name="Note 2 3 8 9" xfId="27505"/>
    <cellStyle name="Note 2 3 9" xfId="720"/>
    <cellStyle name="Note 2 3 9 2" xfId="721"/>
    <cellStyle name="Note 2 3 9 3" xfId="722"/>
    <cellStyle name="Note 2 30" xfId="27506"/>
    <cellStyle name="Note 2 30 10" xfId="27507"/>
    <cellStyle name="Note 2 30 11" xfId="27508"/>
    <cellStyle name="Note 2 30 2" xfId="27509"/>
    <cellStyle name="Note 2 30 2 2" xfId="54979"/>
    <cellStyle name="Note 2 30 2 3" xfId="54980"/>
    <cellStyle name="Note 2 30 2 4" xfId="54981"/>
    <cellStyle name="Note 2 30 3" xfId="27510"/>
    <cellStyle name="Note 2 30 3 2" xfId="54982"/>
    <cellStyle name="Note 2 30 3 3" xfId="54983"/>
    <cellStyle name="Note 2 30 3 4" xfId="54984"/>
    <cellStyle name="Note 2 30 4" xfId="27511"/>
    <cellStyle name="Note 2 30 5" xfId="27512"/>
    <cellStyle name="Note 2 30 6" xfId="27513"/>
    <cellStyle name="Note 2 30 7" xfId="27514"/>
    <cellStyle name="Note 2 30 8" xfId="27515"/>
    <cellStyle name="Note 2 30 9" xfId="27516"/>
    <cellStyle name="Note 2 31" xfId="27517"/>
    <cellStyle name="Note 2 31 2" xfId="54985"/>
    <cellStyle name="Note 2 31 2 2" xfId="54986"/>
    <cellStyle name="Note 2 31 2 3" xfId="54987"/>
    <cellStyle name="Note 2 31 2 4" xfId="54988"/>
    <cellStyle name="Note 2 31 3" xfId="54989"/>
    <cellStyle name="Note 2 31 3 2" xfId="54990"/>
    <cellStyle name="Note 2 31 3 3" xfId="54991"/>
    <cellStyle name="Note 2 31 3 4" xfId="54992"/>
    <cellStyle name="Note 2 31 4" xfId="54993"/>
    <cellStyle name="Note 2 31 5" xfId="54994"/>
    <cellStyle name="Note 2 31 6" xfId="54995"/>
    <cellStyle name="Note 2 32" xfId="27518"/>
    <cellStyle name="Note 2 32 2" xfId="54996"/>
    <cellStyle name="Note 2 32 3" xfId="54997"/>
    <cellStyle name="Note 2 32 4" xfId="54998"/>
    <cellStyle name="Note 2 33" xfId="27519"/>
    <cellStyle name="Note 2 34" xfId="27520"/>
    <cellStyle name="Note 2 35" xfId="27521"/>
    <cellStyle name="Note 2 36" xfId="27522"/>
    <cellStyle name="Note 2 37" xfId="27523"/>
    <cellStyle name="Note 2 38" xfId="27524"/>
    <cellStyle name="Note 2 39" xfId="27525"/>
    <cellStyle name="Note 2 4" xfId="207"/>
    <cellStyle name="Note 2 4 10" xfId="723"/>
    <cellStyle name="Note 2 4 10 2" xfId="724"/>
    <cellStyle name="Note 2 4 10 3" xfId="725"/>
    <cellStyle name="Note 2 4 11" xfId="726"/>
    <cellStyle name="Note 2 4 11 2" xfId="727"/>
    <cellStyle name="Note 2 4 11 3" xfId="728"/>
    <cellStyle name="Note 2 4 12" xfId="729"/>
    <cellStyle name="Note 2 4 12 2" xfId="730"/>
    <cellStyle name="Note 2 4 12 3" xfId="731"/>
    <cellStyle name="Note 2 4 13" xfId="732"/>
    <cellStyle name="Note 2 4 13 2" xfId="733"/>
    <cellStyle name="Note 2 4 13 3" xfId="734"/>
    <cellStyle name="Note 2 4 14" xfId="735"/>
    <cellStyle name="Note 2 4 15" xfId="736"/>
    <cellStyle name="Note 2 4 16" xfId="27526"/>
    <cellStyle name="Note 2 4 17" xfId="27527"/>
    <cellStyle name="Note 2 4 18" xfId="27528"/>
    <cellStyle name="Note 2 4 19" xfId="27529"/>
    <cellStyle name="Note 2 4 2" xfId="737"/>
    <cellStyle name="Note 2 4 2 2" xfId="738"/>
    <cellStyle name="Note 2 4 2 2 2" xfId="27530"/>
    <cellStyle name="Note 2 4 2 2 2 2" xfId="27531"/>
    <cellStyle name="Note 2 4 2 2 3" xfId="27532"/>
    <cellStyle name="Note 2 4 2 2 4" xfId="27533"/>
    <cellStyle name="Note 2 4 2 3" xfId="27534"/>
    <cellStyle name="Note 2 4 2 3 2" xfId="27535"/>
    <cellStyle name="Note 2 4 2 3 2 2" xfId="27536"/>
    <cellStyle name="Note 2 4 2 3 3" xfId="27537"/>
    <cellStyle name="Note 2 4 2 4" xfId="27538"/>
    <cellStyle name="Note 2 4 2 4 2" xfId="27539"/>
    <cellStyle name="Note 2 4 2 5" xfId="27540"/>
    <cellStyle name="Note 2 4 2 6" xfId="27541"/>
    <cellStyle name="Note 2 4 2 7" xfId="27542"/>
    <cellStyle name="Note 2 4 2 8" xfId="27543"/>
    <cellStyle name="Note 2 4 2 9" xfId="27544"/>
    <cellStyle name="Note 2 4 20" xfId="27545"/>
    <cellStyle name="Note 2 4 21" xfId="27546"/>
    <cellStyle name="Note 2 4 22" xfId="27547"/>
    <cellStyle name="Note 2 4 23" xfId="54999"/>
    <cellStyle name="Note 2 4 24" xfId="55000"/>
    <cellStyle name="Note 2 4 25" xfId="55001"/>
    <cellStyle name="Note 2 4 26" xfId="55002"/>
    <cellStyle name="Note 2 4 27" xfId="55003"/>
    <cellStyle name="Note 2 4 28" xfId="55004"/>
    <cellStyle name="Note 2 4 29" xfId="55005"/>
    <cellStyle name="Note 2 4 3" xfId="739"/>
    <cellStyle name="Note 2 4 3 2" xfId="740"/>
    <cellStyle name="Note 2 4 3 2 2" xfId="27548"/>
    <cellStyle name="Note 2 4 3 3" xfId="27549"/>
    <cellStyle name="Note 2 4 3 4" xfId="27550"/>
    <cellStyle name="Note 2 4 3 5" xfId="27551"/>
    <cellStyle name="Note 2 4 3 6" xfId="55006"/>
    <cellStyle name="Note 2 4 30" xfId="55007"/>
    <cellStyle name="Note 2 4 31" xfId="55008"/>
    <cellStyle name="Note 2 4 32" xfId="55009"/>
    <cellStyle name="Note 2 4 33" xfId="55010"/>
    <cellStyle name="Note 2 4 34" xfId="55011"/>
    <cellStyle name="Note 2 4 35" xfId="55012"/>
    <cellStyle name="Note 2 4 36" xfId="55013"/>
    <cellStyle name="Note 2 4 37" xfId="55014"/>
    <cellStyle name="Note 2 4 38" xfId="55015"/>
    <cellStyle name="Note 2 4 39" xfId="55016"/>
    <cellStyle name="Note 2 4 4" xfId="741"/>
    <cellStyle name="Note 2 4 4 2" xfId="742"/>
    <cellStyle name="Note 2 4 4 2 2" xfId="27552"/>
    <cellStyle name="Note 2 4 4 3" xfId="743"/>
    <cellStyle name="Note 2 4 4 4" xfId="55017"/>
    <cellStyle name="Note 2 4 4 5" xfId="55018"/>
    <cellStyle name="Note 2 4 4 6" xfId="55019"/>
    <cellStyle name="Note 2 4 40" xfId="55020"/>
    <cellStyle name="Note 2 4 5" xfId="744"/>
    <cellStyle name="Note 2 4 5 2" xfId="745"/>
    <cellStyle name="Note 2 4 5 3" xfId="746"/>
    <cellStyle name="Note 2 4 5 4" xfId="55021"/>
    <cellStyle name="Note 2 4 5 5" xfId="55022"/>
    <cellStyle name="Note 2 4 5 6" xfId="55023"/>
    <cellStyle name="Note 2 4 6" xfId="747"/>
    <cellStyle name="Note 2 4 6 2" xfId="748"/>
    <cellStyle name="Note 2 4 6 3" xfId="749"/>
    <cellStyle name="Note 2 4 7" xfId="750"/>
    <cellStyle name="Note 2 4 7 2" xfId="751"/>
    <cellStyle name="Note 2 4 7 3" xfId="752"/>
    <cellStyle name="Note 2 4 8" xfId="753"/>
    <cellStyle name="Note 2 4 8 2" xfId="754"/>
    <cellStyle name="Note 2 4 8 3" xfId="755"/>
    <cellStyle name="Note 2 4 9" xfId="756"/>
    <cellStyle name="Note 2 4 9 2" xfId="757"/>
    <cellStyle name="Note 2 4 9 3" xfId="758"/>
    <cellStyle name="Note 2 40" xfId="27553"/>
    <cellStyle name="Note 2 41" xfId="27554"/>
    <cellStyle name="Note 2 42" xfId="27555"/>
    <cellStyle name="Note 2 43" xfId="27556"/>
    <cellStyle name="Note 2 44" xfId="27557"/>
    <cellStyle name="Note 2 45" xfId="55024"/>
    <cellStyle name="Note 2 46" xfId="55025"/>
    <cellStyle name="Note 2 47" xfId="55026"/>
    <cellStyle name="Note 2 48" xfId="55027"/>
    <cellStyle name="Note 2 49" xfId="55028"/>
    <cellStyle name="Note 2 5" xfId="208"/>
    <cellStyle name="Note 2 5 10" xfId="27558"/>
    <cellStyle name="Note 2 5 10 2" xfId="27559"/>
    <cellStyle name="Note 2 5 10 3" xfId="27560"/>
    <cellStyle name="Note 2 5 10 4" xfId="27561"/>
    <cellStyle name="Note 2 5 11" xfId="27562"/>
    <cellStyle name="Note 2 5 11 2" xfId="27563"/>
    <cellStyle name="Note 2 5 11 3" xfId="27564"/>
    <cellStyle name="Note 2 5 11 4" xfId="27565"/>
    <cellStyle name="Note 2 5 12" xfId="27566"/>
    <cellStyle name="Note 2 5 12 2" xfId="27567"/>
    <cellStyle name="Note 2 5 12 3" xfId="27568"/>
    <cellStyle name="Note 2 5 12 4" xfId="27569"/>
    <cellStyle name="Note 2 5 13" xfId="27570"/>
    <cellStyle name="Note 2 5 13 2" xfId="27571"/>
    <cellStyle name="Note 2 5 13 3" xfId="27572"/>
    <cellStyle name="Note 2 5 13 4" xfId="27573"/>
    <cellStyle name="Note 2 5 14" xfId="27574"/>
    <cellStyle name="Note 2 5 15" xfId="27575"/>
    <cellStyle name="Note 2 5 16" xfId="27576"/>
    <cellStyle name="Note 2 5 17" xfId="27577"/>
    <cellStyle name="Note 2 5 18" xfId="27578"/>
    <cellStyle name="Note 2 5 19" xfId="27579"/>
    <cellStyle name="Note 2 5 2" xfId="759"/>
    <cellStyle name="Note 2 5 2 10" xfId="27580"/>
    <cellStyle name="Note 2 5 2 2" xfId="27581"/>
    <cellStyle name="Note 2 5 2 2 2" xfId="27582"/>
    <cellStyle name="Note 2 5 2 2 2 2" xfId="27583"/>
    <cellStyle name="Note 2 5 2 2 3" xfId="27584"/>
    <cellStyle name="Note 2 5 2 2 4" xfId="27585"/>
    <cellStyle name="Note 2 5 2 3" xfId="27586"/>
    <cellStyle name="Note 2 5 2 3 2" xfId="27587"/>
    <cellStyle name="Note 2 5 2 3 2 2" xfId="27588"/>
    <cellStyle name="Note 2 5 2 3 3" xfId="27589"/>
    <cellStyle name="Note 2 5 2 4" xfId="27590"/>
    <cellStyle name="Note 2 5 2 4 2" xfId="27591"/>
    <cellStyle name="Note 2 5 2 5" xfId="27592"/>
    <cellStyle name="Note 2 5 2 6" xfId="27593"/>
    <cellStyle name="Note 2 5 2 6 2" xfId="27594"/>
    <cellStyle name="Note 2 5 2 6 3" xfId="27595"/>
    <cellStyle name="Note 2 5 2 6 4" xfId="27596"/>
    <cellStyle name="Note 2 5 2 7" xfId="27597"/>
    <cellStyle name="Note 2 5 2 8" xfId="27598"/>
    <cellStyle name="Note 2 5 2 9" xfId="27599"/>
    <cellStyle name="Note 2 5 20" xfId="27600"/>
    <cellStyle name="Note 2 5 21" xfId="27601"/>
    <cellStyle name="Note 2 5 22" xfId="27602"/>
    <cellStyle name="Note 2 5 23" xfId="27603"/>
    <cellStyle name="Note 2 5 24" xfId="27604"/>
    <cellStyle name="Note 2 5 25" xfId="27605"/>
    <cellStyle name="Note 2 5 26" xfId="27606"/>
    <cellStyle name="Note 2 5 27" xfId="27607"/>
    <cellStyle name="Note 2 5 28" xfId="27608"/>
    <cellStyle name="Note 2 5 29" xfId="27609"/>
    <cellStyle name="Note 2 5 3" xfId="760"/>
    <cellStyle name="Note 2 5 3 2" xfId="27610"/>
    <cellStyle name="Note 2 5 3 2 2" xfId="27611"/>
    <cellStyle name="Note 2 5 3 3" xfId="27612"/>
    <cellStyle name="Note 2 5 3 4" xfId="27613"/>
    <cellStyle name="Note 2 5 3 4 2" xfId="27614"/>
    <cellStyle name="Note 2 5 3 4 3" xfId="27615"/>
    <cellStyle name="Note 2 5 3 4 4" xfId="27616"/>
    <cellStyle name="Note 2 5 3 5" xfId="27617"/>
    <cellStyle name="Note 2 5 3 6" xfId="27618"/>
    <cellStyle name="Note 2 5 3 7" xfId="27619"/>
    <cellStyle name="Note 2 5 3 8" xfId="27620"/>
    <cellStyle name="Note 2 5 30" xfId="55029"/>
    <cellStyle name="Note 2 5 31" xfId="55030"/>
    <cellStyle name="Note 2 5 32" xfId="55031"/>
    <cellStyle name="Note 2 5 33" xfId="55032"/>
    <cellStyle name="Note 2 5 34" xfId="55033"/>
    <cellStyle name="Note 2 5 35" xfId="55034"/>
    <cellStyle name="Note 2 5 36" xfId="55035"/>
    <cellStyle name="Note 2 5 37" xfId="55036"/>
    <cellStyle name="Note 2 5 38" xfId="55037"/>
    <cellStyle name="Note 2 5 39" xfId="55038"/>
    <cellStyle name="Note 2 5 4" xfId="27621"/>
    <cellStyle name="Note 2 5 4 2" xfId="27622"/>
    <cellStyle name="Note 2 5 4 2 2" xfId="27623"/>
    <cellStyle name="Note 2 5 4 3" xfId="27624"/>
    <cellStyle name="Note 2 5 4 3 2" xfId="27625"/>
    <cellStyle name="Note 2 5 4 3 3" xfId="27626"/>
    <cellStyle name="Note 2 5 4 3 4" xfId="27627"/>
    <cellStyle name="Note 2 5 4 4" xfId="27628"/>
    <cellStyle name="Note 2 5 4 5" xfId="27629"/>
    <cellStyle name="Note 2 5 4 6" xfId="27630"/>
    <cellStyle name="Note 2 5 4 7" xfId="27631"/>
    <cellStyle name="Note 2 5 40" xfId="55039"/>
    <cellStyle name="Note 2 5 5" xfId="27632"/>
    <cellStyle name="Note 2 5 5 2" xfId="27633"/>
    <cellStyle name="Note 2 5 5 2 2" xfId="27634"/>
    <cellStyle name="Note 2 5 5 2 3" xfId="27635"/>
    <cellStyle name="Note 2 5 5 2 4" xfId="27636"/>
    <cellStyle name="Note 2 5 5 3" xfId="27637"/>
    <cellStyle name="Note 2 5 5 4" xfId="27638"/>
    <cellStyle name="Note 2 5 5 5" xfId="27639"/>
    <cellStyle name="Note 2 5 5 6" xfId="27640"/>
    <cellStyle name="Note 2 5 6" xfId="27641"/>
    <cellStyle name="Note 2 5 6 10" xfId="27642"/>
    <cellStyle name="Note 2 5 6 2" xfId="27643"/>
    <cellStyle name="Note 2 5 6 2 2" xfId="27644"/>
    <cellStyle name="Note 2 5 6 2 2 2" xfId="27645"/>
    <cellStyle name="Note 2 5 6 2 2 3" xfId="27646"/>
    <cellStyle name="Note 2 5 6 2 2 4" xfId="27647"/>
    <cellStyle name="Note 2 5 6 2 3" xfId="27648"/>
    <cellStyle name="Note 2 5 6 2 3 2" xfId="27649"/>
    <cellStyle name="Note 2 5 6 2 3 3" xfId="27650"/>
    <cellStyle name="Note 2 5 6 2 3 4" xfId="27651"/>
    <cellStyle name="Note 2 5 6 2 4" xfId="27652"/>
    <cellStyle name="Note 2 5 6 2 5" xfId="27653"/>
    <cellStyle name="Note 2 5 6 2 6" xfId="27654"/>
    <cellStyle name="Note 2 5 6 2 7" xfId="27655"/>
    <cellStyle name="Note 2 5 6 3" xfId="27656"/>
    <cellStyle name="Note 2 5 6 3 2" xfId="27657"/>
    <cellStyle name="Note 2 5 6 3 2 2" xfId="27658"/>
    <cellStyle name="Note 2 5 6 3 2 3" xfId="27659"/>
    <cellStyle name="Note 2 5 6 3 2 4" xfId="27660"/>
    <cellStyle name="Note 2 5 6 3 3" xfId="27661"/>
    <cellStyle name="Note 2 5 6 3 3 2" xfId="27662"/>
    <cellStyle name="Note 2 5 6 3 3 3" xfId="27663"/>
    <cellStyle name="Note 2 5 6 3 3 4" xfId="27664"/>
    <cellStyle name="Note 2 5 6 3 4" xfId="27665"/>
    <cellStyle name="Note 2 5 6 3 5" xfId="27666"/>
    <cellStyle name="Note 2 5 6 3 6" xfId="27667"/>
    <cellStyle name="Note 2 5 6 3 7" xfId="27668"/>
    <cellStyle name="Note 2 5 6 4" xfId="27669"/>
    <cellStyle name="Note 2 5 6 4 2" xfId="27670"/>
    <cellStyle name="Note 2 5 6 4 3" xfId="27671"/>
    <cellStyle name="Note 2 5 6 4 4" xfId="27672"/>
    <cellStyle name="Note 2 5 6 5" xfId="27673"/>
    <cellStyle name="Note 2 5 6 5 2" xfId="27674"/>
    <cellStyle name="Note 2 5 6 5 3" xfId="27675"/>
    <cellStyle name="Note 2 5 6 5 4" xfId="27676"/>
    <cellStyle name="Note 2 5 6 6" xfId="27677"/>
    <cellStyle name="Note 2 5 6 6 2" xfId="27678"/>
    <cellStyle name="Note 2 5 6 6 3" xfId="27679"/>
    <cellStyle name="Note 2 5 6 6 4" xfId="27680"/>
    <cellStyle name="Note 2 5 6 7" xfId="27681"/>
    <cellStyle name="Note 2 5 6 8" xfId="27682"/>
    <cellStyle name="Note 2 5 6 9" xfId="27683"/>
    <cellStyle name="Note 2 5 7" xfId="27684"/>
    <cellStyle name="Note 2 5 7 10" xfId="27685"/>
    <cellStyle name="Note 2 5 7 2" xfId="27686"/>
    <cellStyle name="Note 2 5 7 2 2" xfId="27687"/>
    <cellStyle name="Note 2 5 7 2 2 2" xfId="27688"/>
    <cellStyle name="Note 2 5 7 2 2 3" xfId="27689"/>
    <cellStyle name="Note 2 5 7 2 2 4" xfId="27690"/>
    <cellStyle name="Note 2 5 7 2 3" xfId="27691"/>
    <cellStyle name="Note 2 5 7 2 3 2" xfId="27692"/>
    <cellStyle name="Note 2 5 7 2 3 3" xfId="27693"/>
    <cellStyle name="Note 2 5 7 2 3 4" xfId="27694"/>
    <cellStyle name="Note 2 5 7 2 4" xfId="27695"/>
    <cellStyle name="Note 2 5 7 2 5" xfId="27696"/>
    <cellStyle name="Note 2 5 7 2 6" xfId="27697"/>
    <cellStyle name="Note 2 5 7 2 7" xfId="27698"/>
    <cellStyle name="Note 2 5 7 3" xfId="27699"/>
    <cellStyle name="Note 2 5 7 3 2" xfId="27700"/>
    <cellStyle name="Note 2 5 7 3 2 2" xfId="27701"/>
    <cellStyle name="Note 2 5 7 3 2 3" xfId="27702"/>
    <cellStyle name="Note 2 5 7 3 2 4" xfId="27703"/>
    <cellStyle name="Note 2 5 7 3 3" xfId="27704"/>
    <cellStyle name="Note 2 5 7 3 3 2" xfId="27705"/>
    <cellStyle name="Note 2 5 7 3 3 3" xfId="27706"/>
    <cellStyle name="Note 2 5 7 3 3 4" xfId="27707"/>
    <cellStyle name="Note 2 5 7 3 4" xfId="27708"/>
    <cellStyle name="Note 2 5 7 3 5" xfId="27709"/>
    <cellStyle name="Note 2 5 7 3 6" xfId="27710"/>
    <cellStyle name="Note 2 5 7 3 7" xfId="27711"/>
    <cellStyle name="Note 2 5 7 4" xfId="27712"/>
    <cellStyle name="Note 2 5 7 4 2" xfId="27713"/>
    <cellStyle name="Note 2 5 7 4 3" xfId="27714"/>
    <cellStyle name="Note 2 5 7 4 4" xfId="27715"/>
    <cellStyle name="Note 2 5 7 5" xfId="27716"/>
    <cellStyle name="Note 2 5 7 5 2" xfId="27717"/>
    <cellStyle name="Note 2 5 7 5 3" xfId="27718"/>
    <cellStyle name="Note 2 5 7 5 4" xfId="27719"/>
    <cellStyle name="Note 2 5 7 6" xfId="27720"/>
    <cellStyle name="Note 2 5 7 6 2" xfId="27721"/>
    <cellStyle name="Note 2 5 7 6 3" xfId="27722"/>
    <cellStyle name="Note 2 5 7 6 4" xfId="27723"/>
    <cellStyle name="Note 2 5 7 7" xfId="27724"/>
    <cellStyle name="Note 2 5 7 8" xfId="27725"/>
    <cellStyle name="Note 2 5 7 9" xfId="27726"/>
    <cellStyle name="Note 2 5 8" xfId="27727"/>
    <cellStyle name="Note 2 5 8 2" xfId="27728"/>
    <cellStyle name="Note 2 5 8 2 2" xfId="27729"/>
    <cellStyle name="Note 2 5 8 2 3" xfId="27730"/>
    <cellStyle name="Note 2 5 8 2 4" xfId="27731"/>
    <cellStyle name="Note 2 5 8 3" xfId="27732"/>
    <cellStyle name="Note 2 5 8 4" xfId="27733"/>
    <cellStyle name="Note 2 5 9" xfId="27734"/>
    <cellStyle name="Note 2 5 9 2" xfId="27735"/>
    <cellStyle name="Note 2 5 9 3" xfId="27736"/>
    <cellStyle name="Note 2 5 9 4" xfId="27737"/>
    <cellStyle name="Note 2 50" xfId="55040"/>
    <cellStyle name="Note 2 51" xfId="55041"/>
    <cellStyle name="Note 2 52" xfId="55042"/>
    <cellStyle name="Note 2 53" xfId="55043"/>
    <cellStyle name="Note 2 54" xfId="55044"/>
    <cellStyle name="Note 2 55" xfId="55045"/>
    <cellStyle name="Note 2 56" xfId="55046"/>
    <cellStyle name="Note 2 57" xfId="55047"/>
    <cellStyle name="Note 2 58" xfId="55048"/>
    <cellStyle name="Note 2 59" xfId="55049"/>
    <cellStyle name="Note 2 6" xfId="761"/>
    <cellStyle name="Note 2 6 10" xfId="27738"/>
    <cellStyle name="Note 2 6 11" xfId="27739"/>
    <cellStyle name="Note 2 6 12" xfId="27740"/>
    <cellStyle name="Note 2 6 13" xfId="27741"/>
    <cellStyle name="Note 2 6 14" xfId="27742"/>
    <cellStyle name="Note 2 6 15" xfId="27743"/>
    <cellStyle name="Note 2 6 16" xfId="27744"/>
    <cellStyle name="Note 2 6 17" xfId="27745"/>
    <cellStyle name="Note 2 6 18" xfId="27746"/>
    <cellStyle name="Note 2 6 19" xfId="27747"/>
    <cellStyle name="Note 2 6 2" xfId="762"/>
    <cellStyle name="Note 2 6 2 2" xfId="27748"/>
    <cellStyle name="Note 2 6 2 2 2" xfId="27749"/>
    <cellStyle name="Note 2 6 2 2 2 2" xfId="27750"/>
    <cellStyle name="Note 2 6 2 2 3" xfId="27751"/>
    <cellStyle name="Note 2 6 2 2 4" xfId="27752"/>
    <cellStyle name="Note 2 6 2 3" xfId="27753"/>
    <cellStyle name="Note 2 6 2 3 2" xfId="27754"/>
    <cellStyle name="Note 2 6 2 3 2 2" xfId="27755"/>
    <cellStyle name="Note 2 6 2 3 3" xfId="27756"/>
    <cellStyle name="Note 2 6 2 4" xfId="27757"/>
    <cellStyle name="Note 2 6 2 4 2" xfId="27758"/>
    <cellStyle name="Note 2 6 2 5" xfId="27759"/>
    <cellStyle name="Note 2 6 2 6" xfId="27760"/>
    <cellStyle name="Note 2 6 2 7" xfId="27761"/>
    <cellStyle name="Note 2 6 20" xfId="27762"/>
    <cellStyle name="Note 2 6 21" xfId="27763"/>
    <cellStyle name="Note 2 6 22" xfId="55050"/>
    <cellStyle name="Note 2 6 23" xfId="55051"/>
    <cellStyle name="Note 2 6 24" xfId="55052"/>
    <cellStyle name="Note 2 6 25" xfId="55053"/>
    <cellStyle name="Note 2 6 26" xfId="55054"/>
    <cellStyle name="Note 2 6 27" xfId="55055"/>
    <cellStyle name="Note 2 6 28" xfId="55056"/>
    <cellStyle name="Note 2 6 29" xfId="55057"/>
    <cellStyle name="Note 2 6 3" xfId="27764"/>
    <cellStyle name="Note 2 6 3 2" xfId="27765"/>
    <cellStyle name="Note 2 6 3 2 2" xfId="27766"/>
    <cellStyle name="Note 2 6 3 3" xfId="27767"/>
    <cellStyle name="Note 2 6 3 4" xfId="27768"/>
    <cellStyle name="Note 2 6 3 5" xfId="55058"/>
    <cellStyle name="Note 2 6 3 6" xfId="55059"/>
    <cellStyle name="Note 2 6 30" xfId="55060"/>
    <cellStyle name="Note 2 6 31" xfId="55061"/>
    <cellStyle name="Note 2 6 32" xfId="55062"/>
    <cellStyle name="Note 2 6 33" xfId="55063"/>
    <cellStyle name="Note 2 6 34" xfId="55064"/>
    <cellStyle name="Note 2 6 35" xfId="55065"/>
    <cellStyle name="Note 2 6 36" xfId="55066"/>
    <cellStyle name="Note 2 6 37" xfId="55067"/>
    <cellStyle name="Note 2 6 38" xfId="55068"/>
    <cellStyle name="Note 2 6 39" xfId="55069"/>
    <cellStyle name="Note 2 6 4" xfId="27769"/>
    <cellStyle name="Note 2 6 4 2" xfId="27770"/>
    <cellStyle name="Note 2 6 4 2 2" xfId="27771"/>
    <cellStyle name="Note 2 6 4 3" xfId="27772"/>
    <cellStyle name="Note 2 6 4 4" xfId="55070"/>
    <cellStyle name="Note 2 6 4 5" xfId="55071"/>
    <cellStyle name="Note 2 6 4 6" xfId="55072"/>
    <cellStyle name="Note 2 6 40" xfId="55073"/>
    <cellStyle name="Note 2 6 5" xfId="27773"/>
    <cellStyle name="Note 2 6 5 2" xfId="27774"/>
    <cellStyle name="Note 2 6 5 3" xfId="55074"/>
    <cellStyle name="Note 2 6 5 4" xfId="55075"/>
    <cellStyle name="Note 2 6 5 5" xfId="55076"/>
    <cellStyle name="Note 2 6 5 6" xfId="55077"/>
    <cellStyle name="Note 2 6 6" xfId="27775"/>
    <cellStyle name="Note 2 6 7" xfId="27776"/>
    <cellStyle name="Note 2 6 8" xfId="27777"/>
    <cellStyle name="Note 2 6 9" xfId="27778"/>
    <cellStyle name="Note 2 7" xfId="763"/>
    <cellStyle name="Note 2 7 10" xfId="27779"/>
    <cellStyle name="Note 2 7 10 2" xfId="27780"/>
    <cellStyle name="Note 2 7 10 3" xfId="27781"/>
    <cellStyle name="Note 2 7 10 4" xfId="27782"/>
    <cellStyle name="Note 2 7 11" xfId="27783"/>
    <cellStyle name="Note 2 7 11 2" xfId="27784"/>
    <cellStyle name="Note 2 7 11 3" xfId="27785"/>
    <cellStyle name="Note 2 7 11 4" xfId="27786"/>
    <cellStyle name="Note 2 7 12" xfId="27787"/>
    <cellStyle name="Note 2 7 12 2" xfId="27788"/>
    <cellStyle name="Note 2 7 12 3" xfId="27789"/>
    <cellStyle name="Note 2 7 12 4" xfId="27790"/>
    <cellStyle name="Note 2 7 13" xfId="27791"/>
    <cellStyle name="Note 2 7 14" xfId="27792"/>
    <cellStyle name="Note 2 7 15" xfId="27793"/>
    <cellStyle name="Note 2 7 16" xfId="27794"/>
    <cellStyle name="Note 2 7 17" xfId="27795"/>
    <cellStyle name="Note 2 7 18" xfId="27796"/>
    <cellStyle name="Note 2 7 19" xfId="27797"/>
    <cellStyle name="Note 2 7 2" xfId="764"/>
    <cellStyle name="Note 2 7 2 2" xfId="27798"/>
    <cellStyle name="Note 2 7 2 2 2" xfId="27799"/>
    <cellStyle name="Note 2 7 2 3" xfId="27800"/>
    <cellStyle name="Note 2 7 2 4" xfId="27801"/>
    <cellStyle name="Note 2 7 2 4 2" xfId="27802"/>
    <cellStyle name="Note 2 7 2 4 3" xfId="27803"/>
    <cellStyle name="Note 2 7 2 4 4" xfId="27804"/>
    <cellStyle name="Note 2 7 2 5" xfId="27805"/>
    <cellStyle name="Note 2 7 2 6" xfId="27806"/>
    <cellStyle name="Note 2 7 2 7" xfId="27807"/>
    <cellStyle name="Note 2 7 20" xfId="27808"/>
    <cellStyle name="Note 2 7 21" xfId="27809"/>
    <cellStyle name="Note 2 7 22" xfId="27810"/>
    <cellStyle name="Note 2 7 23" xfId="27811"/>
    <cellStyle name="Note 2 7 24" xfId="27812"/>
    <cellStyle name="Note 2 7 25" xfId="27813"/>
    <cellStyle name="Note 2 7 26" xfId="27814"/>
    <cellStyle name="Note 2 7 27" xfId="27815"/>
    <cellStyle name="Note 2 7 28" xfId="27816"/>
    <cellStyle name="Note 2 7 29" xfId="55078"/>
    <cellStyle name="Note 2 7 3" xfId="27817"/>
    <cellStyle name="Note 2 7 3 2" xfId="27818"/>
    <cellStyle name="Note 2 7 3 2 2" xfId="27819"/>
    <cellStyle name="Note 2 7 3 3" xfId="27820"/>
    <cellStyle name="Note 2 7 3 3 2" xfId="27821"/>
    <cellStyle name="Note 2 7 3 3 3" xfId="27822"/>
    <cellStyle name="Note 2 7 3 3 4" xfId="27823"/>
    <cellStyle name="Note 2 7 3 4" xfId="27824"/>
    <cellStyle name="Note 2 7 3 5" xfId="27825"/>
    <cellStyle name="Note 2 7 3 6" xfId="27826"/>
    <cellStyle name="Note 2 7 30" xfId="55079"/>
    <cellStyle name="Note 2 7 31" xfId="55080"/>
    <cellStyle name="Note 2 7 32" xfId="55081"/>
    <cellStyle name="Note 2 7 33" xfId="55082"/>
    <cellStyle name="Note 2 7 34" xfId="55083"/>
    <cellStyle name="Note 2 7 35" xfId="55084"/>
    <cellStyle name="Note 2 7 36" xfId="55085"/>
    <cellStyle name="Note 2 7 37" xfId="55086"/>
    <cellStyle name="Note 2 7 38" xfId="55087"/>
    <cellStyle name="Note 2 7 39" xfId="55088"/>
    <cellStyle name="Note 2 7 4" xfId="27827"/>
    <cellStyle name="Note 2 7 4 2" xfId="27828"/>
    <cellStyle name="Note 2 7 4 2 2" xfId="27829"/>
    <cellStyle name="Note 2 7 4 2 3" xfId="27830"/>
    <cellStyle name="Note 2 7 4 2 4" xfId="27831"/>
    <cellStyle name="Note 2 7 4 3" xfId="27832"/>
    <cellStyle name="Note 2 7 4 4" xfId="27833"/>
    <cellStyle name="Note 2 7 4 5" xfId="27834"/>
    <cellStyle name="Note 2 7 4 6" xfId="55089"/>
    <cellStyle name="Note 2 7 40" xfId="55090"/>
    <cellStyle name="Note 2 7 5" xfId="27835"/>
    <cellStyle name="Note 2 7 5 2" xfId="27836"/>
    <cellStyle name="Note 2 7 5 2 2" xfId="27837"/>
    <cellStyle name="Note 2 7 5 2 3" xfId="27838"/>
    <cellStyle name="Note 2 7 5 2 4" xfId="27839"/>
    <cellStyle name="Note 2 7 5 3" xfId="27840"/>
    <cellStyle name="Note 2 7 5 4" xfId="27841"/>
    <cellStyle name="Note 2 7 5 5" xfId="55091"/>
    <cellStyle name="Note 2 7 5 6" xfId="55092"/>
    <cellStyle name="Note 2 7 6" xfId="27842"/>
    <cellStyle name="Note 2 7 6 2" xfId="27843"/>
    <cellStyle name="Note 2 7 6 3" xfId="27844"/>
    <cellStyle name="Note 2 7 6 4" xfId="27845"/>
    <cellStyle name="Note 2 7 7" xfId="27846"/>
    <cellStyle name="Note 2 7 7 2" xfId="27847"/>
    <cellStyle name="Note 2 7 7 3" xfId="27848"/>
    <cellStyle name="Note 2 7 7 4" xfId="27849"/>
    <cellStyle name="Note 2 7 8" xfId="27850"/>
    <cellStyle name="Note 2 7 8 2" xfId="27851"/>
    <cellStyle name="Note 2 7 8 3" xfId="27852"/>
    <cellStyle name="Note 2 7 8 4" xfId="27853"/>
    <cellStyle name="Note 2 7 9" xfId="27854"/>
    <cellStyle name="Note 2 7 9 2" xfId="27855"/>
    <cellStyle name="Note 2 7 9 3" xfId="27856"/>
    <cellStyle name="Note 2 7 9 4" xfId="27857"/>
    <cellStyle name="Note 2 8" xfId="765"/>
    <cellStyle name="Note 2 8 10" xfId="27858"/>
    <cellStyle name="Note 2 8 11" xfId="27859"/>
    <cellStyle name="Note 2 8 12" xfId="27860"/>
    <cellStyle name="Note 2 8 13" xfId="27861"/>
    <cellStyle name="Note 2 8 14" xfId="27862"/>
    <cellStyle name="Note 2 8 15" xfId="27863"/>
    <cellStyle name="Note 2 8 16" xfId="27864"/>
    <cellStyle name="Note 2 8 17" xfId="27865"/>
    <cellStyle name="Note 2 8 18" xfId="27866"/>
    <cellStyle name="Note 2 8 19" xfId="27867"/>
    <cellStyle name="Note 2 8 2" xfId="766"/>
    <cellStyle name="Note 2 8 2 2" xfId="27868"/>
    <cellStyle name="Note 2 8 2 2 2" xfId="27869"/>
    <cellStyle name="Note 2 8 2 3" xfId="27870"/>
    <cellStyle name="Note 2 8 2 4" xfId="27871"/>
    <cellStyle name="Note 2 8 2 5" xfId="55093"/>
    <cellStyle name="Note 2 8 2 6" xfId="55094"/>
    <cellStyle name="Note 2 8 20" xfId="27872"/>
    <cellStyle name="Note 2 8 21" xfId="55095"/>
    <cellStyle name="Note 2 8 22" xfId="55096"/>
    <cellStyle name="Note 2 8 23" xfId="55097"/>
    <cellStyle name="Note 2 8 24" xfId="55098"/>
    <cellStyle name="Note 2 8 25" xfId="55099"/>
    <cellStyle name="Note 2 8 26" xfId="55100"/>
    <cellStyle name="Note 2 8 27" xfId="55101"/>
    <cellStyle name="Note 2 8 28" xfId="55102"/>
    <cellStyle name="Note 2 8 29" xfId="55103"/>
    <cellStyle name="Note 2 8 3" xfId="767"/>
    <cellStyle name="Note 2 8 3 2" xfId="27873"/>
    <cellStyle name="Note 2 8 3 2 2" xfId="27874"/>
    <cellStyle name="Note 2 8 3 3" xfId="27875"/>
    <cellStyle name="Note 2 8 3 4" xfId="55104"/>
    <cellStyle name="Note 2 8 3 5" xfId="55105"/>
    <cellStyle name="Note 2 8 3 6" xfId="55106"/>
    <cellStyle name="Note 2 8 30" xfId="55107"/>
    <cellStyle name="Note 2 8 31" xfId="55108"/>
    <cellStyle name="Note 2 8 32" xfId="55109"/>
    <cellStyle name="Note 2 8 33" xfId="55110"/>
    <cellStyle name="Note 2 8 34" xfId="55111"/>
    <cellStyle name="Note 2 8 35" xfId="55112"/>
    <cellStyle name="Note 2 8 36" xfId="55113"/>
    <cellStyle name="Note 2 8 37" xfId="55114"/>
    <cellStyle name="Note 2 8 38" xfId="55115"/>
    <cellStyle name="Note 2 8 39" xfId="55116"/>
    <cellStyle name="Note 2 8 4" xfId="27876"/>
    <cellStyle name="Note 2 8 4 2" xfId="27877"/>
    <cellStyle name="Note 2 8 4 3" xfId="55117"/>
    <cellStyle name="Note 2 8 4 4" xfId="55118"/>
    <cellStyle name="Note 2 8 4 5" xfId="55119"/>
    <cellStyle name="Note 2 8 4 6" xfId="55120"/>
    <cellStyle name="Note 2 8 40" xfId="55121"/>
    <cellStyle name="Note 2 8 5" xfId="27878"/>
    <cellStyle name="Note 2 8 5 2" xfId="55122"/>
    <cellStyle name="Note 2 8 5 3" xfId="55123"/>
    <cellStyle name="Note 2 8 5 4" xfId="55124"/>
    <cellStyle name="Note 2 8 5 5" xfId="55125"/>
    <cellStyle name="Note 2 8 5 6" xfId="55126"/>
    <cellStyle name="Note 2 8 6" xfId="27879"/>
    <cellStyle name="Note 2 8 7" xfId="27880"/>
    <cellStyle name="Note 2 8 8" xfId="27881"/>
    <cellStyle name="Note 2 8 9" xfId="27882"/>
    <cellStyle name="Note 2 9" xfId="768"/>
    <cellStyle name="Note 2 9 10" xfId="27883"/>
    <cellStyle name="Note 2 9 11" xfId="27884"/>
    <cellStyle name="Note 2 9 12" xfId="27885"/>
    <cellStyle name="Note 2 9 13" xfId="27886"/>
    <cellStyle name="Note 2 9 14" xfId="27887"/>
    <cellStyle name="Note 2 9 15" xfId="27888"/>
    <cellStyle name="Note 2 9 16" xfId="27889"/>
    <cellStyle name="Note 2 9 17" xfId="27890"/>
    <cellStyle name="Note 2 9 18" xfId="27891"/>
    <cellStyle name="Note 2 9 19" xfId="27892"/>
    <cellStyle name="Note 2 9 2" xfId="769"/>
    <cellStyle name="Note 2 9 2 2" xfId="27893"/>
    <cellStyle name="Note 2 9 2 2 2" xfId="27894"/>
    <cellStyle name="Note 2 9 2 3" xfId="27895"/>
    <cellStyle name="Note 2 9 2 4" xfId="27896"/>
    <cellStyle name="Note 2 9 2 5" xfId="55127"/>
    <cellStyle name="Note 2 9 2 6" xfId="55128"/>
    <cellStyle name="Note 2 9 20" xfId="55129"/>
    <cellStyle name="Note 2 9 21" xfId="55130"/>
    <cellStyle name="Note 2 9 22" xfId="55131"/>
    <cellStyle name="Note 2 9 23" xfId="55132"/>
    <cellStyle name="Note 2 9 24" xfId="55133"/>
    <cellStyle name="Note 2 9 25" xfId="55134"/>
    <cellStyle name="Note 2 9 26" xfId="55135"/>
    <cellStyle name="Note 2 9 27" xfId="55136"/>
    <cellStyle name="Note 2 9 28" xfId="55137"/>
    <cellStyle name="Note 2 9 29" xfId="55138"/>
    <cellStyle name="Note 2 9 3" xfId="770"/>
    <cellStyle name="Note 2 9 3 2" xfId="27897"/>
    <cellStyle name="Note 2 9 3 2 2" xfId="27898"/>
    <cellStyle name="Note 2 9 3 3" xfId="27899"/>
    <cellStyle name="Note 2 9 3 4" xfId="55139"/>
    <cellStyle name="Note 2 9 3 5" xfId="55140"/>
    <cellStyle name="Note 2 9 3 6" xfId="55141"/>
    <cellStyle name="Note 2 9 30" xfId="55142"/>
    <cellStyle name="Note 2 9 31" xfId="55143"/>
    <cellStyle name="Note 2 9 32" xfId="55144"/>
    <cellStyle name="Note 2 9 33" xfId="55145"/>
    <cellStyle name="Note 2 9 34" xfId="55146"/>
    <cellStyle name="Note 2 9 35" xfId="55147"/>
    <cellStyle name="Note 2 9 36" xfId="55148"/>
    <cellStyle name="Note 2 9 37" xfId="55149"/>
    <cellStyle name="Note 2 9 38" xfId="55150"/>
    <cellStyle name="Note 2 9 39" xfId="55151"/>
    <cellStyle name="Note 2 9 4" xfId="27900"/>
    <cellStyle name="Note 2 9 4 2" xfId="27901"/>
    <cellStyle name="Note 2 9 4 3" xfId="55152"/>
    <cellStyle name="Note 2 9 4 4" xfId="55153"/>
    <cellStyle name="Note 2 9 4 5" xfId="55154"/>
    <cellStyle name="Note 2 9 4 6" xfId="55155"/>
    <cellStyle name="Note 2 9 40" xfId="55156"/>
    <cellStyle name="Note 2 9 5" xfId="27902"/>
    <cellStyle name="Note 2 9 5 2" xfId="55157"/>
    <cellStyle name="Note 2 9 5 3" xfId="55158"/>
    <cellStyle name="Note 2 9 5 4" xfId="55159"/>
    <cellStyle name="Note 2 9 5 5" xfId="55160"/>
    <cellStyle name="Note 2 9 5 6" xfId="55161"/>
    <cellStyle name="Note 2 9 6" xfId="27903"/>
    <cellStyle name="Note 2 9 7" xfId="27904"/>
    <cellStyle name="Note 2 9 8" xfId="27905"/>
    <cellStyle name="Note 2 9 9" xfId="27906"/>
    <cellStyle name="Note 2_~9868926" xfId="55162"/>
    <cellStyle name="Note 3" xfId="209"/>
    <cellStyle name="Note 3 10" xfId="27907"/>
    <cellStyle name="Note 3 10 2" xfId="27908"/>
    <cellStyle name="Note 3 10 2 2" xfId="27909"/>
    <cellStyle name="Note 3 10 2 3" xfId="55163"/>
    <cellStyle name="Note 3 10 2 4" xfId="55164"/>
    <cellStyle name="Note 3 10 3" xfId="27910"/>
    <cellStyle name="Note 3 10 3 2" xfId="55165"/>
    <cellStyle name="Note 3 10 3 3" xfId="55166"/>
    <cellStyle name="Note 3 10 3 4" xfId="55167"/>
    <cellStyle name="Note 3 10 4" xfId="55168"/>
    <cellStyle name="Note 3 10 5" xfId="55169"/>
    <cellStyle name="Note 3 10 6" xfId="55170"/>
    <cellStyle name="Note 3 11" xfId="27911"/>
    <cellStyle name="Note 3 11 2" xfId="27912"/>
    <cellStyle name="Note 3 11 2 2" xfId="55171"/>
    <cellStyle name="Note 3 11 2 3" xfId="55172"/>
    <cellStyle name="Note 3 11 2 4" xfId="55173"/>
    <cellStyle name="Note 3 11 3" xfId="55174"/>
    <cellStyle name="Note 3 11 3 2" xfId="55175"/>
    <cellStyle name="Note 3 11 3 3" xfId="55176"/>
    <cellStyle name="Note 3 11 3 4" xfId="55177"/>
    <cellStyle name="Note 3 11 4" xfId="55178"/>
    <cellStyle name="Note 3 11 5" xfId="55179"/>
    <cellStyle name="Note 3 11 6" xfId="55180"/>
    <cellStyle name="Note 3 12" xfId="27913"/>
    <cellStyle name="Note 3 12 2" xfId="27914"/>
    <cellStyle name="Note 3 12 2 2" xfId="55181"/>
    <cellStyle name="Note 3 12 2 3" xfId="55182"/>
    <cellStyle name="Note 3 12 2 4" xfId="55183"/>
    <cellStyle name="Note 3 12 3" xfId="55184"/>
    <cellStyle name="Note 3 12 3 2" xfId="55185"/>
    <cellStyle name="Note 3 12 3 3" xfId="55186"/>
    <cellStyle name="Note 3 12 3 4" xfId="55187"/>
    <cellStyle name="Note 3 12 4" xfId="55188"/>
    <cellStyle name="Note 3 12 5" xfId="55189"/>
    <cellStyle name="Note 3 12 6" xfId="55190"/>
    <cellStyle name="Note 3 13" xfId="27915"/>
    <cellStyle name="Note 3 13 2" xfId="55191"/>
    <cellStyle name="Note 3 13 2 2" xfId="55192"/>
    <cellStyle name="Note 3 13 2 3" xfId="55193"/>
    <cellStyle name="Note 3 13 2 4" xfId="55194"/>
    <cellStyle name="Note 3 13 3" xfId="55195"/>
    <cellStyle name="Note 3 13 3 2" xfId="55196"/>
    <cellStyle name="Note 3 13 3 3" xfId="55197"/>
    <cellStyle name="Note 3 13 3 4" xfId="55198"/>
    <cellStyle name="Note 3 13 4" xfId="55199"/>
    <cellStyle name="Note 3 13 5" xfId="55200"/>
    <cellStyle name="Note 3 13 6" xfId="55201"/>
    <cellStyle name="Note 3 14" xfId="27916"/>
    <cellStyle name="Note 3 14 2" xfId="55202"/>
    <cellStyle name="Note 3 14 2 2" xfId="55203"/>
    <cellStyle name="Note 3 14 2 3" xfId="55204"/>
    <cellStyle name="Note 3 14 2 4" xfId="55205"/>
    <cellStyle name="Note 3 14 3" xfId="55206"/>
    <cellStyle name="Note 3 14 3 2" xfId="55207"/>
    <cellStyle name="Note 3 14 3 3" xfId="55208"/>
    <cellStyle name="Note 3 14 3 4" xfId="55209"/>
    <cellStyle name="Note 3 14 4" xfId="55210"/>
    <cellStyle name="Note 3 14 5" xfId="55211"/>
    <cellStyle name="Note 3 14 6" xfId="55212"/>
    <cellStyle name="Note 3 15" xfId="27917"/>
    <cellStyle name="Note 3 15 2" xfId="55213"/>
    <cellStyle name="Note 3 15 2 2" xfId="55214"/>
    <cellStyle name="Note 3 15 2 3" xfId="55215"/>
    <cellStyle name="Note 3 15 2 4" xfId="55216"/>
    <cellStyle name="Note 3 15 3" xfId="55217"/>
    <cellStyle name="Note 3 15 3 2" xfId="55218"/>
    <cellStyle name="Note 3 15 3 3" xfId="55219"/>
    <cellStyle name="Note 3 15 3 4" xfId="55220"/>
    <cellStyle name="Note 3 15 4" xfId="55221"/>
    <cellStyle name="Note 3 15 5" xfId="55222"/>
    <cellStyle name="Note 3 15 6" xfId="55223"/>
    <cellStyle name="Note 3 16" xfId="27918"/>
    <cellStyle name="Note 3 16 2" xfId="55224"/>
    <cellStyle name="Note 3 16 2 2" xfId="55225"/>
    <cellStyle name="Note 3 16 2 3" xfId="55226"/>
    <cellStyle name="Note 3 16 2 4" xfId="55227"/>
    <cellStyle name="Note 3 16 3" xfId="55228"/>
    <cellStyle name="Note 3 16 3 2" xfId="55229"/>
    <cellStyle name="Note 3 16 3 3" xfId="55230"/>
    <cellStyle name="Note 3 16 3 4" xfId="55231"/>
    <cellStyle name="Note 3 16 4" xfId="55232"/>
    <cellStyle name="Note 3 16 5" xfId="55233"/>
    <cellStyle name="Note 3 16 6" xfId="55234"/>
    <cellStyle name="Note 3 17" xfId="55235"/>
    <cellStyle name="Note 3 17 2" xfId="55236"/>
    <cellStyle name="Note 3 17 2 2" xfId="55237"/>
    <cellStyle name="Note 3 17 2 3" xfId="55238"/>
    <cellStyle name="Note 3 17 2 4" xfId="55239"/>
    <cellStyle name="Note 3 17 3" xfId="55240"/>
    <cellStyle name="Note 3 17 3 2" xfId="55241"/>
    <cellStyle name="Note 3 17 3 3" xfId="55242"/>
    <cellStyle name="Note 3 17 3 4" xfId="55243"/>
    <cellStyle name="Note 3 17 4" xfId="55244"/>
    <cellStyle name="Note 3 17 5" xfId="55245"/>
    <cellStyle name="Note 3 17 6" xfId="55246"/>
    <cellStyle name="Note 3 18" xfId="55247"/>
    <cellStyle name="Note 3 18 2" xfId="55248"/>
    <cellStyle name="Note 3 18 2 2" xfId="55249"/>
    <cellStyle name="Note 3 18 2 3" xfId="55250"/>
    <cellStyle name="Note 3 18 2 4" xfId="55251"/>
    <cellStyle name="Note 3 18 3" xfId="55252"/>
    <cellStyle name="Note 3 18 3 2" xfId="55253"/>
    <cellStyle name="Note 3 18 3 3" xfId="55254"/>
    <cellStyle name="Note 3 18 3 4" xfId="55255"/>
    <cellStyle name="Note 3 18 4" xfId="55256"/>
    <cellStyle name="Note 3 18 5" xfId="55257"/>
    <cellStyle name="Note 3 18 6" xfId="55258"/>
    <cellStyle name="Note 3 19" xfId="55259"/>
    <cellStyle name="Note 3 19 2" xfId="55260"/>
    <cellStyle name="Note 3 19 2 2" xfId="55261"/>
    <cellStyle name="Note 3 19 2 3" xfId="55262"/>
    <cellStyle name="Note 3 19 2 4" xfId="55263"/>
    <cellStyle name="Note 3 19 3" xfId="55264"/>
    <cellStyle name="Note 3 19 3 2" xfId="55265"/>
    <cellStyle name="Note 3 19 3 3" xfId="55266"/>
    <cellStyle name="Note 3 19 3 4" xfId="55267"/>
    <cellStyle name="Note 3 19 4" xfId="55268"/>
    <cellStyle name="Note 3 19 5" xfId="55269"/>
    <cellStyle name="Note 3 19 6" xfId="55270"/>
    <cellStyle name="Note 3 2" xfId="210"/>
    <cellStyle name="Note 3 2 2" xfId="27919"/>
    <cellStyle name="Note 3 2 2 2" xfId="27920"/>
    <cellStyle name="Note 3 2 2 2 2" xfId="27921"/>
    <cellStyle name="Note 3 2 2 2 2 2" xfId="27922"/>
    <cellStyle name="Note 3 2 2 2 3" xfId="27923"/>
    <cellStyle name="Note 3 2 2 2 4" xfId="27924"/>
    <cellStyle name="Note 3 2 2 3" xfId="27925"/>
    <cellStyle name="Note 3 2 2 3 2" xfId="27926"/>
    <cellStyle name="Note 3 2 2 3 2 2" xfId="27927"/>
    <cellStyle name="Note 3 2 2 3 3" xfId="27928"/>
    <cellStyle name="Note 3 2 2 4" xfId="27929"/>
    <cellStyle name="Note 3 2 2 4 2" xfId="27930"/>
    <cellStyle name="Note 3 2 2 5" xfId="27931"/>
    <cellStyle name="Note 3 2 2 6" xfId="27932"/>
    <cellStyle name="Note 3 2 2 7" xfId="27933"/>
    <cellStyle name="Note 3 2 2 8" xfId="27934"/>
    <cellStyle name="Note 3 2 2 9" xfId="27935"/>
    <cellStyle name="Note 3 2 3" xfId="27936"/>
    <cellStyle name="Note 3 2 3 2" xfId="27937"/>
    <cellStyle name="Note 3 2 3 2 2" xfId="27938"/>
    <cellStyle name="Note 3 2 3 3" xfId="27939"/>
    <cellStyle name="Note 3 2 3 4" xfId="27940"/>
    <cellStyle name="Note 3 2 3 5" xfId="27941"/>
    <cellStyle name="Note 3 2 3 6" xfId="27942"/>
    <cellStyle name="Note 3 2 3 7" xfId="27943"/>
    <cellStyle name="Note 3 2 4" xfId="27944"/>
    <cellStyle name="Note 3 2 4 2" xfId="27945"/>
    <cellStyle name="Note 3 2 4 2 2" xfId="27946"/>
    <cellStyle name="Note 3 2 4 3" xfId="27947"/>
    <cellStyle name="Note 3 2 4 4" xfId="27948"/>
    <cellStyle name="Note 3 2 5" xfId="27949"/>
    <cellStyle name="Note 3 2 5 2" xfId="27950"/>
    <cellStyle name="Note 3 2 6" xfId="27951"/>
    <cellStyle name="Note 3 2 7" xfId="27952"/>
    <cellStyle name="Note 3 2 8" xfId="27953"/>
    <cellStyle name="Note 3 20" xfId="55271"/>
    <cellStyle name="Note 3 20 2" xfId="55272"/>
    <cellStyle name="Note 3 20 2 2" xfId="55273"/>
    <cellStyle name="Note 3 20 2 3" xfId="55274"/>
    <cellStyle name="Note 3 20 2 4" xfId="55275"/>
    <cellStyle name="Note 3 20 3" xfId="55276"/>
    <cellStyle name="Note 3 20 3 2" xfId="55277"/>
    <cellStyle name="Note 3 20 3 3" xfId="55278"/>
    <cellStyle name="Note 3 20 3 4" xfId="55279"/>
    <cellStyle name="Note 3 20 4" xfId="55280"/>
    <cellStyle name="Note 3 20 5" xfId="55281"/>
    <cellStyle name="Note 3 20 6" xfId="55282"/>
    <cellStyle name="Note 3 21" xfId="55283"/>
    <cellStyle name="Note 3 21 2" xfId="55284"/>
    <cellStyle name="Note 3 21 2 2" xfId="55285"/>
    <cellStyle name="Note 3 21 2 3" xfId="55286"/>
    <cellStyle name="Note 3 21 2 4" xfId="55287"/>
    <cellStyle name="Note 3 21 3" xfId="55288"/>
    <cellStyle name="Note 3 21 3 2" xfId="55289"/>
    <cellStyle name="Note 3 21 3 3" xfId="55290"/>
    <cellStyle name="Note 3 21 3 4" xfId="55291"/>
    <cellStyle name="Note 3 21 4" xfId="55292"/>
    <cellStyle name="Note 3 21 5" xfId="55293"/>
    <cellStyle name="Note 3 21 6" xfId="55294"/>
    <cellStyle name="Note 3 22" xfId="55295"/>
    <cellStyle name="Note 3 22 2" xfId="55296"/>
    <cellStyle name="Note 3 22 2 2" xfId="55297"/>
    <cellStyle name="Note 3 22 2 3" xfId="55298"/>
    <cellStyle name="Note 3 22 2 4" xfId="55299"/>
    <cellStyle name="Note 3 22 3" xfId="55300"/>
    <cellStyle name="Note 3 22 3 2" xfId="55301"/>
    <cellStyle name="Note 3 22 3 3" xfId="55302"/>
    <cellStyle name="Note 3 22 3 4" xfId="55303"/>
    <cellStyle name="Note 3 22 4" xfId="55304"/>
    <cellStyle name="Note 3 22 5" xfId="55305"/>
    <cellStyle name="Note 3 22 6" xfId="55306"/>
    <cellStyle name="Note 3 23" xfId="55307"/>
    <cellStyle name="Note 3 23 2" xfId="55308"/>
    <cellStyle name="Note 3 23 2 2" xfId="55309"/>
    <cellStyle name="Note 3 23 2 3" xfId="55310"/>
    <cellStyle name="Note 3 23 2 4" xfId="55311"/>
    <cellStyle name="Note 3 23 3" xfId="55312"/>
    <cellStyle name="Note 3 23 3 2" xfId="55313"/>
    <cellStyle name="Note 3 23 3 3" xfId="55314"/>
    <cellStyle name="Note 3 23 3 4" xfId="55315"/>
    <cellStyle name="Note 3 23 4" xfId="55316"/>
    <cellStyle name="Note 3 23 5" xfId="55317"/>
    <cellStyle name="Note 3 23 6" xfId="55318"/>
    <cellStyle name="Note 3 24" xfId="55319"/>
    <cellStyle name="Note 3 24 2" xfId="55320"/>
    <cellStyle name="Note 3 24 2 2" xfId="55321"/>
    <cellStyle name="Note 3 24 2 3" xfId="55322"/>
    <cellStyle name="Note 3 24 2 4" xfId="55323"/>
    <cellStyle name="Note 3 24 3" xfId="55324"/>
    <cellStyle name="Note 3 24 3 2" xfId="55325"/>
    <cellStyle name="Note 3 24 3 3" xfId="55326"/>
    <cellStyle name="Note 3 24 3 4" xfId="55327"/>
    <cellStyle name="Note 3 24 4" xfId="55328"/>
    <cellStyle name="Note 3 24 5" xfId="55329"/>
    <cellStyle name="Note 3 24 6" xfId="55330"/>
    <cellStyle name="Note 3 25" xfId="55331"/>
    <cellStyle name="Note 3 25 2" xfId="55332"/>
    <cellStyle name="Note 3 25 2 2" xfId="55333"/>
    <cellStyle name="Note 3 25 2 3" xfId="55334"/>
    <cellStyle name="Note 3 25 2 4" xfId="55335"/>
    <cellStyle name="Note 3 25 3" xfId="55336"/>
    <cellStyle name="Note 3 25 3 2" xfId="55337"/>
    <cellStyle name="Note 3 25 3 3" xfId="55338"/>
    <cellStyle name="Note 3 25 3 4" xfId="55339"/>
    <cellStyle name="Note 3 25 4" xfId="55340"/>
    <cellStyle name="Note 3 25 5" xfId="55341"/>
    <cellStyle name="Note 3 25 6" xfId="55342"/>
    <cellStyle name="Note 3 26" xfId="55343"/>
    <cellStyle name="Note 3 26 2" xfId="55344"/>
    <cellStyle name="Note 3 26 2 2" xfId="55345"/>
    <cellStyle name="Note 3 26 2 3" xfId="55346"/>
    <cellStyle name="Note 3 26 2 4" xfId="55347"/>
    <cellStyle name="Note 3 26 3" xfId="55348"/>
    <cellStyle name="Note 3 26 3 2" xfId="55349"/>
    <cellStyle name="Note 3 26 3 3" xfId="55350"/>
    <cellStyle name="Note 3 26 3 4" xfId="55351"/>
    <cellStyle name="Note 3 26 4" xfId="55352"/>
    <cellStyle name="Note 3 26 5" xfId="55353"/>
    <cellStyle name="Note 3 26 6" xfId="55354"/>
    <cellStyle name="Note 3 27" xfId="55355"/>
    <cellStyle name="Note 3 27 2" xfId="55356"/>
    <cellStyle name="Note 3 27 2 2" xfId="55357"/>
    <cellStyle name="Note 3 27 2 3" xfId="55358"/>
    <cellStyle name="Note 3 27 2 4" xfId="55359"/>
    <cellStyle name="Note 3 27 3" xfId="55360"/>
    <cellStyle name="Note 3 27 3 2" xfId="55361"/>
    <cellStyle name="Note 3 27 3 3" xfId="55362"/>
    <cellStyle name="Note 3 27 3 4" xfId="55363"/>
    <cellStyle name="Note 3 27 4" xfId="55364"/>
    <cellStyle name="Note 3 27 5" xfId="55365"/>
    <cellStyle name="Note 3 27 6" xfId="55366"/>
    <cellStyle name="Note 3 28" xfId="55367"/>
    <cellStyle name="Note 3 28 2" xfId="55368"/>
    <cellStyle name="Note 3 28 2 2" xfId="55369"/>
    <cellStyle name="Note 3 28 2 3" xfId="55370"/>
    <cellStyle name="Note 3 28 2 4" xfId="55371"/>
    <cellStyle name="Note 3 28 3" xfId="55372"/>
    <cellStyle name="Note 3 28 3 2" xfId="55373"/>
    <cellStyle name="Note 3 28 3 3" xfId="55374"/>
    <cellStyle name="Note 3 28 3 4" xfId="55375"/>
    <cellStyle name="Note 3 28 4" xfId="55376"/>
    <cellStyle name="Note 3 28 5" xfId="55377"/>
    <cellStyle name="Note 3 28 6" xfId="55378"/>
    <cellStyle name="Note 3 29" xfId="55379"/>
    <cellStyle name="Note 3 29 2" xfId="55380"/>
    <cellStyle name="Note 3 29 2 2" xfId="55381"/>
    <cellStyle name="Note 3 29 2 3" xfId="55382"/>
    <cellStyle name="Note 3 29 2 4" xfId="55383"/>
    <cellStyle name="Note 3 29 3" xfId="55384"/>
    <cellStyle name="Note 3 29 3 2" xfId="55385"/>
    <cellStyle name="Note 3 29 3 3" xfId="55386"/>
    <cellStyle name="Note 3 29 3 4" xfId="55387"/>
    <cellStyle name="Note 3 29 4" xfId="55388"/>
    <cellStyle name="Note 3 29 5" xfId="55389"/>
    <cellStyle name="Note 3 29 6" xfId="55390"/>
    <cellStyle name="Note 3 3" xfId="211"/>
    <cellStyle name="Note 3 3 10" xfId="27954"/>
    <cellStyle name="Note 3 3 2" xfId="27955"/>
    <cellStyle name="Note 3 3 2 2" xfId="27956"/>
    <cellStyle name="Note 3 3 2 2 2" xfId="27957"/>
    <cellStyle name="Note 3 3 2 2 2 2" xfId="27958"/>
    <cellStyle name="Note 3 3 2 2 3" xfId="27959"/>
    <cellStyle name="Note 3 3 2 2 4" xfId="27960"/>
    <cellStyle name="Note 3 3 2 3" xfId="27961"/>
    <cellStyle name="Note 3 3 2 3 2" xfId="27962"/>
    <cellStyle name="Note 3 3 2 3 2 2" xfId="27963"/>
    <cellStyle name="Note 3 3 2 3 3" xfId="27964"/>
    <cellStyle name="Note 3 3 2 4" xfId="27965"/>
    <cellStyle name="Note 3 3 2 4 2" xfId="27966"/>
    <cellStyle name="Note 3 3 2 5" xfId="27967"/>
    <cellStyle name="Note 3 3 2 6" xfId="27968"/>
    <cellStyle name="Note 3 3 2 7" xfId="27969"/>
    <cellStyle name="Note 3 3 3" xfId="27970"/>
    <cellStyle name="Note 3 3 3 2" xfId="27971"/>
    <cellStyle name="Note 3 3 3 2 2" xfId="27972"/>
    <cellStyle name="Note 3 3 3 3" xfId="27973"/>
    <cellStyle name="Note 3 3 3 4" xfId="27974"/>
    <cellStyle name="Note 3 3 3 5" xfId="27975"/>
    <cellStyle name="Note 3 3 4" xfId="27976"/>
    <cellStyle name="Note 3 3 4 2" xfId="27977"/>
    <cellStyle name="Note 3 3 4 2 2" xfId="27978"/>
    <cellStyle name="Note 3 3 4 3" xfId="27979"/>
    <cellStyle name="Note 3 3 5" xfId="27980"/>
    <cellStyle name="Note 3 3 5 2" xfId="27981"/>
    <cellStyle name="Note 3 3 6" xfId="27982"/>
    <cellStyle name="Note 3 3 7" xfId="27983"/>
    <cellStyle name="Note 3 3 8" xfId="27984"/>
    <cellStyle name="Note 3 3 9" xfId="27985"/>
    <cellStyle name="Note 3 30" xfId="55391"/>
    <cellStyle name="Note 3 30 2" xfId="55392"/>
    <cellStyle name="Note 3 30 2 2" xfId="55393"/>
    <cellStyle name="Note 3 30 2 3" xfId="55394"/>
    <cellStyle name="Note 3 30 2 4" xfId="55395"/>
    <cellStyle name="Note 3 30 3" xfId="55396"/>
    <cellStyle name="Note 3 30 3 2" xfId="55397"/>
    <cellStyle name="Note 3 30 3 3" xfId="55398"/>
    <cellStyle name="Note 3 30 3 4" xfId="55399"/>
    <cellStyle name="Note 3 30 4" xfId="55400"/>
    <cellStyle name="Note 3 30 5" xfId="55401"/>
    <cellStyle name="Note 3 30 6" xfId="55402"/>
    <cellStyle name="Note 3 31" xfId="55403"/>
    <cellStyle name="Note 3 31 2" xfId="55404"/>
    <cellStyle name="Note 3 31 2 2" xfId="55405"/>
    <cellStyle name="Note 3 31 2 3" xfId="55406"/>
    <cellStyle name="Note 3 31 2 4" xfId="55407"/>
    <cellStyle name="Note 3 31 3" xfId="55408"/>
    <cellStyle name="Note 3 31 3 2" xfId="55409"/>
    <cellStyle name="Note 3 31 3 3" xfId="55410"/>
    <cellStyle name="Note 3 31 3 4" xfId="55411"/>
    <cellStyle name="Note 3 31 4" xfId="55412"/>
    <cellStyle name="Note 3 31 5" xfId="55413"/>
    <cellStyle name="Note 3 31 6" xfId="55414"/>
    <cellStyle name="Note 3 32" xfId="55415"/>
    <cellStyle name="Note 3 33" xfId="55416"/>
    <cellStyle name="Note 3 4" xfId="212"/>
    <cellStyle name="Note 3 4 2" xfId="27986"/>
    <cellStyle name="Note 3 4 2 2" xfId="27987"/>
    <cellStyle name="Note 3 4 2 2 2" xfId="27988"/>
    <cellStyle name="Note 3 4 2 2 2 2" xfId="27989"/>
    <cellStyle name="Note 3 4 2 2 3" xfId="27990"/>
    <cellStyle name="Note 3 4 2 2 4" xfId="27991"/>
    <cellStyle name="Note 3 4 2 3" xfId="27992"/>
    <cellStyle name="Note 3 4 2 3 2" xfId="27993"/>
    <cellStyle name="Note 3 4 2 3 2 2" xfId="27994"/>
    <cellStyle name="Note 3 4 2 3 3" xfId="27995"/>
    <cellStyle name="Note 3 4 2 4" xfId="27996"/>
    <cellStyle name="Note 3 4 2 4 2" xfId="27997"/>
    <cellStyle name="Note 3 4 2 5" xfId="27998"/>
    <cellStyle name="Note 3 4 2 6" xfId="27999"/>
    <cellStyle name="Note 3 4 2 7" xfId="28000"/>
    <cellStyle name="Note 3 4 3" xfId="28001"/>
    <cellStyle name="Note 3 4 3 2" xfId="28002"/>
    <cellStyle name="Note 3 4 3 2 2" xfId="28003"/>
    <cellStyle name="Note 3 4 3 3" xfId="28004"/>
    <cellStyle name="Note 3 4 3 4" xfId="28005"/>
    <cellStyle name="Note 3 4 4" xfId="28006"/>
    <cellStyle name="Note 3 4 4 2" xfId="28007"/>
    <cellStyle name="Note 3 4 4 2 2" xfId="28008"/>
    <cellStyle name="Note 3 4 4 3" xfId="28009"/>
    <cellStyle name="Note 3 4 5" xfId="28010"/>
    <cellStyle name="Note 3 4 5 2" xfId="28011"/>
    <cellStyle name="Note 3 4 6" xfId="28012"/>
    <cellStyle name="Note 3 4 7" xfId="28013"/>
    <cellStyle name="Note 3 4 8" xfId="28014"/>
    <cellStyle name="Note 3 4 9" xfId="28015"/>
    <cellStyle name="Note 3 5" xfId="28016"/>
    <cellStyle name="Note 3 5 2" xfId="28017"/>
    <cellStyle name="Note 3 5 2 2" xfId="28018"/>
    <cellStyle name="Note 3 5 2 2 2" xfId="28019"/>
    <cellStyle name="Note 3 5 2 3" xfId="28020"/>
    <cellStyle name="Note 3 5 2 4" xfId="28021"/>
    <cellStyle name="Note 3 5 2 5" xfId="28022"/>
    <cellStyle name="Note 3 5 3" xfId="28023"/>
    <cellStyle name="Note 3 5 3 2" xfId="28024"/>
    <cellStyle name="Note 3 5 3 2 2" xfId="28025"/>
    <cellStyle name="Note 3 5 3 3" xfId="28026"/>
    <cellStyle name="Note 3 5 3 4" xfId="55417"/>
    <cellStyle name="Note 3 5 4" xfId="28027"/>
    <cellStyle name="Note 3 5 4 2" xfId="28028"/>
    <cellStyle name="Note 3 5 5" xfId="28029"/>
    <cellStyle name="Note 3 5 6" xfId="28030"/>
    <cellStyle name="Note 3 5 7" xfId="28031"/>
    <cellStyle name="Note 3 5 8" xfId="28032"/>
    <cellStyle name="Note 3 5 9" xfId="28033"/>
    <cellStyle name="Note 3 6" xfId="28034"/>
    <cellStyle name="Note 3 6 2" xfId="28035"/>
    <cellStyle name="Note 3 6 2 2" xfId="28036"/>
    <cellStyle name="Note 3 6 2 2 2" xfId="28037"/>
    <cellStyle name="Note 3 6 2 3" xfId="28038"/>
    <cellStyle name="Note 3 6 2 4" xfId="28039"/>
    <cellStyle name="Note 3 6 3" xfId="28040"/>
    <cellStyle name="Note 3 6 3 2" xfId="28041"/>
    <cellStyle name="Note 3 6 3 2 2" xfId="28042"/>
    <cellStyle name="Note 3 6 3 3" xfId="28043"/>
    <cellStyle name="Note 3 6 3 4" xfId="55418"/>
    <cellStyle name="Note 3 6 4" xfId="28044"/>
    <cellStyle name="Note 3 6 4 2" xfId="28045"/>
    <cellStyle name="Note 3 6 5" xfId="28046"/>
    <cellStyle name="Note 3 6 6" xfId="28047"/>
    <cellStyle name="Note 3 6 7" xfId="28048"/>
    <cellStyle name="Note 3 6 8" xfId="28049"/>
    <cellStyle name="Note 3 7" xfId="28050"/>
    <cellStyle name="Note 3 7 2" xfId="28051"/>
    <cellStyle name="Note 3 7 2 2" xfId="28052"/>
    <cellStyle name="Note 3 7 2 2 2" xfId="28053"/>
    <cellStyle name="Note 3 7 2 3" xfId="28054"/>
    <cellStyle name="Note 3 7 2 4" xfId="28055"/>
    <cellStyle name="Note 3 7 3" xfId="28056"/>
    <cellStyle name="Note 3 7 3 2" xfId="28057"/>
    <cellStyle name="Note 3 7 3 2 2" xfId="28058"/>
    <cellStyle name="Note 3 7 3 3" xfId="28059"/>
    <cellStyle name="Note 3 7 3 4" xfId="55419"/>
    <cellStyle name="Note 3 7 4" xfId="28060"/>
    <cellStyle name="Note 3 7 4 2" xfId="28061"/>
    <cellStyle name="Note 3 7 5" xfId="28062"/>
    <cellStyle name="Note 3 7 6" xfId="28063"/>
    <cellStyle name="Note 3 7 7" xfId="28064"/>
    <cellStyle name="Note 3 8" xfId="28065"/>
    <cellStyle name="Note 3 8 2" xfId="28066"/>
    <cellStyle name="Note 3 8 2 2" xfId="28067"/>
    <cellStyle name="Note 3 8 2 2 2" xfId="28068"/>
    <cellStyle name="Note 3 8 2 3" xfId="28069"/>
    <cellStyle name="Note 3 8 2 4" xfId="28070"/>
    <cellStyle name="Note 3 8 3" xfId="28071"/>
    <cellStyle name="Note 3 8 3 2" xfId="28072"/>
    <cellStyle name="Note 3 8 3 2 2" xfId="28073"/>
    <cellStyle name="Note 3 8 3 3" xfId="28074"/>
    <cellStyle name="Note 3 8 3 4" xfId="55420"/>
    <cellStyle name="Note 3 8 4" xfId="28075"/>
    <cellStyle name="Note 3 8 4 2" xfId="28076"/>
    <cellStyle name="Note 3 8 5" xfId="28077"/>
    <cellStyle name="Note 3 8 6" xfId="28078"/>
    <cellStyle name="Note 3 9" xfId="28079"/>
    <cellStyle name="Note 3 9 2" xfId="28080"/>
    <cellStyle name="Note 3 9 2 2" xfId="28081"/>
    <cellStyle name="Note 3 9 2 3" xfId="55421"/>
    <cellStyle name="Note 3 9 2 4" xfId="55422"/>
    <cellStyle name="Note 3 9 3" xfId="28082"/>
    <cellStyle name="Note 3 9 3 2" xfId="55423"/>
    <cellStyle name="Note 3 9 3 3" xfId="55424"/>
    <cellStyle name="Note 3 9 3 4" xfId="55425"/>
    <cellStyle name="Note 3 9 4" xfId="28083"/>
    <cellStyle name="Note 3 9 5" xfId="55426"/>
    <cellStyle name="Note 3 9 6" xfId="55427"/>
    <cellStyle name="Note 3_~9868926" xfId="55428"/>
    <cellStyle name="Note 4" xfId="213"/>
    <cellStyle name="Note 4 2" xfId="55429"/>
    <cellStyle name="Note 4 2 2" xfId="55430"/>
    <cellStyle name="Note 4 3" xfId="55431"/>
    <cellStyle name="Note 5" xfId="214"/>
    <cellStyle name="Note 5 2" xfId="55432"/>
    <cellStyle name="Note 5 2 2" xfId="55433"/>
    <cellStyle name="Note 5 2 3" xfId="55434"/>
    <cellStyle name="Note 5 2 4" xfId="55435"/>
    <cellStyle name="Note 5 3" xfId="55436"/>
    <cellStyle name="Note 5 3 2" xfId="55437"/>
    <cellStyle name="Note 5 3 3" xfId="55438"/>
    <cellStyle name="Note 5 3 4" xfId="55439"/>
    <cellStyle name="Note 5 4" xfId="55440"/>
    <cellStyle name="Note 5 5" xfId="55441"/>
    <cellStyle name="Note 5 6" xfId="55442"/>
    <cellStyle name="Note 5 7" xfId="55443"/>
    <cellStyle name="Note 5 8" xfId="55444"/>
    <cellStyle name="Note 6" xfId="55445"/>
    <cellStyle name="Note 6 2" xfId="55446"/>
    <cellStyle name="Note 6 2 2" xfId="55447"/>
    <cellStyle name="Note 6 3" xfId="55448"/>
    <cellStyle name="Note 6 3 2" xfId="55449"/>
    <cellStyle name="Note 6 3 3" xfId="55450"/>
    <cellStyle name="Note 6 3 4" xfId="55451"/>
    <cellStyle name="Note 6 4" xfId="55452"/>
    <cellStyle name="Note 6 4 2" xfId="55453"/>
    <cellStyle name="Note 6 4 3" xfId="55454"/>
    <cellStyle name="Note 6 4 4" xfId="55455"/>
    <cellStyle name="Note 6 5" xfId="55456"/>
    <cellStyle name="Note 6 6" xfId="55457"/>
    <cellStyle name="Note 6 7" xfId="55458"/>
    <cellStyle name="Note 6 8" xfId="55459"/>
    <cellStyle name="Note 6 9" xfId="55460"/>
    <cellStyle name="Note 7" xfId="55461"/>
    <cellStyle name="Note 7 2" xfId="55462"/>
    <cellStyle name="Note 7 2 2" xfId="55463"/>
    <cellStyle name="Note 7 3" xfId="55464"/>
    <cellStyle name="Note 7 3 2" xfId="55465"/>
    <cellStyle name="Note 7 3 3" xfId="55466"/>
    <cellStyle name="Note 7 3 4" xfId="55467"/>
    <cellStyle name="Note 7 4" xfId="55468"/>
    <cellStyle name="Note 7 4 2" xfId="55469"/>
    <cellStyle name="Note 7 4 3" xfId="55470"/>
    <cellStyle name="Note 7 4 4" xfId="55471"/>
    <cellStyle name="Note 7 5" xfId="55472"/>
    <cellStyle name="Note 7 6" xfId="55473"/>
    <cellStyle name="Note 7 7" xfId="55474"/>
    <cellStyle name="Note 7 8" xfId="55475"/>
    <cellStyle name="Note 7 9" xfId="55476"/>
    <cellStyle name="Note 8" xfId="55477"/>
    <cellStyle name="Note 8 2" xfId="55478"/>
    <cellStyle name="Note 8 3" xfId="55479"/>
    <cellStyle name="Note 8 3 2" xfId="55480"/>
    <cellStyle name="Note 8 3 3" xfId="55481"/>
    <cellStyle name="Note 8 3 4" xfId="55482"/>
    <cellStyle name="Note 8 4" xfId="55483"/>
    <cellStyle name="Note 8 4 2" xfId="55484"/>
    <cellStyle name="Note 8 4 3" xfId="55485"/>
    <cellStyle name="Note 8 4 4" xfId="55486"/>
    <cellStyle name="Note 8 5" xfId="55487"/>
    <cellStyle name="Note 8 6" xfId="55488"/>
    <cellStyle name="Note 8 7" xfId="55489"/>
    <cellStyle name="Note 8 8" xfId="55490"/>
    <cellStyle name="Note 8 9" xfId="55491"/>
    <cellStyle name="Note 9" xfId="55492"/>
    <cellStyle name="Note 9 2" xfId="55493"/>
    <cellStyle name="Note 9 2 2" xfId="55494"/>
    <cellStyle name="Note 9 2 3" xfId="55495"/>
    <cellStyle name="Note 9 2 4" xfId="55496"/>
    <cellStyle name="Note 9 3" xfId="55497"/>
    <cellStyle name="Note 9 3 2" xfId="55498"/>
    <cellStyle name="Note 9 3 3" xfId="55499"/>
    <cellStyle name="Note 9 3 4" xfId="55500"/>
    <cellStyle name="Note 9 4" xfId="55501"/>
    <cellStyle name="Note 9 5" xfId="55502"/>
    <cellStyle name="Note 9 6" xfId="55503"/>
    <cellStyle name="Note 9 7" xfId="55504"/>
    <cellStyle name="Note 9 8" xfId="55505"/>
    <cellStyle name="Notes" xfId="55506"/>
    <cellStyle name="Nøytral" xfId="55507"/>
    <cellStyle name="Nøytral 2" xfId="55508"/>
    <cellStyle name="nplode" xfId="55509"/>
    <cellStyle name="Nplodes" xfId="55510"/>
    <cellStyle name="nPlosion" xfId="55511"/>
    <cellStyle name="nplosion column" xfId="55512"/>
    <cellStyle name="nplosion detail" xfId="55513"/>
    <cellStyle name="nplosion detail2" xfId="55514"/>
    <cellStyle name="nplosion detail2 2" xfId="55515"/>
    <cellStyle name="nplosion detail2 3" xfId="55516"/>
    <cellStyle name="nplosion_1st pass CAO 5.28" xfId="55517"/>
    <cellStyle name="nplosion2" xfId="55518"/>
    <cellStyle name="nr_label" xfId="55519"/>
    <cellStyle name="Num1" xfId="55520"/>
    <cellStyle name="Num2" xfId="55521"/>
    <cellStyle name="Number" xfId="55522"/>
    <cellStyle name="Number 0" xfId="55523"/>
    <cellStyle name="Number 0 2" xfId="55524"/>
    <cellStyle name="Number 2" xfId="55525"/>
    <cellStyle name="Number 2 2" xfId="55526"/>
    <cellStyle name="Number 3" xfId="55527"/>
    <cellStyle name="Number 3 2" xfId="55528"/>
    <cellStyle name="Number 6" xfId="55529"/>
    <cellStyle name="Number 6 2" xfId="55530"/>
    <cellStyle name="NUMBER BOX" xfId="55531"/>
    <cellStyle name="NUMBER BOX 2" xfId="55532"/>
    <cellStyle name="Number." xfId="55533"/>
    <cellStyle name="NumberBold" xfId="55534"/>
    <cellStyle name="Numbering" xfId="55535"/>
    <cellStyle name="NumberNoDec" xfId="55536"/>
    <cellStyle name="NumberPercent" xfId="55537"/>
    <cellStyle name="Numbers" xfId="55538"/>
    <cellStyle name="Numbers - Bold" xfId="55539"/>
    <cellStyle name="Numbers - Bold - Italic" xfId="55540"/>
    <cellStyle name="Numbers - Bold 2" xfId="55541"/>
    <cellStyle name="Numbers - Bold_LBO from TP" xfId="55542"/>
    <cellStyle name="Numbers - Large" xfId="55543"/>
    <cellStyle name="Numbers - Large 2" xfId="55544"/>
    <cellStyle name="Numbers 2" xfId="55545"/>
    <cellStyle name="Numbers 3" xfId="55546"/>
    <cellStyle name="Numbers 4" xfId="55547"/>
    <cellStyle name="Numbers 5" xfId="55548"/>
    <cellStyle name="Numbers 6" xfId="55549"/>
    <cellStyle name="Numbers 7" xfId="55550"/>
    <cellStyle name="Numbers_~9868926" xfId="55551"/>
    <cellStyle name="NumberVarDec" xfId="55552"/>
    <cellStyle name="nvision header" xfId="55553"/>
    <cellStyle name="nvision standard" xfId="55554"/>
    <cellStyle name="nvision standard 2" xfId="55555"/>
    <cellStyle name="nvision standard 2 2" xfId="55556"/>
    <cellStyle name="nvision standard 2 3" xfId="55557"/>
    <cellStyle name="nvision standard 2 4" xfId="55558"/>
    <cellStyle name="nvision standard 2 5" xfId="55559"/>
    <cellStyle name="nvision standard 2 6" xfId="55560"/>
    <cellStyle name="nvision standard 2 7" xfId="55561"/>
    <cellStyle name="nvision standard 2 8" xfId="55562"/>
    <cellStyle name="nvision standard 2 9" xfId="55563"/>
    <cellStyle name="nvision standard 2_IBP - COPI Uplift at Investment Area Level 01Feb12" xfId="55564"/>
    <cellStyle name="nvision standard 3" xfId="55565"/>
    <cellStyle name="nvision standard 3 2" xfId="55566"/>
    <cellStyle name="nvision standard 3 3" xfId="55567"/>
    <cellStyle name="nvision standard 3 4" xfId="55568"/>
    <cellStyle name="nvision standard 3 5" xfId="55569"/>
    <cellStyle name="nvision standard 3 6" xfId="55570"/>
    <cellStyle name="nvision standard 3 7" xfId="55571"/>
    <cellStyle name="nvision standard 3 8" xfId="55572"/>
    <cellStyle name="nvision standard 3 9" xfId="55573"/>
    <cellStyle name="nvision standard 3_IBP - COPI Uplift at Investment Area Level 01Feb12" xfId="55574"/>
    <cellStyle name="nvision standard 4" xfId="55575"/>
    <cellStyle name="nvision standard 4 2" xfId="55576"/>
    <cellStyle name="nvision standard 5" xfId="55577"/>
    <cellStyle name="nvision standard 5 2" xfId="55578"/>
    <cellStyle name="nvision standard 6" xfId="55579"/>
    <cellStyle name="nvision standard 6 2" xfId="55580"/>
    <cellStyle name="nvision standard_~9868926" xfId="55581"/>
    <cellStyle name="NVS_AMOUNTS" xfId="55582"/>
    <cellStyle name="Œ…‹??‚è [0.00]_Sheet1" xfId="55583"/>
    <cellStyle name="Œ…‹??‚è_Sheet1" xfId="55584"/>
    <cellStyle name="Œ…‹æØ‚è [0.00]_!!!GO" xfId="55585"/>
    <cellStyle name="Œ…‹æØ‚è_!!!GO" xfId="55586"/>
    <cellStyle name="OH01" xfId="55587"/>
    <cellStyle name="OHnplode" xfId="55588"/>
    <cellStyle name="ok!" xfId="55589"/>
    <cellStyle name="ok! 2" xfId="55590"/>
    <cellStyle name="ok!%" xfId="55591"/>
    <cellStyle name="ok!% 2" xfId="55592"/>
    <cellStyle name="OLELink" xfId="55593"/>
    <cellStyle name="OLELink 2" xfId="55594"/>
    <cellStyle name="Orange" xfId="55595"/>
    <cellStyle name="OTHER (TEXT BOX)" xfId="55596"/>
    <cellStyle name="OTHER (TEXT BOX) 2" xfId="55597"/>
    <cellStyle name="Output" xfId="45" builtinId="21" customBuiltin="1"/>
    <cellStyle name="Output 10" xfId="55598"/>
    <cellStyle name="Output 10 2" xfId="55599"/>
    <cellStyle name="Output 10 2 2" xfId="55600"/>
    <cellStyle name="Output 10 2 3" xfId="55601"/>
    <cellStyle name="Output 10 2 4" xfId="55602"/>
    <cellStyle name="Output 10 3" xfId="55603"/>
    <cellStyle name="Output 10 3 2" xfId="55604"/>
    <cellStyle name="Output 10 3 3" xfId="55605"/>
    <cellStyle name="Output 10 3 4" xfId="55606"/>
    <cellStyle name="Output 10 4" xfId="55607"/>
    <cellStyle name="Output 10 5" xfId="55608"/>
    <cellStyle name="Output 10 6" xfId="55609"/>
    <cellStyle name="Output 10 7" xfId="55610"/>
    <cellStyle name="Output 10 8" xfId="55611"/>
    <cellStyle name="Output 2" xfId="215"/>
    <cellStyle name="Output 2 10" xfId="771"/>
    <cellStyle name="Output 2 10 10" xfId="28084"/>
    <cellStyle name="Output 2 10 11" xfId="28085"/>
    <cellStyle name="Output 2 10 12" xfId="28086"/>
    <cellStyle name="Output 2 10 13" xfId="28087"/>
    <cellStyle name="Output 2 10 14" xfId="28088"/>
    <cellStyle name="Output 2 10 15" xfId="28089"/>
    <cellStyle name="Output 2 10 16" xfId="28090"/>
    <cellStyle name="Output 2 10 17" xfId="28091"/>
    <cellStyle name="Output 2 10 18" xfId="28092"/>
    <cellStyle name="Output 2 10 19" xfId="28093"/>
    <cellStyle name="Output 2 10 2" xfId="772"/>
    <cellStyle name="Output 2 10 2 2" xfId="28094"/>
    <cellStyle name="Output 2 10 2 2 2" xfId="28095"/>
    <cellStyle name="Output 2 10 2 2 2 2" xfId="28096"/>
    <cellStyle name="Output 2 10 2 2 2 3" xfId="28097"/>
    <cellStyle name="Output 2 10 2 2 2 4" xfId="28098"/>
    <cellStyle name="Output 2 10 2 2 3" xfId="28099"/>
    <cellStyle name="Output 2 10 2 2 4" xfId="28100"/>
    <cellStyle name="Output 2 10 2 2 5" xfId="28101"/>
    <cellStyle name="Output 2 10 2 2 6" xfId="28102"/>
    <cellStyle name="Output 2 10 2 3" xfId="28103"/>
    <cellStyle name="Output 2 10 2 3 2" xfId="28104"/>
    <cellStyle name="Output 2 10 2 3 2 2" xfId="28105"/>
    <cellStyle name="Output 2 10 2 3 2 3" xfId="28106"/>
    <cellStyle name="Output 2 10 2 3 2 4" xfId="28107"/>
    <cellStyle name="Output 2 10 2 3 3" xfId="28108"/>
    <cellStyle name="Output 2 10 2 3 4" xfId="28109"/>
    <cellStyle name="Output 2 10 2 3 5" xfId="28110"/>
    <cellStyle name="Output 2 10 2 3 6" xfId="28111"/>
    <cellStyle name="Output 2 10 2 4" xfId="28112"/>
    <cellStyle name="Output 2 10 2 4 2" xfId="28113"/>
    <cellStyle name="Output 2 10 2 4 3" xfId="28114"/>
    <cellStyle name="Output 2 10 2 4 4" xfId="28115"/>
    <cellStyle name="Output 2 10 2 5" xfId="28116"/>
    <cellStyle name="Output 2 10 2 6" xfId="28117"/>
    <cellStyle name="Output 2 10 2 7" xfId="28118"/>
    <cellStyle name="Output 2 10 2 8" xfId="28119"/>
    <cellStyle name="Output 2 10 20" xfId="28120"/>
    <cellStyle name="Output 2 10 21" xfId="28121"/>
    <cellStyle name="Output 2 10 22" xfId="28122"/>
    <cellStyle name="Output 2 10 23" xfId="28123"/>
    <cellStyle name="Output 2 10 24" xfId="28124"/>
    <cellStyle name="Output 2 10 3" xfId="773"/>
    <cellStyle name="Output 2 10 3 2" xfId="28125"/>
    <cellStyle name="Output 2 10 3 2 2" xfId="28126"/>
    <cellStyle name="Output 2 10 3 2 3" xfId="28127"/>
    <cellStyle name="Output 2 10 3 2 4" xfId="28128"/>
    <cellStyle name="Output 2 10 3 3" xfId="28129"/>
    <cellStyle name="Output 2 10 3 4" xfId="28130"/>
    <cellStyle name="Output 2 10 3 5" xfId="28131"/>
    <cellStyle name="Output 2 10 3 6" xfId="28132"/>
    <cellStyle name="Output 2 10 4" xfId="28133"/>
    <cellStyle name="Output 2 10 4 2" xfId="28134"/>
    <cellStyle name="Output 2 10 4 3" xfId="28135"/>
    <cellStyle name="Output 2 10 4 4" xfId="28136"/>
    <cellStyle name="Output 2 10 4 5" xfId="28137"/>
    <cellStyle name="Output 2 10 5" xfId="28138"/>
    <cellStyle name="Output 2 10 5 2" xfId="28139"/>
    <cellStyle name="Output 2 10 5 3" xfId="28140"/>
    <cellStyle name="Output 2 10 5 4" xfId="28141"/>
    <cellStyle name="Output 2 10 6" xfId="28142"/>
    <cellStyle name="Output 2 10 6 2" xfId="28143"/>
    <cellStyle name="Output 2 10 6 3" xfId="28144"/>
    <cellStyle name="Output 2 10 6 4" xfId="28145"/>
    <cellStyle name="Output 2 10 7" xfId="28146"/>
    <cellStyle name="Output 2 10 7 2" xfId="28147"/>
    <cellStyle name="Output 2 10 7 3" xfId="28148"/>
    <cellStyle name="Output 2 10 7 4" xfId="28149"/>
    <cellStyle name="Output 2 10 8" xfId="28150"/>
    <cellStyle name="Output 2 10 8 2" xfId="28151"/>
    <cellStyle name="Output 2 10 8 3" xfId="28152"/>
    <cellStyle name="Output 2 10 8 4" xfId="28153"/>
    <cellStyle name="Output 2 10 9" xfId="28154"/>
    <cellStyle name="Output 2 11" xfId="774"/>
    <cellStyle name="Output 2 11 10" xfId="28155"/>
    <cellStyle name="Output 2 11 11" xfId="28156"/>
    <cellStyle name="Output 2 11 12" xfId="28157"/>
    <cellStyle name="Output 2 11 13" xfId="28158"/>
    <cellStyle name="Output 2 11 14" xfId="28159"/>
    <cellStyle name="Output 2 11 15" xfId="28160"/>
    <cellStyle name="Output 2 11 16" xfId="28161"/>
    <cellStyle name="Output 2 11 17" xfId="28162"/>
    <cellStyle name="Output 2 11 18" xfId="28163"/>
    <cellStyle name="Output 2 11 19" xfId="28164"/>
    <cellStyle name="Output 2 11 2" xfId="775"/>
    <cellStyle name="Output 2 11 2 2" xfId="28165"/>
    <cellStyle name="Output 2 11 2 2 2" xfId="28166"/>
    <cellStyle name="Output 2 11 2 2 3" xfId="28167"/>
    <cellStyle name="Output 2 11 2 2 4" xfId="28168"/>
    <cellStyle name="Output 2 11 2 3" xfId="28169"/>
    <cellStyle name="Output 2 11 2 4" xfId="28170"/>
    <cellStyle name="Output 2 11 2 5" xfId="28171"/>
    <cellStyle name="Output 2 11 2 6" xfId="28172"/>
    <cellStyle name="Output 2 11 20" xfId="28173"/>
    <cellStyle name="Output 2 11 21" xfId="28174"/>
    <cellStyle name="Output 2 11 22" xfId="28175"/>
    <cellStyle name="Output 2 11 23" xfId="28176"/>
    <cellStyle name="Output 2 11 24" xfId="28177"/>
    <cellStyle name="Output 2 11 3" xfId="776"/>
    <cellStyle name="Output 2 11 3 2" xfId="28178"/>
    <cellStyle name="Output 2 11 3 2 2" xfId="28179"/>
    <cellStyle name="Output 2 11 3 2 3" xfId="28180"/>
    <cellStyle name="Output 2 11 3 2 4" xfId="28181"/>
    <cellStyle name="Output 2 11 3 3" xfId="28182"/>
    <cellStyle name="Output 2 11 3 4" xfId="28183"/>
    <cellStyle name="Output 2 11 3 5" xfId="28184"/>
    <cellStyle name="Output 2 11 3 6" xfId="28185"/>
    <cellStyle name="Output 2 11 4" xfId="28186"/>
    <cellStyle name="Output 2 11 4 2" xfId="28187"/>
    <cellStyle name="Output 2 11 4 3" xfId="28188"/>
    <cellStyle name="Output 2 11 4 4" xfId="28189"/>
    <cellStyle name="Output 2 11 4 5" xfId="28190"/>
    <cellStyle name="Output 2 11 5" xfId="28191"/>
    <cellStyle name="Output 2 11 5 2" xfId="28192"/>
    <cellStyle name="Output 2 11 5 3" xfId="28193"/>
    <cellStyle name="Output 2 11 5 4" xfId="28194"/>
    <cellStyle name="Output 2 11 6" xfId="28195"/>
    <cellStyle name="Output 2 11 6 2" xfId="28196"/>
    <cellStyle name="Output 2 11 6 3" xfId="28197"/>
    <cellStyle name="Output 2 11 6 4" xfId="28198"/>
    <cellStyle name="Output 2 11 7" xfId="28199"/>
    <cellStyle name="Output 2 11 7 2" xfId="28200"/>
    <cellStyle name="Output 2 11 7 3" xfId="28201"/>
    <cellStyle name="Output 2 11 7 4" xfId="28202"/>
    <cellStyle name="Output 2 11 8" xfId="28203"/>
    <cellStyle name="Output 2 11 8 2" xfId="28204"/>
    <cellStyle name="Output 2 11 8 3" xfId="28205"/>
    <cellStyle name="Output 2 11 8 4" xfId="28206"/>
    <cellStyle name="Output 2 11 9" xfId="28207"/>
    <cellStyle name="Output 2 12" xfId="777"/>
    <cellStyle name="Output 2 12 10" xfId="28208"/>
    <cellStyle name="Output 2 12 11" xfId="28209"/>
    <cellStyle name="Output 2 12 12" xfId="28210"/>
    <cellStyle name="Output 2 12 13" xfId="28211"/>
    <cellStyle name="Output 2 12 14" xfId="28212"/>
    <cellStyle name="Output 2 12 15" xfId="28213"/>
    <cellStyle name="Output 2 12 16" xfId="28214"/>
    <cellStyle name="Output 2 12 17" xfId="28215"/>
    <cellStyle name="Output 2 12 18" xfId="28216"/>
    <cellStyle name="Output 2 12 19" xfId="28217"/>
    <cellStyle name="Output 2 12 2" xfId="778"/>
    <cellStyle name="Output 2 12 2 2" xfId="28218"/>
    <cellStyle name="Output 2 12 2 3" xfId="28219"/>
    <cellStyle name="Output 2 12 2 4" xfId="28220"/>
    <cellStyle name="Output 2 12 20" xfId="28221"/>
    <cellStyle name="Output 2 12 3" xfId="779"/>
    <cellStyle name="Output 2 12 3 2" xfId="28222"/>
    <cellStyle name="Output 2 12 3 3" xfId="28223"/>
    <cellStyle name="Output 2 12 3 4" xfId="28224"/>
    <cellStyle name="Output 2 12 4" xfId="28225"/>
    <cellStyle name="Output 2 12 4 2" xfId="28226"/>
    <cellStyle name="Output 2 12 4 3" xfId="28227"/>
    <cellStyle name="Output 2 12 4 4" xfId="28228"/>
    <cellStyle name="Output 2 12 5" xfId="28229"/>
    <cellStyle name="Output 2 12 6" xfId="28230"/>
    <cellStyle name="Output 2 12 7" xfId="28231"/>
    <cellStyle name="Output 2 12 8" xfId="28232"/>
    <cellStyle name="Output 2 12 9" xfId="28233"/>
    <cellStyle name="Output 2 13" xfId="780"/>
    <cellStyle name="Output 2 13 10" xfId="28234"/>
    <cellStyle name="Output 2 13 11" xfId="28235"/>
    <cellStyle name="Output 2 13 12" xfId="28236"/>
    <cellStyle name="Output 2 13 13" xfId="28237"/>
    <cellStyle name="Output 2 13 14" xfId="28238"/>
    <cellStyle name="Output 2 13 15" xfId="28239"/>
    <cellStyle name="Output 2 13 16" xfId="28240"/>
    <cellStyle name="Output 2 13 17" xfId="28241"/>
    <cellStyle name="Output 2 13 18" xfId="28242"/>
    <cellStyle name="Output 2 13 19" xfId="28243"/>
    <cellStyle name="Output 2 13 2" xfId="781"/>
    <cellStyle name="Output 2 13 2 2" xfId="28244"/>
    <cellStyle name="Output 2 13 2 3" xfId="28245"/>
    <cellStyle name="Output 2 13 2 4" xfId="28246"/>
    <cellStyle name="Output 2 13 20" xfId="28247"/>
    <cellStyle name="Output 2 13 3" xfId="782"/>
    <cellStyle name="Output 2 13 3 2" xfId="28248"/>
    <cellStyle name="Output 2 13 3 3" xfId="28249"/>
    <cellStyle name="Output 2 13 3 4" xfId="28250"/>
    <cellStyle name="Output 2 13 4" xfId="28251"/>
    <cellStyle name="Output 2 13 4 2" xfId="28252"/>
    <cellStyle name="Output 2 13 4 3" xfId="28253"/>
    <cellStyle name="Output 2 13 4 4" xfId="28254"/>
    <cellStyle name="Output 2 13 5" xfId="28255"/>
    <cellStyle name="Output 2 13 6" xfId="28256"/>
    <cellStyle name="Output 2 13 7" xfId="28257"/>
    <cellStyle name="Output 2 13 8" xfId="28258"/>
    <cellStyle name="Output 2 13 9" xfId="28259"/>
    <cellStyle name="Output 2 14" xfId="783"/>
    <cellStyle name="Output 2 14 10" xfId="28260"/>
    <cellStyle name="Output 2 14 11" xfId="28261"/>
    <cellStyle name="Output 2 14 12" xfId="28262"/>
    <cellStyle name="Output 2 14 13" xfId="28263"/>
    <cellStyle name="Output 2 14 14" xfId="28264"/>
    <cellStyle name="Output 2 14 15" xfId="28265"/>
    <cellStyle name="Output 2 14 16" xfId="28266"/>
    <cellStyle name="Output 2 14 17" xfId="28267"/>
    <cellStyle name="Output 2 14 18" xfId="28268"/>
    <cellStyle name="Output 2 14 2" xfId="784"/>
    <cellStyle name="Output 2 14 2 2" xfId="28269"/>
    <cellStyle name="Output 2 14 2 3" xfId="28270"/>
    <cellStyle name="Output 2 14 2 4" xfId="28271"/>
    <cellStyle name="Output 2 14 3" xfId="785"/>
    <cellStyle name="Output 2 14 3 2" xfId="28272"/>
    <cellStyle name="Output 2 14 3 3" xfId="28273"/>
    <cellStyle name="Output 2 14 3 4" xfId="28274"/>
    <cellStyle name="Output 2 14 4" xfId="28275"/>
    <cellStyle name="Output 2 14 5" xfId="28276"/>
    <cellStyle name="Output 2 14 6" xfId="28277"/>
    <cellStyle name="Output 2 14 7" xfId="28278"/>
    <cellStyle name="Output 2 14 8" xfId="28279"/>
    <cellStyle name="Output 2 14 9" xfId="28280"/>
    <cellStyle name="Output 2 15" xfId="786"/>
    <cellStyle name="Output 2 15 10" xfId="28281"/>
    <cellStyle name="Output 2 15 11" xfId="28282"/>
    <cellStyle name="Output 2 15 12" xfId="28283"/>
    <cellStyle name="Output 2 15 13" xfId="28284"/>
    <cellStyle name="Output 2 15 14" xfId="28285"/>
    <cellStyle name="Output 2 15 15" xfId="28286"/>
    <cellStyle name="Output 2 15 16" xfId="28287"/>
    <cellStyle name="Output 2 15 17" xfId="28288"/>
    <cellStyle name="Output 2 15 2" xfId="787"/>
    <cellStyle name="Output 2 15 2 2" xfId="28289"/>
    <cellStyle name="Output 2 15 2 3" xfId="28290"/>
    <cellStyle name="Output 2 15 2 4" xfId="28291"/>
    <cellStyle name="Output 2 15 3" xfId="788"/>
    <cellStyle name="Output 2 15 4" xfId="28292"/>
    <cellStyle name="Output 2 15 5" xfId="28293"/>
    <cellStyle name="Output 2 15 6" xfId="28294"/>
    <cellStyle name="Output 2 15 7" xfId="28295"/>
    <cellStyle name="Output 2 15 8" xfId="28296"/>
    <cellStyle name="Output 2 15 9" xfId="28297"/>
    <cellStyle name="Output 2 16" xfId="789"/>
    <cellStyle name="Output 2 16 10" xfId="28298"/>
    <cellStyle name="Output 2 16 11" xfId="28299"/>
    <cellStyle name="Output 2 16 12" xfId="28300"/>
    <cellStyle name="Output 2 16 13" xfId="28301"/>
    <cellStyle name="Output 2 16 14" xfId="28302"/>
    <cellStyle name="Output 2 16 15" xfId="28303"/>
    <cellStyle name="Output 2 16 16" xfId="28304"/>
    <cellStyle name="Output 2 16 2" xfId="28305"/>
    <cellStyle name="Output 2 16 3" xfId="28306"/>
    <cellStyle name="Output 2 16 4" xfId="28307"/>
    <cellStyle name="Output 2 16 5" xfId="28308"/>
    <cellStyle name="Output 2 16 6" xfId="28309"/>
    <cellStyle name="Output 2 16 7" xfId="28310"/>
    <cellStyle name="Output 2 16 8" xfId="28311"/>
    <cellStyle name="Output 2 16 9" xfId="28312"/>
    <cellStyle name="Output 2 17" xfId="28313"/>
    <cellStyle name="Output 2 17 10" xfId="28314"/>
    <cellStyle name="Output 2 17 11" xfId="28315"/>
    <cellStyle name="Output 2 17 12" xfId="28316"/>
    <cellStyle name="Output 2 17 13" xfId="28317"/>
    <cellStyle name="Output 2 17 14" xfId="28318"/>
    <cellStyle name="Output 2 17 15" xfId="28319"/>
    <cellStyle name="Output 2 17 2" xfId="28320"/>
    <cellStyle name="Output 2 17 3" xfId="28321"/>
    <cellStyle name="Output 2 17 4" xfId="28322"/>
    <cellStyle name="Output 2 17 5" xfId="28323"/>
    <cellStyle name="Output 2 17 6" xfId="28324"/>
    <cellStyle name="Output 2 17 7" xfId="28325"/>
    <cellStyle name="Output 2 17 8" xfId="28326"/>
    <cellStyle name="Output 2 17 9" xfId="28327"/>
    <cellStyle name="Output 2 18" xfId="28328"/>
    <cellStyle name="Output 2 18 10" xfId="28329"/>
    <cellStyle name="Output 2 18 11" xfId="28330"/>
    <cellStyle name="Output 2 18 12" xfId="28331"/>
    <cellStyle name="Output 2 18 13" xfId="28332"/>
    <cellStyle name="Output 2 18 14" xfId="28333"/>
    <cellStyle name="Output 2 18 15" xfId="28334"/>
    <cellStyle name="Output 2 18 2" xfId="28335"/>
    <cellStyle name="Output 2 18 3" xfId="28336"/>
    <cellStyle name="Output 2 18 4" xfId="28337"/>
    <cellStyle name="Output 2 18 5" xfId="28338"/>
    <cellStyle name="Output 2 18 6" xfId="28339"/>
    <cellStyle name="Output 2 18 7" xfId="28340"/>
    <cellStyle name="Output 2 18 8" xfId="28341"/>
    <cellStyle name="Output 2 18 9" xfId="28342"/>
    <cellStyle name="Output 2 19" xfId="28343"/>
    <cellStyle name="Output 2 19 10" xfId="28344"/>
    <cellStyle name="Output 2 19 11" xfId="28345"/>
    <cellStyle name="Output 2 19 12" xfId="28346"/>
    <cellStyle name="Output 2 19 13" xfId="28347"/>
    <cellStyle name="Output 2 19 14" xfId="28348"/>
    <cellStyle name="Output 2 19 15" xfId="28349"/>
    <cellStyle name="Output 2 19 2" xfId="28350"/>
    <cellStyle name="Output 2 19 3" xfId="28351"/>
    <cellStyle name="Output 2 19 4" xfId="28352"/>
    <cellStyle name="Output 2 19 5" xfId="28353"/>
    <cellStyle name="Output 2 19 6" xfId="28354"/>
    <cellStyle name="Output 2 19 7" xfId="28355"/>
    <cellStyle name="Output 2 19 8" xfId="28356"/>
    <cellStyle name="Output 2 19 9" xfId="28357"/>
    <cellStyle name="Output 2 2" xfId="216"/>
    <cellStyle name="Output 2 2 10" xfId="790"/>
    <cellStyle name="Output 2 2 10 10" xfId="28358"/>
    <cellStyle name="Output 2 2 10 11" xfId="28359"/>
    <cellStyle name="Output 2 2 10 12" xfId="28360"/>
    <cellStyle name="Output 2 2 10 2" xfId="791"/>
    <cellStyle name="Output 2 2 10 2 2" xfId="28361"/>
    <cellStyle name="Output 2 2 10 2 2 2" xfId="28362"/>
    <cellStyle name="Output 2 2 10 2 2 3" xfId="28363"/>
    <cellStyle name="Output 2 2 10 2 2 4" xfId="28364"/>
    <cellStyle name="Output 2 2 10 2 3" xfId="28365"/>
    <cellStyle name="Output 2 2 10 2 4" xfId="28366"/>
    <cellStyle name="Output 2 2 10 2 5" xfId="28367"/>
    <cellStyle name="Output 2 2 10 2 6" xfId="28368"/>
    <cellStyle name="Output 2 2 10 3" xfId="792"/>
    <cellStyle name="Output 2 2 10 3 2" xfId="28369"/>
    <cellStyle name="Output 2 2 10 3 2 2" xfId="28370"/>
    <cellStyle name="Output 2 2 10 3 2 3" xfId="28371"/>
    <cellStyle name="Output 2 2 10 3 2 4" xfId="28372"/>
    <cellStyle name="Output 2 2 10 3 3" xfId="28373"/>
    <cellStyle name="Output 2 2 10 3 4" xfId="28374"/>
    <cellStyle name="Output 2 2 10 3 5" xfId="28375"/>
    <cellStyle name="Output 2 2 10 3 6" xfId="28376"/>
    <cellStyle name="Output 2 2 10 4" xfId="28377"/>
    <cellStyle name="Output 2 2 10 4 2" xfId="28378"/>
    <cellStyle name="Output 2 2 10 4 3" xfId="28379"/>
    <cellStyle name="Output 2 2 10 4 4" xfId="28380"/>
    <cellStyle name="Output 2 2 10 5" xfId="28381"/>
    <cellStyle name="Output 2 2 10 5 2" xfId="28382"/>
    <cellStyle name="Output 2 2 10 5 3" xfId="28383"/>
    <cellStyle name="Output 2 2 10 5 4" xfId="28384"/>
    <cellStyle name="Output 2 2 10 6" xfId="28385"/>
    <cellStyle name="Output 2 2 10 6 2" xfId="28386"/>
    <cellStyle name="Output 2 2 10 6 3" xfId="28387"/>
    <cellStyle name="Output 2 2 10 6 4" xfId="28388"/>
    <cellStyle name="Output 2 2 10 7" xfId="28389"/>
    <cellStyle name="Output 2 2 10 7 2" xfId="28390"/>
    <cellStyle name="Output 2 2 10 7 3" xfId="28391"/>
    <cellStyle name="Output 2 2 10 7 4" xfId="28392"/>
    <cellStyle name="Output 2 2 10 8" xfId="28393"/>
    <cellStyle name="Output 2 2 10 8 2" xfId="28394"/>
    <cellStyle name="Output 2 2 10 8 3" xfId="28395"/>
    <cellStyle name="Output 2 2 10 8 4" xfId="28396"/>
    <cellStyle name="Output 2 2 10 9" xfId="28397"/>
    <cellStyle name="Output 2 2 11" xfId="793"/>
    <cellStyle name="Output 2 2 11 2" xfId="794"/>
    <cellStyle name="Output 2 2 11 2 2" xfId="28398"/>
    <cellStyle name="Output 2 2 11 2 3" xfId="28399"/>
    <cellStyle name="Output 2 2 11 2 4" xfId="28400"/>
    <cellStyle name="Output 2 2 11 3" xfId="795"/>
    <cellStyle name="Output 2 2 11 3 2" xfId="28401"/>
    <cellStyle name="Output 2 2 11 3 3" xfId="28402"/>
    <cellStyle name="Output 2 2 11 3 4" xfId="28403"/>
    <cellStyle name="Output 2 2 11 4" xfId="28404"/>
    <cellStyle name="Output 2 2 11 4 2" xfId="28405"/>
    <cellStyle name="Output 2 2 11 4 3" xfId="28406"/>
    <cellStyle name="Output 2 2 11 4 4" xfId="28407"/>
    <cellStyle name="Output 2 2 11 5" xfId="28408"/>
    <cellStyle name="Output 2 2 11 6" xfId="28409"/>
    <cellStyle name="Output 2 2 11 7" xfId="28410"/>
    <cellStyle name="Output 2 2 11 8" xfId="28411"/>
    <cellStyle name="Output 2 2 12" xfId="796"/>
    <cellStyle name="Output 2 2 12 2" xfId="797"/>
    <cellStyle name="Output 2 2 12 2 2" xfId="28412"/>
    <cellStyle name="Output 2 2 12 2 3" xfId="28413"/>
    <cellStyle name="Output 2 2 12 2 4" xfId="28414"/>
    <cellStyle name="Output 2 2 12 3" xfId="798"/>
    <cellStyle name="Output 2 2 12 3 2" xfId="28415"/>
    <cellStyle name="Output 2 2 12 3 3" xfId="28416"/>
    <cellStyle name="Output 2 2 12 3 4" xfId="28417"/>
    <cellStyle name="Output 2 2 12 4" xfId="28418"/>
    <cellStyle name="Output 2 2 12 4 2" xfId="28419"/>
    <cellStyle name="Output 2 2 12 4 3" xfId="28420"/>
    <cellStyle name="Output 2 2 12 4 4" xfId="28421"/>
    <cellStyle name="Output 2 2 12 5" xfId="28422"/>
    <cellStyle name="Output 2 2 12 6" xfId="28423"/>
    <cellStyle name="Output 2 2 12 7" xfId="28424"/>
    <cellStyle name="Output 2 2 12 8" xfId="28425"/>
    <cellStyle name="Output 2 2 13" xfId="799"/>
    <cellStyle name="Output 2 2 13 2" xfId="800"/>
    <cellStyle name="Output 2 2 13 2 2" xfId="28426"/>
    <cellStyle name="Output 2 2 13 2 3" xfId="28427"/>
    <cellStyle name="Output 2 2 13 2 4" xfId="28428"/>
    <cellStyle name="Output 2 2 13 3" xfId="801"/>
    <cellStyle name="Output 2 2 13 3 2" xfId="28429"/>
    <cellStyle name="Output 2 2 13 3 3" xfId="28430"/>
    <cellStyle name="Output 2 2 13 3 4" xfId="28431"/>
    <cellStyle name="Output 2 2 13 4" xfId="28432"/>
    <cellStyle name="Output 2 2 13 5" xfId="28433"/>
    <cellStyle name="Output 2 2 13 6" xfId="28434"/>
    <cellStyle name="Output 2 2 13 7" xfId="28435"/>
    <cellStyle name="Output 2 2 14" xfId="802"/>
    <cellStyle name="Output 2 2 14 2" xfId="28436"/>
    <cellStyle name="Output 2 2 14 2 2" xfId="28437"/>
    <cellStyle name="Output 2 2 14 2 3" xfId="28438"/>
    <cellStyle name="Output 2 2 14 2 4" xfId="28439"/>
    <cellStyle name="Output 2 2 14 3" xfId="28440"/>
    <cellStyle name="Output 2 2 14 4" xfId="28441"/>
    <cellStyle name="Output 2 2 14 5" xfId="28442"/>
    <cellStyle name="Output 2 2 14 6" xfId="28443"/>
    <cellStyle name="Output 2 2 15" xfId="803"/>
    <cellStyle name="Output 2 2 15 2" xfId="28444"/>
    <cellStyle name="Output 2 2 15 3" xfId="28445"/>
    <cellStyle name="Output 2 2 15 4" xfId="28446"/>
    <cellStyle name="Output 2 2 15 5" xfId="28447"/>
    <cellStyle name="Output 2 2 16" xfId="28448"/>
    <cellStyle name="Output 2 2 16 2" xfId="28449"/>
    <cellStyle name="Output 2 2 16 3" xfId="28450"/>
    <cellStyle name="Output 2 2 16 4" xfId="28451"/>
    <cellStyle name="Output 2 2 17" xfId="28452"/>
    <cellStyle name="Output 2 2 17 2" xfId="28453"/>
    <cellStyle name="Output 2 2 17 3" xfId="28454"/>
    <cellStyle name="Output 2 2 17 4" xfId="28455"/>
    <cellStyle name="Output 2 2 18" xfId="28456"/>
    <cellStyle name="Output 2 2 18 2" xfId="28457"/>
    <cellStyle name="Output 2 2 18 3" xfId="28458"/>
    <cellStyle name="Output 2 2 18 4" xfId="28459"/>
    <cellStyle name="Output 2 2 19" xfId="28460"/>
    <cellStyle name="Output 2 2 2" xfId="217"/>
    <cellStyle name="Output 2 2 2 10" xfId="28461"/>
    <cellStyle name="Output 2 2 2 10 2" xfId="28462"/>
    <cellStyle name="Output 2 2 2 10 2 2" xfId="28463"/>
    <cellStyle name="Output 2 2 2 10 2 3" xfId="28464"/>
    <cellStyle name="Output 2 2 2 10 2 4" xfId="28465"/>
    <cellStyle name="Output 2 2 2 10 3" xfId="28466"/>
    <cellStyle name="Output 2 2 2 10 3 2" xfId="28467"/>
    <cellStyle name="Output 2 2 2 10 3 3" xfId="28468"/>
    <cellStyle name="Output 2 2 2 10 3 4" xfId="28469"/>
    <cellStyle name="Output 2 2 2 10 4" xfId="28470"/>
    <cellStyle name="Output 2 2 2 10 5" xfId="28471"/>
    <cellStyle name="Output 2 2 2 10 6" xfId="28472"/>
    <cellStyle name="Output 2 2 2 10 7" xfId="28473"/>
    <cellStyle name="Output 2 2 2 11" xfId="28474"/>
    <cellStyle name="Output 2 2 2 11 2" xfId="28475"/>
    <cellStyle name="Output 2 2 2 11 2 2" xfId="28476"/>
    <cellStyle name="Output 2 2 2 11 2 3" xfId="28477"/>
    <cellStyle name="Output 2 2 2 11 2 4" xfId="28478"/>
    <cellStyle name="Output 2 2 2 11 3" xfId="28479"/>
    <cellStyle name="Output 2 2 2 11 3 2" xfId="28480"/>
    <cellStyle name="Output 2 2 2 11 3 3" xfId="28481"/>
    <cellStyle name="Output 2 2 2 11 3 4" xfId="28482"/>
    <cellStyle name="Output 2 2 2 11 4" xfId="28483"/>
    <cellStyle name="Output 2 2 2 11 5" xfId="28484"/>
    <cellStyle name="Output 2 2 2 11 6" xfId="28485"/>
    <cellStyle name="Output 2 2 2 11 7" xfId="28486"/>
    <cellStyle name="Output 2 2 2 12" xfId="28487"/>
    <cellStyle name="Output 2 2 2 12 2" xfId="28488"/>
    <cellStyle name="Output 2 2 2 12 2 2" xfId="28489"/>
    <cellStyle name="Output 2 2 2 12 2 3" xfId="28490"/>
    <cellStyle name="Output 2 2 2 12 2 4" xfId="28491"/>
    <cellStyle name="Output 2 2 2 12 3" xfId="28492"/>
    <cellStyle name="Output 2 2 2 12 3 2" xfId="28493"/>
    <cellStyle name="Output 2 2 2 12 3 3" xfId="28494"/>
    <cellStyle name="Output 2 2 2 12 3 4" xfId="28495"/>
    <cellStyle name="Output 2 2 2 12 4" xfId="28496"/>
    <cellStyle name="Output 2 2 2 12 5" xfId="28497"/>
    <cellStyle name="Output 2 2 2 12 6" xfId="28498"/>
    <cellStyle name="Output 2 2 2 12 7" xfId="28499"/>
    <cellStyle name="Output 2 2 2 13" xfId="28500"/>
    <cellStyle name="Output 2 2 2 13 2" xfId="28501"/>
    <cellStyle name="Output 2 2 2 13 2 2" xfId="28502"/>
    <cellStyle name="Output 2 2 2 13 2 3" xfId="28503"/>
    <cellStyle name="Output 2 2 2 13 2 4" xfId="28504"/>
    <cellStyle name="Output 2 2 2 13 3" xfId="28505"/>
    <cellStyle name="Output 2 2 2 13 4" xfId="28506"/>
    <cellStyle name="Output 2 2 2 13 5" xfId="28507"/>
    <cellStyle name="Output 2 2 2 13 6" xfId="28508"/>
    <cellStyle name="Output 2 2 2 14" xfId="28509"/>
    <cellStyle name="Output 2 2 2 14 2" xfId="28510"/>
    <cellStyle name="Output 2 2 2 14 3" xfId="28511"/>
    <cellStyle name="Output 2 2 2 14 4" xfId="28512"/>
    <cellStyle name="Output 2 2 2 14 5" xfId="28513"/>
    <cellStyle name="Output 2 2 2 15" xfId="28514"/>
    <cellStyle name="Output 2 2 2 15 2" xfId="28515"/>
    <cellStyle name="Output 2 2 2 15 3" xfId="28516"/>
    <cellStyle name="Output 2 2 2 15 4" xfId="28517"/>
    <cellStyle name="Output 2 2 2 16" xfId="28518"/>
    <cellStyle name="Output 2 2 2 16 2" xfId="28519"/>
    <cellStyle name="Output 2 2 2 16 3" xfId="28520"/>
    <cellStyle name="Output 2 2 2 16 4" xfId="28521"/>
    <cellStyle name="Output 2 2 2 17" xfId="28522"/>
    <cellStyle name="Output 2 2 2 17 2" xfId="28523"/>
    <cellStyle name="Output 2 2 2 17 3" xfId="28524"/>
    <cellStyle name="Output 2 2 2 17 4" xfId="28525"/>
    <cellStyle name="Output 2 2 2 18" xfId="28526"/>
    <cellStyle name="Output 2 2 2 19" xfId="28527"/>
    <cellStyle name="Output 2 2 2 2" xfId="804"/>
    <cellStyle name="Output 2 2 2 2 10" xfId="28528"/>
    <cellStyle name="Output 2 2 2 2 10 2" xfId="28529"/>
    <cellStyle name="Output 2 2 2 2 10 3" xfId="28530"/>
    <cellStyle name="Output 2 2 2 2 10 4" xfId="28531"/>
    <cellStyle name="Output 2 2 2 2 11" xfId="28532"/>
    <cellStyle name="Output 2 2 2 2 11 2" xfId="28533"/>
    <cellStyle name="Output 2 2 2 2 11 3" xfId="28534"/>
    <cellStyle name="Output 2 2 2 2 11 4" xfId="28535"/>
    <cellStyle name="Output 2 2 2 2 12" xfId="28536"/>
    <cellStyle name="Output 2 2 2 2 13" xfId="28537"/>
    <cellStyle name="Output 2 2 2 2 14" xfId="28538"/>
    <cellStyle name="Output 2 2 2 2 15" xfId="28539"/>
    <cellStyle name="Output 2 2 2 2 2" xfId="28540"/>
    <cellStyle name="Output 2 2 2 2 2 10" xfId="28541"/>
    <cellStyle name="Output 2 2 2 2 2 11" xfId="28542"/>
    <cellStyle name="Output 2 2 2 2 2 12" xfId="28543"/>
    <cellStyle name="Output 2 2 2 2 2 2" xfId="28544"/>
    <cellStyle name="Output 2 2 2 2 2 2 10" xfId="28545"/>
    <cellStyle name="Output 2 2 2 2 2 2 11" xfId="28546"/>
    <cellStyle name="Output 2 2 2 2 2 2 2" xfId="28547"/>
    <cellStyle name="Output 2 2 2 2 2 2 2 2" xfId="28548"/>
    <cellStyle name="Output 2 2 2 2 2 2 2 2 2" xfId="28549"/>
    <cellStyle name="Output 2 2 2 2 2 2 2 2 2 2" xfId="28550"/>
    <cellStyle name="Output 2 2 2 2 2 2 2 2 2 3" xfId="28551"/>
    <cellStyle name="Output 2 2 2 2 2 2 2 2 2 4" xfId="28552"/>
    <cellStyle name="Output 2 2 2 2 2 2 2 2 3" xfId="28553"/>
    <cellStyle name="Output 2 2 2 2 2 2 2 2 4" xfId="28554"/>
    <cellStyle name="Output 2 2 2 2 2 2 2 2 5" xfId="28555"/>
    <cellStyle name="Output 2 2 2 2 2 2 2 2 6" xfId="28556"/>
    <cellStyle name="Output 2 2 2 2 2 2 2 3" xfId="28557"/>
    <cellStyle name="Output 2 2 2 2 2 2 2 3 2" xfId="28558"/>
    <cellStyle name="Output 2 2 2 2 2 2 2 3 2 2" xfId="28559"/>
    <cellStyle name="Output 2 2 2 2 2 2 2 3 2 3" xfId="28560"/>
    <cellStyle name="Output 2 2 2 2 2 2 2 3 2 4" xfId="28561"/>
    <cellStyle name="Output 2 2 2 2 2 2 2 3 3" xfId="28562"/>
    <cellStyle name="Output 2 2 2 2 2 2 2 3 4" xfId="28563"/>
    <cellStyle name="Output 2 2 2 2 2 2 2 3 5" xfId="28564"/>
    <cellStyle name="Output 2 2 2 2 2 2 2 3 6" xfId="28565"/>
    <cellStyle name="Output 2 2 2 2 2 2 2 4" xfId="28566"/>
    <cellStyle name="Output 2 2 2 2 2 2 2 4 2" xfId="28567"/>
    <cellStyle name="Output 2 2 2 2 2 2 2 4 3" xfId="28568"/>
    <cellStyle name="Output 2 2 2 2 2 2 2 4 4" xfId="28569"/>
    <cellStyle name="Output 2 2 2 2 2 2 2 5" xfId="28570"/>
    <cellStyle name="Output 2 2 2 2 2 2 2 6" xfId="28571"/>
    <cellStyle name="Output 2 2 2 2 2 2 2 7" xfId="28572"/>
    <cellStyle name="Output 2 2 2 2 2 2 2 8" xfId="28573"/>
    <cellStyle name="Output 2 2 2 2 2 2 3" xfId="28574"/>
    <cellStyle name="Output 2 2 2 2 2 2 3 2" xfId="28575"/>
    <cellStyle name="Output 2 2 2 2 2 2 3 2 2" xfId="28576"/>
    <cellStyle name="Output 2 2 2 2 2 2 3 2 3" xfId="28577"/>
    <cellStyle name="Output 2 2 2 2 2 2 3 2 4" xfId="28578"/>
    <cellStyle name="Output 2 2 2 2 2 2 3 3" xfId="28579"/>
    <cellStyle name="Output 2 2 2 2 2 2 3 4" xfId="28580"/>
    <cellStyle name="Output 2 2 2 2 2 2 3 5" xfId="28581"/>
    <cellStyle name="Output 2 2 2 2 2 2 3 6" xfId="28582"/>
    <cellStyle name="Output 2 2 2 2 2 2 4" xfId="28583"/>
    <cellStyle name="Output 2 2 2 2 2 2 4 2" xfId="28584"/>
    <cellStyle name="Output 2 2 2 2 2 2 4 3" xfId="28585"/>
    <cellStyle name="Output 2 2 2 2 2 2 4 4" xfId="28586"/>
    <cellStyle name="Output 2 2 2 2 2 2 4 5" xfId="28587"/>
    <cellStyle name="Output 2 2 2 2 2 2 5" xfId="28588"/>
    <cellStyle name="Output 2 2 2 2 2 2 5 2" xfId="28589"/>
    <cellStyle name="Output 2 2 2 2 2 2 5 3" xfId="28590"/>
    <cellStyle name="Output 2 2 2 2 2 2 5 4" xfId="28591"/>
    <cellStyle name="Output 2 2 2 2 2 2 6" xfId="28592"/>
    <cellStyle name="Output 2 2 2 2 2 2 6 2" xfId="28593"/>
    <cellStyle name="Output 2 2 2 2 2 2 6 3" xfId="28594"/>
    <cellStyle name="Output 2 2 2 2 2 2 6 4" xfId="28595"/>
    <cellStyle name="Output 2 2 2 2 2 2 7" xfId="28596"/>
    <cellStyle name="Output 2 2 2 2 2 2 7 2" xfId="28597"/>
    <cellStyle name="Output 2 2 2 2 2 2 7 3" xfId="28598"/>
    <cellStyle name="Output 2 2 2 2 2 2 7 4" xfId="28599"/>
    <cellStyle name="Output 2 2 2 2 2 2 8" xfId="28600"/>
    <cellStyle name="Output 2 2 2 2 2 2 9" xfId="28601"/>
    <cellStyle name="Output 2 2 2 2 2 3" xfId="28602"/>
    <cellStyle name="Output 2 2 2 2 2 3 2" xfId="28603"/>
    <cellStyle name="Output 2 2 2 2 2 3 2 2" xfId="28604"/>
    <cellStyle name="Output 2 2 2 2 2 3 2 2 2" xfId="28605"/>
    <cellStyle name="Output 2 2 2 2 2 3 2 2 3" xfId="28606"/>
    <cellStyle name="Output 2 2 2 2 2 3 2 2 4" xfId="28607"/>
    <cellStyle name="Output 2 2 2 2 2 3 2 3" xfId="28608"/>
    <cellStyle name="Output 2 2 2 2 2 3 2 4" xfId="28609"/>
    <cellStyle name="Output 2 2 2 2 2 3 2 5" xfId="28610"/>
    <cellStyle name="Output 2 2 2 2 2 3 2 6" xfId="28611"/>
    <cellStyle name="Output 2 2 2 2 2 3 3" xfId="28612"/>
    <cellStyle name="Output 2 2 2 2 2 3 3 2" xfId="28613"/>
    <cellStyle name="Output 2 2 2 2 2 3 3 2 2" xfId="28614"/>
    <cellStyle name="Output 2 2 2 2 2 3 3 2 3" xfId="28615"/>
    <cellStyle name="Output 2 2 2 2 2 3 3 2 4" xfId="28616"/>
    <cellStyle name="Output 2 2 2 2 2 3 3 3" xfId="28617"/>
    <cellStyle name="Output 2 2 2 2 2 3 3 4" xfId="28618"/>
    <cellStyle name="Output 2 2 2 2 2 3 3 5" xfId="28619"/>
    <cellStyle name="Output 2 2 2 2 2 3 3 6" xfId="28620"/>
    <cellStyle name="Output 2 2 2 2 2 3 4" xfId="28621"/>
    <cellStyle name="Output 2 2 2 2 2 3 4 2" xfId="28622"/>
    <cellStyle name="Output 2 2 2 2 2 3 4 3" xfId="28623"/>
    <cellStyle name="Output 2 2 2 2 2 3 4 4" xfId="28624"/>
    <cellStyle name="Output 2 2 2 2 2 3 5" xfId="28625"/>
    <cellStyle name="Output 2 2 2 2 2 3 6" xfId="28626"/>
    <cellStyle name="Output 2 2 2 2 2 3 7" xfId="28627"/>
    <cellStyle name="Output 2 2 2 2 2 3 8" xfId="28628"/>
    <cellStyle name="Output 2 2 2 2 2 4" xfId="28629"/>
    <cellStyle name="Output 2 2 2 2 2 4 2" xfId="28630"/>
    <cellStyle name="Output 2 2 2 2 2 4 2 2" xfId="28631"/>
    <cellStyle name="Output 2 2 2 2 2 4 2 3" xfId="28632"/>
    <cellStyle name="Output 2 2 2 2 2 4 2 4" xfId="28633"/>
    <cellStyle name="Output 2 2 2 2 2 4 3" xfId="28634"/>
    <cellStyle name="Output 2 2 2 2 2 4 4" xfId="28635"/>
    <cellStyle name="Output 2 2 2 2 2 4 5" xfId="28636"/>
    <cellStyle name="Output 2 2 2 2 2 4 6" xfId="28637"/>
    <cellStyle name="Output 2 2 2 2 2 5" xfId="28638"/>
    <cellStyle name="Output 2 2 2 2 2 5 2" xfId="28639"/>
    <cellStyle name="Output 2 2 2 2 2 5 3" xfId="28640"/>
    <cellStyle name="Output 2 2 2 2 2 5 4" xfId="28641"/>
    <cellStyle name="Output 2 2 2 2 2 5 5" xfId="28642"/>
    <cellStyle name="Output 2 2 2 2 2 6" xfId="28643"/>
    <cellStyle name="Output 2 2 2 2 2 6 2" xfId="28644"/>
    <cellStyle name="Output 2 2 2 2 2 6 3" xfId="28645"/>
    <cellStyle name="Output 2 2 2 2 2 6 4" xfId="28646"/>
    <cellStyle name="Output 2 2 2 2 2 7" xfId="28647"/>
    <cellStyle name="Output 2 2 2 2 2 7 2" xfId="28648"/>
    <cellStyle name="Output 2 2 2 2 2 7 3" xfId="28649"/>
    <cellStyle name="Output 2 2 2 2 2 7 4" xfId="28650"/>
    <cellStyle name="Output 2 2 2 2 2 8" xfId="28651"/>
    <cellStyle name="Output 2 2 2 2 2 8 2" xfId="28652"/>
    <cellStyle name="Output 2 2 2 2 2 8 3" xfId="28653"/>
    <cellStyle name="Output 2 2 2 2 2 8 4" xfId="28654"/>
    <cellStyle name="Output 2 2 2 2 2 9" xfId="28655"/>
    <cellStyle name="Output 2 2 2 2 3" xfId="28656"/>
    <cellStyle name="Output 2 2 2 2 3 10" xfId="28657"/>
    <cellStyle name="Output 2 2 2 2 3 11" xfId="28658"/>
    <cellStyle name="Output 2 2 2 2 3 2" xfId="28659"/>
    <cellStyle name="Output 2 2 2 2 3 2 2" xfId="28660"/>
    <cellStyle name="Output 2 2 2 2 3 2 2 2" xfId="28661"/>
    <cellStyle name="Output 2 2 2 2 3 2 2 2 2" xfId="28662"/>
    <cellStyle name="Output 2 2 2 2 3 2 2 2 3" xfId="28663"/>
    <cellStyle name="Output 2 2 2 2 3 2 2 2 4" xfId="28664"/>
    <cellStyle name="Output 2 2 2 2 3 2 2 3" xfId="28665"/>
    <cellStyle name="Output 2 2 2 2 3 2 2 4" xfId="28666"/>
    <cellStyle name="Output 2 2 2 2 3 2 2 5" xfId="28667"/>
    <cellStyle name="Output 2 2 2 2 3 2 2 6" xfId="28668"/>
    <cellStyle name="Output 2 2 2 2 3 2 3" xfId="28669"/>
    <cellStyle name="Output 2 2 2 2 3 2 3 2" xfId="28670"/>
    <cellStyle name="Output 2 2 2 2 3 2 3 2 2" xfId="28671"/>
    <cellStyle name="Output 2 2 2 2 3 2 3 2 3" xfId="28672"/>
    <cellStyle name="Output 2 2 2 2 3 2 3 2 4" xfId="28673"/>
    <cellStyle name="Output 2 2 2 2 3 2 3 3" xfId="28674"/>
    <cellStyle name="Output 2 2 2 2 3 2 3 4" xfId="28675"/>
    <cellStyle name="Output 2 2 2 2 3 2 3 5" xfId="28676"/>
    <cellStyle name="Output 2 2 2 2 3 2 3 6" xfId="28677"/>
    <cellStyle name="Output 2 2 2 2 3 2 4" xfId="28678"/>
    <cellStyle name="Output 2 2 2 2 3 2 4 2" xfId="28679"/>
    <cellStyle name="Output 2 2 2 2 3 2 4 3" xfId="28680"/>
    <cellStyle name="Output 2 2 2 2 3 2 4 4" xfId="28681"/>
    <cellStyle name="Output 2 2 2 2 3 2 5" xfId="28682"/>
    <cellStyle name="Output 2 2 2 2 3 2 6" xfId="28683"/>
    <cellStyle name="Output 2 2 2 2 3 2 7" xfId="28684"/>
    <cellStyle name="Output 2 2 2 2 3 2 8" xfId="28685"/>
    <cellStyle name="Output 2 2 2 2 3 3" xfId="28686"/>
    <cellStyle name="Output 2 2 2 2 3 3 2" xfId="28687"/>
    <cellStyle name="Output 2 2 2 2 3 3 2 2" xfId="28688"/>
    <cellStyle name="Output 2 2 2 2 3 3 2 3" xfId="28689"/>
    <cellStyle name="Output 2 2 2 2 3 3 2 4" xfId="28690"/>
    <cellStyle name="Output 2 2 2 2 3 3 3" xfId="28691"/>
    <cellStyle name="Output 2 2 2 2 3 3 4" xfId="28692"/>
    <cellStyle name="Output 2 2 2 2 3 3 5" xfId="28693"/>
    <cellStyle name="Output 2 2 2 2 3 3 6" xfId="28694"/>
    <cellStyle name="Output 2 2 2 2 3 4" xfId="28695"/>
    <cellStyle name="Output 2 2 2 2 3 4 2" xfId="28696"/>
    <cellStyle name="Output 2 2 2 2 3 4 3" xfId="28697"/>
    <cellStyle name="Output 2 2 2 2 3 4 4" xfId="28698"/>
    <cellStyle name="Output 2 2 2 2 3 4 5" xfId="28699"/>
    <cellStyle name="Output 2 2 2 2 3 5" xfId="28700"/>
    <cellStyle name="Output 2 2 2 2 3 5 2" xfId="28701"/>
    <cellStyle name="Output 2 2 2 2 3 5 3" xfId="28702"/>
    <cellStyle name="Output 2 2 2 2 3 5 4" xfId="28703"/>
    <cellStyle name="Output 2 2 2 2 3 6" xfId="28704"/>
    <cellStyle name="Output 2 2 2 2 3 6 2" xfId="28705"/>
    <cellStyle name="Output 2 2 2 2 3 6 3" xfId="28706"/>
    <cellStyle name="Output 2 2 2 2 3 6 4" xfId="28707"/>
    <cellStyle name="Output 2 2 2 2 3 7" xfId="28708"/>
    <cellStyle name="Output 2 2 2 2 3 7 2" xfId="28709"/>
    <cellStyle name="Output 2 2 2 2 3 7 3" xfId="28710"/>
    <cellStyle name="Output 2 2 2 2 3 7 4" xfId="28711"/>
    <cellStyle name="Output 2 2 2 2 3 8" xfId="28712"/>
    <cellStyle name="Output 2 2 2 2 3 9" xfId="28713"/>
    <cellStyle name="Output 2 2 2 2 4" xfId="28714"/>
    <cellStyle name="Output 2 2 2 2 4 2" xfId="28715"/>
    <cellStyle name="Output 2 2 2 2 4 2 2" xfId="28716"/>
    <cellStyle name="Output 2 2 2 2 4 2 2 2" xfId="28717"/>
    <cellStyle name="Output 2 2 2 2 4 2 2 3" xfId="28718"/>
    <cellStyle name="Output 2 2 2 2 4 2 2 4" xfId="28719"/>
    <cellStyle name="Output 2 2 2 2 4 2 3" xfId="28720"/>
    <cellStyle name="Output 2 2 2 2 4 2 4" xfId="28721"/>
    <cellStyle name="Output 2 2 2 2 4 2 5" xfId="28722"/>
    <cellStyle name="Output 2 2 2 2 4 2 6" xfId="28723"/>
    <cellStyle name="Output 2 2 2 2 4 3" xfId="28724"/>
    <cellStyle name="Output 2 2 2 2 4 3 2" xfId="28725"/>
    <cellStyle name="Output 2 2 2 2 4 3 2 2" xfId="28726"/>
    <cellStyle name="Output 2 2 2 2 4 3 2 3" xfId="28727"/>
    <cellStyle name="Output 2 2 2 2 4 3 2 4" xfId="28728"/>
    <cellStyle name="Output 2 2 2 2 4 3 3" xfId="28729"/>
    <cellStyle name="Output 2 2 2 2 4 3 4" xfId="28730"/>
    <cellStyle name="Output 2 2 2 2 4 3 5" xfId="28731"/>
    <cellStyle name="Output 2 2 2 2 4 3 6" xfId="28732"/>
    <cellStyle name="Output 2 2 2 2 4 4" xfId="28733"/>
    <cellStyle name="Output 2 2 2 2 4 4 2" xfId="28734"/>
    <cellStyle name="Output 2 2 2 2 4 4 3" xfId="28735"/>
    <cellStyle name="Output 2 2 2 2 4 4 4" xfId="28736"/>
    <cellStyle name="Output 2 2 2 2 4 5" xfId="28737"/>
    <cellStyle name="Output 2 2 2 2 4 6" xfId="28738"/>
    <cellStyle name="Output 2 2 2 2 4 7" xfId="28739"/>
    <cellStyle name="Output 2 2 2 2 4 8" xfId="28740"/>
    <cellStyle name="Output 2 2 2 2 5" xfId="28741"/>
    <cellStyle name="Output 2 2 2 2 5 2" xfId="28742"/>
    <cellStyle name="Output 2 2 2 2 5 2 2" xfId="28743"/>
    <cellStyle name="Output 2 2 2 2 5 2 3" xfId="28744"/>
    <cellStyle name="Output 2 2 2 2 5 2 4" xfId="28745"/>
    <cellStyle name="Output 2 2 2 2 5 3" xfId="28746"/>
    <cellStyle name="Output 2 2 2 2 5 3 2" xfId="28747"/>
    <cellStyle name="Output 2 2 2 2 5 3 3" xfId="28748"/>
    <cellStyle name="Output 2 2 2 2 5 3 4" xfId="28749"/>
    <cellStyle name="Output 2 2 2 2 5 4" xfId="28750"/>
    <cellStyle name="Output 2 2 2 2 5 5" xfId="28751"/>
    <cellStyle name="Output 2 2 2 2 5 6" xfId="28752"/>
    <cellStyle name="Output 2 2 2 2 5 7" xfId="28753"/>
    <cellStyle name="Output 2 2 2 2 6" xfId="28754"/>
    <cellStyle name="Output 2 2 2 2 6 2" xfId="28755"/>
    <cellStyle name="Output 2 2 2 2 6 2 2" xfId="28756"/>
    <cellStyle name="Output 2 2 2 2 6 2 3" xfId="28757"/>
    <cellStyle name="Output 2 2 2 2 6 2 4" xfId="28758"/>
    <cellStyle name="Output 2 2 2 2 6 3" xfId="28759"/>
    <cellStyle name="Output 2 2 2 2 6 3 2" xfId="28760"/>
    <cellStyle name="Output 2 2 2 2 6 3 3" xfId="28761"/>
    <cellStyle name="Output 2 2 2 2 6 3 4" xfId="28762"/>
    <cellStyle name="Output 2 2 2 2 6 4" xfId="28763"/>
    <cellStyle name="Output 2 2 2 2 6 5" xfId="28764"/>
    <cellStyle name="Output 2 2 2 2 6 6" xfId="28765"/>
    <cellStyle name="Output 2 2 2 2 6 7" xfId="28766"/>
    <cellStyle name="Output 2 2 2 2 7" xfId="28767"/>
    <cellStyle name="Output 2 2 2 2 7 2" xfId="28768"/>
    <cellStyle name="Output 2 2 2 2 7 2 2" xfId="28769"/>
    <cellStyle name="Output 2 2 2 2 7 2 3" xfId="28770"/>
    <cellStyle name="Output 2 2 2 2 7 2 4" xfId="28771"/>
    <cellStyle name="Output 2 2 2 2 7 3" xfId="28772"/>
    <cellStyle name="Output 2 2 2 2 7 3 2" xfId="28773"/>
    <cellStyle name="Output 2 2 2 2 7 3 3" xfId="28774"/>
    <cellStyle name="Output 2 2 2 2 7 3 4" xfId="28775"/>
    <cellStyle name="Output 2 2 2 2 7 4" xfId="28776"/>
    <cellStyle name="Output 2 2 2 2 7 5" xfId="28777"/>
    <cellStyle name="Output 2 2 2 2 7 6" xfId="28778"/>
    <cellStyle name="Output 2 2 2 2 7 7" xfId="28779"/>
    <cellStyle name="Output 2 2 2 2 8" xfId="28780"/>
    <cellStyle name="Output 2 2 2 2 8 2" xfId="28781"/>
    <cellStyle name="Output 2 2 2 2 8 2 2" xfId="28782"/>
    <cellStyle name="Output 2 2 2 2 8 2 3" xfId="28783"/>
    <cellStyle name="Output 2 2 2 2 8 2 4" xfId="28784"/>
    <cellStyle name="Output 2 2 2 2 8 3" xfId="28785"/>
    <cellStyle name="Output 2 2 2 2 8 4" xfId="28786"/>
    <cellStyle name="Output 2 2 2 2 8 5" xfId="28787"/>
    <cellStyle name="Output 2 2 2 2 8 6" xfId="28788"/>
    <cellStyle name="Output 2 2 2 2 9" xfId="28789"/>
    <cellStyle name="Output 2 2 2 2 9 2" xfId="28790"/>
    <cellStyle name="Output 2 2 2 2 9 3" xfId="28791"/>
    <cellStyle name="Output 2 2 2 2 9 4" xfId="28792"/>
    <cellStyle name="Output 2 2 2 2 9 5" xfId="28793"/>
    <cellStyle name="Output 2 2 2 20" xfId="28794"/>
    <cellStyle name="Output 2 2 2 21" xfId="28795"/>
    <cellStyle name="Output 2 2 2 3" xfId="28796"/>
    <cellStyle name="Output 2 2 2 3 10" xfId="28797"/>
    <cellStyle name="Output 2 2 2 3 10 2" xfId="28798"/>
    <cellStyle name="Output 2 2 2 3 10 3" xfId="28799"/>
    <cellStyle name="Output 2 2 2 3 10 4" xfId="28800"/>
    <cellStyle name="Output 2 2 2 3 11" xfId="28801"/>
    <cellStyle name="Output 2 2 2 3 11 2" xfId="28802"/>
    <cellStyle name="Output 2 2 2 3 11 3" xfId="28803"/>
    <cellStyle name="Output 2 2 2 3 11 4" xfId="28804"/>
    <cellStyle name="Output 2 2 2 3 12" xfId="28805"/>
    <cellStyle name="Output 2 2 2 3 13" xfId="28806"/>
    <cellStyle name="Output 2 2 2 3 14" xfId="28807"/>
    <cellStyle name="Output 2 2 2 3 15" xfId="28808"/>
    <cellStyle name="Output 2 2 2 3 2" xfId="28809"/>
    <cellStyle name="Output 2 2 2 3 2 10" xfId="28810"/>
    <cellStyle name="Output 2 2 2 3 2 11" xfId="28811"/>
    <cellStyle name="Output 2 2 2 3 2 12" xfId="28812"/>
    <cellStyle name="Output 2 2 2 3 2 2" xfId="28813"/>
    <cellStyle name="Output 2 2 2 3 2 2 10" xfId="28814"/>
    <cellStyle name="Output 2 2 2 3 2 2 11" xfId="28815"/>
    <cellStyle name="Output 2 2 2 3 2 2 2" xfId="28816"/>
    <cellStyle name="Output 2 2 2 3 2 2 2 2" xfId="28817"/>
    <cellStyle name="Output 2 2 2 3 2 2 2 2 2" xfId="28818"/>
    <cellStyle name="Output 2 2 2 3 2 2 2 2 2 2" xfId="28819"/>
    <cellStyle name="Output 2 2 2 3 2 2 2 2 2 3" xfId="28820"/>
    <cellStyle name="Output 2 2 2 3 2 2 2 2 2 4" xfId="28821"/>
    <cellStyle name="Output 2 2 2 3 2 2 2 2 3" xfId="28822"/>
    <cellStyle name="Output 2 2 2 3 2 2 2 2 4" xfId="28823"/>
    <cellStyle name="Output 2 2 2 3 2 2 2 2 5" xfId="28824"/>
    <cellStyle name="Output 2 2 2 3 2 2 2 2 6" xfId="28825"/>
    <cellStyle name="Output 2 2 2 3 2 2 2 3" xfId="28826"/>
    <cellStyle name="Output 2 2 2 3 2 2 2 3 2" xfId="28827"/>
    <cellStyle name="Output 2 2 2 3 2 2 2 3 2 2" xfId="28828"/>
    <cellStyle name="Output 2 2 2 3 2 2 2 3 2 3" xfId="28829"/>
    <cellStyle name="Output 2 2 2 3 2 2 2 3 2 4" xfId="28830"/>
    <cellStyle name="Output 2 2 2 3 2 2 2 3 3" xfId="28831"/>
    <cellStyle name="Output 2 2 2 3 2 2 2 3 4" xfId="28832"/>
    <cellStyle name="Output 2 2 2 3 2 2 2 3 5" xfId="28833"/>
    <cellStyle name="Output 2 2 2 3 2 2 2 3 6" xfId="28834"/>
    <cellStyle name="Output 2 2 2 3 2 2 2 4" xfId="28835"/>
    <cellStyle name="Output 2 2 2 3 2 2 2 4 2" xfId="28836"/>
    <cellStyle name="Output 2 2 2 3 2 2 2 4 3" xfId="28837"/>
    <cellStyle name="Output 2 2 2 3 2 2 2 4 4" xfId="28838"/>
    <cellStyle name="Output 2 2 2 3 2 2 2 5" xfId="28839"/>
    <cellStyle name="Output 2 2 2 3 2 2 2 6" xfId="28840"/>
    <cellStyle name="Output 2 2 2 3 2 2 2 7" xfId="28841"/>
    <cellStyle name="Output 2 2 2 3 2 2 2 8" xfId="28842"/>
    <cellStyle name="Output 2 2 2 3 2 2 3" xfId="28843"/>
    <cellStyle name="Output 2 2 2 3 2 2 3 2" xfId="28844"/>
    <cellStyle name="Output 2 2 2 3 2 2 3 2 2" xfId="28845"/>
    <cellStyle name="Output 2 2 2 3 2 2 3 2 3" xfId="28846"/>
    <cellStyle name="Output 2 2 2 3 2 2 3 2 4" xfId="28847"/>
    <cellStyle name="Output 2 2 2 3 2 2 3 3" xfId="28848"/>
    <cellStyle name="Output 2 2 2 3 2 2 3 4" xfId="28849"/>
    <cellStyle name="Output 2 2 2 3 2 2 3 5" xfId="28850"/>
    <cellStyle name="Output 2 2 2 3 2 2 3 6" xfId="28851"/>
    <cellStyle name="Output 2 2 2 3 2 2 4" xfId="28852"/>
    <cellStyle name="Output 2 2 2 3 2 2 4 2" xfId="28853"/>
    <cellStyle name="Output 2 2 2 3 2 2 4 3" xfId="28854"/>
    <cellStyle name="Output 2 2 2 3 2 2 4 4" xfId="28855"/>
    <cellStyle name="Output 2 2 2 3 2 2 4 5" xfId="28856"/>
    <cellStyle name="Output 2 2 2 3 2 2 5" xfId="28857"/>
    <cellStyle name="Output 2 2 2 3 2 2 5 2" xfId="28858"/>
    <cellStyle name="Output 2 2 2 3 2 2 5 3" xfId="28859"/>
    <cellStyle name="Output 2 2 2 3 2 2 5 4" xfId="28860"/>
    <cellStyle name="Output 2 2 2 3 2 2 6" xfId="28861"/>
    <cellStyle name="Output 2 2 2 3 2 2 6 2" xfId="28862"/>
    <cellStyle name="Output 2 2 2 3 2 2 6 3" xfId="28863"/>
    <cellStyle name="Output 2 2 2 3 2 2 6 4" xfId="28864"/>
    <cellStyle name="Output 2 2 2 3 2 2 7" xfId="28865"/>
    <cellStyle name="Output 2 2 2 3 2 2 7 2" xfId="28866"/>
    <cellStyle name="Output 2 2 2 3 2 2 7 3" xfId="28867"/>
    <cellStyle name="Output 2 2 2 3 2 2 7 4" xfId="28868"/>
    <cellStyle name="Output 2 2 2 3 2 2 8" xfId="28869"/>
    <cellStyle name="Output 2 2 2 3 2 2 9" xfId="28870"/>
    <cellStyle name="Output 2 2 2 3 2 3" xfId="28871"/>
    <cellStyle name="Output 2 2 2 3 2 3 2" xfId="28872"/>
    <cellStyle name="Output 2 2 2 3 2 3 2 2" xfId="28873"/>
    <cellStyle name="Output 2 2 2 3 2 3 2 2 2" xfId="28874"/>
    <cellStyle name="Output 2 2 2 3 2 3 2 2 3" xfId="28875"/>
    <cellStyle name="Output 2 2 2 3 2 3 2 2 4" xfId="28876"/>
    <cellStyle name="Output 2 2 2 3 2 3 2 3" xfId="28877"/>
    <cellStyle name="Output 2 2 2 3 2 3 2 4" xfId="28878"/>
    <cellStyle name="Output 2 2 2 3 2 3 2 5" xfId="28879"/>
    <cellStyle name="Output 2 2 2 3 2 3 2 6" xfId="28880"/>
    <cellStyle name="Output 2 2 2 3 2 3 3" xfId="28881"/>
    <cellStyle name="Output 2 2 2 3 2 3 3 2" xfId="28882"/>
    <cellStyle name="Output 2 2 2 3 2 3 3 2 2" xfId="28883"/>
    <cellStyle name="Output 2 2 2 3 2 3 3 2 3" xfId="28884"/>
    <cellStyle name="Output 2 2 2 3 2 3 3 2 4" xfId="28885"/>
    <cellStyle name="Output 2 2 2 3 2 3 3 3" xfId="28886"/>
    <cellStyle name="Output 2 2 2 3 2 3 3 4" xfId="28887"/>
    <cellStyle name="Output 2 2 2 3 2 3 3 5" xfId="28888"/>
    <cellStyle name="Output 2 2 2 3 2 3 3 6" xfId="28889"/>
    <cellStyle name="Output 2 2 2 3 2 3 4" xfId="28890"/>
    <cellStyle name="Output 2 2 2 3 2 3 4 2" xfId="28891"/>
    <cellStyle name="Output 2 2 2 3 2 3 4 3" xfId="28892"/>
    <cellStyle name="Output 2 2 2 3 2 3 4 4" xfId="28893"/>
    <cellStyle name="Output 2 2 2 3 2 3 5" xfId="28894"/>
    <cellStyle name="Output 2 2 2 3 2 3 6" xfId="28895"/>
    <cellStyle name="Output 2 2 2 3 2 3 7" xfId="28896"/>
    <cellStyle name="Output 2 2 2 3 2 3 8" xfId="28897"/>
    <cellStyle name="Output 2 2 2 3 2 4" xfId="28898"/>
    <cellStyle name="Output 2 2 2 3 2 4 2" xfId="28899"/>
    <cellStyle name="Output 2 2 2 3 2 4 2 2" xfId="28900"/>
    <cellStyle name="Output 2 2 2 3 2 4 2 3" xfId="28901"/>
    <cellStyle name="Output 2 2 2 3 2 4 2 4" xfId="28902"/>
    <cellStyle name="Output 2 2 2 3 2 4 3" xfId="28903"/>
    <cellStyle name="Output 2 2 2 3 2 4 4" xfId="28904"/>
    <cellStyle name="Output 2 2 2 3 2 4 5" xfId="28905"/>
    <cellStyle name="Output 2 2 2 3 2 4 6" xfId="28906"/>
    <cellStyle name="Output 2 2 2 3 2 5" xfId="28907"/>
    <cellStyle name="Output 2 2 2 3 2 5 2" xfId="28908"/>
    <cellStyle name="Output 2 2 2 3 2 5 3" xfId="28909"/>
    <cellStyle name="Output 2 2 2 3 2 5 4" xfId="28910"/>
    <cellStyle name="Output 2 2 2 3 2 5 5" xfId="28911"/>
    <cellStyle name="Output 2 2 2 3 2 6" xfId="28912"/>
    <cellStyle name="Output 2 2 2 3 2 6 2" xfId="28913"/>
    <cellStyle name="Output 2 2 2 3 2 6 3" xfId="28914"/>
    <cellStyle name="Output 2 2 2 3 2 6 4" xfId="28915"/>
    <cellStyle name="Output 2 2 2 3 2 7" xfId="28916"/>
    <cellStyle name="Output 2 2 2 3 2 7 2" xfId="28917"/>
    <cellStyle name="Output 2 2 2 3 2 7 3" xfId="28918"/>
    <cellStyle name="Output 2 2 2 3 2 7 4" xfId="28919"/>
    <cellStyle name="Output 2 2 2 3 2 8" xfId="28920"/>
    <cellStyle name="Output 2 2 2 3 2 8 2" xfId="28921"/>
    <cellStyle name="Output 2 2 2 3 2 8 3" xfId="28922"/>
    <cellStyle name="Output 2 2 2 3 2 8 4" xfId="28923"/>
    <cellStyle name="Output 2 2 2 3 2 9" xfId="28924"/>
    <cellStyle name="Output 2 2 2 3 3" xfId="28925"/>
    <cellStyle name="Output 2 2 2 3 3 10" xfId="28926"/>
    <cellStyle name="Output 2 2 2 3 3 11" xfId="28927"/>
    <cellStyle name="Output 2 2 2 3 3 2" xfId="28928"/>
    <cellStyle name="Output 2 2 2 3 3 2 2" xfId="28929"/>
    <cellStyle name="Output 2 2 2 3 3 2 2 2" xfId="28930"/>
    <cellStyle name="Output 2 2 2 3 3 2 2 2 2" xfId="28931"/>
    <cellStyle name="Output 2 2 2 3 3 2 2 2 3" xfId="28932"/>
    <cellStyle name="Output 2 2 2 3 3 2 2 2 4" xfId="28933"/>
    <cellStyle name="Output 2 2 2 3 3 2 2 3" xfId="28934"/>
    <cellStyle name="Output 2 2 2 3 3 2 2 4" xfId="28935"/>
    <cellStyle name="Output 2 2 2 3 3 2 2 5" xfId="28936"/>
    <cellStyle name="Output 2 2 2 3 3 2 2 6" xfId="28937"/>
    <cellStyle name="Output 2 2 2 3 3 2 3" xfId="28938"/>
    <cellStyle name="Output 2 2 2 3 3 2 3 2" xfId="28939"/>
    <cellStyle name="Output 2 2 2 3 3 2 3 2 2" xfId="28940"/>
    <cellStyle name="Output 2 2 2 3 3 2 3 2 3" xfId="28941"/>
    <cellStyle name="Output 2 2 2 3 3 2 3 2 4" xfId="28942"/>
    <cellStyle name="Output 2 2 2 3 3 2 3 3" xfId="28943"/>
    <cellStyle name="Output 2 2 2 3 3 2 3 4" xfId="28944"/>
    <cellStyle name="Output 2 2 2 3 3 2 3 5" xfId="28945"/>
    <cellStyle name="Output 2 2 2 3 3 2 3 6" xfId="28946"/>
    <cellStyle name="Output 2 2 2 3 3 2 4" xfId="28947"/>
    <cellStyle name="Output 2 2 2 3 3 2 4 2" xfId="28948"/>
    <cellStyle name="Output 2 2 2 3 3 2 4 3" xfId="28949"/>
    <cellStyle name="Output 2 2 2 3 3 2 4 4" xfId="28950"/>
    <cellStyle name="Output 2 2 2 3 3 2 5" xfId="28951"/>
    <cellStyle name="Output 2 2 2 3 3 2 6" xfId="28952"/>
    <cellStyle name="Output 2 2 2 3 3 2 7" xfId="28953"/>
    <cellStyle name="Output 2 2 2 3 3 2 8" xfId="28954"/>
    <cellStyle name="Output 2 2 2 3 3 3" xfId="28955"/>
    <cellStyle name="Output 2 2 2 3 3 3 2" xfId="28956"/>
    <cellStyle name="Output 2 2 2 3 3 3 2 2" xfId="28957"/>
    <cellStyle name="Output 2 2 2 3 3 3 2 3" xfId="28958"/>
    <cellStyle name="Output 2 2 2 3 3 3 2 4" xfId="28959"/>
    <cellStyle name="Output 2 2 2 3 3 3 3" xfId="28960"/>
    <cellStyle name="Output 2 2 2 3 3 3 4" xfId="28961"/>
    <cellStyle name="Output 2 2 2 3 3 3 5" xfId="28962"/>
    <cellStyle name="Output 2 2 2 3 3 3 6" xfId="28963"/>
    <cellStyle name="Output 2 2 2 3 3 4" xfId="28964"/>
    <cellStyle name="Output 2 2 2 3 3 4 2" xfId="28965"/>
    <cellStyle name="Output 2 2 2 3 3 4 3" xfId="28966"/>
    <cellStyle name="Output 2 2 2 3 3 4 4" xfId="28967"/>
    <cellStyle name="Output 2 2 2 3 3 4 5" xfId="28968"/>
    <cellStyle name="Output 2 2 2 3 3 5" xfId="28969"/>
    <cellStyle name="Output 2 2 2 3 3 5 2" xfId="28970"/>
    <cellStyle name="Output 2 2 2 3 3 5 3" xfId="28971"/>
    <cellStyle name="Output 2 2 2 3 3 5 4" xfId="28972"/>
    <cellStyle name="Output 2 2 2 3 3 6" xfId="28973"/>
    <cellStyle name="Output 2 2 2 3 3 6 2" xfId="28974"/>
    <cellStyle name="Output 2 2 2 3 3 6 3" xfId="28975"/>
    <cellStyle name="Output 2 2 2 3 3 6 4" xfId="28976"/>
    <cellStyle name="Output 2 2 2 3 3 7" xfId="28977"/>
    <cellStyle name="Output 2 2 2 3 3 7 2" xfId="28978"/>
    <cellStyle name="Output 2 2 2 3 3 7 3" xfId="28979"/>
    <cellStyle name="Output 2 2 2 3 3 7 4" xfId="28980"/>
    <cellStyle name="Output 2 2 2 3 3 8" xfId="28981"/>
    <cellStyle name="Output 2 2 2 3 3 9" xfId="28982"/>
    <cellStyle name="Output 2 2 2 3 4" xfId="28983"/>
    <cellStyle name="Output 2 2 2 3 4 2" xfId="28984"/>
    <cellStyle name="Output 2 2 2 3 4 2 2" xfId="28985"/>
    <cellStyle name="Output 2 2 2 3 4 2 2 2" xfId="28986"/>
    <cellStyle name="Output 2 2 2 3 4 2 2 3" xfId="28987"/>
    <cellStyle name="Output 2 2 2 3 4 2 2 4" xfId="28988"/>
    <cellStyle name="Output 2 2 2 3 4 2 3" xfId="28989"/>
    <cellStyle name="Output 2 2 2 3 4 2 4" xfId="28990"/>
    <cellStyle name="Output 2 2 2 3 4 2 5" xfId="28991"/>
    <cellStyle name="Output 2 2 2 3 4 2 6" xfId="28992"/>
    <cellStyle name="Output 2 2 2 3 4 3" xfId="28993"/>
    <cellStyle name="Output 2 2 2 3 4 3 2" xfId="28994"/>
    <cellStyle name="Output 2 2 2 3 4 3 2 2" xfId="28995"/>
    <cellStyle name="Output 2 2 2 3 4 3 2 3" xfId="28996"/>
    <cellStyle name="Output 2 2 2 3 4 3 2 4" xfId="28997"/>
    <cellStyle name="Output 2 2 2 3 4 3 3" xfId="28998"/>
    <cellStyle name="Output 2 2 2 3 4 3 4" xfId="28999"/>
    <cellStyle name="Output 2 2 2 3 4 3 5" xfId="29000"/>
    <cellStyle name="Output 2 2 2 3 4 3 6" xfId="29001"/>
    <cellStyle name="Output 2 2 2 3 4 4" xfId="29002"/>
    <cellStyle name="Output 2 2 2 3 4 4 2" xfId="29003"/>
    <cellStyle name="Output 2 2 2 3 4 4 3" xfId="29004"/>
    <cellStyle name="Output 2 2 2 3 4 4 4" xfId="29005"/>
    <cellStyle name="Output 2 2 2 3 4 5" xfId="29006"/>
    <cellStyle name="Output 2 2 2 3 4 6" xfId="29007"/>
    <cellStyle name="Output 2 2 2 3 4 7" xfId="29008"/>
    <cellStyle name="Output 2 2 2 3 4 8" xfId="29009"/>
    <cellStyle name="Output 2 2 2 3 5" xfId="29010"/>
    <cellStyle name="Output 2 2 2 3 5 2" xfId="29011"/>
    <cellStyle name="Output 2 2 2 3 5 2 2" xfId="29012"/>
    <cellStyle name="Output 2 2 2 3 5 2 3" xfId="29013"/>
    <cellStyle name="Output 2 2 2 3 5 2 4" xfId="29014"/>
    <cellStyle name="Output 2 2 2 3 5 3" xfId="29015"/>
    <cellStyle name="Output 2 2 2 3 5 3 2" xfId="29016"/>
    <cellStyle name="Output 2 2 2 3 5 3 3" xfId="29017"/>
    <cellStyle name="Output 2 2 2 3 5 3 4" xfId="29018"/>
    <cellStyle name="Output 2 2 2 3 5 4" xfId="29019"/>
    <cellStyle name="Output 2 2 2 3 5 5" xfId="29020"/>
    <cellStyle name="Output 2 2 2 3 5 6" xfId="29021"/>
    <cellStyle name="Output 2 2 2 3 5 7" xfId="29022"/>
    <cellStyle name="Output 2 2 2 3 6" xfId="29023"/>
    <cellStyle name="Output 2 2 2 3 6 2" xfId="29024"/>
    <cellStyle name="Output 2 2 2 3 6 2 2" xfId="29025"/>
    <cellStyle name="Output 2 2 2 3 6 2 3" xfId="29026"/>
    <cellStyle name="Output 2 2 2 3 6 2 4" xfId="29027"/>
    <cellStyle name="Output 2 2 2 3 6 3" xfId="29028"/>
    <cellStyle name="Output 2 2 2 3 6 3 2" xfId="29029"/>
    <cellStyle name="Output 2 2 2 3 6 3 3" xfId="29030"/>
    <cellStyle name="Output 2 2 2 3 6 3 4" xfId="29031"/>
    <cellStyle name="Output 2 2 2 3 6 4" xfId="29032"/>
    <cellStyle name="Output 2 2 2 3 6 5" xfId="29033"/>
    <cellStyle name="Output 2 2 2 3 6 6" xfId="29034"/>
    <cellStyle name="Output 2 2 2 3 6 7" xfId="29035"/>
    <cellStyle name="Output 2 2 2 3 7" xfId="29036"/>
    <cellStyle name="Output 2 2 2 3 7 2" xfId="29037"/>
    <cellStyle name="Output 2 2 2 3 7 2 2" xfId="29038"/>
    <cellStyle name="Output 2 2 2 3 7 2 3" xfId="29039"/>
    <cellStyle name="Output 2 2 2 3 7 2 4" xfId="29040"/>
    <cellStyle name="Output 2 2 2 3 7 3" xfId="29041"/>
    <cellStyle name="Output 2 2 2 3 7 3 2" xfId="29042"/>
    <cellStyle name="Output 2 2 2 3 7 3 3" xfId="29043"/>
    <cellStyle name="Output 2 2 2 3 7 3 4" xfId="29044"/>
    <cellStyle name="Output 2 2 2 3 7 4" xfId="29045"/>
    <cellStyle name="Output 2 2 2 3 7 5" xfId="29046"/>
    <cellStyle name="Output 2 2 2 3 7 6" xfId="29047"/>
    <cellStyle name="Output 2 2 2 3 7 7" xfId="29048"/>
    <cellStyle name="Output 2 2 2 3 8" xfId="29049"/>
    <cellStyle name="Output 2 2 2 3 8 2" xfId="29050"/>
    <cellStyle name="Output 2 2 2 3 8 2 2" xfId="29051"/>
    <cellStyle name="Output 2 2 2 3 8 2 3" xfId="29052"/>
    <cellStyle name="Output 2 2 2 3 8 2 4" xfId="29053"/>
    <cellStyle name="Output 2 2 2 3 8 3" xfId="29054"/>
    <cellStyle name="Output 2 2 2 3 8 4" xfId="29055"/>
    <cellStyle name="Output 2 2 2 3 8 5" xfId="29056"/>
    <cellStyle name="Output 2 2 2 3 8 6" xfId="29057"/>
    <cellStyle name="Output 2 2 2 3 9" xfId="29058"/>
    <cellStyle name="Output 2 2 2 3 9 2" xfId="29059"/>
    <cellStyle name="Output 2 2 2 3 9 3" xfId="29060"/>
    <cellStyle name="Output 2 2 2 3 9 4" xfId="29061"/>
    <cellStyle name="Output 2 2 2 3 9 5" xfId="29062"/>
    <cellStyle name="Output 2 2 2 4" xfId="29063"/>
    <cellStyle name="Output 2 2 2 4 10" xfId="29064"/>
    <cellStyle name="Output 2 2 2 4 10 2" xfId="29065"/>
    <cellStyle name="Output 2 2 2 4 10 3" xfId="29066"/>
    <cellStyle name="Output 2 2 2 4 10 4" xfId="29067"/>
    <cellStyle name="Output 2 2 2 4 11" xfId="29068"/>
    <cellStyle name="Output 2 2 2 4 11 2" xfId="29069"/>
    <cellStyle name="Output 2 2 2 4 11 3" xfId="29070"/>
    <cellStyle name="Output 2 2 2 4 11 4" xfId="29071"/>
    <cellStyle name="Output 2 2 2 4 12" xfId="29072"/>
    <cellStyle name="Output 2 2 2 4 13" xfId="29073"/>
    <cellStyle name="Output 2 2 2 4 14" xfId="29074"/>
    <cellStyle name="Output 2 2 2 4 15" xfId="29075"/>
    <cellStyle name="Output 2 2 2 4 2" xfId="29076"/>
    <cellStyle name="Output 2 2 2 4 2 10" xfId="29077"/>
    <cellStyle name="Output 2 2 2 4 2 11" xfId="29078"/>
    <cellStyle name="Output 2 2 2 4 2 12" xfId="29079"/>
    <cellStyle name="Output 2 2 2 4 2 2" xfId="29080"/>
    <cellStyle name="Output 2 2 2 4 2 2 10" xfId="29081"/>
    <cellStyle name="Output 2 2 2 4 2 2 11" xfId="29082"/>
    <cellStyle name="Output 2 2 2 4 2 2 2" xfId="29083"/>
    <cellStyle name="Output 2 2 2 4 2 2 2 2" xfId="29084"/>
    <cellStyle name="Output 2 2 2 4 2 2 2 2 2" xfId="29085"/>
    <cellStyle name="Output 2 2 2 4 2 2 2 2 2 2" xfId="29086"/>
    <cellStyle name="Output 2 2 2 4 2 2 2 2 2 3" xfId="29087"/>
    <cellStyle name="Output 2 2 2 4 2 2 2 2 2 4" xfId="29088"/>
    <cellStyle name="Output 2 2 2 4 2 2 2 2 3" xfId="29089"/>
    <cellStyle name="Output 2 2 2 4 2 2 2 2 4" xfId="29090"/>
    <cellStyle name="Output 2 2 2 4 2 2 2 2 5" xfId="29091"/>
    <cellStyle name="Output 2 2 2 4 2 2 2 2 6" xfId="29092"/>
    <cellStyle name="Output 2 2 2 4 2 2 2 3" xfId="29093"/>
    <cellStyle name="Output 2 2 2 4 2 2 2 3 2" xfId="29094"/>
    <cellStyle name="Output 2 2 2 4 2 2 2 3 2 2" xfId="29095"/>
    <cellStyle name="Output 2 2 2 4 2 2 2 3 2 3" xfId="29096"/>
    <cellStyle name="Output 2 2 2 4 2 2 2 3 2 4" xfId="29097"/>
    <cellStyle name="Output 2 2 2 4 2 2 2 3 3" xfId="29098"/>
    <cellStyle name="Output 2 2 2 4 2 2 2 3 4" xfId="29099"/>
    <cellStyle name="Output 2 2 2 4 2 2 2 3 5" xfId="29100"/>
    <cellStyle name="Output 2 2 2 4 2 2 2 3 6" xfId="29101"/>
    <cellStyle name="Output 2 2 2 4 2 2 2 4" xfId="29102"/>
    <cellStyle name="Output 2 2 2 4 2 2 2 4 2" xfId="29103"/>
    <cellStyle name="Output 2 2 2 4 2 2 2 4 3" xfId="29104"/>
    <cellStyle name="Output 2 2 2 4 2 2 2 4 4" xfId="29105"/>
    <cellStyle name="Output 2 2 2 4 2 2 2 5" xfId="29106"/>
    <cellStyle name="Output 2 2 2 4 2 2 2 6" xfId="29107"/>
    <cellStyle name="Output 2 2 2 4 2 2 2 7" xfId="29108"/>
    <cellStyle name="Output 2 2 2 4 2 2 2 8" xfId="29109"/>
    <cellStyle name="Output 2 2 2 4 2 2 3" xfId="29110"/>
    <cellStyle name="Output 2 2 2 4 2 2 3 2" xfId="29111"/>
    <cellStyle name="Output 2 2 2 4 2 2 3 2 2" xfId="29112"/>
    <cellStyle name="Output 2 2 2 4 2 2 3 2 3" xfId="29113"/>
    <cellStyle name="Output 2 2 2 4 2 2 3 2 4" xfId="29114"/>
    <cellStyle name="Output 2 2 2 4 2 2 3 3" xfId="29115"/>
    <cellStyle name="Output 2 2 2 4 2 2 3 4" xfId="29116"/>
    <cellStyle name="Output 2 2 2 4 2 2 3 5" xfId="29117"/>
    <cellStyle name="Output 2 2 2 4 2 2 3 6" xfId="29118"/>
    <cellStyle name="Output 2 2 2 4 2 2 4" xfId="29119"/>
    <cellStyle name="Output 2 2 2 4 2 2 4 2" xfId="29120"/>
    <cellStyle name="Output 2 2 2 4 2 2 4 3" xfId="29121"/>
    <cellStyle name="Output 2 2 2 4 2 2 4 4" xfId="29122"/>
    <cellStyle name="Output 2 2 2 4 2 2 4 5" xfId="29123"/>
    <cellStyle name="Output 2 2 2 4 2 2 5" xfId="29124"/>
    <cellStyle name="Output 2 2 2 4 2 2 5 2" xfId="29125"/>
    <cellStyle name="Output 2 2 2 4 2 2 5 3" xfId="29126"/>
    <cellStyle name="Output 2 2 2 4 2 2 5 4" xfId="29127"/>
    <cellStyle name="Output 2 2 2 4 2 2 6" xfId="29128"/>
    <cellStyle name="Output 2 2 2 4 2 2 6 2" xfId="29129"/>
    <cellStyle name="Output 2 2 2 4 2 2 6 3" xfId="29130"/>
    <cellStyle name="Output 2 2 2 4 2 2 6 4" xfId="29131"/>
    <cellStyle name="Output 2 2 2 4 2 2 7" xfId="29132"/>
    <cellStyle name="Output 2 2 2 4 2 2 7 2" xfId="29133"/>
    <cellStyle name="Output 2 2 2 4 2 2 7 3" xfId="29134"/>
    <cellStyle name="Output 2 2 2 4 2 2 7 4" xfId="29135"/>
    <cellStyle name="Output 2 2 2 4 2 2 8" xfId="29136"/>
    <cellStyle name="Output 2 2 2 4 2 2 9" xfId="29137"/>
    <cellStyle name="Output 2 2 2 4 2 3" xfId="29138"/>
    <cellStyle name="Output 2 2 2 4 2 3 2" xfId="29139"/>
    <cellStyle name="Output 2 2 2 4 2 3 2 2" xfId="29140"/>
    <cellStyle name="Output 2 2 2 4 2 3 2 2 2" xfId="29141"/>
    <cellStyle name="Output 2 2 2 4 2 3 2 2 3" xfId="29142"/>
    <cellStyle name="Output 2 2 2 4 2 3 2 2 4" xfId="29143"/>
    <cellStyle name="Output 2 2 2 4 2 3 2 3" xfId="29144"/>
    <cellStyle name="Output 2 2 2 4 2 3 2 4" xfId="29145"/>
    <cellStyle name="Output 2 2 2 4 2 3 2 5" xfId="29146"/>
    <cellStyle name="Output 2 2 2 4 2 3 2 6" xfId="29147"/>
    <cellStyle name="Output 2 2 2 4 2 3 3" xfId="29148"/>
    <cellStyle name="Output 2 2 2 4 2 3 3 2" xfId="29149"/>
    <cellStyle name="Output 2 2 2 4 2 3 3 2 2" xfId="29150"/>
    <cellStyle name="Output 2 2 2 4 2 3 3 2 3" xfId="29151"/>
    <cellStyle name="Output 2 2 2 4 2 3 3 2 4" xfId="29152"/>
    <cellStyle name="Output 2 2 2 4 2 3 3 3" xfId="29153"/>
    <cellStyle name="Output 2 2 2 4 2 3 3 4" xfId="29154"/>
    <cellStyle name="Output 2 2 2 4 2 3 3 5" xfId="29155"/>
    <cellStyle name="Output 2 2 2 4 2 3 3 6" xfId="29156"/>
    <cellStyle name="Output 2 2 2 4 2 3 4" xfId="29157"/>
    <cellStyle name="Output 2 2 2 4 2 3 4 2" xfId="29158"/>
    <cellStyle name="Output 2 2 2 4 2 3 4 3" xfId="29159"/>
    <cellStyle name="Output 2 2 2 4 2 3 4 4" xfId="29160"/>
    <cellStyle name="Output 2 2 2 4 2 3 5" xfId="29161"/>
    <cellStyle name="Output 2 2 2 4 2 3 6" xfId="29162"/>
    <cellStyle name="Output 2 2 2 4 2 3 7" xfId="29163"/>
    <cellStyle name="Output 2 2 2 4 2 3 8" xfId="29164"/>
    <cellStyle name="Output 2 2 2 4 2 4" xfId="29165"/>
    <cellStyle name="Output 2 2 2 4 2 4 2" xfId="29166"/>
    <cellStyle name="Output 2 2 2 4 2 4 2 2" xfId="29167"/>
    <cellStyle name="Output 2 2 2 4 2 4 2 3" xfId="29168"/>
    <cellStyle name="Output 2 2 2 4 2 4 2 4" xfId="29169"/>
    <cellStyle name="Output 2 2 2 4 2 4 3" xfId="29170"/>
    <cellStyle name="Output 2 2 2 4 2 4 4" xfId="29171"/>
    <cellStyle name="Output 2 2 2 4 2 4 5" xfId="29172"/>
    <cellStyle name="Output 2 2 2 4 2 4 6" xfId="29173"/>
    <cellStyle name="Output 2 2 2 4 2 5" xfId="29174"/>
    <cellStyle name="Output 2 2 2 4 2 5 2" xfId="29175"/>
    <cellStyle name="Output 2 2 2 4 2 5 3" xfId="29176"/>
    <cellStyle name="Output 2 2 2 4 2 5 4" xfId="29177"/>
    <cellStyle name="Output 2 2 2 4 2 5 5" xfId="29178"/>
    <cellStyle name="Output 2 2 2 4 2 6" xfId="29179"/>
    <cellStyle name="Output 2 2 2 4 2 6 2" xfId="29180"/>
    <cellStyle name="Output 2 2 2 4 2 6 3" xfId="29181"/>
    <cellStyle name="Output 2 2 2 4 2 6 4" xfId="29182"/>
    <cellStyle name="Output 2 2 2 4 2 7" xfId="29183"/>
    <cellStyle name="Output 2 2 2 4 2 7 2" xfId="29184"/>
    <cellStyle name="Output 2 2 2 4 2 7 3" xfId="29185"/>
    <cellStyle name="Output 2 2 2 4 2 7 4" xfId="29186"/>
    <cellStyle name="Output 2 2 2 4 2 8" xfId="29187"/>
    <cellStyle name="Output 2 2 2 4 2 8 2" xfId="29188"/>
    <cellStyle name="Output 2 2 2 4 2 8 3" xfId="29189"/>
    <cellStyle name="Output 2 2 2 4 2 8 4" xfId="29190"/>
    <cellStyle name="Output 2 2 2 4 2 9" xfId="29191"/>
    <cellStyle name="Output 2 2 2 4 3" xfId="29192"/>
    <cellStyle name="Output 2 2 2 4 3 10" xfId="29193"/>
    <cellStyle name="Output 2 2 2 4 3 11" xfId="29194"/>
    <cellStyle name="Output 2 2 2 4 3 2" xfId="29195"/>
    <cellStyle name="Output 2 2 2 4 3 2 2" xfId="29196"/>
    <cellStyle name="Output 2 2 2 4 3 2 2 2" xfId="29197"/>
    <cellStyle name="Output 2 2 2 4 3 2 2 2 2" xfId="29198"/>
    <cellStyle name="Output 2 2 2 4 3 2 2 2 3" xfId="29199"/>
    <cellStyle name="Output 2 2 2 4 3 2 2 2 4" xfId="29200"/>
    <cellStyle name="Output 2 2 2 4 3 2 2 3" xfId="29201"/>
    <cellStyle name="Output 2 2 2 4 3 2 2 4" xfId="29202"/>
    <cellStyle name="Output 2 2 2 4 3 2 2 5" xfId="29203"/>
    <cellStyle name="Output 2 2 2 4 3 2 2 6" xfId="29204"/>
    <cellStyle name="Output 2 2 2 4 3 2 3" xfId="29205"/>
    <cellStyle name="Output 2 2 2 4 3 2 3 2" xfId="29206"/>
    <cellStyle name="Output 2 2 2 4 3 2 3 2 2" xfId="29207"/>
    <cellStyle name="Output 2 2 2 4 3 2 3 2 3" xfId="29208"/>
    <cellStyle name="Output 2 2 2 4 3 2 3 2 4" xfId="29209"/>
    <cellStyle name="Output 2 2 2 4 3 2 3 3" xfId="29210"/>
    <cellStyle name="Output 2 2 2 4 3 2 3 4" xfId="29211"/>
    <cellStyle name="Output 2 2 2 4 3 2 3 5" xfId="29212"/>
    <cellStyle name="Output 2 2 2 4 3 2 3 6" xfId="29213"/>
    <cellStyle name="Output 2 2 2 4 3 2 4" xfId="29214"/>
    <cellStyle name="Output 2 2 2 4 3 2 4 2" xfId="29215"/>
    <cellStyle name="Output 2 2 2 4 3 2 4 3" xfId="29216"/>
    <cellStyle name="Output 2 2 2 4 3 2 4 4" xfId="29217"/>
    <cellStyle name="Output 2 2 2 4 3 2 5" xfId="29218"/>
    <cellStyle name="Output 2 2 2 4 3 2 6" xfId="29219"/>
    <cellStyle name="Output 2 2 2 4 3 2 7" xfId="29220"/>
    <cellStyle name="Output 2 2 2 4 3 2 8" xfId="29221"/>
    <cellStyle name="Output 2 2 2 4 3 3" xfId="29222"/>
    <cellStyle name="Output 2 2 2 4 3 3 2" xfId="29223"/>
    <cellStyle name="Output 2 2 2 4 3 3 2 2" xfId="29224"/>
    <cellStyle name="Output 2 2 2 4 3 3 2 3" xfId="29225"/>
    <cellStyle name="Output 2 2 2 4 3 3 2 4" xfId="29226"/>
    <cellStyle name="Output 2 2 2 4 3 3 3" xfId="29227"/>
    <cellStyle name="Output 2 2 2 4 3 3 4" xfId="29228"/>
    <cellStyle name="Output 2 2 2 4 3 3 5" xfId="29229"/>
    <cellStyle name="Output 2 2 2 4 3 3 6" xfId="29230"/>
    <cellStyle name="Output 2 2 2 4 3 4" xfId="29231"/>
    <cellStyle name="Output 2 2 2 4 3 4 2" xfId="29232"/>
    <cellStyle name="Output 2 2 2 4 3 4 3" xfId="29233"/>
    <cellStyle name="Output 2 2 2 4 3 4 4" xfId="29234"/>
    <cellStyle name="Output 2 2 2 4 3 4 5" xfId="29235"/>
    <cellStyle name="Output 2 2 2 4 3 5" xfId="29236"/>
    <cellStyle name="Output 2 2 2 4 3 5 2" xfId="29237"/>
    <cellStyle name="Output 2 2 2 4 3 5 3" xfId="29238"/>
    <cellStyle name="Output 2 2 2 4 3 5 4" xfId="29239"/>
    <cellStyle name="Output 2 2 2 4 3 6" xfId="29240"/>
    <cellStyle name="Output 2 2 2 4 3 6 2" xfId="29241"/>
    <cellStyle name="Output 2 2 2 4 3 6 3" xfId="29242"/>
    <cellStyle name="Output 2 2 2 4 3 6 4" xfId="29243"/>
    <cellStyle name="Output 2 2 2 4 3 7" xfId="29244"/>
    <cellStyle name="Output 2 2 2 4 3 7 2" xfId="29245"/>
    <cellStyle name="Output 2 2 2 4 3 7 3" xfId="29246"/>
    <cellStyle name="Output 2 2 2 4 3 7 4" xfId="29247"/>
    <cellStyle name="Output 2 2 2 4 3 8" xfId="29248"/>
    <cellStyle name="Output 2 2 2 4 3 9" xfId="29249"/>
    <cellStyle name="Output 2 2 2 4 4" xfId="29250"/>
    <cellStyle name="Output 2 2 2 4 4 2" xfId="29251"/>
    <cellStyle name="Output 2 2 2 4 4 2 2" xfId="29252"/>
    <cellStyle name="Output 2 2 2 4 4 2 2 2" xfId="29253"/>
    <cellStyle name="Output 2 2 2 4 4 2 2 3" xfId="29254"/>
    <cellStyle name="Output 2 2 2 4 4 2 2 4" xfId="29255"/>
    <cellStyle name="Output 2 2 2 4 4 2 3" xfId="29256"/>
    <cellStyle name="Output 2 2 2 4 4 2 4" xfId="29257"/>
    <cellStyle name="Output 2 2 2 4 4 2 5" xfId="29258"/>
    <cellStyle name="Output 2 2 2 4 4 2 6" xfId="29259"/>
    <cellStyle name="Output 2 2 2 4 4 3" xfId="29260"/>
    <cellStyle name="Output 2 2 2 4 4 3 2" xfId="29261"/>
    <cellStyle name="Output 2 2 2 4 4 3 2 2" xfId="29262"/>
    <cellStyle name="Output 2 2 2 4 4 3 2 3" xfId="29263"/>
    <cellStyle name="Output 2 2 2 4 4 3 2 4" xfId="29264"/>
    <cellStyle name="Output 2 2 2 4 4 3 3" xfId="29265"/>
    <cellStyle name="Output 2 2 2 4 4 3 4" xfId="29266"/>
    <cellStyle name="Output 2 2 2 4 4 3 5" xfId="29267"/>
    <cellStyle name="Output 2 2 2 4 4 3 6" xfId="29268"/>
    <cellStyle name="Output 2 2 2 4 4 4" xfId="29269"/>
    <cellStyle name="Output 2 2 2 4 4 4 2" xfId="29270"/>
    <cellStyle name="Output 2 2 2 4 4 4 3" xfId="29271"/>
    <cellStyle name="Output 2 2 2 4 4 4 4" xfId="29272"/>
    <cellStyle name="Output 2 2 2 4 4 5" xfId="29273"/>
    <cellStyle name="Output 2 2 2 4 4 6" xfId="29274"/>
    <cellStyle name="Output 2 2 2 4 4 7" xfId="29275"/>
    <cellStyle name="Output 2 2 2 4 4 8" xfId="29276"/>
    <cellStyle name="Output 2 2 2 4 5" xfId="29277"/>
    <cellStyle name="Output 2 2 2 4 5 2" xfId="29278"/>
    <cellStyle name="Output 2 2 2 4 5 2 2" xfId="29279"/>
    <cellStyle name="Output 2 2 2 4 5 2 3" xfId="29280"/>
    <cellStyle name="Output 2 2 2 4 5 2 4" xfId="29281"/>
    <cellStyle name="Output 2 2 2 4 5 3" xfId="29282"/>
    <cellStyle name="Output 2 2 2 4 5 3 2" xfId="29283"/>
    <cellStyle name="Output 2 2 2 4 5 3 3" xfId="29284"/>
    <cellStyle name="Output 2 2 2 4 5 3 4" xfId="29285"/>
    <cellStyle name="Output 2 2 2 4 5 4" xfId="29286"/>
    <cellStyle name="Output 2 2 2 4 5 5" xfId="29287"/>
    <cellStyle name="Output 2 2 2 4 5 6" xfId="29288"/>
    <cellStyle name="Output 2 2 2 4 5 7" xfId="29289"/>
    <cellStyle name="Output 2 2 2 4 6" xfId="29290"/>
    <cellStyle name="Output 2 2 2 4 6 2" xfId="29291"/>
    <cellStyle name="Output 2 2 2 4 6 2 2" xfId="29292"/>
    <cellStyle name="Output 2 2 2 4 6 2 3" xfId="29293"/>
    <cellStyle name="Output 2 2 2 4 6 2 4" xfId="29294"/>
    <cellStyle name="Output 2 2 2 4 6 3" xfId="29295"/>
    <cellStyle name="Output 2 2 2 4 6 3 2" xfId="29296"/>
    <cellStyle name="Output 2 2 2 4 6 3 3" xfId="29297"/>
    <cellStyle name="Output 2 2 2 4 6 3 4" xfId="29298"/>
    <cellStyle name="Output 2 2 2 4 6 4" xfId="29299"/>
    <cellStyle name="Output 2 2 2 4 6 5" xfId="29300"/>
    <cellStyle name="Output 2 2 2 4 6 6" xfId="29301"/>
    <cellStyle name="Output 2 2 2 4 6 7" xfId="29302"/>
    <cellStyle name="Output 2 2 2 4 7" xfId="29303"/>
    <cellStyle name="Output 2 2 2 4 7 2" xfId="29304"/>
    <cellStyle name="Output 2 2 2 4 7 2 2" xfId="29305"/>
    <cellStyle name="Output 2 2 2 4 7 2 3" xfId="29306"/>
    <cellStyle name="Output 2 2 2 4 7 2 4" xfId="29307"/>
    <cellStyle name="Output 2 2 2 4 7 3" xfId="29308"/>
    <cellStyle name="Output 2 2 2 4 7 3 2" xfId="29309"/>
    <cellStyle name="Output 2 2 2 4 7 3 3" xfId="29310"/>
    <cellStyle name="Output 2 2 2 4 7 3 4" xfId="29311"/>
    <cellStyle name="Output 2 2 2 4 7 4" xfId="29312"/>
    <cellStyle name="Output 2 2 2 4 7 5" xfId="29313"/>
    <cellStyle name="Output 2 2 2 4 7 6" xfId="29314"/>
    <cellStyle name="Output 2 2 2 4 7 7" xfId="29315"/>
    <cellStyle name="Output 2 2 2 4 8" xfId="29316"/>
    <cellStyle name="Output 2 2 2 4 8 2" xfId="29317"/>
    <cellStyle name="Output 2 2 2 4 8 2 2" xfId="29318"/>
    <cellStyle name="Output 2 2 2 4 8 2 3" xfId="29319"/>
    <cellStyle name="Output 2 2 2 4 8 2 4" xfId="29320"/>
    <cellStyle name="Output 2 2 2 4 8 3" xfId="29321"/>
    <cellStyle name="Output 2 2 2 4 8 4" xfId="29322"/>
    <cellStyle name="Output 2 2 2 4 8 5" xfId="29323"/>
    <cellStyle name="Output 2 2 2 4 8 6" xfId="29324"/>
    <cellStyle name="Output 2 2 2 4 9" xfId="29325"/>
    <cellStyle name="Output 2 2 2 4 9 2" xfId="29326"/>
    <cellStyle name="Output 2 2 2 4 9 3" xfId="29327"/>
    <cellStyle name="Output 2 2 2 4 9 4" xfId="29328"/>
    <cellStyle name="Output 2 2 2 4 9 5" xfId="29329"/>
    <cellStyle name="Output 2 2 2 5" xfId="29330"/>
    <cellStyle name="Output 2 2 2 5 10" xfId="29331"/>
    <cellStyle name="Output 2 2 2 5 11" xfId="29332"/>
    <cellStyle name="Output 2 2 2 5 12" xfId="29333"/>
    <cellStyle name="Output 2 2 2 5 13" xfId="29334"/>
    <cellStyle name="Output 2 2 2 5 2" xfId="29335"/>
    <cellStyle name="Output 2 2 2 5 2 10" xfId="29336"/>
    <cellStyle name="Output 2 2 2 5 2 11" xfId="29337"/>
    <cellStyle name="Output 2 2 2 5 2 12" xfId="29338"/>
    <cellStyle name="Output 2 2 2 5 2 2" xfId="29339"/>
    <cellStyle name="Output 2 2 2 5 2 2 10" xfId="29340"/>
    <cellStyle name="Output 2 2 2 5 2 2 11" xfId="29341"/>
    <cellStyle name="Output 2 2 2 5 2 2 2" xfId="29342"/>
    <cellStyle name="Output 2 2 2 5 2 2 2 2" xfId="29343"/>
    <cellStyle name="Output 2 2 2 5 2 2 2 2 2" xfId="29344"/>
    <cellStyle name="Output 2 2 2 5 2 2 2 2 2 2" xfId="29345"/>
    <cellStyle name="Output 2 2 2 5 2 2 2 2 2 3" xfId="29346"/>
    <cellStyle name="Output 2 2 2 5 2 2 2 2 2 4" xfId="29347"/>
    <cellStyle name="Output 2 2 2 5 2 2 2 2 3" xfId="29348"/>
    <cellStyle name="Output 2 2 2 5 2 2 2 2 4" xfId="29349"/>
    <cellStyle name="Output 2 2 2 5 2 2 2 2 5" xfId="29350"/>
    <cellStyle name="Output 2 2 2 5 2 2 2 2 6" xfId="29351"/>
    <cellStyle name="Output 2 2 2 5 2 2 2 3" xfId="29352"/>
    <cellStyle name="Output 2 2 2 5 2 2 2 3 2" xfId="29353"/>
    <cellStyle name="Output 2 2 2 5 2 2 2 3 2 2" xfId="29354"/>
    <cellStyle name="Output 2 2 2 5 2 2 2 3 2 3" xfId="29355"/>
    <cellStyle name="Output 2 2 2 5 2 2 2 3 2 4" xfId="29356"/>
    <cellStyle name="Output 2 2 2 5 2 2 2 3 3" xfId="29357"/>
    <cellStyle name="Output 2 2 2 5 2 2 2 3 4" xfId="29358"/>
    <cellStyle name="Output 2 2 2 5 2 2 2 3 5" xfId="29359"/>
    <cellStyle name="Output 2 2 2 5 2 2 2 3 6" xfId="29360"/>
    <cellStyle name="Output 2 2 2 5 2 2 2 4" xfId="29361"/>
    <cellStyle name="Output 2 2 2 5 2 2 2 4 2" xfId="29362"/>
    <cellStyle name="Output 2 2 2 5 2 2 2 4 3" xfId="29363"/>
    <cellStyle name="Output 2 2 2 5 2 2 2 4 4" xfId="29364"/>
    <cellStyle name="Output 2 2 2 5 2 2 2 5" xfId="29365"/>
    <cellStyle name="Output 2 2 2 5 2 2 2 6" xfId="29366"/>
    <cellStyle name="Output 2 2 2 5 2 2 2 7" xfId="29367"/>
    <cellStyle name="Output 2 2 2 5 2 2 2 8" xfId="29368"/>
    <cellStyle name="Output 2 2 2 5 2 2 3" xfId="29369"/>
    <cellStyle name="Output 2 2 2 5 2 2 3 2" xfId="29370"/>
    <cellStyle name="Output 2 2 2 5 2 2 3 2 2" xfId="29371"/>
    <cellStyle name="Output 2 2 2 5 2 2 3 2 3" xfId="29372"/>
    <cellStyle name="Output 2 2 2 5 2 2 3 2 4" xfId="29373"/>
    <cellStyle name="Output 2 2 2 5 2 2 3 3" xfId="29374"/>
    <cellStyle name="Output 2 2 2 5 2 2 3 4" xfId="29375"/>
    <cellStyle name="Output 2 2 2 5 2 2 3 5" xfId="29376"/>
    <cellStyle name="Output 2 2 2 5 2 2 3 6" xfId="29377"/>
    <cellStyle name="Output 2 2 2 5 2 2 4" xfId="29378"/>
    <cellStyle name="Output 2 2 2 5 2 2 4 2" xfId="29379"/>
    <cellStyle name="Output 2 2 2 5 2 2 4 3" xfId="29380"/>
    <cellStyle name="Output 2 2 2 5 2 2 4 4" xfId="29381"/>
    <cellStyle name="Output 2 2 2 5 2 2 4 5" xfId="29382"/>
    <cellStyle name="Output 2 2 2 5 2 2 5" xfId="29383"/>
    <cellStyle name="Output 2 2 2 5 2 2 5 2" xfId="29384"/>
    <cellStyle name="Output 2 2 2 5 2 2 5 3" xfId="29385"/>
    <cellStyle name="Output 2 2 2 5 2 2 5 4" xfId="29386"/>
    <cellStyle name="Output 2 2 2 5 2 2 6" xfId="29387"/>
    <cellStyle name="Output 2 2 2 5 2 2 6 2" xfId="29388"/>
    <cellStyle name="Output 2 2 2 5 2 2 6 3" xfId="29389"/>
    <cellStyle name="Output 2 2 2 5 2 2 6 4" xfId="29390"/>
    <cellStyle name="Output 2 2 2 5 2 2 7" xfId="29391"/>
    <cellStyle name="Output 2 2 2 5 2 2 7 2" xfId="29392"/>
    <cellStyle name="Output 2 2 2 5 2 2 7 3" xfId="29393"/>
    <cellStyle name="Output 2 2 2 5 2 2 7 4" xfId="29394"/>
    <cellStyle name="Output 2 2 2 5 2 2 8" xfId="29395"/>
    <cellStyle name="Output 2 2 2 5 2 2 9" xfId="29396"/>
    <cellStyle name="Output 2 2 2 5 2 3" xfId="29397"/>
    <cellStyle name="Output 2 2 2 5 2 3 2" xfId="29398"/>
    <cellStyle name="Output 2 2 2 5 2 3 2 2" xfId="29399"/>
    <cellStyle name="Output 2 2 2 5 2 3 2 2 2" xfId="29400"/>
    <cellStyle name="Output 2 2 2 5 2 3 2 2 3" xfId="29401"/>
    <cellStyle name="Output 2 2 2 5 2 3 2 2 4" xfId="29402"/>
    <cellStyle name="Output 2 2 2 5 2 3 2 3" xfId="29403"/>
    <cellStyle name="Output 2 2 2 5 2 3 2 4" xfId="29404"/>
    <cellStyle name="Output 2 2 2 5 2 3 2 5" xfId="29405"/>
    <cellStyle name="Output 2 2 2 5 2 3 2 6" xfId="29406"/>
    <cellStyle name="Output 2 2 2 5 2 3 3" xfId="29407"/>
    <cellStyle name="Output 2 2 2 5 2 3 3 2" xfId="29408"/>
    <cellStyle name="Output 2 2 2 5 2 3 3 2 2" xfId="29409"/>
    <cellStyle name="Output 2 2 2 5 2 3 3 2 3" xfId="29410"/>
    <cellStyle name="Output 2 2 2 5 2 3 3 2 4" xfId="29411"/>
    <cellStyle name="Output 2 2 2 5 2 3 3 3" xfId="29412"/>
    <cellStyle name="Output 2 2 2 5 2 3 3 4" xfId="29413"/>
    <cellStyle name="Output 2 2 2 5 2 3 3 5" xfId="29414"/>
    <cellStyle name="Output 2 2 2 5 2 3 3 6" xfId="29415"/>
    <cellStyle name="Output 2 2 2 5 2 3 4" xfId="29416"/>
    <cellStyle name="Output 2 2 2 5 2 3 4 2" xfId="29417"/>
    <cellStyle name="Output 2 2 2 5 2 3 4 3" xfId="29418"/>
    <cellStyle name="Output 2 2 2 5 2 3 4 4" xfId="29419"/>
    <cellStyle name="Output 2 2 2 5 2 3 5" xfId="29420"/>
    <cellStyle name="Output 2 2 2 5 2 3 6" xfId="29421"/>
    <cellStyle name="Output 2 2 2 5 2 3 7" xfId="29422"/>
    <cellStyle name="Output 2 2 2 5 2 3 8" xfId="29423"/>
    <cellStyle name="Output 2 2 2 5 2 4" xfId="29424"/>
    <cellStyle name="Output 2 2 2 5 2 4 2" xfId="29425"/>
    <cellStyle name="Output 2 2 2 5 2 4 2 2" xfId="29426"/>
    <cellStyle name="Output 2 2 2 5 2 4 2 3" xfId="29427"/>
    <cellStyle name="Output 2 2 2 5 2 4 2 4" xfId="29428"/>
    <cellStyle name="Output 2 2 2 5 2 4 3" xfId="29429"/>
    <cellStyle name="Output 2 2 2 5 2 4 4" xfId="29430"/>
    <cellStyle name="Output 2 2 2 5 2 4 5" xfId="29431"/>
    <cellStyle name="Output 2 2 2 5 2 4 6" xfId="29432"/>
    <cellStyle name="Output 2 2 2 5 2 5" xfId="29433"/>
    <cellStyle name="Output 2 2 2 5 2 5 2" xfId="29434"/>
    <cellStyle name="Output 2 2 2 5 2 5 3" xfId="29435"/>
    <cellStyle name="Output 2 2 2 5 2 5 4" xfId="29436"/>
    <cellStyle name="Output 2 2 2 5 2 5 5" xfId="29437"/>
    <cellStyle name="Output 2 2 2 5 2 6" xfId="29438"/>
    <cellStyle name="Output 2 2 2 5 2 6 2" xfId="29439"/>
    <cellStyle name="Output 2 2 2 5 2 6 3" xfId="29440"/>
    <cellStyle name="Output 2 2 2 5 2 6 4" xfId="29441"/>
    <cellStyle name="Output 2 2 2 5 2 7" xfId="29442"/>
    <cellStyle name="Output 2 2 2 5 2 7 2" xfId="29443"/>
    <cellStyle name="Output 2 2 2 5 2 7 3" xfId="29444"/>
    <cellStyle name="Output 2 2 2 5 2 7 4" xfId="29445"/>
    <cellStyle name="Output 2 2 2 5 2 8" xfId="29446"/>
    <cellStyle name="Output 2 2 2 5 2 8 2" xfId="29447"/>
    <cellStyle name="Output 2 2 2 5 2 8 3" xfId="29448"/>
    <cellStyle name="Output 2 2 2 5 2 8 4" xfId="29449"/>
    <cellStyle name="Output 2 2 2 5 2 9" xfId="29450"/>
    <cellStyle name="Output 2 2 2 5 3" xfId="29451"/>
    <cellStyle name="Output 2 2 2 5 3 10" xfId="29452"/>
    <cellStyle name="Output 2 2 2 5 3 11" xfId="29453"/>
    <cellStyle name="Output 2 2 2 5 3 2" xfId="29454"/>
    <cellStyle name="Output 2 2 2 5 3 2 2" xfId="29455"/>
    <cellStyle name="Output 2 2 2 5 3 2 2 2" xfId="29456"/>
    <cellStyle name="Output 2 2 2 5 3 2 2 2 2" xfId="29457"/>
    <cellStyle name="Output 2 2 2 5 3 2 2 2 3" xfId="29458"/>
    <cellStyle name="Output 2 2 2 5 3 2 2 2 4" xfId="29459"/>
    <cellStyle name="Output 2 2 2 5 3 2 2 3" xfId="29460"/>
    <cellStyle name="Output 2 2 2 5 3 2 2 4" xfId="29461"/>
    <cellStyle name="Output 2 2 2 5 3 2 2 5" xfId="29462"/>
    <cellStyle name="Output 2 2 2 5 3 2 2 6" xfId="29463"/>
    <cellStyle name="Output 2 2 2 5 3 2 3" xfId="29464"/>
    <cellStyle name="Output 2 2 2 5 3 2 3 2" xfId="29465"/>
    <cellStyle name="Output 2 2 2 5 3 2 3 2 2" xfId="29466"/>
    <cellStyle name="Output 2 2 2 5 3 2 3 2 3" xfId="29467"/>
    <cellStyle name="Output 2 2 2 5 3 2 3 2 4" xfId="29468"/>
    <cellStyle name="Output 2 2 2 5 3 2 3 3" xfId="29469"/>
    <cellStyle name="Output 2 2 2 5 3 2 3 4" xfId="29470"/>
    <cellStyle name="Output 2 2 2 5 3 2 3 5" xfId="29471"/>
    <cellStyle name="Output 2 2 2 5 3 2 3 6" xfId="29472"/>
    <cellStyle name="Output 2 2 2 5 3 2 4" xfId="29473"/>
    <cellStyle name="Output 2 2 2 5 3 2 4 2" xfId="29474"/>
    <cellStyle name="Output 2 2 2 5 3 2 4 3" xfId="29475"/>
    <cellStyle name="Output 2 2 2 5 3 2 4 4" xfId="29476"/>
    <cellStyle name="Output 2 2 2 5 3 2 5" xfId="29477"/>
    <cellStyle name="Output 2 2 2 5 3 2 6" xfId="29478"/>
    <cellStyle name="Output 2 2 2 5 3 2 7" xfId="29479"/>
    <cellStyle name="Output 2 2 2 5 3 2 8" xfId="29480"/>
    <cellStyle name="Output 2 2 2 5 3 3" xfId="29481"/>
    <cellStyle name="Output 2 2 2 5 3 3 2" xfId="29482"/>
    <cellStyle name="Output 2 2 2 5 3 3 2 2" xfId="29483"/>
    <cellStyle name="Output 2 2 2 5 3 3 2 3" xfId="29484"/>
    <cellStyle name="Output 2 2 2 5 3 3 2 4" xfId="29485"/>
    <cellStyle name="Output 2 2 2 5 3 3 3" xfId="29486"/>
    <cellStyle name="Output 2 2 2 5 3 3 4" xfId="29487"/>
    <cellStyle name="Output 2 2 2 5 3 3 5" xfId="29488"/>
    <cellStyle name="Output 2 2 2 5 3 3 6" xfId="29489"/>
    <cellStyle name="Output 2 2 2 5 3 4" xfId="29490"/>
    <cellStyle name="Output 2 2 2 5 3 4 2" xfId="29491"/>
    <cellStyle name="Output 2 2 2 5 3 4 3" xfId="29492"/>
    <cellStyle name="Output 2 2 2 5 3 4 4" xfId="29493"/>
    <cellStyle name="Output 2 2 2 5 3 4 5" xfId="29494"/>
    <cellStyle name="Output 2 2 2 5 3 5" xfId="29495"/>
    <cellStyle name="Output 2 2 2 5 3 5 2" xfId="29496"/>
    <cellStyle name="Output 2 2 2 5 3 5 3" xfId="29497"/>
    <cellStyle name="Output 2 2 2 5 3 5 4" xfId="29498"/>
    <cellStyle name="Output 2 2 2 5 3 6" xfId="29499"/>
    <cellStyle name="Output 2 2 2 5 3 6 2" xfId="29500"/>
    <cellStyle name="Output 2 2 2 5 3 6 3" xfId="29501"/>
    <cellStyle name="Output 2 2 2 5 3 6 4" xfId="29502"/>
    <cellStyle name="Output 2 2 2 5 3 7" xfId="29503"/>
    <cellStyle name="Output 2 2 2 5 3 7 2" xfId="29504"/>
    <cellStyle name="Output 2 2 2 5 3 7 3" xfId="29505"/>
    <cellStyle name="Output 2 2 2 5 3 7 4" xfId="29506"/>
    <cellStyle name="Output 2 2 2 5 3 8" xfId="29507"/>
    <cellStyle name="Output 2 2 2 5 3 9" xfId="29508"/>
    <cellStyle name="Output 2 2 2 5 4" xfId="29509"/>
    <cellStyle name="Output 2 2 2 5 4 2" xfId="29510"/>
    <cellStyle name="Output 2 2 2 5 4 2 2" xfId="29511"/>
    <cellStyle name="Output 2 2 2 5 4 2 2 2" xfId="29512"/>
    <cellStyle name="Output 2 2 2 5 4 2 2 3" xfId="29513"/>
    <cellStyle name="Output 2 2 2 5 4 2 2 4" xfId="29514"/>
    <cellStyle name="Output 2 2 2 5 4 2 3" xfId="29515"/>
    <cellStyle name="Output 2 2 2 5 4 2 4" xfId="29516"/>
    <cellStyle name="Output 2 2 2 5 4 2 5" xfId="29517"/>
    <cellStyle name="Output 2 2 2 5 4 2 6" xfId="29518"/>
    <cellStyle name="Output 2 2 2 5 4 3" xfId="29519"/>
    <cellStyle name="Output 2 2 2 5 4 3 2" xfId="29520"/>
    <cellStyle name="Output 2 2 2 5 4 3 2 2" xfId="29521"/>
    <cellStyle name="Output 2 2 2 5 4 3 2 3" xfId="29522"/>
    <cellStyle name="Output 2 2 2 5 4 3 2 4" xfId="29523"/>
    <cellStyle name="Output 2 2 2 5 4 3 3" xfId="29524"/>
    <cellStyle name="Output 2 2 2 5 4 3 4" xfId="29525"/>
    <cellStyle name="Output 2 2 2 5 4 3 5" xfId="29526"/>
    <cellStyle name="Output 2 2 2 5 4 3 6" xfId="29527"/>
    <cellStyle name="Output 2 2 2 5 4 4" xfId="29528"/>
    <cellStyle name="Output 2 2 2 5 4 4 2" xfId="29529"/>
    <cellStyle name="Output 2 2 2 5 4 4 3" xfId="29530"/>
    <cellStyle name="Output 2 2 2 5 4 4 4" xfId="29531"/>
    <cellStyle name="Output 2 2 2 5 4 5" xfId="29532"/>
    <cellStyle name="Output 2 2 2 5 4 6" xfId="29533"/>
    <cellStyle name="Output 2 2 2 5 4 7" xfId="29534"/>
    <cellStyle name="Output 2 2 2 5 4 8" xfId="29535"/>
    <cellStyle name="Output 2 2 2 5 5" xfId="29536"/>
    <cellStyle name="Output 2 2 2 5 5 2" xfId="29537"/>
    <cellStyle name="Output 2 2 2 5 5 2 2" xfId="29538"/>
    <cellStyle name="Output 2 2 2 5 5 2 3" xfId="29539"/>
    <cellStyle name="Output 2 2 2 5 5 2 4" xfId="29540"/>
    <cellStyle name="Output 2 2 2 5 5 3" xfId="29541"/>
    <cellStyle name="Output 2 2 2 5 5 4" xfId="29542"/>
    <cellStyle name="Output 2 2 2 5 5 5" xfId="29543"/>
    <cellStyle name="Output 2 2 2 5 5 6" xfId="29544"/>
    <cellStyle name="Output 2 2 2 5 6" xfId="29545"/>
    <cellStyle name="Output 2 2 2 5 6 2" xfId="29546"/>
    <cellStyle name="Output 2 2 2 5 6 3" xfId="29547"/>
    <cellStyle name="Output 2 2 2 5 6 4" xfId="29548"/>
    <cellStyle name="Output 2 2 2 5 6 5" xfId="29549"/>
    <cellStyle name="Output 2 2 2 5 7" xfId="29550"/>
    <cellStyle name="Output 2 2 2 5 7 2" xfId="29551"/>
    <cellStyle name="Output 2 2 2 5 7 3" xfId="29552"/>
    <cellStyle name="Output 2 2 2 5 7 4" xfId="29553"/>
    <cellStyle name="Output 2 2 2 5 8" xfId="29554"/>
    <cellStyle name="Output 2 2 2 5 8 2" xfId="29555"/>
    <cellStyle name="Output 2 2 2 5 8 3" xfId="29556"/>
    <cellStyle name="Output 2 2 2 5 8 4" xfId="29557"/>
    <cellStyle name="Output 2 2 2 5 9" xfId="29558"/>
    <cellStyle name="Output 2 2 2 5 9 2" xfId="29559"/>
    <cellStyle name="Output 2 2 2 5 9 3" xfId="29560"/>
    <cellStyle name="Output 2 2 2 5 9 4" xfId="29561"/>
    <cellStyle name="Output 2 2 2 6" xfId="29562"/>
    <cellStyle name="Output 2 2 2 6 10" xfId="29563"/>
    <cellStyle name="Output 2 2 2 6 11" xfId="29564"/>
    <cellStyle name="Output 2 2 2 6 12" xfId="29565"/>
    <cellStyle name="Output 2 2 2 6 13" xfId="29566"/>
    <cellStyle name="Output 2 2 2 6 2" xfId="29567"/>
    <cellStyle name="Output 2 2 2 6 2 10" xfId="29568"/>
    <cellStyle name="Output 2 2 2 6 2 11" xfId="29569"/>
    <cellStyle name="Output 2 2 2 6 2 2" xfId="29570"/>
    <cellStyle name="Output 2 2 2 6 2 2 2" xfId="29571"/>
    <cellStyle name="Output 2 2 2 6 2 2 2 2" xfId="29572"/>
    <cellStyle name="Output 2 2 2 6 2 2 2 2 2" xfId="29573"/>
    <cellStyle name="Output 2 2 2 6 2 2 2 2 3" xfId="29574"/>
    <cellStyle name="Output 2 2 2 6 2 2 2 2 4" xfId="29575"/>
    <cellStyle name="Output 2 2 2 6 2 2 2 3" xfId="29576"/>
    <cellStyle name="Output 2 2 2 6 2 2 2 4" xfId="29577"/>
    <cellStyle name="Output 2 2 2 6 2 2 2 5" xfId="29578"/>
    <cellStyle name="Output 2 2 2 6 2 2 2 6" xfId="29579"/>
    <cellStyle name="Output 2 2 2 6 2 2 3" xfId="29580"/>
    <cellStyle name="Output 2 2 2 6 2 2 3 2" xfId="29581"/>
    <cellStyle name="Output 2 2 2 6 2 2 3 2 2" xfId="29582"/>
    <cellStyle name="Output 2 2 2 6 2 2 3 2 3" xfId="29583"/>
    <cellStyle name="Output 2 2 2 6 2 2 3 2 4" xfId="29584"/>
    <cellStyle name="Output 2 2 2 6 2 2 3 3" xfId="29585"/>
    <cellStyle name="Output 2 2 2 6 2 2 3 4" xfId="29586"/>
    <cellStyle name="Output 2 2 2 6 2 2 3 5" xfId="29587"/>
    <cellStyle name="Output 2 2 2 6 2 2 3 6" xfId="29588"/>
    <cellStyle name="Output 2 2 2 6 2 2 4" xfId="29589"/>
    <cellStyle name="Output 2 2 2 6 2 2 4 2" xfId="29590"/>
    <cellStyle name="Output 2 2 2 6 2 2 4 3" xfId="29591"/>
    <cellStyle name="Output 2 2 2 6 2 2 4 4" xfId="29592"/>
    <cellStyle name="Output 2 2 2 6 2 2 5" xfId="29593"/>
    <cellStyle name="Output 2 2 2 6 2 2 6" xfId="29594"/>
    <cellStyle name="Output 2 2 2 6 2 2 7" xfId="29595"/>
    <cellStyle name="Output 2 2 2 6 2 2 8" xfId="29596"/>
    <cellStyle name="Output 2 2 2 6 2 3" xfId="29597"/>
    <cellStyle name="Output 2 2 2 6 2 3 2" xfId="29598"/>
    <cellStyle name="Output 2 2 2 6 2 3 2 2" xfId="29599"/>
    <cellStyle name="Output 2 2 2 6 2 3 2 3" xfId="29600"/>
    <cellStyle name="Output 2 2 2 6 2 3 2 4" xfId="29601"/>
    <cellStyle name="Output 2 2 2 6 2 3 3" xfId="29602"/>
    <cellStyle name="Output 2 2 2 6 2 3 4" xfId="29603"/>
    <cellStyle name="Output 2 2 2 6 2 3 5" xfId="29604"/>
    <cellStyle name="Output 2 2 2 6 2 3 6" xfId="29605"/>
    <cellStyle name="Output 2 2 2 6 2 4" xfId="29606"/>
    <cellStyle name="Output 2 2 2 6 2 4 2" xfId="29607"/>
    <cellStyle name="Output 2 2 2 6 2 4 3" xfId="29608"/>
    <cellStyle name="Output 2 2 2 6 2 4 4" xfId="29609"/>
    <cellStyle name="Output 2 2 2 6 2 4 5" xfId="29610"/>
    <cellStyle name="Output 2 2 2 6 2 5" xfId="29611"/>
    <cellStyle name="Output 2 2 2 6 2 5 2" xfId="29612"/>
    <cellStyle name="Output 2 2 2 6 2 5 3" xfId="29613"/>
    <cellStyle name="Output 2 2 2 6 2 5 4" xfId="29614"/>
    <cellStyle name="Output 2 2 2 6 2 6" xfId="29615"/>
    <cellStyle name="Output 2 2 2 6 2 6 2" xfId="29616"/>
    <cellStyle name="Output 2 2 2 6 2 6 3" xfId="29617"/>
    <cellStyle name="Output 2 2 2 6 2 6 4" xfId="29618"/>
    <cellStyle name="Output 2 2 2 6 2 7" xfId="29619"/>
    <cellStyle name="Output 2 2 2 6 2 7 2" xfId="29620"/>
    <cellStyle name="Output 2 2 2 6 2 7 3" xfId="29621"/>
    <cellStyle name="Output 2 2 2 6 2 7 4" xfId="29622"/>
    <cellStyle name="Output 2 2 2 6 2 8" xfId="29623"/>
    <cellStyle name="Output 2 2 2 6 2 9" xfId="29624"/>
    <cellStyle name="Output 2 2 2 6 3" xfId="29625"/>
    <cellStyle name="Output 2 2 2 6 3 10" xfId="29626"/>
    <cellStyle name="Output 2 2 2 6 3 11" xfId="29627"/>
    <cellStyle name="Output 2 2 2 6 3 2" xfId="29628"/>
    <cellStyle name="Output 2 2 2 6 3 2 2" xfId="29629"/>
    <cellStyle name="Output 2 2 2 6 3 2 2 2" xfId="29630"/>
    <cellStyle name="Output 2 2 2 6 3 2 2 2 2" xfId="29631"/>
    <cellStyle name="Output 2 2 2 6 3 2 2 2 3" xfId="29632"/>
    <cellStyle name="Output 2 2 2 6 3 2 2 2 4" xfId="29633"/>
    <cellStyle name="Output 2 2 2 6 3 2 2 3" xfId="29634"/>
    <cellStyle name="Output 2 2 2 6 3 2 2 4" xfId="29635"/>
    <cellStyle name="Output 2 2 2 6 3 2 2 5" xfId="29636"/>
    <cellStyle name="Output 2 2 2 6 3 2 2 6" xfId="29637"/>
    <cellStyle name="Output 2 2 2 6 3 2 3" xfId="29638"/>
    <cellStyle name="Output 2 2 2 6 3 2 3 2" xfId="29639"/>
    <cellStyle name="Output 2 2 2 6 3 2 3 3" xfId="29640"/>
    <cellStyle name="Output 2 2 2 6 3 2 3 4" xfId="29641"/>
    <cellStyle name="Output 2 2 2 6 3 2 4" xfId="29642"/>
    <cellStyle name="Output 2 2 2 6 3 2 4 2" xfId="29643"/>
    <cellStyle name="Output 2 2 2 6 3 2 4 3" xfId="29644"/>
    <cellStyle name="Output 2 2 2 6 3 2 4 4" xfId="29645"/>
    <cellStyle name="Output 2 2 2 6 3 2 5" xfId="29646"/>
    <cellStyle name="Output 2 2 2 6 3 2 6" xfId="29647"/>
    <cellStyle name="Output 2 2 2 6 3 2 7" xfId="29648"/>
    <cellStyle name="Output 2 2 2 6 3 2 8" xfId="29649"/>
    <cellStyle name="Output 2 2 2 6 3 3" xfId="29650"/>
    <cellStyle name="Output 2 2 2 6 3 3 2" xfId="29651"/>
    <cellStyle name="Output 2 2 2 6 3 3 2 2" xfId="29652"/>
    <cellStyle name="Output 2 2 2 6 3 3 2 3" xfId="29653"/>
    <cellStyle name="Output 2 2 2 6 3 3 2 4" xfId="29654"/>
    <cellStyle name="Output 2 2 2 6 3 3 3" xfId="29655"/>
    <cellStyle name="Output 2 2 2 6 3 3 4" xfId="29656"/>
    <cellStyle name="Output 2 2 2 6 3 3 5" xfId="29657"/>
    <cellStyle name="Output 2 2 2 6 3 3 6" xfId="29658"/>
    <cellStyle name="Output 2 2 2 6 3 4" xfId="29659"/>
    <cellStyle name="Output 2 2 2 6 3 4 2" xfId="29660"/>
    <cellStyle name="Output 2 2 2 6 3 4 3" xfId="29661"/>
    <cellStyle name="Output 2 2 2 6 3 4 4" xfId="29662"/>
    <cellStyle name="Output 2 2 2 6 3 4 5" xfId="29663"/>
    <cellStyle name="Output 2 2 2 6 3 5" xfId="29664"/>
    <cellStyle name="Output 2 2 2 6 3 5 2" xfId="29665"/>
    <cellStyle name="Output 2 2 2 6 3 5 3" xfId="29666"/>
    <cellStyle name="Output 2 2 2 6 3 5 4" xfId="29667"/>
    <cellStyle name="Output 2 2 2 6 3 6" xfId="29668"/>
    <cellStyle name="Output 2 2 2 6 3 6 2" xfId="29669"/>
    <cellStyle name="Output 2 2 2 6 3 6 3" xfId="29670"/>
    <cellStyle name="Output 2 2 2 6 3 6 4" xfId="29671"/>
    <cellStyle name="Output 2 2 2 6 3 7" xfId="29672"/>
    <cellStyle name="Output 2 2 2 6 3 7 2" xfId="29673"/>
    <cellStyle name="Output 2 2 2 6 3 7 3" xfId="29674"/>
    <cellStyle name="Output 2 2 2 6 3 7 4" xfId="29675"/>
    <cellStyle name="Output 2 2 2 6 3 8" xfId="29676"/>
    <cellStyle name="Output 2 2 2 6 3 9" xfId="29677"/>
    <cellStyle name="Output 2 2 2 6 4" xfId="29678"/>
    <cellStyle name="Output 2 2 2 6 4 2" xfId="29679"/>
    <cellStyle name="Output 2 2 2 6 4 2 2" xfId="29680"/>
    <cellStyle name="Output 2 2 2 6 4 2 2 2" xfId="29681"/>
    <cellStyle name="Output 2 2 2 6 4 2 2 3" xfId="29682"/>
    <cellStyle name="Output 2 2 2 6 4 2 2 4" xfId="29683"/>
    <cellStyle name="Output 2 2 2 6 4 2 3" xfId="29684"/>
    <cellStyle name="Output 2 2 2 6 4 2 4" xfId="29685"/>
    <cellStyle name="Output 2 2 2 6 4 2 5" xfId="29686"/>
    <cellStyle name="Output 2 2 2 6 4 2 6" xfId="29687"/>
    <cellStyle name="Output 2 2 2 6 4 3" xfId="29688"/>
    <cellStyle name="Output 2 2 2 6 4 3 2" xfId="29689"/>
    <cellStyle name="Output 2 2 2 6 4 3 2 2" xfId="29690"/>
    <cellStyle name="Output 2 2 2 6 4 3 2 3" xfId="29691"/>
    <cellStyle name="Output 2 2 2 6 4 3 2 4" xfId="29692"/>
    <cellStyle name="Output 2 2 2 6 4 3 3" xfId="29693"/>
    <cellStyle name="Output 2 2 2 6 4 3 4" xfId="29694"/>
    <cellStyle name="Output 2 2 2 6 4 3 5" xfId="29695"/>
    <cellStyle name="Output 2 2 2 6 4 3 6" xfId="29696"/>
    <cellStyle name="Output 2 2 2 6 4 4" xfId="29697"/>
    <cellStyle name="Output 2 2 2 6 4 4 2" xfId="29698"/>
    <cellStyle name="Output 2 2 2 6 4 4 3" xfId="29699"/>
    <cellStyle name="Output 2 2 2 6 4 4 4" xfId="29700"/>
    <cellStyle name="Output 2 2 2 6 4 5" xfId="29701"/>
    <cellStyle name="Output 2 2 2 6 4 6" xfId="29702"/>
    <cellStyle name="Output 2 2 2 6 4 7" xfId="29703"/>
    <cellStyle name="Output 2 2 2 6 4 8" xfId="29704"/>
    <cellStyle name="Output 2 2 2 6 5" xfId="29705"/>
    <cellStyle name="Output 2 2 2 6 5 2" xfId="29706"/>
    <cellStyle name="Output 2 2 2 6 5 2 2" xfId="29707"/>
    <cellStyle name="Output 2 2 2 6 5 2 3" xfId="29708"/>
    <cellStyle name="Output 2 2 2 6 5 2 4" xfId="29709"/>
    <cellStyle name="Output 2 2 2 6 5 3" xfId="29710"/>
    <cellStyle name="Output 2 2 2 6 5 4" xfId="29711"/>
    <cellStyle name="Output 2 2 2 6 5 5" xfId="29712"/>
    <cellStyle name="Output 2 2 2 6 5 6" xfId="29713"/>
    <cellStyle name="Output 2 2 2 6 6" xfId="29714"/>
    <cellStyle name="Output 2 2 2 6 6 2" xfId="29715"/>
    <cellStyle name="Output 2 2 2 6 6 3" xfId="29716"/>
    <cellStyle name="Output 2 2 2 6 6 4" xfId="29717"/>
    <cellStyle name="Output 2 2 2 6 6 5" xfId="29718"/>
    <cellStyle name="Output 2 2 2 6 7" xfId="29719"/>
    <cellStyle name="Output 2 2 2 6 7 2" xfId="29720"/>
    <cellStyle name="Output 2 2 2 6 7 3" xfId="29721"/>
    <cellStyle name="Output 2 2 2 6 7 4" xfId="29722"/>
    <cellStyle name="Output 2 2 2 6 8" xfId="29723"/>
    <cellStyle name="Output 2 2 2 6 8 2" xfId="29724"/>
    <cellStyle name="Output 2 2 2 6 8 3" xfId="29725"/>
    <cellStyle name="Output 2 2 2 6 8 4" xfId="29726"/>
    <cellStyle name="Output 2 2 2 6 9" xfId="29727"/>
    <cellStyle name="Output 2 2 2 6 9 2" xfId="29728"/>
    <cellStyle name="Output 2 2 2 6 9 3" xfId="29729"/>
    <cellStyle name="Output 2 2 2 6 9 4" xfId="29730"/>
    <cellStyle name="Output 2 2 2 7" xfId="29731"/>
    <cellStyle name="Output 2 2 2 7 10" xfId="29732"/>
    <cellStyle name="Output 2 2 2 7 11" xfId="29733"/>
    <cellStyle name="Output 2 2 2 7 12" xfId="29734"/>
    <cellStyle name="Output 2 2 2 7 2" xfId="29735"/>
    <cellStyle name="Output 2 2 2 7 2 10" xfId="29736"/>
    <cellStyle name="Output 2 2 2 7 2 11" xfId="29737"/>
    <cellStyle name="Output 2 2 2 7 2 2" xfId="29738"/>
    <cellStyle name="Output 2 2 2 7 2 2 2" xfId="29739"/>
    <cellStyle name="Output 2 2 2 7 2 2 2 2" xfId="29740"/>
    <cellStyle name="Output 2 2 2 7 2 2 2 2 2" xfId="29741"/>
    <cellStyle name="Output 2 2 2 7 2 2 2 2 3" xfId="29742"/>
    <cellStyle name="Output 2 2 2 7 2 2 2 2 4" xfId="29743"/>
    <cellStyle name="Output 2 2 2 7 2 2 2 3" xfId="29744"/>
    <cellStyle name="Output 2 2 2 7 2 2 2 4" xfId="29745"/>
    <cellStyle name="Output 2 2 2 7 2 2 2 5" xfId="29746"/>
    <cellStyle name="Output 2 2 2 7 2 2 2 6" xfId="29747"/>
    <cellStyle name="Output 2 2 2 7 2 2 3" xfId="29748"/>
    <cellStyle name="Output 2 2 2 7 2 2 3 2" xfId="29749"/>
    <cellStyle name="Output 2 2 2 7 2 2 3 2 2" xfId="29750"/>
    <cellStyle name="Output 2 2 2 7 2 2 3 2 3" xfId="29751"/>
    <cellStyle name="Output 2 2 2 7 2 2 3 2 4" xfId="29752"/>
    <cellStyle name="Output 2 2 2 7 2 2 3 3" xfId="29753"/>
    <cellStyle name="Output 2 2 2 7 2 2 3 4" xfId="29754"/>
    <cellStyle name="Output 2 2 2 7 2 2 3 5" xfId="29755"/>
    <cellStyle name="Output 2 2 2 7 2 2 3 6" xfId="29756"/>
    <cellStyle name="Output 2 2 2 7 2 2 4" xfId="29757"/>
    <cellStyle name="Output 2 2 2 7 2 2 4 2" xfId="29758"/>
    <cellStyle name="Output 2 2 2 7 2 2 4 3" xfId="29759"/>
    <cellStyle name="Output 2 2 2 7 2 2 4 4" xfId="29760"/>
    <cellStyle name="Output 2 2 2 7 2 2 5" xfId="29761"/>
    <cellStyle name="Output 2 2 2 7 2 2 6" xfId="29762"/>
    <cellStyle name="Output 2 2 2 7 2 2 7" xfId="29763"/>
    <cellStyle name="Output 2 2 2 7 2 2 8" xfId="29764"/>
    <cellStyle name="Output 2 2 2 7 2 3" xfId="29765"/>
    <cellStyle name="Output 2 2 2 7 2 3 2" xfId="29766"/>
    <cellStyle name="Output 2 2 2 7 2 3 2 2" xfId="29767"/>
    <cellStyle name="Output 2 2 2 7 2 3 2 3" xfId="29768"/>
    <cellStyle name="Output 2 2 2 7 2 3 2 4" xfId="29769"/>
    <cellStyle name="Output 2 2 2 7 2 3 3" xfId="29770"/>
    <cellStyle name="Output 2 2 2 7 2 3 4" xfId="29771"/>
    <cellStyle name="Output 2 2 2 7 2 3 5" xfId="29772"/>
    <cellStyle name="Output 2 2 2 7 2 3 6" xfId="29773"/>
    <cellStyle name="Output 2 2 2 7 2 4" xfId="29774"/>
    <cellStyle name="Output 2 2 2 7 2 4 2" xfId="29775"/>
    <cellStyle name="Output 2 2 2 7 2 4 3" xfId="29776"/>
    <cellStyle name="Output 2 2 2 7 2 4 4" xfId="29777"/>
    <cellStyle name="Output 2 2 2 7 2 4 5" xfId="29778"/>
    <cellStyle name="Output 2 2 2 7 2 5" xfId="29779"/>
    <cellStyle name="Output 2 2 2 7 2 5 2" xfId="29780"/>
    <cellStyle name="Output 2 2 2 7 2 5 3" xfId="29781"/>
    <cellStyle name="Output 2 2 2 7 2 5 4" xfId="29782"/>
    <cellStyle name="Output 2 2 2 7 2 6" xfId="29783"/>
    <cellStyle name="Output 2 2 2 7 2 6 2" xfId="29784"/>
    <cellStyle name="Output 2 2 2 7 2 6 3" xfId="29785"/>
    <cellStyle name="Output 2 2 2 7 2 6 4" xfId="29786"/>
    <cellStyle name="Output 2 2 2 7 2 7" xfId="29787"/>
    <cellStyle name="Output 2 2 2 7 2 7 2" xfId="29788"/>
    <cellStyle name="Output 2 2 2 7 2 7 3" xfId="29789"/>
    <cellStyle name="Output 2 2 2 7 2 7 4" xfId="29790"/>
    <cellStyle name="Output 2 2 2 7 2 8" xfId="29791"/>
    <cellStyle name="Output 2 2 2 7 2 9" xfId="29792"/>
    <cellStyle name="Output 2 2 2 7 3" xfId="29793"/>
    <cellStyle name="Output 2 2 2 7 3 2" xfId="29794"/>
    <cellStyle name="Output 2 2 2 7 3 2 2" xfId="29795"/>
    <cellStyle name="Output 2 2 2 7 3 2 2 2" xfId="29796"/>
    <cellStyle name="Output 2 2 2 7 3 2 2 3" xfId="29797"/>
    <cellStyle name="Output 2 2 2 7 3 2 2 4" xfId="29798"/>
    <cellStyle name="Output 2 2 2 7 3 2 3" xfId="29799"/>
    <cellStyle name="Output 2 2 2 7 3 2 4" xfId="29800"/>
    <cellStyle name="Output 2 2 2 7 3 2 5" xfId="29801"/>
    <cellStyle name="Output 2 2 2 7 3 2 6" xfId="29802"/>
    <cellStyle name="Output 2 2 2 7 3 3" xfId="29803"/>
    <cellStyle name="Output 2 2 2 7 3 3 2" xfId="29804"/>
    <cellStyle name="Output 2 2 2 7 3 3 2 2" xfId="29805"/>
    <cellStyle name="Output 2 2 2 7 3 3 2 3" xfId="29806"/>
    <cellStyle name="Output 2 2 2 7 3 3 2 4" xfId="29807"/>
    <cellStyle name="Output 2 2 2 7 3 3 3" xfId="29808"/>
    <cellStyle name="Output 2 2 2 7 3 3 4" xfId="29809"/>
    <cellStyle name="Output 2 2 2 7 3 3 5" xfId="29810"/>
    <cellStyle name="Output 2 2 2 7 3 3 6" xfId="29811"/>
    <cellStyle name="Output 2 2 2 7 3 4" xfId="29812"/>
    <cellStyle name="Output 2 2 2 7 3 4 2" xfId="29813"/>
    <cellStyle name="Output 2 2 2 7 3 4 3" xfId="29814"/>
    <cellStyle name="Output 2 2 2 7 3 4 4" xfId="29815"/>
    <cellStyle name="Output 2 2 2 7 3 5" xfId="29816"/>
    <cellStyle name="Output 2 2 2 7 3 6" xfId="29817"/>
    <cellStyle name="Output 2 2 2 7 3 7" xfId="29818"/>
    <cellStyle name="Output 2 2 2 7 3 8" xfId="29819"/>
    <cellStyle name="Output 2 2 2 7 4" xfId="29820"/>
    <cellStyle name="Output 2 2 2 7 4 2" xfId="29821"/>
    <cellStyle name="Output 2 2 2 7 4 2 2" xfId="29822"/>
    <cellStyle name="Output 2 2 2 7 4 2 3" xfId="29823"/>
    <cellStyle name="Output 2 2 2 7 4 2 4" xfId="29824"/>
    <cellStyle name="Output 2 2 2 7 4 3" xfId="29825"/>
    <cellStyle name="Output 2 2 2 7 4 4" xfId="29826"/>
    <cellStyle name="Output 2 2 2 7 4 5" xfId="29827"/>
    <cellStyle name="Output 2 2 2 7 4 6" xfId="29828"/>
    <cellStyle name="Output 2 2 2 7 5" xfId="29829"/>
    <cellStyle name="Output 2 2 2 7 5 2" xfId="29830"/>
    <cellStyle name="Output 2 2 2 7 5 3" xfId="29831"/>
    <cellStyle name="Output 2 2 2 7 5 4" xfId="29832"/>
    <cellStyle name="Output 2 2 2 7 5 5" xfId="29833"/>
    <cellStyle name="Output 2 2 2 7 6" xfId="29834"/>
    <cellStyle name="Output 2 2 2 7 6 2" xfId="29835"/>
    <cellStyle name="Output 2 2 2 7 6 3" xfId="29836"/>
    <cellStyle name="Output 2 2 2 7 6 4" xfId="29837"/>
    <cellStyle name="Output 2 2 2 7 7" xfId="29838"/>
    <cellStyle name="Output 2 2 2 7 7 2" xfId="29839"/>
    <cellStyle name="Output 2 2 2 7 7 3" xfId="29840"/>
    <cellStyle name="Output 2 2 2 7 7 4" xfId="29841"/>
    <cellStyle name="Output 2 2 2 7 8" xfId="29842"/>
    <cellStyle name="Output 2 2 2 7 8 2" xfId="29843"/>
    <cellStyle name="Output 2 2 2 7 8 3" xfId="29844"/>
    <cellStyle name="Output 2 2 2 7 8 4" xfId="29845"/>
    <cellStyle name="Output 2 2 2 7 9" xfId="29846"/>
    <cellStyle name="Output 2 2 2 8" xfId="29847"/>
    <cellStyle name="Output 2 2 2 8 10" xfId="29848"/>
    <cellStyle name="Output 2 2 2 8 11" xfId="29849"/>
    <cellStyle name="Output 2 2 2 8 2" xfId="29850"/>
    <cellStyle name="Output 2 2 2 8 2 2" xfId="29851"/>
    <cellStyle name="Output 2 2 2 8 2 2 2" xfId="29852"/>
    <cellStyle name="Output 2 2 2 8 2 2 2 2" xfId="29853"/>
    <cellStyle name="Output 2 2 2 8 2 2 2 3" xfId="29854"/>
    <cellStyle name="Output 2 2 2 8 2 2 2 4" xfId="29855"/>
    <cellStyle name="Output 2 2 2 8 2 2 3" xfId="29856"/>
    <cellStyle name="Output 2 2 2 8 2 2 4" xfId="29857"/>
    <cellStyle name="Output 2 2 2 8 2 2 5" xfId="29858"/>
    <cellStyle name="Output 2 2 2 8 2 2 6" xfId="29859"/>
    <cellStyle name="Output 2 2 2 8 2 3" xfId="29860"/>
    <cellStyle name="Output 2 2 2 8 2 3 2" xfId="29861"/>
    <cellStyle name="Output 2 2 2 8 2 3 2 2" xfId="29862"/>
    <cellStyle name="Output 2 2 2 8 2 3 2 3" xfId="29863"/>
    <cellStyle name="Output 2 2 2 8 2 3 2 4" xfId="29864"/>
    <cellStyle name="Output 2 2 2 8 2 3 3" xfId="29865"/>
    <cellStyle name="Output 2 2 2 8 2 3 4" xfId="29866"/>
    <cellStyle name="Output 2 2 2 8 2 3 5" xfId="29867"/>
    <cellStyle name="Output 2 2 2 8 2 3 6" xfId="29868"/>
    <cellStyle name="Output 2 2 2 8 2 4" xfId="29869"/>
    <cellStyle name="Output 2 2 2 8 2 4 2" xfId="29870"/>
    <cellStyle name="Output 2 2 2 8 2 4 3" xfId="29871"/>
    <cellStyle name="Output 2 2 2 8 2 4 4" xfId="29872"/>
    <cellStyle name="Output 2 2 2 8 2 5" xfId="29873"/>
    <cellStyle name="Output 2 2 2 8 2 6" xfId="29874"/>
    <cellStyle name="Output 2 2 2 8 2 7" xfId="29875"/>
    <cellStyle name="Output 2 2 2 8 2 8" xfId="29876"/>
    <cellStyle name="Output 2 2 2 8 3" xfId="29877"/>
    <cellStyle name="Output 2 2 2 8 3 2" xfId="29878"/>
    <cellStyle name="Output 2 2 2 8 3 2 2" xfId="29879"/>
    <cellStyle name="Output 2 2 2 8 3 2 3" xfId="29880"/>
    <cellStyle name="Output 2 2 2 8 3 2 4" xfId="29881"/>
    <cellStyle name="Output 2 2 2 8 3 3" xfId="29882"/>
    <cellStyle name="Output 2 2 2 8 3 4" xfId="29883"/>
    <cellStyle name="Output 2 2 2 8 3 5" xfId="29884"/>
    <cellStyle name="Output 2 2 2 8 3 6" xfId="29885"/>
    <cellStyle name="Output 2 2 2 8 4" xfId="29886"/>
    <cellStyle name="Output 2 2 2 8 4 2" xfId="29887"/>
    <cellStyle name="Output 2 2 2 8 4 3" xfId="29888"/>
    <cellStyle name="Output 2 2 2 8 4 4" xfId="29889"/>
    <cellStyle name="Output 2 2 2 8 4 5" xfId="29890"/>
    <cellStyle name="Output 2 2 2 8 5" xfId="29891"/>
    <cellStyle name="Output 2 2 2 8 5 2" xfId="29892"/>
    <cellStyle name="Output 2 2 2 8 5 3" xfId="29893"/>
    <cellStyle name="Output 2 2 2 8 5 4" xfId="29894"/>
    <cellStyle name="Output 2 2 2 8 6" xfId="29895"/>
    <cellStyle name="Output 2 2 2 8 6 2" xfId="29896"/>
    <cellStyle name="Output 2 2 2 8 6 3" xfId="29897"/>
    <cellStyle name="Output 2 2 2 8 6 4" xfId="29898"/>
    <cellStyle name="Output 2 2 2 8 7" xfId="29899"/>
    <cellStyle name="Output 2 2 2 8 7 2" xfId="29900"/>
    <cellStyle name="Output 2 2 2 8 7 3" xfId="29901"/>
    <cellStyle name="Output 2 2 2 8 7 4" xfId="29902"/>
    <cellStyle name="Output 2 2 2 8 8" xfId="29903"/>
    <cellStyle name="Output 2 2 2 8 9" xfId="29904"/>
    <cellStyle name="Output 2 2 2 9" xfId="29905"/>
    <cellStyle name="Output 2 2 2 9 10" xfId="29906"/>
    <cellStyle name="Output 2 2 2 9 11" xfId="29907"/>
    <cellStyle name="Output 2 2 2 9 2" xfId="29908"/>
    <cellStyle name="Output 2 2 2 9 2 2" xfId="29909"/>
    <cellStyle name="Output 2 2 2 9 2 2 2" xfId="29910"/>
    <cellStyle name="Output 2 2 2 9 2 2 3" xfId="29911"/>
    <cellStyle name="Output 2 2 2 9 2 2 4" xfId="29912"/>
    <cellStyle name="Output 2 2 2 9 2 3" xfId="29913"/>
    <cellStyle name="Output 2 2 2 9 2 4" xfId="29914"/>
    <cellStyle name="Output 2 2 2 9 2 5" xfId="29915"/>
    <cellStyle name="Output 2 2 2 9 2 6" xfId="29916"/>
    <cellStyle name="Output 2 2 2 9 3" xfId="29917"/>
    <cellStyle name="Output 2 2 2 9 3 2" xfId="29918"/>
    <cellStyle name="Output 2 2 2 9 3 2 2" xfId="29919"/>
    <cellStyle name="Output 2 2 2 9 3 2 3" xfId="29920"/>
    <cellStyle name="Output 2 2 2 9 3 2 4" xfId="29921"/>
    <cellStyle name="Output 2 2 2 9 3 3" xfId="29922"/>
    <cellStyle name="Output 2 2 2 9 3 4" xfId="29923"/>
    <cellStyle name="Output 2 2 2 9 3 5" xfId="29924"/>
    <cellStyle name="Output 2 2 2 9 3 6" xfId="29925"/>
    <cellStyle name="Output 2 2 2 9 4" xfId="29926"/>
    <cellStyle name="Output 2 2 2 9 4 2" xfId="29927"/>
    <cellStyle name="Output 2 2 2 9 4 3" xfId="29928"/>
    <cellStyle name="Output 2 2 2 9 4 4" xfId="29929"/>
    <cellStyle name="Output 2 2 2 9 5" xfId="29930"/>
    <cellStyle name="Output 2 2 2 9 5 2" xfId="29931"/>
    <cellStyle name="Output 2 2 2 9 5 3" xfId="29932"/>
    <cellStyle name="Output 2 2 2 9 5 4" xfId="29933"/>
    <cellStyle name="Output 2 2 2 9 6" xfId="29934"/>
    <cellStyle name="Output 2 2 2 9 6 2" xfId="29935"/>
    <cellStyle name="Output 2 2 2 9 6 3" xfId="29936"/>
    <cellStyle name="Output 2 2 2 9 6 4" xfId="29937"/>
    <cellStyle name="Output 2 2 2 9 7" xfId="29938"/>
    <cellStyle name="Output 2 2 2 9 7 2" xfId="29939"/>
    <cellStyle name="Output 2 2 2 9 7 3" xfId="29940"/>
    <cellStyle name="Output 2 2 2 9 7 4" xfId="29941"/>
    <cellStyle name="Output 2 2 2 9 8" xfId="29942"/>
    <cellStyle name="Output 2 2 2 9 9" xfId="29943"/>
    <cellStyle name="Output 2 2 20" xfId="29944"/>
    <cellStyle name="Output 2 2 21" xfId="29945"/>
    <cellStyle name="Output 2 2 22" xfId="29946"/>
    <cellStyle name="Output 2 2 23" xfId="29947"/>
    <cellStyle name="Output 2 2 24" xfId="29948"/>
    <cellStyle name="Output 2 2 25" xfId="29949"/>
    <cellStyle name="Output 2 2 26" xfId="29950"/>
    <cellStyle name="Output 2 2 27" xfId="29951"/>
    <cellStyle name="Output 2 2 28" xfId="29952"/>
    <cellStyle name="Output 2 2 29" xfId="29953"/>
    <cellStyle name="Output 2 2 3" xfId="805"/>
    <cellStyle name="Output 2 2 3 10" xfId="29954"/>
    <cellStyle name="Output 2 2 3 10 2" xfId="29955"/>
    <cellStyle name="Output 2 2 3 10 3" xfId="29956"/>
    <cellStyle name="Output 2 2 3 10 4" xfId="29957"/>
    <cellStyle name="Output 2 2 3 11" xfId="29958"/>
    <cellStyle name="Output 2 2 3 11 2" xfId="29959"/>
    <cellStyle name="Output 2 2 3 11 3" xfId="29960"/>
    <cellStyle name="Output 2 2 3 11 4" xfId="29961"/>
    <cellStyle name="Output 2 2 3 12" xfId="29962"/>
    <cellStyle name="Output 2 2 3 12 2" xfId="29963"/>
    <cellStyle name="Output 2 2 3 12 3" xfId="29964"/>
    <cellStyle name="Output 2 2 3 12 4" xfId="29965"/>
    <cellStyle name="Output 2 2 3 13" xfId="29966"/>
    <cellStyle name="Output 2 2 3 14" xfId="29967"/>
    <cellStyle name="Output 2 2 3 15" xfId="29968"/>
    <cellStyle name="Output 2 2 3 16" xfId="29969"/>
    <cellStyle name="Output 2 2 3 2" xfId="806"/>
    <cellStyle name="Output 2 2 3 2 10" xfId="29970"/>
    <cellStyle name="Output 2 2 3 2 11" xfId="29971"/>
    <cellStyle name="Output 2 2 3 2 12" xfId="29972"/>
    <cellStyle name="Output 2 2 3 2 2" xfId="29973"/>
    <cellStyle name="Output 2 2 3 2 2 10" xfId="29974"/>
    <cellStyle name="Output 2 2 3 2 2 11" xfId="29975"/>
    <cellStyle name="Output 2 2 3 2 2 2" xfId="29976"/>
    <cellStyle name="Output 2 2 3 2 2 2 2" xfId="29977"/>
    <cellStyle name="Output 2 2 3 2 2 2 2 2" xfId="29978"/>
    <cellStyle name="Output 2 2 3 2 2 2 2 2 2" xfId="29979"/>
    <cellStyle name="Output 2 2 3 2 2 2 2 2 3" xfId="29980"/>
    <cellStyle name="Output 2 2 3 2 2 2 2 2 4" xfId="29981"/>
    <cellStyle name="Output 2 2 3 2 2 2 2 3" xfId="29982"/>
    <cellStyle name="Output 2 2 3 2 2 2 2 4" xfId="29983"/>
    <cellStyle name="Output 2 2 3 2 2 2 2 5" xfId="29984"/>
    <cellStyle name="Output 2 2 3 2 2 2 2 6" xfId="29985"/>
    <cellStyle name="Output 2 2 3 2 2 2 3" xfId="29986"/>
    <cellStyle name="Output 2 2 3 2 2 2 3 2" xfId="29987"/>
    <cellStyle name="Output 2 2 3 2 2 2 3 2 2" xfId="29988"/>
    <cellStyle name="Output 2 2 3 2 2 2 3 2 3" xfId="29989"/>
    <cellStyle name="Output 2 2 3 2 2 2 3 2 4" xfId="29990"/>
    <cellStyle name="Output 2 2 3 2 2 2 3 3" xfId="29991"/>
    <cellStyle name="Output 2 2 3 2 2 2 3 4" xfId="29992"/>
    <cellStyle name="Output 2 2 3 2 2 2 3 5" xfId="29993"/>
    <cellStyle name="Output 2 2 3 2 2 2 3 6" xfId="29994"/>
    <cellStyle name="Output 2 2 3 2 2 2 4" xfId="29995"/>
    <cellStyle name="Output 2 2 3 2 2 2 4 2" xfId="29996"/>
    <cellStyle name="Output 2 2 3 2 2 2 4 3" xfId="29997"/>
    <cellStyle name="Output 2 2 3 2 2 2 4 4" xfId="29998"/>
    <cellStyle name="Output 2 2 3 2 2 2 5" xfId="29999"/>
    <cellStyle name="Output 2 2 3 2 2 2 6" xfId="30000"/>
    <cellStyle name="Output 2 2 3 2 2 2 7" xfId="30001"/>
    <cellStyle name="Output 2 2 3 2 2 2 8" xfId="30002"/>
    <cellStyle name="Output 2 2 3 2 2 3" xfId="30003"/>
    <cellStyle name="Output 2 2 3 2 2 3 2" xfId="30004"/>
    <cellStyle name="Output 2 2 3 2 2 3 2 2" xfId="30005"/>
    <cellStyle name="Output 2 2 3 2 2 3 2 3" xfId="30006"/>
    <cellStyle name="Output 2 2 3 2 2 3 2 4" xfId="30007"/>
    <cellStyle name="Output 2 2 3 2 2 3 3" xfId="30008"/>
    <cellStyle name="Output 2 2 3 2 2 3 4" xfId="30009"/>
    <cellStyle name="Output 2 2 3 2 2 3 5" xfId="30010"/>
    <cellStyle name="Output 2 2 3 2 2 3 6" xfId="30011"/>
    <cellStyle name="Output 2 2 3 2 2 4" xfId="30012"/>
    <cellStyle name="Output 2 2 3 2 2 4 2" xfId="30013"/>
    <cellStyle name="Output 2 2 3 2 2 4 3" xfId="30014"/>
    <cellStyle name="Output 2 2 3 2 2 4 4" xfId="30015"/>
    <cellStyle name="Output 2 2 3 2 2 4 5" xfId="30016"/>
    <cellStyle name="Output 2 2 3 2 2 5" xfId="30017"/>
    <cellStyle name="Output 2 2 3 2 2 5 2" xfId="30018"/>
    <cellStyle name="Output 2 2 3 2 2 5 3" xfId="30019"/>
    <cellStyle name="Output 2 2 3 2 2 5 4" xfId="30020"/>
    <cellStyle name="Output 2 2 3 2 2 6" xfId="30021"/>
    <cellStyle name="Output 2 2 3 2 2 6 2" xfId="30022"/>
    <cellStyle name="Output 2 2 3 2 2 6 3" xfId="30023"/>
    <cellStyle name="Output 2 2 3 2 2 6 4" xfId="30024"/>
    <cellStyle name="Output 2 2 3 2 2 7" xfId="30025"/>
    <cellStyle name="Output 2 2 3 2 2 7 2" xfId="30026"/>
    <cellStyle name="Output 2 2 3 2 2 7 3" xfId="30027"/>
    <cellStyle name="Output 2 2 3 2 2 7 4" xfId="30028"/>
    <cellStyle name="Output 2 2 3 2 2 8" xfId="30029"/>
    <cellStyle name="Output 2 2 3 2 2 9" xfId="30030"/>
    <cellStyle name="Output 2 2 3 2 3" xfId="30031"/>
    <cellStyle name="Output 2 2 3 2 3 2" xfId="30032"/>
    <cellStyle name="Output 2 2 3 2 3 2 2" xfId="30033"/>
    <cellStyle name="Output 2 2 3 2 3 2 2 2" xfId="30034"/>
    <cellStyle name="Output 2 2 3 2 3 2 2 3" xfId="30035"/>
    <cellStyle name="Output 2 2 3 2 3 2 2 4" xfId="30036"/>
    <cellStyle name="Output 2 2 3 2 3 2 3" xfId="30037"/>
    <cellStyle name="Output 2 2 3 2 3 2 4" xfId="30038"/>
    <cellStyle name="Output 2 2 3 2 3 2 5" xfId="30039"/>
    <cellStyle name="Output 2 2 3 2 3 2 6" xfId="30040"/>
    <cellStyle name="Output 2 2 3 2 3 3" xfId="30041"/>
    <cellStyle name="Output 2 2 3 2 3 3 2" xfId="30042"/>
    <cellStyle name="Output 2 2 3 2 3 3 2 2" xfId="30043"/>
    <cellStyle name="Output 2 2 3 2 3 3 2 3" xfId="30044"/>
    <cellStyle name="Output 2 2 3 2 3 3 2 4" xfId="30045"/>
    <cellStyle name="Output 2 2 3 2 3 3 3" xfId="30046"/>
    <cellStyle name="Output 2 2 3 2 3 3 4" xfId="30047"/>
    <cellStyle name="Output 2 2 3 2 3 3 5" xfId="30048"/>
    <cellStyle name="Output 2 2 3 2 3 3 6" xfId="30049"/>
    <cellStyle name="Output 2 2 3 2 3 4" xfId="30050"/>
    <cellStyle name="Output 2 2 3 2 3 4 2" xfId="30051"/>
    <cellStyle name="Output 2 2 3 2 3 4 3" xfId="30052"/>
    <cellStyle name="Output 2 2 3 2 3 4 4" xfId="30053"/>
    <cellStyle name="Output 2 2 3 2 3 5" xfId="30054"/>
    <cellStyle name="Output 2 2 3 2 3 6" xfId="30055"/>
    <cellStyle name="Output 2 2 3 2 3 7" xfId="30056"/>
    <cellStyle name="Output 2 2 3 2 3 8" xfId="30057"/>
    <cellStyle name="Output 2 2 3 2 4" xfId="30058"/>
    <cellStyle name="Output 2 2 3 2 4 2" xfId="30059"/>
    <cellStyle name="Output 2 2 3 2 4 2 2" xfId="30060"/>
    <cellStyle name="Output 2 2 3 2 4 2 3" xfId="30061"/>
    <cellStyle name="Output 2 2 3 2 4 2 4" xfId="30062"/>
    <cellStyle name="Output 2 2 3 2 4 3" xfId="30063"/>
    <cellStyle name="Output 2 2 3 2 4 4" xfId="30064"/>
    <cellStyle name="Output 2 2 3 2 4 5" xfId="30065"/>
    <cellStyle name="Output 2 2 3 2 4 6" xfId="30066"/>
    <cellStyle name="Output 2 2 3 2 5" xfId="30067"/>
    <cellStyle name="Output 2 2 3 2 5 2" xfId="30068"/>
    <cellStyle name="Output 2 2 3 2 5 3" xfId="30069"/>
    <cellStyle name="Output 2 2 3 2 5 4" xfId="30070"/>
    <cellStyle name="Output 2 2 3 2 5 5" xfId="30071"/>
    <cellStyle name="Output 2 2 3 2 6" xfId="30072"/>
    <cellStyle name="Output 2 2 3 2 6 2" xfId="30073"/>
    <cellStyle name="Output 2 2 3 2 6 3" xfId="30074"/>
    <cellStyle name="Output 2 2 3 2 6 4" xfId="30075"/>
    <cellStyle name="Output 2 2 3 2 7" xfId="30076"/>
    <cellStyle name="Output 2 2 3 2 7 2" xfId="30077"/>
    <cellStyle name="Output 2 2 3 2 7 3" xfId="30078"/>
    <cellStyle name="Output 2 2 3 2 7 4" xfId="30079"/>
    <cellStyle name="Output 2 2 3 2 8" xfId="30080"/>
    <cellStyle name="Output 2 2 3 2 8 2" xfId="30081"/>
    <cellStyle name="Output 2 2 3 2 8 3" xfId="30082"/>
    <cellStyle name="Output 2 2 3 2 8 4" xfId="30083"/>
    <cellStyle name="Output 2 2 3 2 9" xfId="30084"/>
    <cellStyle name="Output 2 2 3 3" xfId="30085"/>
    <cellStyle name="Output 2 2 3 3 10" xfId="30086"/>
    <cellStyle name="Output 2 2 3 3 11" xfId="30087"/>
    <cellStyle name="Output 2 2 3 3 2" xfId="30088"/>
    <cellStyle name="Output 2 2 3 3 2 2" xfId="30089"/>
    <cellStyle name="Output 2 2 3 3 2 2 2" xfId="30090"/>
    <cellStyle name="Output 2 2 3 3 2 2 2 2" xfId="30091"/>
    <cellStyle name="Output 2 2 3 3 2 2 2 3" xfId="30092"/>
    <cellStyle name="Output 2 2 3 3 2 2 2 4" xfId="30093"/>
    <cellStyle name="Output 2 2 3 3 2 2 3" xfId="30094"/>
    <cellStyle name="Output 2 2 3 3 2 2 4" xfId="30095"/>
    <cellStyle name="Output 2 2 3 3 2 2 5" xfId="30096"/>
    <cellStyle name="Output 2 2 3 3 2 2 6" xfId="30097"/>
    <cellStyle name="Output 2 2 3 3 2 3" xfId="30098"/>
    <cellStyle name="Output 2 2 3 3 2 3 2" xfId="30099"/>
    <cellStyle name="Output 2 2 3 3 2 3 2 2" xfId="30100"/>
    <cellStyle name="Output 2 2 3 3 2 3 2 3" xfId="30101"/>
    <cellStyle name="Output 2 2 3 3 2 3 2 4" xfId="30102"/>
    <cellStyle name="Output 2 2 3 3 2 3 3" xfId="30103"/>
    <cellStyle name="Output 2 2 3 3 2 3 4" xfId="30104"/>
    <cellStyle name="Output 2 2 3 3 2 3 5" xfId="30105"/>
    <cellStyle name="Output 2 2 3 3 2 3 6" xfId="30106"/>
    <cellStyle name="Output 2 2 3 3 2 4" xfId="30107"/>
    <cellStyle name="Output 2 2 3 3 2 4 2" xfId="30108"/>
    <cellStyle name="Output 2 2 3 3 2 4 3" xfId="30109"/>
    <cellStyle name="Output 2 2 3 3 2 4 4" xfId="30110"/>
    <cellStyle name="Output 2 2 3 3 2 5" xfId="30111"/>
    <cellStyle name="Output 2 2 3 3 2 6" xfId="30112"/>
    <cellStyle name="Output 2 2 3 3 2 7" xfId="30113"/>
    <cellStyle name="Output 2 2 3 3 2 8" xfId="30114"/>
    <cellStyle name="Output 2 2 3 3 3" xfId="30115"/>
    <cellStyle name="Output 2 2 3 3 3 2" xfId="30116"/>
    <cellStyle name="Output 2 2 3 3 3 2 2" xfId="30117"/>
    <cellStyle name="Output 2 2 3 3 3 2 3" xfId="30118"/>
    <cellStyle name="Output 2 2 3 3 3 2 4" xfId="30119"/>
    <cellStyle name="Output 2 2 3 3 3 3" xfId="30120"/>
    <cellStyle name="Output 2 2 3 3 3 4" xfId="30121"/>
    <cellStyle name="Output 2 2 3 3 3 5" xfId="30122"/>
    <cellStyle name="Output 2 2 3 3 3 6" xfId="30123"/>
    <cellStyle name="Output 2 2 3 3 4" xfId="30124"/>
    <cellStyle name="Output 2 2 3 3 4 2" xfId="30125"/>
    <cellStyle name="Output 2 2 3 3 4 3" xfId="30126"/>
    <cellStyle name="Output 2 2 3 3 4 4" xfId="30127"/>
    <cellStyle name="Output 2 2 3 3 4 5" xfId="30128"/>
    <cellStyle name="Output 2 2 3 3 5" xfId="30129"/>
    <cellStyle name="Output 2 2 3 3 5 2" xfId="30130"/>
    <cellStyle name="Output 2 2 3 3 5 3" xfId="30131"/>
    <cellStyle name="Output 2 2 3 3 5 4" xfId="30132"/>
    <cellStyle name="Output 2 2 3 3 6" xfId="30133"/>
    <cellStyle name="Output 2 2 3 3 6 2" xfId="30134"/>
    <cellStyle name="Output 2 2 3 3 6 3" xfId="30135"/>
    <cellStyle name="Output 2 2 3 3 6 4" xfId="30136"/>
    <cellStyle name="Output 2 2 3 3 7" xfId="30137"/>
    <cellStyle name="Output 2 2 3 3 7 2" xfId="30138"/>
    <cellStyle name="Output 2 2 3 3 7 3" xfId="30139"/>
    <cellStyle name="Output 2 2 3 3 7 4" xfId="30140"/>
    <cellStyle name="Output 2 2 3 3 8" xfId="30141"/>
    <cellStyle name="Output 2 2 3 3 9" xfId="30142"/>
    <cellStyle name="Output 2 2 3 4" xfId="30143"/>
    <cellStyle name="Output 2 2 3 4 2" xfId="30144"/>
    <cellStyle name="Output 2 2 3 4 2 2" xfId="30145"/>
    <cellStyle name="Output 2 2 3 4 2 2 2" xfId="30146"/>
    <cellStyle name="Output 2 2 3 4 2 2 3" xfId="30147"/>
    <cellStyle name="Output 2 2 3 4 2 2 4" xfId="30148"/>
    <cellStyle name="Output 2 2 3 4 2 3" xfId="30149"/>
    <cellStyle name="Output 2 2 3 4 2 4" xfId="30150"/>
    <cellStyle name="Output 2 2 3 4 2 5" xfId="30151"/>
    <cellStyle name="Output 2 2 3 4 2 6" xfId="30152"/>
    <cellStyle name="Output 2 2 3 4 3" xfId="30153"/>
    <cellStyle name="Output 2 2 3 4 3 2" xfId="30154"/>
    <cellStyle name="Output 2 2 3 4 3 2 2" xfId="30155"/>
    <cellStyle name="Output 2 2 3 4 3 2 3" xfId="30156"/>
    <cellStyle name="Output 2 2 3 4 3 2 4" xfId="30157"/>
    <cellStyle name="Output 2 2 3 4 3 3" xfId="30158"/>
    <cellStyle name="Output 2 2 3 4 3 4" xfId="30159"/>
    <cellStyle name="Output 2 2 3 4 3 5" xfId="30160"/>
    <cellStyle name="Output 2 2 3 4 3 6" xfId="30161"/>
    <cellStyle name="Output 2 2 3 4 4" xfId="30162"/>
    <cellStyle name="Output 2 2 3 4 4 2" xfId="30163"/>
    <cellStyle name="Output 2 2 3 4 4 3" xfId="30164"/>
    <cellStyle name="Output 2 2 3 4 4 4" xfId="30165"/>
    <cellStyle name="Output 2 2 3 4 5" xfId="30166"/>
    <cellStyle name="Output 2 2 3 4 6" xfId="30167"/>
    <cellStyle name="Output 2 2 3 4 7" xfId="30168"/>
    <cellStyle name="Output 2 2 3 4 8" xfId="30169"/>
    <cellStyle name="Output 2 2 3 5" xfId="30170"/>
    <cellStyle name="Output 2 2 3 5 2" xfId="30171"/>
    <cellStyle name="Output 2 2 3 5 2 2" xfId="30172"/>
    <cellStyle name="Output 2 2 3 5 2 3" xfId="30173"/>
    <cellStyle name="Output 2 2 3 5 2 4" xfId="30174"/>
    <cellStyle name="Output 2 2 3 5 3" xfId="30175"/>
    <cellStyle name="Output 2 2 3 5 3 2" xfId="30176"/>
    <cellStyle name="Output 2 2 3 5 3 3" xfId="30177"/>
    <cellStyle name="Output 2 2 3 5 3 4" xfId="30178"/>
    <cellStyle name="Output 2 2 3 5 4" xfId="30179"/>
    <cellStyle name="Output 2 2 3 5 5" xfId="30180"/>
    <cellStyle name="Output 2 2 3 5 6" xfId="30181"/>
    <cellStyle name="Output 2 2 3 5 7" xfId="30182"/>
    <cellStyle name="Output 2 2 3 6" xfId="30183"/>
    <cellStyle name="Output 2 2 3 6 2" xfId="30184"/>
    <cellStyle name="Output 2 2 3 6 2 2" xfId="30185"/>
    <cellStyle name="Output 2 2 3 6 2 3" xfId="30186"/>
    <cellStyle name="Output 2 2 3 6 2 4" xfId="30187"/>
    <cellStyle name="Output 2 2 3 6 3" xfId="30188"/>
    <cellStyle name="Output 2 2 3 6 3 2" xfId="30189"/>
    <cellStyle name="Output 2 2 3 6 3 3" xfId="30190"/>
    <cellStyle name="Output 2 2 3 6 3 4" xfId="30191"/>
    <cellStyle name="Output 2 2 3 6 4" xfId="30192"/>
    <cellStyle name="Output 2 2 3 6 5" xfId="30193"/>
    <cellStyle name="Output 2 2 3 6 6" xfId="30194"/>
    <cellStyle name="Output 2 2 3 6 7" xfId="30195"/>
    <cellStyle name="Output 2 2 3 7" xfId="30196"/>
    <cellStyle name="Output 2 2 3 7 2" xfId="30197"/>
    <cellStyle name="Output 2 2 3 7 2 2" xfId="30198"/>
    <cellStyle name="Output 2 2 3 7 2 3" xfId="30199"/>
    <cellStyle name="Output 2 2 3 7 2 4" xfId="30200"/>
    <cellStyle name="Output 2 2 3 7 3" xfId="30201"/>
    <cellStyle name="Output 2 2 3 7 3 2" xfId="30202"/>
    <cellStyle name="Output 2 2 3 7 3 3" xfId="30203"/>
    <cellStyle name="Output 2 2 3 7 3 4" xfId="30204"/>
    <cellStyle name="Output 2 2 3 7 4" xfId="30205"/>
    <cellStyle name="Output 2 2 3 7 5" xfId="30206"/>
    <cellStyle name="Output 2 2 3 7 6" xfId="30207"/>
    <cellStyle name="Output 2 2 3 7 7" xfId="30208"/>
    <cellStyle name="Output 2 2 3 8" xfId="30209"/>
    <cellStyle name="Output 2 2 3 8 2" xfId="30210"/>
    <cellStyle name="Output 2 2 3 8 2 2" xfId="30211"/>
    <cellStyle name="Output 2 2 3 8 2 3" xfId="30212"/>
    <cellStyle name="Output 2 2 3 8 2 4" xfId="30213"/>
    <cellStyle name="Output 2 2 3 8 3" xfId="30214"/>
    <cellStyle name="Output 2 2 3 8 4" xfId="30215"/>
    <cellStyle name="Output 2 2 3 8 5" xfId="30216"/>
    <cellStyle name="Output 2 2 3 8 6" xfId="30217"/>
    <cellStyle name="Output 2 2 3 9" xfId="30218"/>
    <cellStyle name="Output 2 2 3 9 2" xfId="30219"/>
    <cellStyle name="Output 2 2 3 9 3" xfId="30220"/>
    <cellStyle name="Output 2 2 3 9 4" xfId="30221"/>
    <cellStyle name="Output 2 2 3 9 5" xfId="30222"/>
    <cellStyle name="Output 2 2 30" xfId="30223"/>
    <cellStyle name="Output 2 2 31" xfId="30224"/>
    <cellStyle name="Output 2 2 32" xfId="30225"/>
    <cellStyle name="Output 2 2 33" xfId="30226"/>
    <cellStyle name="Output 2 2 34" xfId="30227"/>
    <cellStyle name="Output 2 2 35" xfId="55612"/>
    <cellStyle name="Output 2 2 36" xfId="55613"/>
    <cellStyle name="Output 2 2 37" xfId="55614"/>
    <cellStyle name="Output 2 2 38" xfId="55615"/>
    <cellStyle name="Output 2 2 39" xfId="55616"/>
    <cellStyle name="Output 2 2 4" xfId="807"/>
    <cellStyle name="Output 2 2 4 10" xfId="30228"/>
    <cellStyle name="Output 2 2 4 10 2" xfId="30229"/>
    <cellStyle name="Output 2 2 4 10 3" xfId="30230"/>
    <cellStyle name="Output 2 2 4 10 4" xfId="30231"/>
    <cellStyle name="Output 2 2 4 11" xfId="30232"/>
    <cellStyle name="Output 2 2 4 11 2" xfId="30233"/>
    <cellStyle name="Output 2 2 4 11 3" xfId="30234"/>
    <cellStyle name="Output 2 2 4 11 4" xfId="30235"/>
    <cellStyle name="Output 2 2 4 12" xfId="30236"/>
    <cellStyle name="Output 2 2 4 12 2" xfId="30237"/>
    <cellStyle name="Output 2 2 4 12 3" xfId="30238"/>
    <cellStyle name="Output 2 2 4 12 4" xfId="30239"/>
    <cellStyle name="Output 2 2 4 13" xfId="30240"/>
    <cellStyle name="Output 2 2 4 14" xfId="30241"/>
    <cellStyle name="Output 2 2 4 15" xfId="30242"/>
    <cellStyle name="Output 2 2 4 16" xfId="30243"/>
    <cellStyle name="Output 2 2 4 2" xfId="808"/>
    <cellStyle name="Output 2 2 4 2 10" xfId="30244"/>
    <cellStyle name="Output 2 2 4 2 11" xfId="30245"/>
    <cellStyle name="Output 2 2 4 2 12" xfId="30246"/>
    <cellStyle name="Output 2 2 4 2 2" xfId="30247"/>
    <cellStyle name="Output 2 2 4 2 2 10" xfId="30248"/>
    <cellStyle name="Output 2 2 4 2 2 11" xfId="30249"/>
    <cellStyle name="Output 2 2 4 2 2 2" xfId="30250"/>
    <cellStyle name="Output 2 2 4 2 2 2 2" xfId="30251"/>
    <cellStyle name="Output 2 2 4 2 2 2 2 2" xfId="30252"/>
    <cellStyle name="Output 2 2 4 2 2 2 2 2 2" xfId="30253"/>
    <cellStyle name="Output 2 2 4 2 2 2 2 2 3" xfId="30254"/>
    <cellStyle name="Output 2 2 4 2 2 2 2 2 4" xfId="30255"/>
    <cellStyle name="Output 2 2 4 2 2 2 2 3" xfId="30256"/>
    <cellStyle name="Output 2 2 4 2 2 2 2 4" xfId="30257"/>
    <cellStyle name="Output 2 2 4 2 2 2 2 5" xfId="30258"/>
    <cellStyle name="Output 2 2 4 2 2 2 2 6" xfId="30259"/>
    <cellStyle name="Output 2 2 4 2 2 2 3" xfId="30260"/>
    <cellStyle name="Output 2 2 4 2 2 2 3 2" xfId="30261"/>
    <cellStyle name="Output 2 2 4 2 2 2 3 2 2" xfId="30262"/>
    <cellStyle name="Output 2 2 4 2 2 2 3 2 3" xfId="30263"/>
    <cellStyle name="Output 2 2 4 2 2 2 3 2 4" xfId="30264"/>
    <cellStyle name="Output 2 2 4 2 2 2 3 3" xfId="30265"/>
    <cellStyle name="Output 2 2 4 2 2 2 3 4" xfId="30266"/>
    <cellStyle name="Output 2 2 4 2 2 2 3 5" xfId="30267"/>
    <cellStyle name="Output 2 2 4 2 2 2 3 6" xfId="30268"/>
    <cellStyle name="Output 2 2 4 2 2 2 4" xfId="30269"/>
    <cellStyle name="Output 2 2 4 2 2 2 4 2" xfId="30270"/>
    <cellStyle name="Output 2 2 4 2 2 2 4 3" xfId="30271"/>
    <cellStyle name="Output 2 2 4 2 2 2 4 4" xfId="30272"/>
    <cellStyle name="Output 2 2 4 2 2 2 5" xfId="30273"/>
    <cellStyle name="Output 2 2 4 2 2 2 6" xfId="30274"/>
    <cellStyle name="Output 2 2 4 2 2 2 7" xfId="30275"/>
    <cellStyle name="Output 2 2 4 2 2 2 8" xfId="30276"/>
    <cellStyle name="Output 2 2 4 2 2 3" xfId="30277"/>
    <cellStyle name="Output 2 2 4 2 2 3 2" xfId="30278"/>
    <cellStyle name="Output 2 2 4 2 2 3 2 2" xfId="30279"/>
    <cellStyle name="Output 2 2 4 2 2 3 2 3" xfId="30280"/>
    <cellStyle name="Output 2 2 4 2 2 3 2 4" xfId="30281"/>
    <cellStyle name="Output 2 2 4 2 2 3 3" xfId="30282"/>
    <cellStyle name="Output 2 2 4 2 2 3 4" xfId="30283"/>
    <cellStyle name="Output 2 2 4 2 2 3 5" xfId="30284"/>
    <cellStyle name="Output 2 2 4 2 2 3 6" xfId="30285"/>
    <cellStyle name="Output 2 2 4 2 2 4" xfId="30286"/>
    <cellStyle name="Output 2 2 4 2 2 4 2" xfId="30287"/>
    <cellStyle name="Output 2 2 4 2 2 4 3" xfId="30288"/>
    <cellStyle name="Output 2 2 4 2 2 4 4" xfId="30289"/>
    <cellStyle name="Output 2 2 4 2 2 4 5" xfId="30290"/>
    <cellStyle name="Output 2 2 4 2 2 5" xfId="30291"/>
    <cellStyle name="Output 2 2 4 2 2 5 2" xfId="30292"/>
    <cellStyle name="Output 2 2 4 2 2 5 3" xfId="30293"/>
    <cellStyle name="Output 2 2 4 2 2 5 4" xfId="30294"/>
    <cellStyle name="Output 2 2 4 2 2 6" xfId="30295"/>
    <cellStyle name="Output 2 2 4 2 2 6 2" xfId="30296"/>
    <cellStyle name="Output 2 2 4 2 2 6 3" xfId="30297"/>
    <cellStyle name="Output 2 2 4 2 2 6 4" xfId="30298"/>
    <cellStyle name="Output 2 2 4 2 2 7" xfId="30299"/>
    <cellStyle name="Output 2 2 4 2 2 7 2" xfId="30300"/>
    <cellStyle name="Output 2 2 4 2 2 7 3" xfId="30301"/>
    <cellStyle name="Output 2 2 4 2 2 7 4" xfId="30302"/>
    <cellStyle name="Output 2 2 4 2 2 8" xfId="30303"/>
    <cellStyle name="Output 2 2 4 2 2 9" xfId="30304"/>
    <cellStyle name="Output 2 2 4 2 3" xfId="30305"/>
    <cellStyle name="Output 2 2 4 2 3 2" xfId="30306"/>
    <cellStyle name="Output 2 2 4 2 3 2 2" xfId="30307"/>
    <cellStyle name="Output 2 2 4 2 3 2 2 2" xfId="30308"/>
    <cellStyle name="Output 2 2 4 2 3 2 2 3" xfId="30309"/>
    <cellStyle name="Output 2 2 4 2 3 2 2 4" xfId="30310"/>
    <cellStyle name="Output 2 2 4 2 3 2 3" xfId="30311"/>
    <cellStyle name="Output 2 2 4 2 3 2 4" xfId="30312"/>
    <cellStyle name="Output 2 2 4 2 3 2 5" xfId="30313"/>
    <cellStyle name="Output 2 2 4 2 3 2 6" xfId="30314"/>
    <cellStyle name="Output 2 2 4 2 3 3" xfId="30315"/>
    <cellStyle name="Output 2 2 4 2 3 3 2" xfId="30316"/>
    <cellStyle name="Output 2 2 4 2 3 3 2 2" xfId="30317"/>
    <cellStyle name="Output 2 2 4 2 3 3 2 3" xfId="30318"/>
    <cellStyle name="Output 2 2 4 2 3 3 2 4" xfId="30319"/>
    <cellStyle name="Output 2 2 4 2 3 3 3" xfId="30320"/>
    <cellStyle name="Output 2 2 4 2 3 3 4" xfId="30321"/>
    <cellStyle name="Output 2 2 4 2 3 3 5" xfId="30322"/>
    <cellStyle name="Output 2 2 4 2 3 3 6" xfId="30323"/>
    <cellStyle name="Output 2 2 4 2 3 4" xfId="30324"/>
    <cellStyle name="Output 2 2 4 2 3 4 2" xfId="30325"/>
    <cellStyle name="Output 2 2 4 2 3 4 3" xfId="30326"/>
    <cellStyle name="Output 2 2 4 2 3 4 4" xfId="30327"/>
    <cellStyle name="Output 2 2 4 2 3 5" xfId="30328"/>
    <cellStyle name="Output 2 2 4 2 3 6" xfId="30329"/>
    <cellStyle name="Output 2 2 4 2 3 7" xfId="30330"/>
    <cellStyle name="Output 2 2 4 2 3 8" xfId="30331"/>
    <cellStyle name="Output 2 2 4 2 4" xfId="30332"/>
    <cellStyle name="Output 2 2 4 2 4 2" xfId="30333"/>
    <cellStyle name="Output 2 2 4 2 4 2 2" xfId="30334"/>
    <cellStyle name="Output 2 2 4 2 4 2 3" xfId="30335"/>
    <cellStyle name="Output 2 2 4 2 4 2 4" xfId="30336"/>
    <cellStyle name="Output 2 2 4 2 4 3" xfId="30337"/>
    <cellStyle name="Output 2 2 4 2 4 4" xfId="30338"/>
    <cellStyle name="Output 2 2 4 2 4 5" xfId="30339"/>
    <cellStyle name="Output 2 2 4 2 4 6" xfId="30340"/>
    <cellStyle name="Output 2 2 4 2 5" xfId="30341"/>
    <cellStyle name="Output 2 2 4 2 5 2" xfId="30342"/>
    <cellStyle name="Output 2 2 4 2 5 3" xfId="30343"/>
    <cellStyle name="Output 2 2 4 2 5 4" xfId="30344"/>
    <cellStyle name="Output 2 2 4 2 5 5" xfId="30345"/>
    <cellStyle name="Output 2 2 4 2 6" xfId="30346"/>
    <cellStyle name="Output 2 2 4 2 6 2" xfId="30347"/>
    <cellStyle name="Output 2 2 4 2 6 3" xfId="30348"/>
    <cellStyle name="Output 2 2 4 2 6 4" xfId="30349"/>
    <cellStyle name="Output 2 2 4 2 7" xfId="30350"/>
    <cellStyle name="Output 2 2 4 2 7 2" xfId="30351"/>
    <cellStyle name="Output 2 2 4 2 7 3" xfId="30352"/>
    <cellStyle name="Output 2 2 4 2 7 4" xfId="30353"/>
    <cellStyle name="Output 2 2 4 2 8" xfId="30354"/>
    <cellStyle name="Output 2 2 4 2 8 2" xfId="30355"/>
    <cellStyle name="Output 2 2 4 2 8 3" xfId="30356"/>
    <cellStyle name="Output 2 2 4 2 8 4" xfId="30357"/>
    <cellStyle name="Output 2 2 4 2 9" xfId="30358"/>
    <cellStyle name="Output 2 2 4 3" xfId="809"/>
    <cellStyle name="Output 2 2 4 3 10" xfId="30359"/>
    <cellStyle name="Output 2 2 4 3 11" xfId="30360"/>
    <cellStyle name="Output 2 2 4 3 2" xfId="30361"/>
    <cellStyle name="Output 2 2 4 3 2 2" xfId="30362"/>
    <cellStyle name="Output 2 2 4 3 2 2 2" xfId="30363"/>
    <cellStyle name="Output 2 2 4 3 2 2 2 2" xfId="30364"/>
    <cellStyle name="Output 2 2 4 3 2 2 2 3" xfId="30365"/>
    <cellStyle name="Output 2 2 4 3 2 2 2 4" xfId="30366"/>
    <cellStyle name="Output 2 2 4 3 2 2 3" xfId="30367"/>
    <cellStyle name="Output 2 2 4 3 2 2 4" xfId="30368"/>
    <cellStyle name="Output 2 2 4 3 2 2 5" xfId="30369"/>
    <cellStyle name="Output 2 2 4 3 2 2 6" xfId="30370"/>
    <cellStyle name="Output 2 2 4 3 2 3" xfId="30371"/>
    <cellStyle name="Output 2 2 4 3 2 3 2" xfId="30372"/>
    <cellStyle name="Output 2 2 4 3 2 3 2 2" xfId="30373"/>
    <cellStyle name="Output 2 2 4 3 2 3 2 3" xfId="30374"/>
    <cellStyle name="Output 2 2 4 3 2 3 2 4" xfId="30375"/>
    <cellStyle name="Output 2 2 4 3 2 3 3" xfId="30376"/>
    <cellStyle name="Output 2 2 4 3 2 3 4" xfId="30377"/>
    <cellStyle name="Output 2 2 4 3 2 3 5" xfId="30378"/>
    <cellStyle name="Output 2 2 4 3 2 3 6" xfId="30379"/>
    <cellStyle name="Output 2 2 4 3 2 4" xfId="30380"/>
    <cellStyle name="Output 2 2 4 3 2 4 2" xfId="30381"/>
    <cellStyle name="Output 2 2 4 3 2 4 3" xfId="30382"/>
    <cellStyle name="Output 2 2 4 3 2 4 4" xfId="30383"/>
    <cellStyle name="Output 2 2 4 3 2 5" xfId="30384"/>
    <cellStyle name="Output 2 2 4 3 2 6" xfId="30385"/>
    <cellStyle name="Output 2 2 4 3 2 7" xfId="30386"/>
    <cellStyle name="Output 2 2 4 3 2 8" xfId="30387"/>
    <cellStyle name="Output 2 2 4 3 3" xfId="30388"/>
    <cellStyle name="Output 2 2 4 3 3 2" xfId="30389"/>
    <cellStyle name="Output 2 2 4 3 3 2 2" xfId="30390"/>
    <cellStyle name="Output 2 2 4 3 3 2 3" xfId="30391"/>
    <cellStyle name="Output 2 2 4 3 3 2 4" xfId="30392"/>
    <cellStyle name="Output 2 2 4 3 3 3" xfId="30393"/>
    <cellStyle name="Output 2 2 4 3 3 4" xfId="30394"/>
    <cellStyle name="Output 2 2 4 3 3 5" xfId="30395"/>
    <cellStyle name="Output 2 2 4 3 3 6" xfId="30396"/>
    <cellStyle name="Output 2 2 4 3 4" xfId="30397"/>
    <cellStyle name="Output 2 2 4 3 4 2" xfId="30398"/>
    <cellStyle name="Output 2 2 4 3 4 3" xfId="30399"/>
    <cellStyle name="Output 2 2 4 3 4 4" xfId="30400"/>
    <cellStyle name="Output 2 2 4 3 4 5" xfId="30401"/>
    <cellStyle name="Output 2 2 4 3 5" xfId="30402"/>
    <cellStyle name="Output 2 2 4 3 5 2" xfId="30403"/>
    <cellStyle name="Output 2 2 4 3 5 3" xfId="30404"/>
    <cellStyle name="Output 2 2 4 3 5 4" xfId="30405"/>
    <cellStyle name="Output 2 2 4 3 6" xfId="30406"/>
    <cellStyle name="Output 2 2 4 3 6 2" xfId="30407"/>
    <cellStyle name="Output 2 2 4 3 6 3" xfId="30408"/>
    <cellStyle name="Output 2 2 4 3 6 4" xfId="30409"/>
    <cellStyle name="Output 2 2 4 3 7" xfId="30410"/>
    <cellStyle name="Output 2 2 4 3 7 2" xfId="30411"/>
    <cellStyle name="Output 2 2 4 3 7 3" xfId="30412"/>
    <cellStyle name="Output 2 2 4 3 7 4" xfId="30413"/>
    <cellStyle name="Output 2 2 4 3 8" xfId="30414"/>
    <cellStyle name="Output 2 2 4 3 9" xfId="30415"/>
    <cellStyle name="Output 2 2 4 4" xfId="30416"/>
    <cellStyle name="Output 2 2 4 4 2" xfId="30417"/>
    <cellStyle name="Output 2 2 4 4 2 2" xfId="30418"/>
    <cellStyle name="Output 2 2 4 4 2 2 2" xfId="30419"/>
    <cellStyle name="Output 2 2 4 4 2 2 3" xfId="30420"/>
    <cellStyle name="Output 2 2 4 4 2 2 4" xfId="30421"/>
    <cellStyle name="Output 2 2 4 4 2 3" xfId="30422"/>
    <cellStyle name="Output 2 2 4 4 2 4" xfId="30423"/>
    <cellStyle name="Output 2 2 4 4 2 5" xfId="30424"/>
    <cellStyle name="Output 2 2 4 4 2 6" xfId="30425"/>
    <cellStyle name="Output 2 2 4 4 3" xfId="30426"/>
    <cellStyle name="Output 2 2 4 4 3 2" xfId="30427"/>
    <cellStyle name="Output 2 2 4 4 3 2 2" xfId="30428"/>
    <cellStyle name="Output 2 2 4 4 3 2 3" xfId="30429"/>
    <cellStyle name="Output 2 2 4 4 3 2 4" xfId="30430"/>
    <cellStyle name="Output 2 2 4 4 3 3" xfId="30431"/>
    <cellStyle name="Output 2 2 4 4 3 4" xfId="30432"/>
    <cellStyle name="Output 2 2 4 4 3 5" xfId="30433"/>
    <cellStyle name="Output 2 2 4 4 3 6" xfId="30434"/>
    <cellStyle name="Output 2 2 4 4 4" xfId="30435"/>
    <cellStyle name="Output 2 2 4 4 4 2" xfId="30436"/>
    <cellStyle name="Output 2 2 4 4 4 3" xfId="30437"/>
    <cellStyle name="Output 2 2 4 4 4 4" xfId="30438"/>
    <cellStyle name="Output 2 2 4 4 5" xfId="30439"/>
    <cellStyle name="Output 2 2 4 4 6" xfId="30440"/>
    <cellStyle name="Output 2 2 4 4 7" xfId="30441"/>
    <cellStyle name="Output 2 2 4 4 8" xfId="30442"/>
    <cellStyle name="Output 2 2 4 5" xfId="30443"/>
    <cellStyle name="Output 2 2 4 5 2" xfId="30444"/>
    <cellStyle name="Output 2 2 4 5 2 2" xfId="30445"/>
    <cellStyle name="Output 2 2 4 5 2 3" xfId="30446"/>
    <cellStyle name="Output 2 2 4 5 2 4" xfId="30447"/>
    <cellStyle name="Output 2 2 4 5 3" xfId="30448"/>
    <cellStyle name="Output 2 2 4 5 3 2" xfId="30449"/>
    <cellStyle name="Output 2 2 4 5 3 3" xfId="30450"/>
    <cellStyle name="Output 2 2 4 5 3 4" xfId="30451"/>
    <cellStyle name="Output 2 2 4 5 4" xfId="30452"/>
    <cellStyle name="Output 2 2 4 5 5" xfId="30453"/>
    <cellStyle name="Output 2 2 4 5 6" xfId="30454"/>
    <cellStyle name="Output 2 2 4 5 7" xfId="30455"/>
    <cellStyle name="Output 2 2 4 6" xfId="30456"/>
    <cellStyle name="Output 2 2 4 6 2" xfId="30457"/>
    <cellStyle name="Output 2 2 4 6 2 2" xfId="30458"/>
    <cellStyle name="Output 2 2 4 6 2 3" xfId="30459"/>
    <cellStyle name="Output 2 2 4 6 2 4" xfId="30460"/>
    <cellStyle name="Output 2 2 4 6 3" xfId="30461"/>
    <cellStyle name="Output 2 2 4 6 3 2" xfId="30462"/>
    <cellStyle name="Output 2 2 4 6 3 3" xfId="30463"/>
    <cellStyle name="Output 2 2 4 6 3 4" xfId="30464"/>
    <cellStyle name="Output 2 2 4 6 4" xfId="30465"/>
    <cellStyle name="Output 2 2 4 6 5" xfId="30466"/>
    <cellStyle name="Output 2 2 4 6 6" xfId="30467"/>
    <cellStyle name="Output 2 2 4 6 7" xfId="30468"/>
    <cellStyle name="Output 2 2 4 7" xfId="30469"/>
    <cellStyle name="Output 2 2 4 7 2" xfId="30470"/>
    <cellStyle name="Output 2 2 4 7 2 2" xfId="30471"/>
    <cellStyle name="Output 2 2 4 7 2 3" xfId="30472"/>
    <cellStyle name="Output 2 2 4 7 2 4" xfId="30473"/>
    <cellStyle name="Output 2 2 4 7 3" xfId="30474"/>
    <cellStyle name="Output 2 2 4 7 3 2" xfId="30475"/>
    <cellStyle name="Output 2 2 4 7 3 3" xfId="30476"/>
    <cellStyle name="Output 2 2 4 7 3 4" xfId="30477"/>
    <cellStyle name="Output 2 2 4 7 4" xfId="30478"/>
    <cellStyle name="Output 2 2 4 7 5" xfId="30479"/>
    <cellStyle name="Output 2 2 4 7 6" xfId="30480"/>
    <cellStyle name="Output 2 2 4 7 7" xfId="30481"/>
    <cellStyle name="Output 2 2 4 8" xfId="30482"/>
    <cellStyle name="Output 2 2 4 8 2" xfId="30483"/>
    <cellStyle name="Output 2 2 4 8 2 2" xfId="30484"/>
    <cellStyle name="Output 2 2 4 8 2 3" xfId="30485"/>
    <cellStyle name="Output 2 2 4 8 2 4" xfId="30486"/>
    <cellStyle name="Output 2 2 4 8 3" xfId="30487"/>
    <cellStyle name="Output 2 2 4 8 4" xfId="30488"/>
    <cellStyle name="Output 2 2 4 8 5" xfId="30489"/>
    <cellStyle name="Output 2 2 4 8 6" xfId="30490"/>
    <cellStyle name="Output 2 2 4 9" xfId="30491"/>
    <cellStyle name="Output 2 2 4 9 2" xfId="30492"/>
    <cellStyle name="Output 2 2 4 9 3" xfId="30493"/>
    <cellStyle name="Output 2 2 4 9 4" xfId="30494"/>
    <cellStyle name="Output 2 2 4 9 5" xfId="30495"/>
    <cellStyle name="Output 2 2 40" xfId="55617"/>
    <cellStyle name="Output 2 2 5" xfId="810"/>
    <cellStyle name="Output 2 2 5 10" xfId="30496"/>
    <cellStyle name="Output 2 2 5 10 2" xfId="30497"/>
    <cellStyle name="Output 2 2 5 10 3" xfId="30498"/>
    <cellStyle name="Output 2 2 5 10 4" xfId="30499"/>
    <cellStyle name="Output 2 2 5 11" xfId="30500"/>
    <cellStyle name="Output 2 2 5 11 2" xfId="30501"/>
    <cellStyle name="Output 2 2 5 11 3" xfId="30502"/>
    <cellStyle name="Output 2 2 5 11 4" xfId="30503"/>
    <cellStyle name="Output 2 2 5 12" xfId="30504"/>
    <cellStyle name="Output 2 2 5 12 2" xfId="30505"/>
    <cellStyle name="Output 2 2 5 12 3" xfId="30506"/>
    <cellStyle name="Output 2 2 5 12 4" xfId="30507"/>
    <cellStyle name="Output 2 2 5 13" xfId="30508"/>
    <cellStyle name="Output 2 2 5 14" xfId="30509"/>
    <cellStyle name="Output 2 2 5 15" xfId="30510"/>
    <cellStyle name="Output 2 2 5 16" xfId="30511"/>
    <cellStyle name="Output 2 2 5 2" xfId="811"/>
    <cellStyle name="Output 2 2 5 2 10" xfId="30512"/>
    <cellStyle name="Output 2 2 5 2 11" xfId="30513"/>
    <cellStyle name="Output 2 2 5 2 12" xfId="30514"/>
    <cellStyle name="Output 2 2 5 2 2" xfId="30515"/>
    <cellStyle name="Output 2 2 5 2 2 10" xfId="30516"/>
    <cellStyle name="Output 2 2 5 2 2 11" xfId="30517"/>
    <cellStyle name="Output 2 2 5 2 2 2" xfId="30518"/>
    <cellStyle name="Output 2 2 5 2 2 2 2" xfId="30519"/>
    <cellStyle name="Output 2 2 5 2 2 2 2 2" xfId="30520"/>
    <cellStyle name="Output 2 2 5 2 2 2 2 2 2" xfId="30521"/>
    <cellStyle name="Output 2 2 5 2 2 2 2 2 3" xfId="30522"/>
    <cellStyle name="Output 2 2 5 2 2 2 2 2 4" xfId="30523"/>
    <cellStyle name="Output 2 2 5 2 2 2 2 3" xfId="30524"/>
    <cellStyle name="Output 2 2 5 2 2 2 2 4" xfId="30525"/>
    <cellStyle name="Output 2 2 5 2 2 2 2 5" xfId="30526"/>
    <cellStyle name="Output 2 2 5 2 2 2 2 6" xfId="30527"/>
    <cellStyle name="Output 2 2 5 2 2 2 3" xfId="30528"/>
    <cellStyle name="Output 2 2 5 2 2 2 3 2" xfId="30529"/>
    <cellStyle name="Output 2 2 5 2 2 2 3 2 2" xfId="30530"/>
    <cellStyle name="Output 2 2 5 2 2 2 3 2 3" xfId="30531"/>
    <cellStyle name="Output 2 2 5 2 2 2 3 2 4" xfId="30532"/>
    <cellStyle name="Output 2 2 5 2 2 2 3 3" xfId="30533"/>
    <cellStyle name="Output 2 2 5 2 2 2 3 4" xfId="30534"/>
    <cellStyle name="Output 2 2 5 2 2 2 3 5" xfId="30535"/>
    <cellStyle name="Output 2 2 5 2 2 2 3 6" xfId="30536"/>
    <cellStyle name="Output 2 2 5 2 2 2 4" xfId="30537"/>
    <cellStyle name="Output 2 2 5 2 2 2 4 2" xfId="30538"/>
    <cellStyle name="Output 2 2 5 2 2 2 4 3" xfId="30539"/>
    <cellStyle name="Output 2 2 5 2 2 2 4 4" xfId="30540"/>
    <cellStyle name="Output 2 2 5 2 2 2 5" xfId="30541"/>
    <cellStyle name="Output 2 2 5 2 2 2 6" xfId="30542"/>
    <cellStyle name="Output 2 2 5 2 2 2 7" xfId="30543"/>
    <cellStyle name="Output 2 2 5 2 2 2 8" xfId="30544"/>
    <cellStyle name="Output 2 2 5 2 2 3" xfId="30545"/>
    <cellStyle name="Output 2 2 5 2 2 3 2" xfId="30546"/>
    <cellStyle name="Output 2 2 5 2 2 3 2 2" xfId="30547"/>
    <cellStyle name="Output 2 2 5 2 2 3 2 3" xfId="30548"/>
    <cellStyle name="Output 2 2 5 2 2 3 2 4" xfId="30549"/>
    <cellStyle name="Output 2 2 5 2 2 3 3" xfId="30550"/>
    <cellStyle name="Output 2 2 5 2 2 3 4" xfId="30551"/>
    <cellStyle name="Output 2 2 5 2 2 3 5" xfId="30552"/>
    <cellStyle name="Output 2 2 5 2 2 3 6" xfId="30553"/>
    <cellStyle name="Output 2 2 5 2 2 4" xfId="30554"/>
    <cellStyle name="Output 2 2 5 2 2 4 2" xfId="30555"/>
    <cellStyle name="Output 2 2 5 2 2 4 3" xfId="30556"/>
    <cellStyle name="Output 2 2 5 2 2 4 4" xfId="30557"/>
    <cellStyle name="Output 2 2 5 2 2 4 5" xfId="30558"/>
    <cellStyle name="Output 2 2 5 2 2 5" xfId="30559"/>
    <cellStyle name="Output 2 2 5 2 2 5 2" xfId="30560"/>
    <cellStyle name="Output 2 2 5 2 2 5 3" xfId="30561"/>
    <cellStyle name="Output 2 2 5 2 2 5 4" xfId="30562"/>
    <cellStyle name="Output 2 2 5 2 2 6" xfId="30563"/>
    <cellStyle name="Output 2 2 5 2 2 6 2" xfId="30564"/>
    <cellStyle name="Output 2 2 5 2 2 6 3" xfId="30565"/>
    <cellStyle name="Output 2 2 5 2 2 6 4" xfId="30566"/>
    <cellStyle name="Output 2 2 5 2 2 7" xfId="30567"/>
    <cellStyle name="Output 2 2 5 2 2 7 2" xfId="30568"/>
    <cellStyle name="Output 2 2 5 2 2 7 3" xfId="30569"/>
    <cellStyle name="Output 2 2 5 2 2 7 4" xfId="30570"/>
    <cellStyle name="Output 2 2 5 2 2 8" xfId="30571"/>
    <cellStyle name="Output 2 2 5 2 2 9" xfId="30572"/>
    <cellStyle name="Output 2 2 5 2 3" xfId="30573"/>
    <cellStyle name="Output 2 2 5 2 3 2" xfId="30574"/>
    <cellStyle name="Output 2 2 5 2 3 2 2" xfId="30575"/>
    <cellStyle name="Output 2 2 5 2 3 2 2 2" xfId="30576"/>
    <cellStyle name="Output 2 2 5 2 3 2 2 3" xfId="30577"/>
    <cellStyle name="Output 2 2 5 2 3 2 2 4" xfId="30578"/>
    <cellStyle name="Output 2 2 5 2 3 2 3" xfId="30579"/>
    <cellStyle name="Output 2 2 5 2 3 2 4" xfId="30580"/>
    <cellStyle name="Output 2 2 5 2 3 2 5" xfId="30581"/>
    <cellStyle name="Output 2 2 5 2 3 2 6" xfId="30582"/>
    <cellStyle name="Output 2 2 5 2 3 3" xfId="30583"/>
    <cellStyle name="Output 2 2 5 2 3 3 2" xfId="30584"/>
    <cellStyle name="Output 2 2 5 2 3 3 2 2" xfId="30585"/>
    <cellStyle name="Output 2 2 5 2 3 3 2 3" xfId="30586"/>
    <cellStyle name="Output 2 2 5 2 3 3 2 4" xfId="30587"/>
    <cellStyle name="Output 2 2 5 2 3 3 3" xfId="30588"/>
    <cellStyle name="Output 2 2 5 2 3 3 4" xfId="30589"/>
    <cellStyle name="Output 2 2 5 2 3 3 5" xfId="30590"/>
    <cellStyle name="Output 2 2 5 2 3 3 6" xfId="30591"/>
    <cellStyle name="Output 2 2 5 2 3 4" xfId="30592"/>
    <cellStyle name="Output 2 2 5 2 3 4 2" xfId="30593"/>
    <cellStyle name="Output 2 2 5 2 3 4 3" xfId="30594"/>
    <cellStyle name="Output 2 2 5 2 3 4 4" xfId="30595"/>
    <cellStyle name="Output 2 2 5 2 3 5" xfId="30596"/>
    <cellStyle name="Output 2 2 5 2 3 6" xfId="30597"/>
    <cellStyle name="Output 2 2 5 2 3 7" xfId="30598"/>
    <cellStyle name="Output 2 2 5 2 3 8" xfId="30599"/>
    <cellStyle name="Output 2 2 5 2 4" xfId="30600"/>
    <cellStyle name="Output 2 2 5 2 4 2" xfId="30601"/>
    <cellStyle name="Output 2 2 5 2 4 2 2" xfId="30602"/>
    <cellStyle name="Output 2 2 5 2 4 2 3" xfId="30603"/>
    <cellStyle name="Output 2 2 5 2 4 2 4" xfId="30604"/>
    <cellStyle name="Output 2 2 5 2 4 3" xfId="30605"/>
    <cellStyle name="Output 2 2 5 2 4 4" xfId="30606"/>
    <cellStyle name="Output 2 2 5 2 4 5" xfId="30607"/>
    <cellStyle name="Output 2 2 5 2 4 6" xfId="30608"/>
    <cellStyle name="Output 2 2 5 2 5" xfId="30609"/>
    <cellStyle name="Output 2 2 5 2 5 2" xfId="30610"/>
    <cellStyle name="Output 2 2 5 2 5 3" xfId="30611"/>
    <cellStyle name="Output 2 2 5 2 5 4" xfId="30612"/>
    <cellStyle name="Output 2 2 5 2 5 5" xfId="30613"/>
    <cellStyle name="Output 2 2 5 2 6" xfId="30614"/>
    <cellStyle name="Output 2 2 5 2 6 2" xfId="30615"/>
    <cellStyle name="Output 2 2 5 2 6 3" xfId="30616"/>
    <cellStyle name="Output 2 2 5 2 6 4" xfId="30617"/>
    <cellStyle name="Output 2 2 5 2 7" xfId="30618"/>
    <cellStyle name="Output 2 2 5 2 7 2" xfId="30619"/>
    <cellStyle name="Output 2 2 5 2 7 3" xfId="30620"/>
    <cellStyle name="Output 2 2 5 2 7 4" xfId="30621"/>
    <cellStyle name="Output 2 2 5 2 8" xfId="30622"/>
    <cellStyle name="Output 2 2 5 2 8 2" xfId="30623"/>
    <cellStyle name="Output 2 2 5 2 8 3" xfId="30624"/>
    <cellStyle name="Output 2 2 5 2 8 4" xfId="30625"/>
    <cellStyle name="Output 2 2 5 2 9" xfId="30626"/>
    <cellStyle name="Output 2 2 5 3" xfId="812"/>
    <cellStyle name="Output 2 2 5 3 10" xfId="30627"/>
    <cellStyle name="Output 2 2 5 3 11" xfId="30628"/>
    <cellStyle name="Output 2 2 5 3 2" xfId="30629"/>
    <cellStyle name="Output 2 2 5 3 2 2" xfId="30630"/>
    <cellStyle name="Output 2 2 5 3 2 2 2" xfId="30631"/>
    <cellStyle name="Output 2 2 5 3 2 2 2 2" xfId="30632"/>
    <cellStyle name="Output 2 2 5 3 2 2 2 3" xfId="30633"/>
    <cellStyle name="Output 2 2 5 3 2 2 2 4" xfId="30634"/>
    <cellStyle name="Output 2 2 5 3 2 2 3" xfId="30635"/>
    <cellStyle name="Output 2 2 5 3 2 2 4" xfId="30636"/>
    <cellStyle name="Output 2 2 5 3 2 2 5" xfId="30637"/>
    <cellStyle name="Output 2 2 5 3 2 2 6" xfId="30638"/>
    <cellStyle name="Output 2 2 5 3 2 3" xfId="30639"/>
    <cellStyle name="Output 2 2 5 3 2 3 2" xfId="30640"/>
    <cellStyle name="Output 2 2 5 3 2 3 2 2" xfId="30641"/>
    <cellStyle name="Output 2 2 5 3 2 3 2 3" xfId="30642"/>
    <cellStyle name="Output 2 2 5 3 2 3 2 4" xfId="30643"/>
    <cellStyle name="Output 2 2 5 3 2 3 3" xfId="30644"/>
    <cellStyle name="Output 2 2 5 3 2 3 4" xfId="30645"/>
    <cellStyle name="Output 2 2 5 3 2 3 5" xfId="30646"/>
    <cellStyle name="Output 2 2 5 3 2 3 6" xfId="30647"/>
    <cellStyle name="Output 2 2 5 3 2 4" xfId="30648"/>
    <cellStyle name="Output 2 2 5 3 2 4 2" xfId="30649"/>
    <cellStyle name="Output 2 2 5 3 2 4 3" xfId="30650"/>
    <cellStyle name="Output 2 2 5 3 2 4 4" xfId="30651"/>
    <cellStyle name="Output 2 2 5 3 2 5" xfId="30652"/>
    <cellStyle name="Output 2 2 5 3 2 6" xfId="30653"/>
    <cellStyle name="Output 2 2 5 3 2 7" xfId="30654"/>
    <cellStyle name="Output 2 2 5 3 2 8" xfId="30655"/>
    <cellStyle name="Output 2 2 5 3 3" xfId="30656"/>
    <cellStyle name="Output 2 2 5 3 3 2" xfId="30657"/>
    <cellStyle name="Output 2 2 5 3 3 2 2" xfId="30658"/>
    <cellStyle name="Output 2 2 5 3 3 2 3" xfId="30659"/>
    <cellStyle name="Output 2 2 5 3 3 2 4" xfId="30660"/>
    <cellStyle name="Output 2 2 5 3 3 3" xfId="30661"/>
    <cellStyle name="Output 2 2 5 3 3 4" xfId="30662"/>
    <cellStyle name="Output 2 2 5 3 3 5" xfId="30663"/>
    <cellStyle name="Output 2 2 5 3 3 6" xfId="30664"/>
    <cellStyle name="Output 2 2 5 3 4" xfId="30665"/>
    <cellStyle name="Output 2 2 5 3 4 2" xfId="30666"/>
    <cellStyle name="Output 2 2 5 3 4 3" xfId="30667"/>
    <cellStyle name="Output 2 2 5 3 4 4" xfId="30668"/>
    <cellStyle name="Output 2 2 5 3 4 5" xfId="30669"/>
    <cellStyle name="Output 2 2 5 3 5" xfId="30670"/>
    <cellStyle name="Output 2 2 5 3 5 2" xfId="30671"/>
    <cellStyle name="Output 2 2 5 3 5 3" xfId="30672"/>
    <cellStyle name="Output 2 2 5 3 5 4" xfId="30673"/>
    <cellStyle name="Output 2 2 5 3 6" xfId="30674"/>
    <cellStyle name="Output 2 2 5 3 6 2" xfId="30675"/>
    <cellStyle name="Output 2 2 5 3 6 3" xfId="30676"/>
    <cellStyle name="Output 2 2 5 3 6 4" xfId="30677"/>
    <cellStyle name="Output 2 2 5 3 7" xfId="30678"/>
    <cellStyle name="Output 2 2 5 3 7 2" xfId="30679"/>
    <cellStyle name="Output 2 2 5 3 7 3" xfId="30680"/>
    <cellStyle name="Output 2 2 5 3 7 4" xfId="30681"/>
    <cellStyle name="Output 2 2 5 3 8" xfId="30682"/>
    <cellStyle name="Output 2 2 5 3 9" xfId="30683"/>
    <cellStyle name="Output 2 2 5 4" xfId="30684"/>
    <cellStyle name="Output 2 2 5 4 2" xfId="30685"/>
    <cellStyle name="Output 2 2 5 4 2 2" xfId="30686"/>
    <cellStyle name="Output 2 2 5 4 2 2 2" xfId="30687"/>
    <cellStyle name="Output 2 2 5 4 2 2 3" xfId="30688"/>
    <cellStyle name="Output 2 2 5 4 2 2 4" xfId="30689"/>
    <cellStyle name="Output 2 2 5 4 2 3" xfId="30690"/>
    <cellStyle name="Output 2 2 5 4 2 4" xfId="30691"/>
    <cellStyle name="Output 2 2 5 4 2 5" xfId="30692"/>
    <cellStyle name="Output 2 2 5 4 2 6" xfId="30693"/>
    <cellStyle name="Output 2 2 5 4 3" xfId="30694"/>
    <cellStyle name="Output 2 2 5 4 3 2" xfId="30695"/>
    <cellStyle name="Output 2 2 5 4 3 2 2" xfId="30696"/>
    <cellStyle name="Output 2 2 5 4 3 2 3" xfId="30697"/>
    <cellStyle name="Output 2 2 5 4 3 2 4" xfId="30698"/>
    <cellStyle name="Output 2 2 5 4 3 3" xfId="30699"/>
    <cellStyle name="Output 2 2 5 4 3 4" xfId="30700"/>
    <cellStyle name="Output 2 2 5 4 3 5" xfId="30701"/>
    <cellStyle name="Output 2 2 5 4 3 6" xfId="30702"/>
    <cellStyle name="Output 2 2 5 4 4" xfId="30703"/>
    <cellStyle name="Output 2 2 5 4 4 2" xfId="30704"/>
    <cellStyle name="Output 2 2 5 4 4 3" xfId="30705"/>
    <cellStyle name="Output 2 2 5 4 4 4" xfId="30706"/>
    <cellStyle name="Output 2 2 5 4 5" xfId="30707"/>
    <cellStyle name="Output 2 2 5 4 6" xfId="30708"/>
    <cellStyle name="Output 2 2 5 4 7" xfId="30709"/>
    <cellStyle name="Output 2 2 5 4 8" xfId="30710"/>
    <cellStyle name="Output 2 2 5 5" xfId="30711"/>
    <cellStyle name="Output 2 2 5 5 2" xfId="30712"/>
    <cellStyle name="Output 2 2 5 5 2 2" xfId="30713"/>
    <cellStyle name="Output 2 2 5 5 2 3" xfId="30714"/>
    <cellStyle name="Output 2 2 5 5 2 4" xfId="30715"/>
    <cellStyle name="Output 2 2 5 5 3" xfId="30716"/>
    <cellStyle name="Output 2 2 5 5 3 2" xfId="30717"/>
    <cellStyle name="Output 2 2 5 5 3 3" xfId="30718"/>
    <cellStyle name="Output 2 2 5 5 3 4" xfId="30719"/>
    <cellStyle name="Output 2 2 5 5 4" xfId="30720"/>
    <cellStyle name="Output 2 2 5 5 5" xfId="30721"/>
    <cellStyle name="Output 2 2 5 5 6" xfId="30722"/>
    <cellStyle name="Output 2 2 5 5 7" xfId="30723"/>
    <cellStyle name="Output 2 2 5 6" xfId="30724"/>
    <cellStyle name="Output 2 2 5 6 2" xfId="30725"/>
    <cellStyle name="Output 2 2 5 6 2 2" xfId="30726"/>
    <cellStyle name="Output 2 2 5 6 2 3" xfId="30727"/>
    <cellStyle name="Output 2 2 5 6 2 4" xfId="30728"/>
    <cellStyle name="Output 2 2 5 6 3" xfId="30729"/>
    <cellStyle name="Output 2 2 5 6 3 2" xfId="30730"/>
    <cellStyle name="Output 2 2 5 6 3 3" xfId="30731"/>
    <cellStyle name="Output 2 2 5 6 3 4" xfId="30732"/>
    <cellStyle name="Output 2 2 5 6 4" xfId="30733"/>
    <cellStyle name="Output 2 2 5 6 5" xfId="30734"/>
    <cellStyle name="Output 2 2 5 6 6" xfId="30735"/>
    <cellStyle name="Output 2 2 5 6 7" xfId="30736"/>
    <cellStyle name="Output 2 2 5 7" xfId="30737"/>
    <cellStyle name="Output 2 2 5 7 2" xfId="30738"/>
    <cellStyle name="Output 2 2 5 7 2 2" xfId="30739"/>
    <cellStyle name="Output 2 2 5 7 2 3" xfId="30740"/>
    <cellStyle name="Output 2 2 5 7 2 4" xfId="30741"/>
    <cellStyle name="Output 2 2 5 7 3" xfId="30742"/>
    <cellStyle name="Output 2 2 5 7 3 2" xfId="30743"/>
    <cellStyle name="Output 2 2 5 7 3 3" xfId="30744"/>
    <cellStyle name="Output 2 2 5 7 3 4" xfId="30745"/>
    <cellStyle name="Output 2 2 5 7 4" xfId="30746"/>
    <cellStyle name="Output 2 2 5 7 5" xfId="30747"/>
    <cellStyle name="Output 2 2 5 7 6" xfId="30748"/>
    <cellStyle name="Output 2 2 5 7 7" xfId="30749"/>
    <cellStyle name="Output 2 2 5 8" xfId="30750"/>
    <cellStyle name="Output 2 2 5 8 2" xfId="30751"/>
    <cellStyle name="Output 2 2 5 8 2 2" xfId="30752"/>
    <cellStyle name="Output 2 2 5 8 2 3" xfId="30753"/>
    <cellStyle name="Output 2 2 5 8 2 4" xfId="30754"/>
    <cellStyle name="Output 2 2 5 8 3" xfId="30755"/>
    <cellStyle name="Output 2 2 5 8 4" xfId="30756"/>
    <cellStyle name="Output 2 2 5 8 5" xfId="30757"/>
    <cellStyle name="Output 2 2 5 8 6" xfId="30758"/>
    <cellStyle name="Output 2 2 5 9" xfId="30759"/>
    <cellStyle name="Output 2 2 5 9 2" xfId="30760"/>
    <cellStyle name="Output 2 2 5 9 3" xfId="30761"/>
    <cellStyle name="Output 2 2 5 9 4" xfId="30762"/>
    <cellStyle name="Output 2 2 5 9 5" xfId="30763"/>
    <cellStyle name="Output 2 2 6" xfId="813"/>
    <cellStyle name="Output 2 2 6 10" xfId="30764"/>
    <cellStyle name="Output 2 2 6 10 2" xfId="30765"/>
    <cellStyle name="Output 2 2 6 10 3" xfId="30766"/>
    <cellStyle name="Output 2 2 6 10 4" xfId="30767"/>
    <cellStyle name="Output 2 2 6 11" xfId="30768"/>
    <cellStyle name="Output 2 2 6 11 2" xfId="30769"/>
    <cellStyle name="Output 2 2 6 11 3" xfId="30770"/>
    <cellStyle name="Output 2 2 6 11 4" xfId="30771"/>
    <cellStyle name="Output 2 2 6 12" xfId="30772"/>
    <cellStyle name="Output 2 2 6 12 2" xfId="30773"/>
    <cellStyle name="Output 2 2 6 12 3" xfId="30774"/>
    <cellStyle name="Output 2 2 6 12 4" xfId="30775"/>
    <cellStyle name="Output 2 2 6 13" xfId="30776"/>
    <cellStyle name="Output 2 2 6 14" xfId="30777"/>
    <cellStyle name="Output 2 2 6 15" xfId="30778"/>
    <cellStyle name="Output 2 2 6 16" xfId="30779"/>
    <cellStyle name="Output 2 2 6 2" xfId="814"/>
    <cellStyle name="Output 2 2 6 2 10" xfId="30780"/>
    <cellStyle name="Output 2 2 6 2 11" xfId="30781"/>
    <cellStyle name="Output 2 2 6 2 12" xfId="30782"/>
    <cellStyle name="Output 2 2 6 2 2" xfId="30783"/>
    <cellStyle name="Output 2 2 6 2 2 10" xfId="30784"/>
    <cellStyle name="Output 2 2 6 2 2 11" xfId="30785"/>
    <cellStyle name="Output 2 2 6 2 2 2" xfId="30786"/>
    <cellStyle name="Output 2 2 6 2 2 2 2" xfId="30787"/>
    <cellStyle name="Output 2 2 6 2 2 2 2 2" xfId="30788"/>
    <cellStyle name="Output 2 2 6 2 2 2 2 2 2" xfId="30789"/>
    <cellStyle name="Output 2 2 6 2 2 2 2 2 3" xfId="30790"/>
    <cellStyle name="Output 2 2 6 2 2 2 2 2 4" xfId="30791"/>
    <cellStyle name="Output 2 2 6 2 2 2 2 3" xfId="30792"/>
    <cellStyle name="Output 2 2 6 2 2 2 2 4" xfId="30793"/>
    <cellStyle name="Output 2 2 6 2 2 2 2 5" xfId="30794"/>
    <cellStyle name="Output 2 2 6 2 2 2 2 6" xfId="30795"/>
    <cellStyle name="Output 2 2 6 2 2 2 3" xfId="30796"/>
    <cellStyle name="Output 2 2 6 2 2 2 3 2" xfId="30797"/>
    <cellStyle name="Output 2 2 6 2 2 2 3 2 2" xfId="30798"/>
    <cellStyle name="Output 2 2 6 2 2 2 3 2 3" xfId="30799"/>
    <cellStyle name="Output 2 2 6 2 2 2 3 2 4" xfId="30800"/>
    <cellStyle name="Output 2 2 6 2 2 2 3 3" xfId="30801"/>
    <cellStyle name="Output 2 2 6 2 2 2 3 4" xfId="30802"/>
    <cellStyle name="Output 2 2 6 2 2 2 3 5" xfId="30803"/>
    <cellStyle name="Output 2 2 6 2 2 2 3 6" xfId="30804"/>
    <cellStyle name="Output 2 2 6 2 2 2 4" xfId="30805"/>
    <cellStyle name="Output 2 2 6 2 2 2 4 2" xfId="30806"/>
    <cellStyle name="Output 2 2 6 2 2 2 4 3" xfId="30807"/>
    <cellStyle name="Output 2 2 6 2 2 2 4 4" xfId="30808"/>
    <cellStyle name="Output 2 2 6 2 2 2 5" xfId="30809"/>
    <cellStyle name="Output 2 2 6 2 2 2 6" xfId="30810"/>
    <cellStyle name="Output 2 2 6 2 2 2 7" xfId="30811"/>
    <cellStyle name="Output 2 2 6 2 2 2 8" xfId="30812"/>
    <cellStyle name="Output 2 2 6 2 2 3" xfId="30813"/>
    <cellStyle name="Output 2 2 6 2 2 3 2" xfId="30814"/>
    <cellStyle name="Output 2 2 6 2 2 3 2 2" xfId="30815"/>
    <cellStyle name="Output 2 2 6 2 2 3 2 3" xfId="30816"/>
    <cellStyle name="Output 2 2 6 2 2 3 2 4" xfId="30817"/>
    <cellStyle name="Output 2 2 6 2 2 3 3" xfId="30818"/>
    <cellStyle name="Output 2 2 6 2 2 3 4" xfId="30819"/>
    <cellStyle name="Output 2 2 6 2 2 3 5" xfId="30820"/>
    <cellStyle name="Output 2 2 6 2 2 3 6" xfId="30821"/>
    <cellStyle name="Output 2 2 6 2 2 4" xfId="30822"/>
    <cellStyle name="Output 2 2 6 2 2 4 2" xfId="30823"/>
    <cellStyle name="Output 2 2 6 2 2 4 3" xfId="30824"/>
    <cellStyle name="Output 2 2 6 2 2 4 4" xfId="30825"/>
    <cellStyle name="Output 2 2 6 2 2 4 5" xfId="30826"/>
    <cellStyle name="Output 2 2 6 2 2 5" xfId="30827"/>
    <cellStyle name="Output 2 2 6 2 2 5 2" xfId="30828"/>
    <cellStyle name="Output 2 2 6 2 2 5 3" xfId="30829"/>
    <cellStyle name="Output 2 2 6 2 2 5 4" xfId="30830"/>
    <cellStyle name="Output 2 2 6 2 2 6" xfId="30831"/>
    <cellStyle name="Output 2 2 6 2 2 6 2" xfId="30832"/>
    <cellStyle name="Output 2 2 6 2 2 6 3" xfId="30833"/>
    <cellStyle name="Output 2 2 6 2 2 6 4" xfId="30834"/>
    <cellStyle name="Output 2 2 6 2 2 7" xfId="30835"/>
    <cellStyle name="Output 2 2 6 2 2 7 2" xfId="30836"/>
    <cellStyle name="Output 2 2 6 2 2 7 3" xfId="30837"/>
    <cellStyle name="Output 2 2 6 2 2 7 4" xfId="30838"/>
    <cellStyle name="Output 2 2 6 2 2 8" xfId="30839"/>
    <cellStyle name="Output 2 2 6 2 2 9" xfId="30840"/>
    <cellStyle name="Output 2 2 6 2 3" xfId="30841"/>
    <cellStyle name="Output 2 2 6 2 3 2" xfId="30842"/>
    <cellStyle name="Output 2 2 6 2 3 2 2" xfId="30843"/>
    <cellStyle name="Output 2 2 6 2 3 2 2 2" xfId="30844"/>
    <cellStyle name="Output 2 2 6 2 3 2 2 3" xfId="30845"/>
    <cellStyle name="Output 2 2 6 2 3 2 2 4" xfId="30846"/>
    <cellStyle name="Output 2 2 6 2 3 2 3" xfId="30847"/>
    <cellStyle name="Output 2 2 6 2 3 2 4" xfId="30848"/>
    <cellStyle name="Output 2 2 6 2 3 2 5" xfId="30849"/>
    <cellStyle name="Output 2 2 6 2 3 2 6" xfId="30850"/>
    <cellStyle name="Output 2 2 6 2 3 3" xfId="30851"/>
    <cellStyle name="Output 2 2 6 2 3 3 2" xfId="30852"/>
    <cellStyle name="Output 2 2 6 2 3 3 2 2" xfId="30853"/>
    <cellStyle name="Output 2 2 6 2 3 3 2 3" xfId="30854"/>
    <cellStyle name="Output 2 2 6 2 3 3 2 4" xfId="30855"/>
    <cellStyle name="Output 2 2 6 2 3 3 3" xfId="30856"/>
    <cellStyle name="Output 2 2 6 2 3 3 4" xfId="30857"/>
    <cellStyle name="Output 2 2 6 2 3 3 5" xfId="30858"/>
    <cellStyle name="Output 2 2 6 2 3 3 6" xfId="30859"/>
    <cellStyle name="Output 2 2 6 2 3 4" xfId="30860"/>
    <cellStyle name="Output 2 2 6 2 3 4 2" xfId="30861"/>
    <cellStyle name="Output 2 2 6 2 3 4 3" xfId="30862"/>
    <cellStyle name="Output 2 2 6 2 3 4 4" xfId="30863"/>
    <cellStyle name="Output 2 2 6 2 3 5" xfId="30864"/>
    <cellStyle name="Output 2 2 6 2 3 6" xfId="30865"/>
    <cellStyle name="Output 2 2 6 2 3 7" xfId="30866"/>
    <cellStyle name="Output 2 2 6 2 3 8" xfId="30867"/>
    <cellStyle name="Output 2 2 6 2 4" xfId="30868"/>
    <cellStyle name="Output 2 2 6 2 4 2" xfId="30869"/>
    <cellStyle name="Output 2 2 6 2 4 2 2" xfId="30870"/>
    <cellStyle name="Output 2 2 6 2 4 2 3" xfId="30871"/>
    <cellStyle name="Output 2 2 6 2 4 2 4" xfId="30872"/>
    <cellStyle name="Output 2 2 6 2 4 3" xfId="30873"/>
    <cellStyle name="Output 2 2 6 2 4 4" xfId="30874"/>
    <cellStyle name="Output 2 2 6 2 4 5" xfId="30875"/>
    <cellStyle name="Output 2 2 6 2 4 6" xfId="30876"/>
    <cellStyle name="Output 2 2 6 2 5" xfId="30877"/>
    <cellStyle name="Output 2 2 6 2 5 2" xfId="30878"/>
    <cellStyle name="Output 2 2 6 2 5 3" xfId="30879"/>
    <cellStyle name="Output 2 2 6 2 5 4" xfId="30880"/>
    <cellStyle name="Output 2 2 6 2 5 5" xfId="30881"/>
    <cellStyle name="Output 2 2 6 2 6" xfId="30882"/>
    <cellStyle name="Output 2 2 6 2 6 2" xfId="30883"/>
    <cellStyle name="Output 2 2 6 2 6 3" xfId="30884"/>
    <cellStyle name="Output 2 2 6 2 6 4" xfId="30885"/>
    <cellStyle name="Output 2 2 6 2 7" xfId="30886"/>
    <cellStyle name="Output 2 2 6 2 7 2" xfId="30887"/>
    <cellStyle name="Output 2 2 6 2 7 3" xfId="30888"/>
    <cellStyle name="Output 2 2 6 2 7 4" xfId="30889"/>
    <cellStyle name="Output 2 2 6 2 8" xfId="30890"/>
    <cellStyle name="Output 2 2 6 2 8 2" xfId="30891"/>
    <cellStyle name="Output 2 2 6 2 8 3" xfId="30892"/>
    <cellStyle name="Output 2 2 6 2 8 4" xfId="30893"/>
    <cellStyle name="Output 2 2 6 2 9" xfId="30894"/>
    <cellStyle name="Output 2 2 6 3" xfId="815"/>
    <cellStyle name="Output 2 2 6 3 10" xfId="30895"/>
    <cellStyle name="Output 2 2 6 3 11" xfId="30896"/>
    <cellStyle name="Output 2 2 6 3 2" xfId="30897"/>
    <cellStyle name="Output 2 2 6 3 2 2" xfId="30898"/>
    <cellStyle name="Output 2 2 6 3 2 2 2" xfId="30899"/>
    <cellStyle name="Output 2 2 6 3 2 2 2 2" xfId="30900"/>
    <cellStyle name="Output 2 2 6 3 2 2 2 3" xfId="30901"/>
    <cellStyle name="Output 2 2 6 3 2 2 2 4" xfId="30902"/>
    <cellStyle name="Output 2 2 6 3 2 2 3" xfId="30903"/>
    <cellStyle name="Output 2 2 6 3 2 2 4" xfId="30904"/>
    <cellStyle name="Output 2 2 6 3 2 2 5" xfId="30905"/>
    <cellStyle name="Output 2 2 6 3 2 2 6" xfId="30906"/>
    <cellStyle name="Output 2 2 6 3 2 3" xfId="30907"/>
    <cellStyle name="Output 2 2 6 3 2 3 2" xfId="30908"/>
    <cellStyle name="Output 2 2 6 3 2 3 2 2" xfId="30909"/>
    <cellStyle name="Output 2 2 6 3 2 3 2 3" xfId="30910"/>
    <cellStyle name="Output 2 2 6 3 2 3 2 4" xfId="30911"/>
    <cellStyle name="Output 2 2 6 3 2 3 3" xfId="30912"/>
    <cellStyle name="Output 2 2 6 3 2 3 4" xfId="30913"/>
    <cellStyle name="Output 2 2 6 3 2 3 5" xfId="30914"/>
    <cellStyle name="Output 2 2 6 3 2 3 6" xfId="30915"/>
    <cellStyle name="Output 2 2 6 3 2 4" xfId="30916"/>
    <cellStyle name="Output 2 2 6 3 2 4 2" xfId="30917"/>
    <cellStyle name="Output 2 2 6 3 2 4 3" xfId="30918"/>
    <cellStyle name="Output 2 2 6 3 2 4 4" xfId="30919"/>
    <cellStyle name="Output 2 2 6 3 2 5" xfId="30920"/>
    <cellStyle name="Output 2 2 6 3 2 6" xfId="30921"/>
    <cellStyle name="Output 2 2 6 3 2 7" xfId="30922"/>
    <cellStyle name="Output 2 2 6 3 2 8" xfId="30923"/>
    <cellStyle name="Output 2 2 6 3 3" xfId="30924"/>
    <cellStyle name="Output 2 2 6 3 3 2" xfId="30925"/>
    <cellStyle name="Output 2 2 6 3 3 2 2" xfId="30926"/>
    <cellStyle name="Output 2 2 6 3 3 2 3" xfId="30927"/>
    <cellStyle name="Output 2 2 6 3 3 2 4" xfId="30928"/>
    <cellStyle name="Output 2 2 6 3 3 3" xfId="30929"/>
    <cellStyle name="Output 2 2 6 3 3 4" xfId="30930"/>
    <cellStyle name="Output 2 2 6 3 3 5" xfId="30931"/>
    <cellStyle name="Output 2 2 6 3 3 6" xfId="30932"/>
    <cellStyle name="Output 2 2 6 3 4" xfId="30933"/>
    <cellStyle name="Output 2 2 6 3 4 2" xfId="30934"/>
    <cellStyle name="Output 2 2 6 3 4 3" xfId="30935"/>
    <cellStyle name="Output 2 2 6 3 4 4" xfId="30936"/>
    <cellStyle name="Output 2 2 6 3 4 5" xfId="30937"/>
    <cellStyle name="Output 2 2 6 3 5" xfId="30938"/>
    <cellStyle name="Output 2 2 6 3 5 2" xfId="30939"/>
    <cellStyle name="Output 2 2 6 3 5 3" xfId="30940"/>
    <cellStyle name="Output 2 2 6 3 5 4" xfId="30941"/>
    <cellStyle name="Output 2 2 6 3 6" xfId="30942"/>
    <cellStyle name="Output 2 2 6 3 6 2" xfId="30943"/>
    <cellStyle name="Output 2 2 6 3 6 3" xfId="30944"/>
    <cellStyle name="Output 2 2 6 3 6 4" xfId="30945"/>
    <cellStyle name="Output 2 2 6 3 7" xfId="30946"/>
    <cellStyle name="Output 2 2 6 3 7 2" xfId="30947"/>
    <cellStyle name="Output 2 2 6 3 7 3" xfId="30948"/>
    <cellStyle name="Output 2 2 6 3 7 4" xfId="30949"/>
    <cellStyle name="Output 2 2 6 3 8" xfId="30950"/>
    <cellStyle name="Output 2 2 6 3 9" xfId="30951"/>
    <cellStyle name="Output 2 2 6 4" xfId="30952"/>
    <cellStyle name="Output 2 2 6 4 2" xfId="30953"/>
    <cellStyle name="Output 2 2 6 4 2 2" xfId="30954"/>
    <cellStyle name="Output 2 2 6 4 2 2 2" xfId="30955"/>
    <cellStyle name="Output 2 2 6 4 2 2 3" xfId="30956"/>
    <cellStyle name="Output 2 2 6 4 2 2 4" xfId="30957"/>
    <cellStyle name="Output 2 2 6 4 2 3" xfId="30958"/>
    <cellStyle name="Output 2 2 6 4 2 4" xfId="30959"/>
    <cellStyle name="Output 2 2 6 4 2 5" xfId="30960"/>
    <cellStyle name="Output 2 2 6 4 2 6" xfId="30961"/>
    <cellStyle name="Output 2 2 6 4 3" xfId="30962"/>
    <cellStyle name="Output 2 2 6 4 3 2" xfId="30963"/>
    <cellStyle name="Output 2 2 6 4 3 2 2" xfId="30964"/>
    <cellStyle name="Output 2 2 6 4 3 2 3" xfId="30965"/>
    <cellStyle name="Output 2 2 6 4 3 2 4" xfId="30966"/>
    <cellStyle name="Output 2 2 6 4 3 3" xfId="30967"/>
    <cellStyle name="Output 2 2 6 4 3 4" xfId="30968"/>
    <cellStyle name="Output 2 2 6 4 3 5" xfId="30969"/>
    <cellStyle name="Output 2 2 6 4 3 6" xfId="30970"/>
    <cellStyle name="Output 2 2 6 4 4" xfId="30971"/>
    <cellStyle name="Output 2 2 6 4 4 2" xfId="30972"/>
    <cellStyle name="Output 2 2 6 4 4 3" xfId="30973"/>
    <cellStyle name="Output 2 2 6 4 4 4" xfId="30974"/>
    <cellStyle name="Output 2 2 6 4 5" xfId="30975"/>
    <cellStyle name="Output 2 2 6 4 6" xfId="30976"/>
    <cellStyle name="Output 2 2 6 4 7" xfId="30977"/>
    <cellStyle name="Output 2 2 6 4 8" xfId="30978"/>
    <cellStyle name="Output 2 2 6 5" xfId="30979"/>
    <cellStyle name="Output 2 2 6 5 2" xfId="30980"/>
    <cellStyle name="Output 2 2 6 5 2 2" xfId="30981"/>
    <cellStyle name="Output 2 2 6 5 2 3" xfId="30982"/>
    <cellStyle name="Output 2 2 6 5 2 4" xfId="30983"/>
    <cellStyle name="Output 2 2 6 5 3" xfId="30984"/>
    <cellStyle name="Output 2 2 6 5 3 2" xfId="30985"/>
    <cellStyle name="Output 2 2 6 5 3 3" xfId="30986"/>
    <cellStyle name="Output 2 2 6 5 3 4" xfId="30987"/>
    <cellStyle name="Output 2 2 6 5 4" xfId="30988"/>
    <cellStyle name="Output 2 2 6 5 5" xfId="30989"/>
    <cellStyle name="Output 2 2 6 5 6" xfId="30990"/>
    <cellStyle name="Output 2 2 6 5 7" xfId="30991"/>
    <cellStyle name="Output 2 2 6 6" xfId="30992"/>
    <cellStyle name="Output 2 2 6 6 2" xfId="30993"/>
    <cellStyle name="Output 2 2 6 6 2 2" xfId="30994"/>
    <cellStyle name="Output 2 2 6 6 2 3" xfId="30995"/>
    <cellStyle name="Output 2 2 6 6 2 4" xfId="30996"/>
    <cellStyle name="Output 2 2 6 6 3" xfId="30997"/>
    <cellStyle name="Output 2 2 6 6 3 2" xfId="30998"/>
    <cellStyle name="Output 2 2 6 6 3 3" xfId="30999"/>
    <cellStyle name="Output 2 2 6 6 3 4" xfId="31000"/>
    <cellStyle name="Output 2 2 6 6 4" xfId="31001"/>
    <cellStyle name="Output 2 2 6 6 5" xfId="31002"/>
    <cellStyle name="Output 2 2 6 6 6" xfId="31003"/>
    <cellStyle name="Output 2 2 6 6 7" xfId="31004"/>
    <cellStyle name="Output 2 2 6 7" xfId="31005"/>
    <cellStyle name="Output 2 2 6 7 2" xfId="31006"/>
    <cellStyle name="Output 2 2 6 7 2 2" xfId="31007"/>
    <cellStyle name="Output 2 2 6 7 2 3" xfId="31008"/>
    <cellStyle name="Output 2 2 6 7 2 4" xfId="31009"/>
    <cellStyle name="Output 2 2 6 7 3" xfId="31010"/>
    <cellStyle name="Output 2 2 6 7 3 2" xfId="31011"/>
    <cellStyle name="Output 2 2 6 7 3 3" xfId="31012"/>
    <cellStyle name="Output 2 2 6 7 3 4" xfId="31013"/>
    <cellStyle name="Output 2 2 6 7 4" xfId="31014"/>
    <cellStyle name="Output 2 2 6 7 5" xfId="31015"/>
    <cellStyle name="Output 2 2 6 7 6" xfId="31016"/>
    <cellStyle name="Output 2 2 6 7 7" xfId="31017"/>
    <cellStyle name="Output 2 2 6 8" xfId="31018"/>
    <cellStyle name="Output 2 2 6 8 2" xfId="31019"/>
    <cellStyle name="Output 2 2 6 8 2 2" xfId="31020"/>
    <cellStyle name="Output 2 2 6 8 2 3" xfId="31021"/>
    <cellStyle name="Output 2 2 6 8 2 4" xfId="31022"/>
    <cellStyle name="Output 2 2 6 8 3" xfId="31023"/>
    <cellStyle name="Output 2 2 6 8 4" xfId="31024"/>
    <cellStyle name="Output 2 2 6 8 5" xfId="31025"/>
    <cellStyle name="Output 2 2 6 8 6" xfId="31026"/>
    <cellStyle name="Output 2 2 6 9" xfId="31027"/>
    <cellStyle name="Output 2 2 6 9 2" xfId="31028"/>
    <cellStyle name="Output 2 2 6 9 3" xfId="31029"/>
    <cellStyle name="Output 2 2 6 9 4" xfId="31030"/>
    <cellStyle name="Output 2 2 6 9 5" xfId="31031"/>
    <cellStyle name="Output 2 2 7" xfId="816"/>
    <cellStyle name="Output 2 2 7 10" xfId="31032"/>
    <cellStyle name="Output 2 2 7 10 2" xfId="31033"/>
    <cellStyle name="Output 2 2 7 10 3" xfId="31034"/>
    <cellStyle name="Output 2 2 7 10 4" xfId="31035"/>
    <cellStyle name="Output 2 2 7 11" xfId="31036"/>
    <cellStyle name="Output 2 2 7 12" xfId="31037"/>
    <cellStyle name="Output 2 2 7 13" xfId="31038"/>
    <cellStyle name="Output 2 2 7 14" xfId="31039"/>
    <cellStyle name="Output 2 2 7 2" xfId="817"/>
    <cellStyle name="Output 2 2 7 2 10" xfId="31040"/>
    <cellStyle name="Output 2 2 7 2 11" xfId="31041"/>
    <cellStyle name="Output 2 2 7 2 2" xfId="31042"/>
    <cellStyle name="Output 2 2 7 2 2 2" xfId="31043"/>
    <cellStyle name="Output 2 2 7 2 2 2 2" xfId="31044"/>
    <cellStyle name="Output 2 2 7 2 2 2 2 2" xfId="31045"/>
    <cellStyle name="Output 2 2 7 2 2 2 2 3" xfId="31046"/>
    <cellStyle name="Output 2 2 7 2 2 2 2 4" xfId="31047"/>
    <cellStyle name="Output 2 2 7 2 2 2 3" xfId="31048"/>
    <cellStyle name="Output 2 2 7 2 2 2 4" xfId="31049"/>
    <cellStyle name="Output 2 2 7 2 2 2 5" xfId="31050"/>
    <cellStyle name="Output 2 2 7 2 2 2 6" xfId="31051"/>
    <cellStyle name="Output 2 2 7 2 2 3" xfId="31052"/>
    <cellStyle name="Output 2 2 7 2 2 3 2" xfId="31053"/>
    <cellStyle name="Output 2 2 7 2 2 3 2 2" xfId="31054"/>
    <cellStyle name="Output 2 2 7 2 2 3 2 3" xfId="31055"/>
    <cellStyle name="Output 2 2 7 2 2 3 2 4" xfId="31056"/>
    <cellStyle name="Output 2 2 7 2 2 3 3" xfId="31057"/>
    <cellStyle name="Output 2 2 7 2 2 3 4" xfId="31058"/>
    <cellStyle name="Output 2 2 7 2 2 3 5" xfId="31059"/>
    <cellStyle name="Output 2 2 7 2 2 3 6" xfId="31060"/>
    <cellStyle name="Output 2 2 7 2 2 4" xfId="31061"/>
    <cellStyle name="Output 2 2 7 2 2 4 2" xfId="31062"/>
    <cellStyle name="Output 2 2 7 2 2 4 3" xfId="31063"/>
    <cellStyle name="Output 2 2 7 2 2 4 4" xfId="31064"/>
    <cellStyle name="Output 2 2 7 2 2 5" xfId="31065"/>
    <cellStyle name="Output 2 2 7 2 2 6" xfId="31066"/>
    <cellStyle name="Output 2 2 7 2 2 7" xfId="31067"/>
    <cellStyle name="Output 2 2 7 2 2 8" xfId="31068"/>
    <cellStyle name="Output 2 2 7 2 3" xfId="31069"/>
    <cellStyle name="Output 2 2 7 2 3 2" xfId="31070"/>
    <cellStyle name="Output 2 2 7 2 3 2 2" xfId="31071"/>
    <cellStyle name="Output 2 2 7 2 3 2 3" xfId="31072"/>
    <cellStyle name="Output 2 2 7 2 3 2 4" xfId="31073"/>
    <cellStyle name="Output 2 2 7 2 3 3" xfId="31074"/>
    <cellStyle name="Output 2 2 7 2 3 4" xfId="31075"/>
    <cellStyle name="Output 2 2 7 2 3 5" xfId="31076"/>
    <cellStyle name="Output 2 2 7 2 3 6" xfId="31077"/>
    <cellStyle name="Output 2 2 7 2 4" xfId="31078"/>
    <cellStyle name="Output 2 2 7 2 4 2" xfId="31079"/>
    <cellStyle name="Output 2 2 7 2 4 3" xfId="31080"/>
    <cellStyle name="Output 2 2 7 2 4 4" xfId="31081"/>
    <cellStyle name="Output 2 2 7 2 4 5" xfId="31082"/>
    <cellStyle name="Output 2 2 7 2 5" xfId="31083"/>
    <cellStyle name="Output 2 2 7 2 5 2" xfId="31084"/>
    <cellStyle name="Output 2 2 7 2 5 3" xfId="31085"/>
    <cellStyle name="Output 2 2 7 2 5 4" xfId="31086"/>
    <cellStyle name="Output 2 2 7 2 6" xfId="31087"/>
    <cellStyle name="Output 2 2 7 2 6 2" xfId="31088"/>
    <cellStyle name="Output 2 2 7 2 6 3" xfId="31089"/>
    <cellStyle name="Output 2 2 7 2 6 4" xfId="31090"/>
    <cellStyle name="Output 2 2 7 2 7" xfId="31091"/>
    <cellStyle name="Output 2 2 7 2 7 2" xfId="31092"/>
    <cellStyle name="Output 2 2 7 2 7 3" xfId="31093"/>
    <cellStyle name="Output 2 2 7 2 7 4" xfId="31094"/>
    <cellStyle name="Output 2 2 7 2 8" xfId="31095"/>
    <cellStyle name="Output 2 2 7 2 9" xfId="31096"/>
    <cellStyle name="Output 2 2 7 3" xfId="818"/>
    <cellStyle name="Output 2 2 7 3 10" xfId="31097"/>
    <cellStyle name="Output 2 2 7 3 11" xfId="31098"/>
    <cellStyle name="Output 2 2 7 3 2" xfId="31099"/>
    <cellStyle name="Output 2 2 7 3 2 2" xfId="31100"/>
    <cellStyle name="Output 2 2 7 3 2 2 2" xfId="31101"/>
    <cellStyle name="Output 2 2 7 3 2 2 2 2" xfId="31102"/>
    <cellStyle name="Output 2 2 7 3 2 2 2 3" xfId="31103"/>
    <cellStyle name="Output 2 2 7 3 2 2 2 4" xfId="31104"/>
    <cellStyle name="Output 2 2 7 3 2 2 3" xfId="31105"/>
    <cellStyle name="Output 2 2 7 3 2 2 4" xfId="31106"/>
    <cellStyle name="Output 2 2 7 3 2 2 5" xfId="31107"/>
    <cellStyle name="Output 2 2 7 3 2 2 6" xfId="31108"/>
    <cellStyle name="Output 2 2 7 3 2 3" xfId="31109"/>
    <cellStyle name="Output 2 2 7 3 2 3 2" xfId="31110"/>
    <cellStyle name="Output 2 2 7 3 2 3 3" xfId="31111"/>
    <cellStyle name="Output 2 2 7 3 2 3 4" xfId="31112"/>
    <cellStyle name="Output 2 2 7 3 2 4" xfId="31113"/>
    <cellStyle name="Output 2 2 7 3 2 4 2" xfId="31114"/>
    <cellStyle name="Output 2 2 7 3 2 4 3" xfId="31115"/>
    <cellStyle name="Output 2 2 7 3 2 4 4" xfId="31116"/>
    <cellStyle name="Output 2 2 7 3 2 5" xfId="31117"/>
    <cellStyle name="Output 2 2 7 3 2 6" xfId="31118"/>
    <cellStyle name="Output 2 2 7 3 2 7" xfId="31119"/>
    <cellStyle name="Output 2 2 7 3 2 8" xfId="31120"/>
    <cellStyle name="Output 2 2 7 3 3" xfId="31121"/>
    <cellStyle name="Output 2 2 7 3 3 2" xfId="31122"/>
    <cellStyle name="Output 2 2 7 3 3 2 2" xfId="31123"/>
    <cellStyle name="Output 2 2 7 3 3 2 3" xfId="31124"/>
    <cellStyle name="Output 2 2 7 3 3 2 4" xfId="31125"/>
    <cellStyle name="Output 2 2 7 3 3 3" xfId="31126"/>
    <cellStyle name="Output 2 2 7 3 3 4" xfId="31127"/>
    <cellStyle name="Output 2 2 7 3 3 5" xfId="31128"/>
    <cellStyle name="Output 2 2 7 3 3 6" xfId="31129"/>
    <cellStyle name="Output 2 2 7 3 4" xfId="31130"/>
    <cellStyle name="Output 2 2 7 3 4 2" xfId="31131"/>
    <cellStyle name="Output 2 2 7 3 4 3" xfId="31132"/>
    <cellStyle name="Output 2 2 7 3 4 4" xfId="31133"/>
    <cellStyle name="Output 2 2 7 3 4 5" xfId="31134"/>
    <cellStyle name="Output 2 2 7 3 5" xfId="31135"/>
    <cellStyle name="Output 2 2 7 3 5 2" xfId="31136"/>
    <cellStyle name="Output 2 2 7 3 5 3" xfId="31137"/>
    <cellStyle name="Output 2 2 7 3 5 4" xfId="31138"/>
    <cellStyle name="Output 2 2 7 3 6" xfId="31139"/>
    <cellStyle name="Output 2 2 7 3 6 2" xfId="31140"/>
    <cellStyle name="Output 2 2 7 3 6 3" xfId="31141"/>
    <cellStyle name="Output 2 2 7 3 6 4" xfId="31142"/>
    <cellStyle name="Output 2 2 7 3 7" xfId="31143"/>
    <cellStyle name="Output 2 2 7 3 7 2" xfId="31144"/>
    <cellStyle name="Output 2 2 7 3 7 3" xfId="31145"/>
    <cellStyle name="Output 2 2 7 3 7 4" xfId="31146"/>
    <cellStyle name="Output 2 2 7 3 8" xfId="31147"/>
    <cellStyle name="Output 2 2 7 3 9" xfId="31148"/>
    <cellStyle name="Output 2 2 7 4" xfId="31149"/>
    <cellStyle name="Output 2 2 7 4 2" xfId="31150"/>
    <cellStyle name="Output 2 2 7 4 2 2" xfId="31151"/>
    <cellStyle name="Output 2 2 7 4 2 2 2" xfId="31152"/>
    <cellStyle name="Output 2 2 7 4 2 2 3" xfId="31153"/>
    <cellStyle name="Output 2 2 7 4 2 2 4" xfId="31154"/>
    <cellStyle name="Output 2 2 7 4 2 3" xfId="31155"/>
    <cellStyle name="Output 2 2 7 4 2 4" xfId="31156"/>
    <cellStyle name="Output 2 2 7 4 2 5" xfId="31157"/>
    <cellStyle name="Output 2 2 7 4 2 6" xfId="31158"/>
    <cellStyle name="Output 2 2 7 4 3" xfId="31159"/>
    <cellStyle name="Output 2 2 7 4 3 2" xfId="31160"/>
    <cellStyle name="Output 2 2 7 4 3 2 2" xfId="31161"/>
    <cellStyle name="Output 2 2 7 4 3 2 3" xfId="31162"/>
    <cellStyle name="Output 2 2 7 4 3 2 4" xfId="31163"/>
    <cellStyle name="Output 2 2 7 4 3 3" xfId="31164"/>
    <cellStyle name="Output 2 2 7 4 3 4" xfId="31165"/>
    <cellStyle name="Output 2 2 7 4 3 5" xfId="31166"/>
    <cellStyle name="Output 2 2 7 4 3 6" xfId="31167"/>
    <cellStyle name="Output 2 2 7 4 4" xfId="31168"/>
    <cellStyle name="Output 2 2 7 4 4 2" xfId="31169"/>
    <cellStyle name="Output 2 2 7 4 4 3" xfId="31170"/>
    <cellStyle name="Output 2 2 7 4 4 4" xfId="31171"/>
    <cellStyle name="Output 2 2 7 4 5" xfId="31172"/>
    <cellStyle name="Output 2 2 7 4 6" xfId="31173"/>
    <cellStyle name="Output 2 2 7 4 7" xfId="31174"/>
    <cellStyle name="Output 2 2 7 4 8" xfId="31175"/>
    <cellStyle name="Output 2 2 7 5" xfId="31176"/>
    <cellStyle name="Output 2 2 7 5 2" xfId="31177"/>
    <cellStyle name="Output 2 2 7 5 2 2" xfId="31178"/>
    <cellStyle name="Output 2 2 7 5 2 3" xfId="31179"/>
    <cellStyle name="Output 2 2 7 5 2 4" xfId="31180"/>
    <cellStyle name="Output 2 2 7 5 3" xfId="31181"/>
    <cellStyle name="Output 2 2 7 5 4" xfId="31182"/>
    <cellStyle name="Output 2 2 7 5 5" xfId="31183"/>
    <cellStyle name="Output 2 2 7 5 6" xfId="31184"/>
    <cellStyle name="Output 2 2 7 6" xfId="31185"/>
    <cellStyle name="Output 2 2 7 6 2" xfId="31186"/>
    <cellStyle name="Output 2 2 7 6 3" xfId="31187"/>
    <cellStyle name="Output 2 2 7 6 4" xfId="31188"/>
    <cellStyle name="Output 2 2 7 6 5" xfId="31189"/>
    <cellStyle name="Output 2 2 7 7" xfId="31190"/>
    <cellStyle name="Output 2 2 7 7 2" xfId="31191"/>
    <cellStyle name="Output 2 2 7 7 3" xfId="31192"/>
    <cellStyle name="Output 2 2 7 7 4" xfId="31193"/>
    <cellStyle name="Output 2 2 7 8" xfId="31194"/>
    <cellStyle name="Output 2 2 7 8 2" xfId="31195"/>
    <cellStyle name="Output 2 2 7 8 3" xfId="31196"/>
    <cellStyle name="Output 2 2 7 8 4" xfId="31197"/>
    <cellStyle name="Output 2 2 7 9" xfId="31198"/>
    <cellStyle name="Output 2 2 7 9 2" xfId="31199"/>
    <cellStyle name="Output 2 2 7 9 3" xfId="31200"/>
    <cellStyle name="Output 2 2 7 9 4" xfId="31201"/>
    <cellStyle name="Output 2 2 8" xfId="819"/>
    <cellStyle name="Output 2 2 8 10" xfId="31202"/>
    <cellStyle name="Output 2 2 8 11" xfId="31203"/>
    <cellStyle name="Output 2 2 8 12" xfId="31204"/>
    <cellStyle name="Output 2 2 8 13" xfId="31205"/>
    <cellStyle name="Output 2 2 8 2" xfId="820"/>
    <cellStyle name="Output 2 2 8 2 10" xfId="31206"/>
    <cellStyle name="Output 2 2 8 2 11" xfId="31207"/>
    <cellStyle name="Output 2 2 8 2 2" xfId="31208"/>
    <cellStyle name="Output 2 2 8 2 2 2" xfId="31209"/>
    <cellStyle name="Output 2 2 8 2 2 2 2" xfId="31210"/>
    <cellStyle name="Output 2 2 8 2 2 2 2 2" xfId="31211"/>
    <cellStyle name="Output 2 2 8 2 2 2 2 3" xfId="31212"/>
    <cellStyle name="Output 2 2 8 2 2 2 2 4" xfId="31213"/>
    <cellStyle name="Output 2 2 8 2 2 2 3" xfId="31214"/>
    <cellStyle name="Output 2 2 8 2 2 2 4" xfId="31215"/>
    <cellStyle name="Output 2 2 8 2 2 2 5" xfId="31216"/>
    <cellStyle name="Output 2 2 8 2 2 2 6" xfId="31217"/>
    <cellStyle name="Output 2 2 8 2 2 3" xfId="31218"/>
    <cellStyle name="Output 2 2 8 2 2 3 2" xfId="31219"/>
    <cellStyle name="Output 2 2 8 2 2 3 2 2" xfId="31220"/>
    <cellStyle name="Output 2 2 8 2 2 3 2 3" xfId="31221"/>
    <cellStyle name="Output 2 2 8 2 2 3 2 4" xfId="31222"/>
    <cellStyle name="Output 2 2 8 2 2 3 3" xfId="31223"/>
    <cellStyle name="Output 2 2 8 2 2 3 4" xfId="31224"/>
    <cellStyle name="Output 2 2 8 2 2 3 5" xfId="31225"/>
    <cellStyle name="Output 2 2 8 2 2 3 6" xfId="31226"/>
    <cellStyle name="Output 2 2 8 2 2 4" xfId="31227"/>
    <cellStyle name="Output 2 2 8 2 2 4 2" xfId="31228"/>
    <cellStyle name="Output 2 2 8 2 2 4 3" xfId="31229"/>
    <cellStyle name="Output 2 2 8 2 2 4 4" xfId="31230"/>
    <cellStyle name="Output 2 2 8 2 2 5" xfId="31231"/>
    <cellStyle name="Output 2 2 8 2 2 6" xfId="31232"/>
    <cellStyle name="Output 2 2 8 2 2 7" xfId="31233"/>
    <cellStyle name="Output 2 2 8 2 2 8" xfId="31234"/>
    <cellStyle name="Output 2 2 8 2 3" xfId="31235"/>
    <cellStyle name="Output 2 2 8 2 3 2" xfId="31236"/>
    <cellStyle name="Output 2 2 8 2 3 2 2" xfId="31237"/>
    <cellStyle name="Output 2 2 8 2 3 2 3" xfId="31238"/>
    <cellStyle name="Output 2 2 8 2 3 2 4" xfId="31239"/>
    <cellStyle name="Output 2 2 8 2 3 3" xfId="31240"/>
    <cellStyle name="Output 2 2 8 2 3 4" xfId="31241"/>
    <cellStyle name="Output 2 2 8 2 3 5" xfId="31242"/>
    <cellStyle name="Output 2 2 8 2 3 6" xfId="31243"/>
    <cellStyle name="Output 2 2 8 2 4" xfId="31244"/>
    <cellStyle name="Output 2 2 8 2 4 2" xfId="31245"/>
    <cellStyle name="Output 2 2 8 2 4 3" xfId="31246"/>
    <cellStyle name="Output 2 2 8 2 4 4" xfId="31247"/>
    <cellStyle name="Output 2 2 8 2 4 5" xfId="31248"/>
    <cellStyle name="Output 2 2 8 2 5" xfId="31249"/>
    <cellStyle name="Output 2 2 8 2 5 2" xfId="31250"/>
    <cellStyle name="Output 2 2 8 2 5 3" xfId="31251"/>
    <cellStyle name="Output 2 2 8 2 5 4" xfId="31252"/>
    <cellStyle name="Output 2 2 8 2 6" xfId="31253"/>
    <cellStyle name="Output 2 2 8 2 6 2" xfId="31254"/>
    <cellStyle name="Output 2 2 8 2 6 3" xfId="31255"/>
    <cellStyle name="Output 2 2 8 2 6 4" xfId="31256"/>
    <cellStyle name="Output 2 2 8 2 7" xfId="31257"/>
    <cellStyle name="Output 2 2 8 2 7 2" xfId="31258"/>
    <cellStyle name="Output 2 2 8 2 7 3" xfId="31259"/>
    <cellStyle name="Output 2 2 8 2 7 4" xfId="31260"/>
    <cellStyle name="Output 2 2 8 2 8" xfId="31261"/>
    <cellStyle name="Output 2 2 8 2 9" xfId="31262"/>
    <cellStyle name="Output 2 2 8 3" xfId="821"/>
    <cellStyle name="Output 2 2 8 3 2" xfId="31263"/>
    <cellStyle name="Output 2 2 8 3 2 2" xfId="31264"/>
    <cellStyle name="Output 2 2 8 3 2 2 2" xfId="31265"/>
    <cellStyle name="Output 2 2 8 3 2 2 3" xfId="31266"/>
    <cellStyle name="Output 2 2 8 3 2 2 4" xfId="31267"/>
    <cellStyle name="Output 2 2 8 3 2 3" xfId="31268"/>
    <cellStyle name="Output 2 2 8 3 2 4" xfId="31269"/>
    <cellStyle name="Output 2 2 8 3 2 5" xfId="31270"/>
    <cellStyle name="Output 2 2 8 3 2 6" xfId="31271"/>
    <cellStyle name="Output 2 2 8 3 3" xfId="31272"/>
    <cellStyle name="Output 2 2 8 3 3 2" xfId="31273"/>
    <cellStyle name="Output 2 2 8 3 3 2 2" xfId="31274"/>
    <cellStyle name="Output 2 2 8 3 3 2 3" xfId="31275"/>
    <cellStyle name="Output 2 2 8 3 3 2 4" xfId="31276"/>
    <cellStyle name="Output 2 2 8 3 3 3" xfId="31277"/>
    <cellStyle name="Output 2 2 8 3 3 4" xfId="31278"/>
    <cellStyle name="Output 2 2 8 3 3 5" xfId="31279"/>
    <cellStyle name="Output 2 2 8 3 3 6" xfId="31280"/>
    <cellStyle name="Output 2 2 8 3 4" xfId="31281"/>
    <cellStyle name="Output 2 2 8 3 4 2" xfId="31282"/>
    <cellStyle name="Output 2 2 8 3 4 3" xfId="31283"/>
    <cellStyle name="Output 2 2 8 3 4 4" xfId="31284"/>
    <cellStyle name="Output 2 2 8 3 5" xfId="31285"/>
    <cellStyle name="Output 2 2 8 3 6" xfId="31286"/>
    <cellStyle name="Output 2 2 8 3 7" xfId="31287"/>
    <cellStyle name="Output 2 2 8 3 8" xfId="31288"/>
    <cellStyle name="Output 2 2 8 4" xfId="31289"/>
    <cellStyle name="Output 2 2 8 4 2" xfId="31290"/>
    <cellStyle name="Output 2 2 8 4 2 2" xfId="31291"/>
    <cellStyle name="Output 2 2 8 4 2 3" xfId="31292"/>
    <cellStyle name="Output 2 2 8 4 2 4" xfId="31293"/>
    <cellStyle name="Output 2 2 8 4 3" xfId="31294"/>
    <cellStyle name="Output 2 2 8 4 4" xfId="31295"/>
    <cellStyle name="Output 2 2 8 4 5" xfId="31296"/>
    <cellStyle name="Output 2 2 8 4 6" xfId="31297"/>
    <cellStyle name="Output 2 2 8 5" xfId="31298"/>
    <cellStyle name="Output 2 2 8 5 2" xfId="31299"/>
    <cellStyle name="Output 2 2 8 5 3" xfId="31300"/>
    <cellStyle name="Output 2 2 8 5 4" xfId="31301"/>
    <cellStyle name="Output 2 2 8 5 5" xfId="31302"/>
    <cellStyle name="Output 2 2 8 6" xfId="31303"/>
    <cellStyle name="Output 2 2 8 6 2" xfId="31304"/>
    <cellStyle name="Output 2 2 8 6 3" xfId="31305"/>
    <cellStyle name="Output 2 2 8 6 4" xfId="31306"/>
    <cellStyle name="Output 2 2 8 7" xfId="31307"/>
    <cellStyle name="Output 2 2 8 7 2" xfId="31308"/>
    <cellStyle name="Output 2 2 8 7 3" xfId="31309"/>
    <cellStyle name="Output 2 2 8 7 4" xfId="31310"/>
    <cellStyle name="Output 2 2 8 8" xfId="31311"/>
    <cellStyle name="Output 2 2 8 8 2" xfId="31312"/>
    <cellStyle name="Output 2 2 8 8 3" xfId="31313"/>
    <cellStyle name="Output 2 2 8 8 4" xfId="31314"/>
    <cellStyle name="Output 2 2 8 9" xfId="31315"/>
    <cellStyle name="Output 2 2 8 9 2" xfId="31316"/>
    <cellStyle name="Output 2 2 8 9 3" xfId="31317"/>
    <cellStyle name="Output 2 2 8 9 4" xfId="31318"/>
    <cellStyle name="Output 2 2 9" xfId="822"/>
    <cellStyle name="Output 2 2 9 10" xfId="31319"/>
    <cellStyle name="Output 2 2 9 11" xfId="31320"/>
    <cellStyle name="Output 2 2 9 12" xfId="31321"/>
    <cellStyle name="Output 2 2 9 2" xfId="823"/>
    <cellStyle name="Output 2 2 9 2 2" xfId="31322"/>
    <cellStyle name="Output 2 2 9 2 2 2" xfId="31323"/>
    <cellStyle name="Output 2 2 9 2 2 2 2" xfId="31324"/>
    <cellStyle name="Output 2 2 9 2 2 2 3" xfId="31325"/>
    <cellStyle name="Output 2 2 9 2 2 2 4" xfId="31326"/>
    <cellStyle name="Output 2 2 9 2 2 3" xfId="31327"/>
    <cellStyle name="Output 2 2 9 2 2 4" xfId="31328"/>
    <cellStyle name="Output 2 2 9 2 2 5" xfId="31329"/>
    <cellStyle name="Output 2 2 9 2 2 6" xfId="31330"/>
    <cellStyle name="Output 2 2 9 2 3" xfId="31331"/>
    <cellStyle name="Output 2 2 9 2 3 2" xfId="31332"/>
    <cellStyle name="Output 2 2 9 2 3 2 2" xfId="31333"/>
    <cellStyle name="Output 2 2 9 2 3 2 3" xfId="31334"/>
    <cellStyle name="Output 2 2 9 2 3 2 4" xfId="31335"/>
    <cellStyle name="Output 2 2 9 2 3 3" xfId="31336"/>
    <cellStyle name="Output 2 2 9 2 3 4" xfId="31337"/>
    <cellStyle name="Output 2 2 9 2 3 5" xfId="31338"/>
    <cellStyle name="Output 2 2 9 2 3 6" xfId="31339"/>
    <cellStyle name="Output 2 2 9 2 4" xfId="31340"/>
    <cellStyle name="Output 2 2 9 2 4 2" xfId="31341"/>
    <cellStyle name="Output 2 2 9 2 4 3" xfId="31342"/>
    <cellStyle name="Output 2 2 9 2 4 4" xfId="31343"/>
    <cellStyle name="Output 2 2 9 2 5" xfId="31344"/>
    <cellStyle name="Output 2 2 9 2 6" xfId="31345"/>
    <cellStyle name="Output 2 2 9 2 7" xfId="31346"/>
    <cellStyle name="Output 2 2 9 2 8" xfId="31347"/>
    <cellStyle name="Output 2 2 9 3" xfId="824"/>
    <cellStyle name="Output 2 2 9 3 2" xfId="31348"/>
    <cellStyle name="Output 2 2 9 3 2 2" xfId="31349"/>
    <cellStyle name="Output 2 2 9 3 2 3" xfId="31350"/>
    <cellStyle name="Output 2 2 9 3 2 4" xfId="31351"/>
    <cellStyle name="Output 2 2 9 3 3" xfId="31352"/>
    <cellStyle name="Output 2 2 9 3 4" xfId="31353"/>
    <cellStyle name="Output 2 2 9 3 5" xfId="31354"/>
    <cellStyle name="Output 2 2 9 3 6" xfId="31355"/>
    <cellStyle name="Output 2 2 9 4" xfId="31356"/>
    <cellStyle name="Output 2 2 9 4 2" xfId="31357"/>
    <cellStyle name="Output 2 2 9 4 3" xfId="31358"/>
    <cellStyle name="Output 2 2 9 4 4" xfId="31359"/>
    <cellStyle name="Output 2 2 9 4 5" xfId="31360"/>
    <cellStyle name="Output 2 2 9 5" xfId="31361"/>
    <cellStyle name="Output 2 2 9 5 2" xfId="31362"/>
    <cellStyle name="Output 2 2 9 5 3" xfId="31363"/>
    <cellStyle name="Output 2 2 9 5 4" xfId="31364"/>
    <cellStyle name="Output 2 2 9 6" xfId="31365"/>
    <cellStyle name="Output 2 2 9 6 2" xfId="31366"/>
    <cellStyle name="Output 2 2 9 6 3" xfId="31367"/>
    <cellStyle name="Output 2 2 9 6 4" xfId="31368"/>
    <cellStyle name="Output 2 2 9 7" xfId="31369"/>
    <cellStyle name="Output 2 2 9 7 2" xfId="31370"/>
    <cellStyle name="Output 2 2 9 7 3" xfId="31371"/>
    <cellStyle name="Output 2 2 9 7 4" xfId="31372"/>
    <cellStyle name="Output 2 2 9 8" xfId="31373"/>
    <cellStyle name="Output 2 2 9 8 2" xfId="31374"/>
    <cellStyle name="Output 2 2 9 8 3" xfId="31375"/>
    <cellStyle name="Output 2 2 9 8 4" xfId="31376"/>
    <cellStyle name="Output 2 2 9 9" xfId="31377"/>
    <cellStyle name="Output 2 20" xfId="31378"/>
    <cellStyle name="Output 2 20 10" xfId="31379"/>
    <cellStyle name="Output 2 20 11" xfId="31380"/>
    <cellStyle name="Output 2 20 12" xfId="31381"/>
    <cellStyle name="Output 2 20 2" xfId="31382"/>
    <cellStyle name="Output 2 20 3" xfId="31383"/>
    <cellStyle name="Output 2 20 4" xfId="31384"/>
    <cellStyle name="Output 2 20 5" xfId="31385"/>
    <cellStyle name="Output 2 20 6" xfId="31386"/>
    <cellStyle name="Output 2 20 7" xfId="31387"/>
    <cellStyle name="Output 2 20 8" xfId="31388"/>
    <cellStyle name="Output 2 20 9" xfId="31389"/>
    <cellStyle name="Output 2 21" xfId="31390"/>
    <cellStyle name="Output 2 21 10" xfId="31391"/>
    <cellStyle name="Output 2 21 11" xfId="31392"/>
    <cellStyle name="Output 2 21 12" xfId="31393"/>
    <cellStyle name="Output 2 21 2" xfId="31394"/>
    <cellStyle name="Output 2 21 3" xfId="31395"/>
    <cellStyle name="Output 2 21 4" xfId="31396"/>
    <cellStyle name="Output 2 21 5" xfId="31397"/>
    <cellStyle name="Output 2 21 6" xfId="31398"/>
    <cellStyle name="Output 2 21 7" xfId="31399"/>
    <cellStyle name="Output 2 21 8" xfId="31400"/>
    <cellStyle name="Output 2 21 9" xfId="31401"/>
    <cellStyle name="Output 2 22" xfId="31402"/>
    <cellStyle name="Output 2 22 10" xfId="31403"/>
    <cellStyle name="Output 2 22 11" xfId="31404"/>
    <cellStyle name="Output 2 22 12" xfId="31405"/>
    <cellStyle name="Output 2 22 2" xfId="31406"/>
    <cellStyle name="Output 2 22 3" xfId="31407"/>
    <cellStyle name="Output 2 22 4" xfId="31408"/>
    <cellStyle name="Output 2 22 5" xfId="31409"/>
    <cellStyle name="Output 2 22 6" xfId="31410"/>
    <cellStyle name="Output 2 22 7" xfId="31411"/>
    <cellStyle name="Output 2 22 8" xfId="31412"/>
    <cellStyle name="Output 2 22 9" xfId="31413"/>
    <cellStyle name="Output 2 23" xfId="31414"/>
    <cellStyle name="Output 2 23 10" xfId="31415"/>
    <cellStyle name="Output 2 23 11" xfId="31416"/>
    <cellStyle name="Output 2 23 12" xfId="31417"/>
    <cellStyle name="Output 2 23 2" xfId="31418"/>
    <cellStyle name="Output 2 23 3" xfId="31419"/>
    <cellStyle name="Output 2 23 4" xfId="31420"/>
    <cellStyle name="Output 2 23 5" xfId="31421"/>
    <cellStyle name="Output 2 23 6" xfId="31422"/>
    <cellStyle name="Output 2 23 7" xfId="31423"/>
    <cellStyle name="Output 2 23 8" xfId="31424"/>
    <cellStyle name="Output 2 23 9" xfId="31425"/>
    <cellStyle name="Output 2 24" xfId="31426"/>
    <cellStyle name="Output 2 24 10" xfId="31427"/>
    <cellStyle name="Output 2 24 11" xfId="31428"/>
    <cellStyle name="Output 2 24 12" xfId="31429"/>
    <cellStyle name="Output 2 24 2" xfId="31430"/>
    <cellStyle name="Output 2 24 3" xfId="31431"/>
    <cellStyle name="Output 2 24 4" xfId="31432"/>
    <cellStyle name="Output 2 24 5" xfId="31433"/>
    <cellStyle name="Output 2 24 6" xfId="31434"/>
    <cellStyle name="Output 2 24 7" xfId="31435"/>
    <cellStyle name="Output 2 24 8" xfId="31436"/>
    <cellStyle name="Output 2 24 9" xfId="31437"/>
    <cellStyle name="Output 2 25" xfId="31438"/>
    <cellStyle name="Output 2 25 10" xfId="31439"/>
    <cellStyle name="Output 2 25 11" xfId="31440"/>
    <cellStyle name="Output 2 25 12" xfId="31441"/>
    <cellStyle name="Output 2 25 2" xfId="31442"/>
    <cellStyle name="Output 2 25 3" xfId="31443"/>
    <cellStyle name="Output 2 25 4" xfId="31444"/>
    <cellStyle name="Output 2 25 5" xfId="31445"/>
    <cellStyle name="Output 2 25 6" xfId="31446"/>
    <cellStyle name="Output 2 25 7" xfId="31447"/>
    <cellStyle name="Output 2 25 8" xfId="31448"/>
    <cellStyle name="Output 2 25 9" xfId="31449"/>
    <cellStyle name="Output 2 26" xfId="31450"/>
    <cellStyle name="Output 2 26 10" xfId="31451"/>
    <cellStyle name="Output 2 26 11" xfId="31452"/>
    <cellStyle name="Output 2 26 12" xfId="31453"/>
    <cellStyle name="Output 2 26 2" xfId="31454"/>
    <cellStyle name="Output 2 26 3" xfId="31455"/>
    <cellStyle name="Output 2 26 4" xfId="31456"/>
    <cellStyle name="Output 2 26 5" xfId="31457"/>
    <cellStyle name="Output 2 26 6" xfId="31458"/>
    <cellStyle name="Output 2 26 7" xfId="31459"/>
    <cellStyle name="Output 2 26 8" xfId="31460"/>
    <cellStyle name="Output 2 26 9" xfId="31461"/>
    <cellStyle name="Output 2 27" xfId="31462"/>
    <cellStyle name="Output 2 27 10" xfId="31463"/>
    <cellStyle name="Output 2 27 11" xfId="31464"/>
    <cellStyle name="Output 2 27 12" xfId="31465"/>
    <cellStyle name="Output 2 27 2" xfId="31466"/>
    <cellStyle name="Output 2 27 3" xfId="31467"/>
    <cellStyle name="Output 2 27 4" xfId="31468"/>
    <cellStyle name="Output 2 27 5" xfId="31469"/>
    <cellStyle name="Output 2 27 6" xfId="31470"/>
    <cellStyle name="Output 2 27 7" xfId="31471"/>
    <cellStyle name="Output 2 27 8" xfId="31472"/>
    <cellStyle name="Output 2 27 9" xfId="31473"/>
    <cellStyle name="Output 2 28" xfId="31474"/>
    <cellStyle name="Output 2 28 10" xfId="31475"/>
    <cellStyle name="Output 2 28 11" xfId="31476"/>
    <cellStyle name="Output 2 28 12" xfId="31477"/>
    <cellStyle name="Output 2 28 2" xfId="31478"/>
    <cellStyle name="Output 2 28 3" xfId="31479"/>
    <cellStyle name="Output 2 28 4" xfId="31480"/>
    <cellStyle name="Output 2 28 5" xfId="31481"/>
    <cellStyle name="Output 2 28 6" xfId="31482"/>
    <cellStyle name="Output 2 28 7" xfId="31483"/>
    <cellStyle name="Output 2 28 8" xfId="31484"/>
    <cellStyle name="Output 2 28 9" xfId="31485"/>
    <cellStyle name="Output 2 29" xfId="31486"/>
    <cellStyle name="Output 2 29 10" xfId="31487"/>
    <cellStyle name="Output 2 29 11" xfId="31488"/>
    <cellStyle name="Output 2 29 12" xfId="31489"/>
    <cellStyle name="Output 2 29 2" xfId="31490"/>
    <cellStyle name="Output 2 29 3" xfId="31491"/>
    <cellStyle name="Output 2 29 4" xfId="31492"/>
    <cellStyle name="Output 2 29 5" xfId="31493"/>
    <cellStyle name="Output 2 29 6" xfId="31494"/>
    <cellStyle name="Output 2 29 7" xfId="31495"/>
    <cellStyle name="Output 2 29 8" xfId="31496"/>
    <cellStyle name="Output 2 29 9" xfId="31497"/>
    <cellStyle name="Output 2 3" xfId="218"/>
    <cellStyle name="Output 2 3 10" xfId="825"/>
    <cellStyle name="Output 2 3 10 2" xfId="826"/>
    <cellStyle name="Output 2 3 10 2 2" xfId="31498"/>
    <cellStyle name="Output 2 3 10 2 3" xfId="31499"/>
    <cellStyle name="Output 2 3 10 2 4" xfId="31500"/>
    <cellStyle name="Output 2 3 10 3" xfId="827"/>
    <cellStyle name="Output 2 3 10 3 2" xfId="31501"/>
    <cellStyle name="Output 2 3 10 3 3" xfId="31502"/>
    <cellStyle name="Output 2 3 10 3 4" xfId="31503"/>
    <cellStyle name="Output 2 3 10 4" xfId="31504"/>
    <cellStyle name="Output 2 3 10 5" xfId="31505"/>
    <cellStyle name="Output 2 3 10 6" xfId="31506"/>
    <cellStyle name="Output 2 3 10 7" xfId="31507"/>
    <cellStyle name="Output 2 3 11" xfId="828"/>
    <cellStyle name="Output 2 3 11 2" xfId="829"/>
    <cellStyle name="Output 2 3 11 2 2" xfId="31508"/>
    <cellStyle name="Output 2 3 11 2 3" xfId="31509"/>
    <cellStyle name="Output 2 3 11 2 4" xfId="31510"/>
    <cellStyle name="Output 2 3 11 3" xfId="830"/>
    <cellStyle name="Output 2 3 11 3 2" xfId="31511"/>
    <cellStyle name="Output 2 3 11 3 3" xfId="31512"/>
    <cellStyle name="Output 2 3 11 3 4" xfId="31513"/>
    <cellStyle name="Output 2 3 11 4" xfId="31514"/>
    <cellStyle name="Output 2 3 11 5" xfId="31515"/>
    <cellStyle name="Output 2 3 11 6" xfId="31516"/>
    <cellStyle name="Output 2 3 11 7" xfId="31517"/>
    <cellStyle name="Output 2 3 12" xfId="831"/>
    <cellStyle name="Output 2 3 12 2" xfId="832"/>
    <cellStyle name="Output 2 3 12 2 2" xfId="31518"/>
    <cellStyle name="Output 2 3 12 2 3" xfId="31519"/>
    <cellStyle name="Output 2 3 12 2 4" xfId="31520"/>
    <cellStyle name="Output 2 3 12 3" xfId="833"/>
    <cellStyle name="Output 2 3 12 3 2" xfId="31521"/>
    <cellStyle name="Output 2 3 12 3 3" xfId="31522"/>
    <cellStyle name="Output 2 3 12 3 4" xfId="31523"/>
    <cellStyle name="Output 2 3 12 4" xfId="31524"/>
    <cellStyle name="Output 2 3 12 5" xfId="31525"/>
    <cellStyle name="Output 2 3 12 6" xfId="31526"/>
    <cellStyle name="Output 2 3 12 7" xfId="31527"/>
    <cellStyle name="Output 2 3 13" xfId="834"/>
    <cellStyle name="Output 2 3 13 2" xfId="835"/>
    <cellStyle name="Output 2 3 13 2 2" xfId="31528"/>
    <cellStyle name="Output 2 3 13 2 3" xfId="31529"/>
    <cellStyle name="Output 2 3 13 2 4" xfId="31530"/>
    <cellStyle name="Output 2 3 13 3" xfId="836"/>
    <cellStyle name="Output 2 3 13 4" xfId="31531"/>
    <cellStyle name="Output 2 3 13 5" xfId="31532"/>
    <cellStyle name="Output 2 3 13 6" xfId="31533"/>
    <cellStyle name="Output 2 3 14" xfId="837"/>
    <cellStyle name="Output 2 3 14 2" xfId="31534"/>
    <cellStyle name="Output 2 3 14 3" xfId="31535"/>
    <cellStyle name="Output 2 3 14 4" xfId="31536"/>
    <cellStyle name="Output 2 3 14 5" xfId="31537"/>
    <cellStyle name="Output 2 3 15" xfId="838"/>
    <cellStyle name="Output 2 3 15 2" xfId="31538"/>
    <cellStyle name="Output 2 3 15 3" xfId="31539"/>
    <cellStyle name="Output 2 3 15 4" xfId="31540"/>
    <cellStyle name="Output 2 3 16" xfId="31541"/>
    <cellStyle name="Output 2 3 16 2" xfId="31542"/>
    <cellStyle name="Output 2 3 16 3" xfId="31543"/>
    <cellStyle name="Output 2 3 16 4" xfId="31544"/>
    <cellStyle name="Output 2 3 17" xfId="31545"/>
    <cellStyle name="Output 2 3 17 2" xfId="31546"/>
    <cellStyle name="Output 2 3 17 3" xfId="31547"/>
    <cellStyle name="Output 2 3 17 4" xfId="31548"/>
    <cellStyle name="Output 2 3 18" xfId="31549"/>
    <cellStyle name="Output 2 3 19" xfId="31550"/>
    <cellStyle name="Output 2 3 2" xfId="219"/>
    <cellStyle name="Output 2 3 2 10" xfId="31551"/>
    <cellStyle name="Output 2 3 2 10 2" xfId="31552"/>
    <cellStyle name="Output 2 3 2 10 3" xfId="31553"/>
    <cellStyle name="Output 2 3 2 10 4" xfId="31554"/>
    <cellStyle name="Output 2 3 2 11" xfId="31555"/>
    <cellStyle name="Output 2 3 2 11 2" xfId="31556"/>
    <cellStyle name="Output 2 3 2 11 3" xfId="31557"/>
    <cellStyle name="Output 2 3 2 11 4" xfId="31558"/>
    <cellStyle name="Output 2 3 2 12" xfId="31559"/>
    <cellStyle name="Output 2 3 2 13" xfId="31560"/>
    <cellStyle name="Output 2 3 2 14" xfId="31561"/>
    <cellStyle name="Output 2 3 2 15" xfId="31562"/>
    <cellStyle name="Output 2 3 2 2" xfId="839"/>
    <cellStyle name="Output 2 3 2 2 10" xfId="31563"/>
    <cellStyle name="Output 2 3 2 2 11" xfId="31564"/>
    <cellStyle name="Output 2 3 2 2 12" xfId="31565"/>
    <cellStyle name="Output 2 3 2 2 2" xfId="31566"/>
    <cellStyle name="Output 2 3 2 2 2 10" xfId="31567"/>
    <cellStyle name="Output 2 3 2 2 2 11" xfId="31568"/>
    <cellStyle name="Output 2 3 2 2 2 2" xfId="31569"/>
    <cellStyle name="Output 2 3 2 2 2 2 2" xfId="31570"/>
    <cellStyle name="Output 2 3 2 2 2 2 2 2" xfId="31571"/>
    <cellStyle name="Output 2 3 2 2 2 2 2 2 2" xfId="31572"/>
    <cellStyle name="Output 2 3 2 2 2 2 2 2 3" xfId="31573"/>
    <cellStyle name="Output 2 3 2 2 2 2 2 2 4" xfId="31574"/>
    <cellStyle name="Output 2 3 2 2 2 2 2 3" xfId="31575"/>
    <cellStyle name="Output 2 3 2 2 2 2 2 4" xfId="31576"/>
    <cellStyle name="Output 2 3 2 2 2 2 2 5" xfId="31577"/>
    <cellStyle name="Output 2 3 2 2 2 2 2 6" xfId="31578"/>
    <cellStyle name="Output 2 3 2 2 2 2 3" xfId="31579"/>
    <cellStyle name="Output 2 3 2 2 2 2 3 2" xfId="31580"/>
    <cellStyle name="Output 2 3 2 2 2 2 3 2 2" xfId="31581"/>
    <cellStyle name="Output 2 3 2 2 2 2 3 2 3" xfId="31582"/>
    <cellStyle name="Output 2 3 2 2 2 2 3 2 4" xfId="31583"/>
    <cellStyle name="Output 2 3 2 2 2 2 3 3" xfId="31584"/>
    <cellStyle name="Output 2 3 2 2 2 2 3 4" xfId="31585"/>
    <cellStyle name="Output 2 3 2 2 2 2 3 5" xfId="31586"/>
    <cellStyle name="Output 2 3 2 2 2 2 3 6" xfId="31587"/>
    <cellStyle name="Output 2 3 2 2 2 2 4" xfId="31588"/>
    <cellStyle name="Output 2 3 2 2 2 2 4 2" xfId="31589"/>
    <cellStyle name="Output 2 3 2 2 2 2 4 3" xfId="31590"/>
    <cellStyle name="Output 2 3 2 2 2 2 4 4" xfId="31591"/>
    <cellStyle name="Output 2 3 2 2 2 2 5" xfId="31592"/>
    <cellStyle name="Output 2 3 2 2 2 2 6" xfId="31593"/>
    <cellStyle name="Output 2 3 2 2 2 2 7" xfId="31594"/>
    <cellStyle name="Output 2 3 2 2 2 2 8" xfId="31595"/>
    <cellStyle name="Output 2 3 2 2 2 3" xfId="31596"/>
    <cellStyle name="Output 2 3 2 2 2 3 2" xfId="31597"/>
    <cellStyle name="Output 2 3 2 2 2 3 2 2" xfId="31598"/>
    <cellStyle name="Output 2 3 2 2 2 3 2 3" xfId="31599"/>
    <cellStyle name="Output 2 3 2 2 2 3 2 4" xfId="31600"/>
    <cellStyle name="Output 2 3 2 2 2 3 3" xfId="31601"/>
    <cellStyle name="Output 2 3 2 2 2 3 4" xfId="31602"/>
    <cellStyle name="Output 2 3 2 2 2 3 5" xfId="31603"/>
    <cellStyle name="Output 2 3 2 2 2 3 6" xfId="31604"/>
    <cellStyle name="Output 2 3 2 2 2 4" xfId="31605"/>
    <cellStyle name="Output 2 3 2 2 2 4 2" xfId="31606"/>
    <cellStyle name="Output 2 3 2 2 2 4 3" xfId="31607"/>
    <cellStyle name="Output 2 3 2 2 2 4 4" xfId="31608"/>
    <cellStyle name="Output 2 3 2 2 2 4 5" xfId="31609"/>
    <cellStyle name="Output 2 3 2 2 2 5" xfId="31610"/>
    <cellStyle name="Output 2 3 2 2 2 5 2" xfId="31611"/>
    <cellStyle name="Output 2 3 2 2 2 5 3" xfId="31612"/>
    <cellStyle name="Output 2 3 2 2 2 5 4" xfId="31613"/>
    <cellStyle name="Output 2 3 2 2 2 6" xfId="31614"/>
    <cellStyle name="Output 2 3 2 2 2 6 2" xfId="31615"/>
    <cellStyle name="Output 2 3 2 2 2 6 3" xfId="31616"/>
    <cellStyle name="Output 2 3 2 2 2 6 4" xfId="31617"/>
    <cellStyle name="Output 2 3 2 2 2 7" xfId="31618"/>
    <cellStyle name="Output 2 3 2 2 2 7 2" xfId="31619"/>
    <cellStyle name="Output 2 3 2 2 2 7 3" xfId="31620"/>
    <cellStyle name="Output 2 3 2 2 2 7 4" xfId="31621"/>
    <cellStyle name="Output 2 3 2 2 2 8" xfId="31622"/>
    <cellStyle name="Output 2 3 2 2 2 9" xfId="31623"/>
    <cellStyle name="Output 2 3 2 2 3" xfId="31624"/>
    <cellStyle name="Output 2 3 2 2 3 2" xfId="31625"/>
    <cellStyle name="Output 2 3 2 2 3 2 2" xfId="31626"/>
    <cellStyle name="Output 2 3 2 2 3 2 2 2" xfId="31627"/>
    <cellStyle name="Output 2 3 2 2 3 2 2 3" xfId="31628"/>
    <cellStyle name="Output 2 3 2 2 3 2 2 4" xfId="31629"/>
    <cellStyle name="Output 2 3 2 2 3 2 3" xfId="31630"/>
    <cellStyle name="Output 2 3 2 2 3 2 4" xfId="31631"/>
    <cellStyle name="Output 2 3 2 2 3 2 5" xfId="31632"/>
    <cellStyle name="Output 2 3 2 2 3 2 6" xfId="31633"/>
    <cellStyle name="Output 2 3 2 2 3 3" xfId="31634"/>
    <cellStyle name="Output 2 3 2 2 3 3 2" xfId="31635"/>
    <cellStyle name="Output 2 3 2 2 3 3 2 2" xfId="31636"/>
    <cellStyle name="Output 2 3 2 2 3 3 2 3" xfId="31637"/>
    <cellStyle name="Output 2 3 2 2 3 3 2 4" xfId="31638"/>
    <cellStyle name="Output 2 3 2 2 3 3 3" xfId="31639"/>
    <cellStyle name="Output 2 3 2 2 3 3 4" xfId="31640"/>
    <cellStyle name="Output 2 3 2 2 3 3 5" xfId="31641"/>
    <cellStyle name="Output 2 3 2 2 3 3 6" xfId="31642"/>
    <cellStyle name="Output 2 3 2 2 3 4" xfId="31643"/>
    <cellStyle name="Output 2 3 2 2 3 4 2" xfId="31644"/>
    <cellStyle name="Output 2 3 2 2 3 4 3" xfId="31645"/>
    <cellStyle name="Output 2 3 2 2 3 4 4" xfId="31646"/>
    <cellStyle name="Output 2 3 2 2 3 5" xfId="31647"/>
    <cellStyle name="Output 2 3 2 2 3 6" xfId="31648"/>
    <cellStyle name="Output 2 3 2 2 3 7" xfId="31649"/>
    <cellStyle name="Output 2 3 2 2 3 8" xfId="31650"/>
    <cellStyle name="Output 2 3 2 2 4" xfId="31651"/>
    <cellStyle name="Output 2 3 2 2 4 2" xfId="31652"/>
    <cellStyle name="Output 2 3 2 2 4 2 2" xfId="31653"/>
    <cellStyle name="Output 2 3 2 2 4 2 3" xfId="31654"/>
    <cellStyle name="Output 2 3 2 2 4 2 4" xfId="31655"/>
    <cellStyle name="Output 2 3 2 2 4 3" xfId="31656"/>
    <cellStyle name="Output 2 3 2 2 4 4" xfId="31657"/>
    <cellStyle name="Output 2 3 2 2 4 5" xfId="31658"/>
    <cellStyle name="Output 2 3 2 2 4 6" xfId="31659"/>
    <cellStyle name="Output 2 3 2 2 5" xfId="31660"/>
    <cellStyle name="Output 2 3 2 2 5 2" xfId="31661"/>
    <cellStyle name="Output 2 3 2 2 5 3" xfId="31662"/>
    <cellStyle name="Output 2 3 2 2 5 4" xfId="31663"/>
    <cellStyle name="Output 2 3 2 2 5 5" xfId="31664"/>
    <cellStyle name="Output 2 3 2 2 6" xfId="31665"/>
    <cellStyle name="Output 2 3 2 2 6 2" xfId="31666"/>
    <cellStyle name="Output 2 3 2 2 6 3" xfId="31667"/>
    <cellStyle name="Output 2 3 2 2 6 4" xfId="31668"/>
    <cellStyle name="Output 2 3 2 2 7" xfId="31669"/>
    <cellStyle name="Output 2 3 2 2 7 2" xfId="31670"/>
    <cellStyle name="Output 2 3 2 2 7 3" xfId="31671"/>
    <cellStyle name="Output 2 3 2 2 7 4" xfId="31672"/>
    <cellStyle name="Output 2 3 2 2 8" xfId="31673"/>
    <cellStyle name="Output 2 3 2 2 8 2" xfId="31674"/>
    <cellStyle name="Output 2 3 2 2 8 3" xfId="31675"/>
    <cellStyle name="Output 2 3 2 2 8 4" xfId="31676"/>
    <cellStyle name="Output 2 3 2 2 9" xfId="31677"/>
    <cellStyle name="Output 2 3 2 3" xfId="31678"/>
    <cellStyle name="Output 2 3 2 3 10" xfId="31679"/>
    <cellStyle name="Output 2 3 2 3 11" xfId="31680"/>
    <cellStyle name="Output 2 3 2 3 2" xfId="31681"/>
    <cellStyle name="Output 2 3 2 3 2 2" xfId="31682"/>
    <cellStyle name="Output 2 3 2 3 2 2 2" xfId="31683"/>
    <cellStyle name="Output 2 3 2 3 2 2 2 2" xfId="31684"/>
    <cellStyle name="Output 2 3 2 3 2 2 2 3" xfId="31685"/>
    <cellStyle name="Output 2 3 2 3 2 2 2 4" xfId="31686"/>
    <cellStyle name="Output 2 3 2 3 2 2 3" xfId="31687"/>
    <cellStyle name="Output 2 3 2 3 2 2 4" xfId="31688"/>
    <cellStyle name="Output 2 3 2 3 2 2 5" xfId="31689"/>
    <cellStyle name="Output 2 3 2 3 2 2 6" xfId="31690"/>
    <cellStyle name="Output 2 3 2 3 2 3" xfId="31691"/>
    <cellStyle name="Output 2 3 2 3 2 3 2" xfId="31692"/>
    <cellStyle name="Output 2 3 2 3 2 3 2 2" xfId="31693"/>
    <cellStyle name="Output 2 3 2 3 2 3 2 3" xfId="31694"/>
    <cellStyle name="Output 2 3 2 3 2 3 2 4" xfId="31695"/>
    <cellStyle name="Output 2 3 2 3 2 3 3" xfId="31696"/>
    <cellStyle name="Output 2 3 2 3 2 3 4" xfId="31697"/>
    <cellStyle name="Output 2 3 2 3 2 3 5" xfId="31698"/>
    <cellStyle name="Output 2 3 2 3 2 3 6" xfId="31699"/>
    <cellStyle name="Output 2 3 2 3 2 4" xfId="31700"/>
    <cellStyle name="Output 2 3 2 3 2 4 2" xfId="31701"/>
    <cellStyle name="Output 2 3 2 3 2 4 3" xfId="31702"/>
    <cellStyle name="Output 2 3 2 3 2 4 4" xfId="31703"/>
    <cellStyle name="Output 2 3 2 3 2 5" xfId="31704"/>
    <cellStyle name="Output 2 3 2 3 2 6" xfId="31705"/>
    <cellStyle name="Output 2 3 2 3 2 7" xfId="31706"/>
    <cellStyle name="Output 2 3 2 3 2 8" xfId="31707"/>
    <cellStyle name="Output 2 3 2 3 3" xfId="31708"/>
    <cellStyle name="Output 2 3 2 3 3 2" xfId="31709"/>
    <cellStyle name="Output 2 3 2 3 3 2 2" xfId="31710"/>
    <cellStyle name="Output 2 3 2 3 3 2 3" xfId="31711"/>
    <cellStyle name="Output 2 3 2 3 3 2 4" xfId="31712"/>
    <cellStyle name="Output 2 3 2 3 3 3" xfId="31713"/>
    <cellStyle name="Output 2 3 2 3 3 4" xfId="31714"/>
    <cellStyle name="Output 2 3 2 3 3 5" xfId="31715"/>
    <cellStyle name="Output 2 3 2 3 3 6" xfId="31716"/>
    <cellStyle name="Output 2 3 2 3 4" xfId="31717"/>
    <cellStyle name="Output 2 3 2 3 4 2" xfId="31718"/>
    <cellStyle name="Output 2 3 2 3 4 3" xfId="31719"/>
    <cellStyle name="Output 2 3 2 3 4 4" xfId="31720"/>
    <cellStyle name="Output 2 3 2 3 4 5" xfId="31721"/>
    <cellStyle name="Output 2 3 2 3 5" xfId="31722"/>
    <cellStyle name="Output 2 3 2 3 5 2" xfId="31723"/>
    <cellStyle name="Output 2 3 2 3 5 3" xfId="31724"/>
    <cellStyle name="Output 2 3 2 3 5 4" xfId="31725"/>
    <cellStyle name="Output 2 3 2 3 6" xfId="31726"/>
    <cellStyle name="Output 2 3 2 3 6 2" xfId="31727"/>
    <cellStyle name="Output 2 3 2 3 6 3" xfId="31728"/>
    <cellStyle name="Output 2 3 2 3 6 4" xfId="31729"/>
    <cellStyle name="Output 2 3 2 3 7" xfId="31730"/>
    <cellStyle name="Output 2 3 2 3 7 2" xfId="31731"/>
    <cellStyle name="Output 2 3 2 3 7 3" xfId="31732"/>
    <cellStyle name="Output 2 3 2 3 7 4" xfId="31733"/>
    <cellStyle name="Output 2 3 2 3 8" xfId="31734"/>
    <cellStyle name="Output 2 3 2 3 9" xfId="31735"/>
    <cellStyle name="Output 2 3 2 4" xfId="31736"/>
    <cellStyle name="Output 2 3 2 4 2" xfId="31737"/>
    <cellStyle name="Output 2 3 2 4 2 2" xfId="31738"/>
    <cellStyle name="Output 2 3 2 4 2 2 2" xfId="31739"/>
    <cellStyle name="Output 2 3 2 4 2 2 3" xfId="31740"/>
    <cellStyle name="Output 2 3 2 4 2 2 4" xfId="31741"/>
    <cellStyle name="Output 2 3 2 4 2 3" xfId="31742"/>
    <cellStyle name="Output 2 3 2 4 2 4" xfId="31743"/>
    <cellStyle name="Output 2 3 2 4 2 5" xfId="31744"/>
    <cellStyle name="Output 2 3 2 4 2 6" xfId="31745"/>
    <cellStyle name="Output 2 3 2 4 3" xfId="31746"/>
    <cellStyle name="Output 2 3 2 4 3 2" xfId="31747"/>
    <cellStyle name="Output 2 3 2 4 3 2 2" xfId="31748"/>
    <cellStyle name="Output 2 3 2 4 3 2 3" xfId="31749"/>
    <cellStyle name="Output 2 3 2 4 3 2 4" xfId="31750"/>
    <cellStyle name="Output 2 3 2 4 3 3" xfId="31751"/>
    <cellStyle name="Output 2 3 2 4 3 4" xfId="31752"/>
    <cellStyle name="Output 2 3 2 4 3 5" xfId="31753"/>
    <cellStyle name="Output 2 3 2 4 3 6" xfId="31754"/>
    <cellStyle name="Output 2 3 2 4 4" xfId="31755"/>
    <cellStyle name="Output 2 3 2 4 4 2" xfId="31756"/>
    <cellStyle name="Output 2 3 2 4 4 3" xfId="31757"/>
    <cellStyle name="Output 2 3 2 4 4 4" xfId="31758"/>
    <cellStyle name="Output 2 3 2 4 5" xfId="31759"/>
    <cellStyle name="Output 2 3 2 4 6" xfId="31760"/>
    <cellStyle name="Output 2 3 2 4 7" xfId="31761"/>
    <cellStyle name="Output 2 3 2 4 8" xfId="31762"/>
    <cellStyle name="Output 2 3 2 5" xfId="31763"/>
    <cellStyle name="Output 2 3 2 5 2" xfId="31764"/>
    <cellStyle name="Output 2 3 2 5 2 2" xfId="31765"/>
    <cellStyle name="Output 2 3 2 5 2 3" xfId="31766"/>
    <cellStyle name="Output 2 3 2 5 2 4" xfId="31767"/>
    <cellStyle name="Output 2 3 2 5 3" xfId="31768"/>
    <cellStyle name="Output 2 3 2 5 3 2" xfId="31769"/>
    <cellStyle name="Output 2 3 2 5 3 3" xfId="31770"/>
    <cellStyle name="Output 2 3 2 5 3 4" xfId="31771"/>
    <cellStyle name="Output 2 3 2 5 4" xfId="31772"/>
    <cellStyle name="Output 2 3 2 5 5" xfId="31773"/>
    <cellStyle name="Output 2 3 2 5 6" xfId="31774"/>
    <cellStyle name="Output 2 3 2 5 7" xfId="31775"/>
    <cellStyle name="Output 2 3 2 6" xfId="31776"/>
    <cellStyle name="Output 2 3 2 6 2" xfId="31777"/>
    <cellStyle name="Output 2 3 2 6 2 2" xfId="31778"/>
    <cellStyle name="Output 2 3 2 6 2 3" xfId="31779"/>
    <cellStyle name="Output 2 3 2 6 2 4" xfId="31780"/>
    <cellStyle name="Output 2 3 2 6 3" xfId="31781"/>
    <cellStyle name="Output 2 3 2 6 3 2" xfId="31782"/>
    <cellStyle name="Output 2 3 2 6 3 3" xfId="31783"/>
    <cellStyle name="Output 2 3 2 6 3 4" xfId="31784"/>
    <cellStyle name="Output 2 3 2 6 4" xfId="31785"/>
    <cellStyle name="Output 2 3 2 6 5" xfId="31786"/>
    <cellStyle name="Output 2 3 2 6 6" xfId="31787"/>
    <cellStyle name="Output 2 3 2 6 7" xfId="31788"/>
    <cellStyle name="Output 2 3 2 7" xfId="31789"/>
    <cellStyle name="Output 2 3 2 7 2" xfId="31790"/>
    <cellStyle name="Output 2 3 2 7 2 2" xfId="31791"/>
    <cellStyle name="Output 2 3 2 7 2 3" xfId="31792"/>
    <cellStyle name="Output 2 3 2 7 2 4" xfId="31793"/>
    <cellStyle name="Output 2 3 2 7 3" xfId="31794"/>
    <cellStyle name="Output 2 3 2 7 3 2" xfId="31795"/>
    <cellStyle name="Output 2 3 2 7 3 3" xfId="31796"/>
    <cellStyle name="Output 2 3 2 7 3 4" xfId="31797"/>
    <cellStyle name="Output 2 3 2 7 4" xfId="31798"/>
    <cellStyle name="Output 2 3 2 7 5" xfId="31799"/>
    <cellStyle name="Output 2 3 2 7 6" xfId="31800"/>
    <cellStyle name="Output 2 3 2 7 7" xfId="31801"/>
    <cellStyle name="Output 2 3 2 8" xfId="31802"/>
    <cellStyle name="Output 2 3 2 8 2" xfId="31803"/>
    <cellStyle name="Output 2 3 2 8 2 2" xfId="31804"/>
    <cellStyle name="Output 2 3 2 8 2 3" xfId="31805"/>
    <cellStyle name="Output 2 3 2 8 2 4" xfId="31806"/>
    <cellStyle name="Output 2 3 2 8 3" xfId="31807"/>
    <cellStyle name="Output 2 3 2 8 4" xfId="31808"/>
    <cellStyle name="Output 2 3 2 8 5" xfId="31809"/>
    <cellStyle name="Output 2 3 2 8 6" xfId="31810"/>
    <cellStyle name="Output 2 3 2 9" xfId="31811"/>
    <cellStyle name="Output 2 3 2 9 2" xfId="31812"/>
    <cellStyle name="Output 2 3 2 9 3" xfId="31813"/>
    <cellStyle name="Output 2 3 2 9 4" xfId="31814"/>
    <cellStyle name="Output 2 3 2 9 5" xfId="31815"/>
    <cellStyle name="Output 2 3 20" xfId="31816"/>
    <cellStyle name="Output 2 3 21" xfId="31817"/>
    <cellStyle name="Output 2 3 22" xfId="31818"/>
    <cellStyle name="Output 2 3 23" xfId="31819"/>
    <cellStyle name="Output 2 3 24" xfId="31820"/>
    <cellStyle name="Output 2 3 25" xfId="31821"/>
    <cellStyle name="Output 2 3 26" xfId="31822"/>
    <cellStyle name="Output 2 3 27" xfId="31823"/>
    <cellStyle name="Output 2 3 28" xfId="31824"/>
    <cellStyle name="Output 2 3 29" xfId="31825"/>
    <cellStyle name="Output 2 3 3" xfId="840"/>
    <cellStyle name="Output 2 3 3 10" xfId="31826"/>
    <cellStyle name="Output 2 3 3 10 2" xfId="31827"/>
    <cellStyle name="Output 2 3 3 10 3" xfId="31828"/>
    <cellStyle name="Output 2 3 3 10 4" xfId="31829"/>
    <cellStyle name="Output 2 3 3 11" xfId="31830"/>
    <cellStyle name="Output 2 3 3 11 2" xfId="31831"/>
    <cellStyle name="Output 2 3 3 11 3" xfId="31832"/>
    <cellStyle name="Output 2 3 3 11 4" xfId="31833"/>
    <cellStyle name="Output 2 3 3 12" xfId="31834"/>
    <cellStyle name="Output 2 3 3 13" xfId="31835"/>
    <cellStyle name="Output 2 3 3 14" xfId="31836"/>
    <cellStyle name="Output 2 3 3 15" xfId="31837"/>
    <cellStyle name="Output 2 3 3 2" xfId="841"/>
    <cellStyle name="Output 2 3 3 2 10" xfId="31838"/>
    <cellStyle name="Output 2 3 3 2 11" xfId="31839"/>
    <cellStyle name="Output 2 3 3 2 12" xfId="31840"/>
    <cellStyle name="Output 2 3 3 2 2" xfId="31841"/>
    <cellStyle name="Output 2 3 3 2 2 10" xfId="31842"/>
    <cellStyle name="Output 2 3 3 2 2 11" xfId="31843"/>
    <cellStyle name="Output 2 3 3 2 2 2" xfId="31844"/>
    <cellStyle name="Output 2 3 3 2 2 2 2" xfId="31845"/>
    <cellStyle name="Output 2 3 3 2 2 2 2 2" xfId="31846"/>
    <cellStyle name="Output 2 3 3 2 2 2 2 2 2" xfId="31847"/>
    <cellStyle name="Output 2 3 3 2 2 2 2 2 3" xfId="31848"/>
    <cellStyle name="Output 2 3 3 2 2 2 2 2 4" xfId="31849"/>
    <cellStyle name="Output 2 3 3 2 2 2 2 3" xfId="31850"/>
    <cellStyle name="Output 2 3 3 2 2 2 2 4" xfId="31851"/>
    <cellStyle name="Output 2 3 3 2 2 2 2 5" xfId="31852"/>
    <cellStyle name="Output 2 3 3 2 2 2 2 6" xfId="31853"/>
    <cellStyle name="Output 2 3 3 2 2 2 3" xfId="31854"/>
    <cellStyle name="Output 2 3 3 2 2 2 3 2" xfId="31855"/>
    <cellStyle name="Output 2 3 3 2 2 2 3 2 2" xfId="31856"/>
    <cellStyle name="Output 2 3 3 2 2 2 3 2 3" xfId="31857"/>
    <cellStyle name="Output 2 3 3 2 2 2 3 2 4" xfId="31858"/>
    <cellStyle name="Output 2 3 3 2 2 2 3 3" xfId="31859"/>
    <cellStyle name="Output 2 3 3 2 2 2 3 4" xfId="31860"/>
    <cellStyle name="Output 2 3 3 2 2 2 3 5" xfId="31861"/>
    <cellStyle name="Output 2 3 3 2 2 2 3 6" xfId="31862"/>
    <cellStyle name="Output 2 3 3 2 2 2 4" xfId="31863"/>
    <cellStyle name="Output 2 3 3 2 2 2 4 2" xfId="31864"/>
    <cellStyle name="Output 2 3 3 2 2 2 4 3" xfId="31865"/>
    <cellStyle name="Output 2 3 3 2 2 2 4 4" xfId="31866"/>
    <cellStyle name="Output 2 3 3 2 2 2 5" xfId="31867"/>
    <cellStyle name="Output 2 3 3 2 2 2 6" xfId="31868"/>
    <cellStyle name="Output 2 3 3 2 2 2 7" xfId="31869"/>
    <cellStyle name="Output 2 3 3 2 2 2 8" xfId="31870"/>
    <cellStyle name="Output 2 3 3 2 2 3" xfId="31871"/>
    <cellStyle name="Output 2 3 3 2 2 3 2" xfId="31872"/>
    <cellStyle name="Output 2 3 3 2 2 3 2 2" xfId="31873"/>
    <cellStyle name="Output 2 3 3 2 2 3 2 3" xfId="31874"/>
    <cellStyle name="Output 2 3 3 2 2 3 2 4" xfId="31875"/>
    <cellStyle name="Output 2 3 3 2 2 3 3" xfId="31876"/>
    <cellStyle name="Output 2 3 3 2 2 3 4" xfId="31877"/>
    <cellStyle name="Output 2 3 3 2 2 3 5" xfId="31878"/>
    <cellStyle name="Output 2 3 3 2 2 3 6" xfId="31879"/>
    <cellStyle name="Output 2 3 3 2 2 4" xfId="31880"/>
    <cellStyle name="Output 2 3 3 2 2 4 2" xfId="31881"/>
    <cellStyle name="Output 2 3 3 2 2 4 3" xfId="31882"/>
    <cellStyle name="Output 2 3 3 2 2 4 4" xfId="31883"/>
    <cellStyle name="Output 2 3 3 2 2 4 5" xfId="31884"/>
    <cellStyle name="Output 2 3 3 2 2 5" xfId="31885"/>
    <cellStyle name="Output 2 3 3 2 2 5 2" xfId="31886"/>
    <cellStyle name="Output 2 3 3 2 2 5 3" xfId="31887"/>
    <cellStyle name="Output 2 3 3 2 2 5 4" xfId="31888"/>
    <cellStyle name="Output 2 3 3 2 2 6" xfId="31889"/>
    <cellStyle name="Output 2 3 3 2 2 6 2" xfId="31890"/>
    <cellStyle name="Output 2 3 3 2 2 6 3" xfId="31891"/>
    <cellStyle name="Output 2 3 3 2 2 6 4" xfId="31892"/>
    <cellStyle name="Output 2 3 3 2 2 7" xfId="31893"/>
    <cellStyle name="Output 2 3 3 2 2 7 2" xfId="31894"/>
    <cellStyle name="Output 2 3 3 2 2 7 3" xfId="31895"/>
    <cellStyle name="Output 2 3 3 2 2 7 4" xfId="31896"/>
    <cellStyle name="Output 2 3 3 2 2 8" xfId="31897"/>
    <cellStyle name="Output 2 3 3 2 2 9" xfId="31898"/>
    <cellStyle name="Output 2 3 3 2 3" xfId="31899"/>
    <cellStyle name="Output 2 3 3 2 3 2" xfId="31900"/>
    <cellStyle name="Output 2 3 3 2 3 2 2" xfId="31901"/>
    <cellStyle name="Output 2 3 3 2 3 2 2 2" xfId="31902"/>
    <cellStyle name="Output 2 3 3 2 3 2 2 3" xfId="31903"/>
    <cellStyle name="Output 2 3 3 2 3 2 2 4" xfId="31904"/>
    <cellStyle name="Output 2 3 3 2 3 2 3" xfId="31905"/>
    <cellStyle name="Output 2 3 3 2 3 2 4" xfId="31906"/>
    <cellStyle name="Output 2 3 3 2 3 2 5" xfId="31907"/>
    <cellStyle name="Output 2 3 3 2 3 2 6" xfId="31908"/>
    <cellStyle name="Output 2 3 3 2 3 3" xfId="31909"/>
    <cellStyle name="Output 2 3 3 2 3 3 2" xfId="31910"/>
    <cellStyle name="Output 2 3 3 2 3 3 2 2" xfId="31911"/>
    <cellStyle name="Output 2 3 3 2 3 3 2 3" xfId="31912"/>
    <cellStyle name="Output 2 3 3 2 3 3 2 4" xfId="31913"/>
    <cellStyle name="Output 2 3 3 2 3 3 3" xfId="31914"/>
    <cellStyle name="Output 2 3 3 2 3 3 4" xfId="31915"/>
    <cellStyle name="Output 2 3 3 2 3 3 5" xfId="31916"/>
    <cellStyle name="Output 2 3 3 2 3 3 6" xfId="31917"/>
    <cellStyle name="Output 2 3 3 2 3 4" xfId="31918"/>
    <cellStyle name="Output 2 3 3 2 3 4 2" xfId="31919"/>
    <cellStyle name="Output 2 3 3 2 3 4 3" xfId="31920"/>
    <cellStyle name="Output 2 3 3 2 3 4 4" xfId="31921"/>
    <cellStyle name="Output 2 3 3 2 3 5" xfId="31922"/>
    <cellStyle name="Output 2 3 3 2 3 6" xfId="31923"/>
    <cellStyle name="Output 2 3 3 2 3 7" xfId="31924"/>
    <cellStyle name="Output 2 3 3 2 3 8" xfId="31925"/>
    <cellStyle name="Output 2 3 3 2 4" xfId="31926"/>
    <cellStyle name="Output 2 3 3 2 4 2" xfId="31927"/>
    <cellStyle name="Output 2 3 3 2 4 2 2" xfId="31928"/>
    <cellStyle name="Output 2 3 3 2 4 2 3" xfId="31929"/>
    <cellStyle name="Output 2 3 3 2 4 2 4" xfId="31930"/>
    <cellStyle name="Output 2 3 3 2 4 3" xfId="31931"/>
    <cellStyle name="Output 2 3 3 2 4 4" xfId="31932"/>
    <cellStyle name="Output 2 3 3 2 4 5" xfId="31933"/>
    <cellStyle name="Output 2 3 3 2 4 6" xfId="31934"/>
    <cellStyle name="Output 2 3 3 2 5" xfId="31935"/>
    <cellStyle name="Output 2 3 3 2 5 2" xfId="31936"/>
    <cellStyle name="Output 2 3 3 2 5 3" xfId="31937"/>
    <cellStyle name="Output 2 3 3 2 5 4" xfId="31938"/>
    <cellStyle name="Output 2 3 3 2 5 5" xfId="31939"/>
    <cellStyle name="Output 2 3 3 2 6" xfId="31940"/>
    <cellStyle name="Output 2 3 3 2 6 2" xfId="31941"/>
    <cellStyle name="Output 2 3 3 2 6 3" xfId="31942"/>
    <cellStyle name="Output 2 3 3 2 6 4" xfId="31943"/>
    <cellStyle name="Output 2 3 3 2 7" xfId="31944"/>
    <cellStyle name="Output 2 3 3 2 7 2" xfId="31945"/>
    <cellStyle name="Output 2 3 3 2 7 3" xfId="31946"/>
    <cellStyle name="Output 2 3 3 2 7 4" xfId="31947"/>
    <cellStyle name="Output 2 3 3 2 8" xfId="31948"/>
    <cellStyle name="Output 2 3 3 2 8 2" xfId="31949"/>
    <cellStyle name="Output 2 3 3 2 8 3" xfId="31950"/>
    <cellStyle name="Output 2 3 3 2 8 4" xfId="31951"/>
    <cellStyle name="Output 2 3 3 2 9" xfId="31952"/>
    <cellStyle name="Output 2 3 3 3" xfId="31953"/>
    <cellStyle name="Output 2 3 3 3 10" xfId="31954"/>
    <cellStyle name="Output 2 3 3 3 11" xfId="31955"/>
    <cellStyle name="Output 2 3 3 3 2" xfId="31956"/>
    <cellStyle name="Output 2 3 3 3 2 2" xfId="31957"/>
    <cellStyle name="Output 2 3 3 3 2 2 2" xfId="31958"/>
    <cellStyle name="Output 2 3 3 3 2 2 2 2" xfId="31959"/>
    <cellStyle name="Output 2 3 3 3 2 2 2 3" xfId="31960"/>
    <cellStyle name="Output 2 3 3 3 2 2 2 4" xfId="31961"/>
    <cellStyle name="Output 2 3 3 3 2 2 3" xfId="31962"/>
    <cellStyle name="Output 2 3 3 3 2 2 4" xfId="31963"/>
    <cellStyle name="Output 2 3 3 3 2 2 5" xfId="31964"/>
    <cellStyle name="Output 2 3 3 3 2 2 6" xfId="31965"/>
    <cellStyle name="Output 2 3 3 3 2 3" xfId="31966"/>
    <cellStyle name="Output 2 3 3 3 2 3 2" xfId="31967"/>
    <cellStyle name="Output 2 3 3 3 2 3 2 2" xfId="31968"/>
    <cellStyle name="Output 2 3 3 3 2 3 2 3" xfId="31969"/>
    <cellStyle name="Output 2 3 3 3 2 3 2 4" xfId="31970"/>
    <cellStyle name="Output 2 3 3 3 2 3 3" xfId="31971"/>
    <cellStyle name="Output 2 3 3 3 2 3 4" xfId="31972"/>
    <cellStyle name="Output 2 3 3 3 2 3 5" xfId="31973"/>
    <cellStyle name="Output 2 3 3 3 2 3 6" xfId="31974"/>
    <cellStyle name="Output 2 3 3 3 2 4" xfId="31975"/>
    <cellStyle name="Output 2 3 3 3 2 4 2" xfId="31976"/>
    <cellStyle name="Output 2 3 3 3 2 4 3" xfId="31977"/>
    <cellStyle name="Output 2 3 3 3 2 4 4" xfId="31978"/>
    <cellStyle name="Output 2 3 3 3 2 5" xfId="31979"/>
    <cellStyle name="Output 2 3 3 3 2 6" xfId="31980"/>
    <cellStyle name="Output 2 3 3 3 2 7" xfId="31981"/>
    <cellStyle name="Output 2 3 3 3 2 8" xfId="31982"/>
    <cellStyle name="Output 2 3 3 3 3" xfId="31983"/>
    <cellStyle name="Output 2 3 3 3 3 2" xfId="31984"/>
    <cellStyle name="Output 2 3 3 3 3 2 2" xfId="31985"/>
    <cellStyle name="Output 2 3 3 3 3 2 3" xfId="31986"/>
    <cellStyle name="Output 2 3 3 3 3 2 4" xfId="31987"/>
    <cellStyle name="Output 2 3 3 3 3 3" xfId="31988"/>
    <cellStyle name="Output 2 3 3 3 3 4" xfId="31989"/>
    <cellStyle name="Output 2 3 3 3 3 5" xfId="31990"/>
    <cellStyle name="Output 2 3 3 3 3 6" xfId="31991"/>
    <cellStyle name="Output 2 3 3 3 4" xfId="31992"/>
    <cellStyle name="Output 2 3 3 3 4 2" xfId="31993"/>
    <cellStyle name="Output 2 3 3 3 4 3" xfId="31994"/>
    <cellStyle name="Output 2 3 3 3 4 4" xfId="31995"/>
    <cellStyle name="Output 2 3 3 3 4 5" xfId="31996"/>
    <cellStyle name="Output 2 3 3 3 5" xfId="31997"/>
    <cellStyle name="Output 2 3 3 3 5 2" xfId="31998"/>
    <cellStyle name="Output 2 3 3 3 5 3" xfId="31999"/>
    <cellStyle name="Output 2 3 3 3 5 4" xfId="32000"/>
    <cellStyle name="Output 2 3 3 3 6" xfId="32001"/>
    <cellStyle name="Output 2 3 3 3 6 2" xfId="32002"/>
    <cellStyle name="Output 2 3 3 3 6 3" xfId="32003"/>
    <cellStyle name="Output 2 3 3 3 6 4" xfId="32004"/>
    <cellStyle name="Output 2 3 3 3 7" xfId="32005"/>
    <cellStyle name="Output 2 3 3 3 7 2" xfId="32006"/>
    <cellStyle name="Output 2 3 3 3 7 3" xfId="32007"/>
    <cellStyle name="Output 2 3 3 3 7 4" xfId="32008"/>
    <cellStyle name="Output 2 3 3 3 8" xfId="32009"/>
    <cellStyle name="Output 2 3 3 3 9" xfId="32010"/>
    <cellStyle name="Output 2 3 3 4" xfId="32011"/>
    <cellStyle name="Output 2 3 3 4 2" xfId="32012"/>
    <cellStyle name="Output 2 3 3 4 2 2" xfId="32013"/>
    <cellStyle name="Output 2 3 3 4 2 2 2" xfId="32014"/>
    <cellStyle name="Output 2 3 3 4 2 2 3" xfId="32015"/>
    <cellStyle name="Output 2 3 3 4 2 2 4" xfId="32016"/>
    <cellStyle name="Output 2 3 3 4 2 3" xfId="32017"/>
    <cellStyle name="Output 2 3 3 4 2 4" xfId="32018"/>
    <cellStyle name="Output 2 3 3 4 2 5" xfId="32019"/>
    <cellStyle name="Output 2 3 3 4 2 6" xfId="32020"/>
    <cellStyle name="Output 2 3 3 4 3" xfId="32021"/>
    <cellStyle name="Output 2 3 3 4 3 2" xfId="32022"/>
    <cellStyle name="Output 2 3 3 4 3 2 2" xfId="32023"/>
    <cellStyle name="Output 2 3 3 4 3 2 3" xfId="32024"/>
    <cellStyle name="Output 2 3 3 4 3 2 4" xfId="32025"/>
    <cellStyle name="Output 2 3 3 4 3 3" xfId="32026"/>
    <cellStyle name="Output 2 3 3 4 3 4" xfId="32027"/>
    <cellStyle name="Output 2 3 3 4 3 5" xfId="32028"/>
    <cellStyle name="Output 2 3 3 4 3 6" xfId="32029"/>
    <cellStyle name="Output 2 3 3 4 4" xfId="32030"/>
    <cellStyle name="Output 2 3 3 4 4 2" xfId="32031"/>
    <cellStyle name="Output 2 3 3 4 4 3" xfId="32032"/>
    <cellStyle name="Output 2 3 3 4 4 4" xfId="32033"/>
    <cellStyle name="Output 2 3 3 4 5" xfId="32034"/>
    <cellStyle name="Output 2 3 3 4 6" xfId="32035"/>
    <cellStyle name="Output 2 3 3 4 7" xfId="32036"/>
    <cellStyle name="Output 2 3 3 4 8" xfId="32037"/>
    <cellStyle name="Output 2 3 3 5" xfId="32038"/>
    <cellStyle name="Output 2 3 3 5 2" xfId="32039"/>
    <cellStyle name="Output 2 3 3 5 2 2" xfId="32040"/>
    <cellStyle name="Output 2 3 3 5 2 3" xfId="32041"/>
    <cellStyle name="Output 2 3 3 5 2 4" xfId="32042"/>
    <cellStyle name="Output 2 3 3 5 3" xfId="32043"/>
    <cellStyle name="Output 2 3 3 5 3 2" xfId="32044"/>
    <cellStyle name="Output 2 3 3 5 3 3" xfId="32045"/>
    <cellStyle name="Output 2 3 3 5 3 4" xfId="32046"/>
    <cellStyle name="Output 2 3 3 5 4" xfId="32047"/>
    <cellStyle name="Output 2 3 3 5 5" xfId="32048"/>
    <cellStyle name="Output 2 3 3 5 6" xfId="32049"/>
    <cellStyle name="Output 2 3 3 5 7" xfId="32050"/>
    <cellStyle name="Output 2 3 3 6" xfId="32051"/>
    <cellStyle name="Output 2 3 3 6 2" xfId="32052"/>
    <cellStyle name="Output 2 3 3 6 2 2" xfId="32053"/>
    <cellStyle name="Output 2 3 3 6 2 3" xfId="32054"/>
    <cellStyle name="Output 2 3 3 6 2 4" xfId="32055"/>
    <cellStyle name="Output 2 3 3 6 3" xfId="32056"/>
    <cellStyle name="Output 2 3 3 6 3 2" xfId="32057"/>
    <cellStyle name="Output 2 3 3 6 3 3" xfId="32058"/>
    <cellStyle name="Output 2 3 3 6 3 4" xfId="32059"/>
    <cellStyle name="Output 2 3 3 6 4" xfId="32060"/>
    <cellStyle name="Output 2 3 3 6 5" xfId="32061"/>
    <cellStyle name="Output 2 3 3 6 6" xfId="32062"/>
    <cellStyle name="Output 2 3 3 6 7" xfId="32063"/>
    <cellStyle name="Output 2 3 3 7" xfId="32064"/>
    <cellStyle name="Output 2 3 3 7 2" xfId="32065"/>
    <cellStyle name="Output 2 3 3 7 2 2" xfId="32066"/>
    <cellStyle name="Output 2 3 3 7 2 3" xfId="32067"/>
    <cellStyle name="Output 2 3 3 7 2 4" xfId="32068"/>
    <cellStyle name="Output 2 3 3 7 3" xfId="32069"/>
    <cellStyle name="Output 2 3 3 7 3 2" xfId="32070"/>
    <cellStyle name="Output 2 3 3 7 3 3" xfId="32071"/>
    <cellStyle name="Output 2 3 3 7 3 4" xfId="32072"/>
    <cellStyle name="Output 2 3 3 7 4" xfId="32073"/>
    <cellStyle name="Output 2 3 3 7 5" xfId="32074"/>
    <cellStyle name="Output 2 3 3 7 6" xfId="32075"/>
    <cellStyle name="Output 2 3 3 7 7" xfId="32076"/>
    <cellStyle name="Output 2 3 3 8" xfId="32077"/>
    <cellStyle name="Output 2 3 3 8 2" xfId="32078"/>
    <cellStyle name="Output 2 3 3 8 2 2" xfId="32079"/>
    <cellStyle name="Output 2 3 3 8 2 3" xfId="32080"/>
    <cellStyle name="Output 2 3 3 8 2 4" xfId="32081"/>
    <cellStyle name="Output 2 3 3 8 3" xfId="32082"/>
    <cellStyle name="Output 2 3 3 8 4" xfId="32083"/>
    <cellStyle name="Output 2 3 3 8 5" xfId="32084"/>
    <cellStyle name="Output 2 3 3 8 6" xfId="32085"/>
    <cellStyle name="Output 2 3 3 9" xfId="32086"/>
    <cellStyle name="Output 2 3 3 9 2" xfId="32087"/>
    <cellStyle name="Output 2 3 3 9 3" xfId="32088"/>
    <cellStyle name="Output 2 3 3 9 4" xfId="32089"/>
    <cellStyle name="Output 2 3 3 9 5" xfId="32090"/>
    <cellStyle name="Output 2 3 30" xfId="32091"/>
    <cellStyle name="Output 2 3 31" xfId="32092"/>
    <cellStyle name="Output 2 3 32" xfId="32093"/>
    <cellStyle name="Output 2 3 33" xfId="32094"/>
    <cellStyle name="Output 2 3 34" xfId="55618"/>
    <cellStyle name="Output 2 3 35" xfId="55619"/>
    <cellStyle name="Output 2 3 36" xfId="55620"/>
    <cellStyle name="Output 2 3 37" xfId="55621"/>
    <cellStyle name="Output 2 3 38" xfId="55622"/>
    <cellStyle name="Output 2 3 39" xfId="55623"/>
    <cellStyle name="Output 2 3 4" xfId="842"/>
    <cellStyle name="Output 2 3 4 10" xfId="32095"/>
    <cellStyle name="Output 2 3 4 10 2" xfId="32096"/>
    <cellStyle name="Output 2 3 4 10 3" xfId="32097"/>
    <cellStyle name="Output 2 3 4 10 4" xfId="32098"/>
    <cellStyle name="Output 2 3 4 11" xfId="32099"/>
    <cellStyle name="Output 2 3 4 11 2" xfId="32100"/>
    <cellStyle name="Output 2 3 4 11 3" xfId="32101"/>
    <cellStyle name="Output 2 3 4 11 4" xfId="32102"/>
    <cellStyle name="Output 2 3 4 12" xfId="32103"/>
    <cellStyle name="Output 2 3 4 13" xfId="32104"/>
    <cellStyle name="Output 2 3 4 14" xfId="32105"/>
    <cellStyle name="Output 2 3 4 15" xfId="32106"/>
    <cellStyle name="Output 2 3 4 2" xfId="843"/>
    <cellStyle name="Output 2 3 4 2 10" xfId="32107"/>
    <cellStyle name="Output 2 3 4 2 11" xfId="32108"/>
    <cellStyle name="Output 2 3 4 2 12" xfId="32109"/>
    <cellStyle name="Output 2 3 4 2 2" xfId="32110"/>
    <cellStyle name="Output 2 3 4 2 2 10" xfId="32111"/>
    <cellStyle name="Output 2 3 4 2 2 11" xfId="32112"/>
    <cellStyle name="Output 2 3 4 2 2 2" xfId="32113"/>
    <cellStyle name="Output 2 3 4 2 2 2 2" xfId="32114"/>
    <cellStyle name="Output 2 3 4 2 2 2 2 2" xfId="32115"/>
    <cellStyle name="Output 2 3 4 2 2 2 2 2 2" xfId="32116"/>
    <cellStyle name="Output 2 3 4 2 2 2 2 2 3" xfId="32117"/>
    <cellStyle name="Output 2 3 4 2 2 2 2 2 4" xfId="32118"/>
    <cellStyle name="Output 2 3 4 2 2 2 2 3" xfId="32119"/>
    <cellStyle name="Output 2 3 4 2 2 2 2 4" xfId="32120"/>
    <cellStyle name="Output 2 3 4 2 2 2 2 5" xfId="32121"/>
    <cellStyle name="Output 2 3 4 2 2 2 2 6" xfId="32122"/>
    <cellStyle name="Output 2 3 4 2 2 2 3" xfId="32123"/>
    <cellStyle name="Output 2 3 4 2 2 2 3 2" xfId="32124"/>
    <cellStyle name="Output 2 3 4 2 2 2 3 2 2" xfId="32125"/>
    <cellStyle name="Output 2 3 4 2 2 2 3 2 3" xfId="32126"/>
    <cellStyle name="Output 2 3 4 2 2 2 3 2 4" xfId="32127"/>
    <cellStyle name="Output 2 3 4 2 2 2 3 3" xfId="32128"/>
    <cellStyle name="Output 2 3 4 2 2 2 3 4" xfId="32129"/>
    <cellStyle name="Output 2 3 4 2 2 2 3 5" xfId="32130"/>
    <cellStyle name="Output 2 3 4 2 2 2 3 6" xfId="32131"/>
    <cellStyle name="Output 2 3 4 2 2 2 4" xfId="32132"/>
    <cellStyle name="Output 2 3 4 2 2 2 4 2" xfId="32133"/>
    <cellStyle name="Output 2 3 4 2 2 2 4 3" xfId="32134"/>
    <cellStyle name="Output 2 3 4 2 2 2 4 4" xfId="32135"/>
    <cellStyle name="Output 2 3 4 2 2 2 5" xfId="32136"/>
    <cellStyle name="Output 2 3 4 2 2 2 6" xfId="32137"/>
    <cellStyle name="Output 2 3 4 2 2 2 7" xfId="32138"/>
    <cellStyle name="Output 2 3 4 2 2 2 8" xfId="32139"/>
    <cellStyle name="Output 2 3 4 2 2 3" xfId="32140"/>
    <cellStyle name="Output 2 3 4 2 2 3 2" xfId="32141"/>
    <cellStyle name="Output 2 3 4 2 2 3 2 2" xfId="32142"/>
    <cellStyle name="Output 2 3 4 2 2 3 2 3" xfId="32143"/>
    <cellStyle name="Output 2 3 4 2 2 3 2 4" xfId="32144"/>
    <cellStyle name="Output 2 3 4 2 2 3 3" xfId="32145"/>
    <cellStyle name="Output 2 3 4 2 2 3 4" xfId="32146"/>
    <cellStyle name="Output 2 3 4 2 2 3 5" xfId="32147"/>
    <cellStyle name="Output 2 3 4 2 2 3 6" xfId="32148"/>
    <cellStyle name="Output 2 3 4 2 2 4" xfId="32149"/>
    <cellStyle name="Output 2 3 4 2 2 4 2" xfId="32150"/>
    <cellStyle name="Output 2 3 4 2 2 4 3" xfId="32151"/>
    <cellStyle name="Output 2 3 4 2 2 4 4" xfId="32152"/>
    <cellStyle name="Output 2 3 4 2 2 4 5" xfId="32153"/>
    <cellStyle name="Output 2 3 4 2 2 5" xfId="32154"/>
    <cellStyle name="Output 2 3 4 2 2 5 2" xfId="32155"/>
    <cellStyle name="Output 2 3 4 2 2 5 3" xfId="32156"/>
    <cellStyle name="Output 2 3 4 2 2 5 4" xfId="32157"/>
    <cellStyle name="Output 2 3 4 2 2 6" xfId="32158"/>
    <cellStyle name="Output 2 3 4 2 2 6 2" xfId="32159"/>
    <cellStyle name="Output 2 3 4 2 2 6 3" xfId="32160"/>
    <cellStyle name="Output 2 3 4 2 2 6 4" xfId="32161"/>
    <cellStyle name="Output 2 3 4 2 2 7" xfId="32162"/>
    <cellStyle name="Output 2 3 4 2 2 7 2" xfId="32163"/>
    <cellStyle name="Output 2 3 4 2 2 7 3" xfId="32164"/>
    <cellStyle name="Output 2 3 4 2 2 7 4" xfId="32165"/>
    <cellStyle name="Output 2 3 4 2 2 8" xfId="32166"/>
    <cellStyle name="Output 2 3 4 2 2 9" xfId="32167"/>
    <cellStyle name="Output 2 3 4 2 3" xfId="32168"/>
    <cellStyle name="Output 2 3 4 2 3 2" xfId="32169"/>
    <cellStyle name="Output 2 3 4 2 3 2 2" xfId="32170"/>
    <cellStyle name="Output 2 3 4 2 3 2 2 2" xfId="32171"/>
    <cellStyle name="Output 2 3 4 2 3 2 2 3" xfId="32172"/>
    <cellStyle name="Output 2 3 4 2 3 2 2 4" xfId="32173"/>
    <cellStyle name="Output 2 3 4 2 3 2 3" xfId="32174"/>
    <cellStyle name="Output 2 3 4 2 3 2 4" xfId="32175"/>
    <cellStyle name="Output 2 3 4 2 3 2 5" xfId="32176"/>
    <cellStyle name="Output 2 3 4 2 3 2 6" xfId="32177"/>
    <cellStyle name="Output 2 3 4 2 3 3" xfId="32178"/>
    <cellStyle name="Output 2 3 4 2 3 3 2" xfId="32179"/>
    <cellStyle name="Output 2 3 4 2 3 3 2 2" xfId="32180"/>
    <cellStyle name="Output 2 3 4 2 3 3 2 3" xfId="32181"/>
    <cellStyle name="Output 2 3 4 2 3 3 2 4" xfId="32182"/>
    <cellStyle name="Output 2 3 4 2 3 3 3" xfId="32183"/>
    <cellStyle name="Output 2 3 4 2 3 3 4" xfId="32184"/>
    <cellStyle name="Output 2 3 4 2 3 3 5" xfId="32185"/>
    <cellStyle name="Output 2 3 4 2 3 3 6" xfId="32186"/>
    <cellStyle name="Output 2 3 4 2 3 4" xfId="32187"/>
    <cellStyle name="Output 2 3 4 2 3 4 2" xfId="32188"/>
    <cellStyle name="Output 2 3 4 2 3 4 3" xfId="32189"/>
    <cellStyle name="Output 2 3 4 2 3 4 4" xfId="32190"/>
    <cellStyle name="Output 2 3 4 2 3 5" xfId="32191"/>
    <cellStyle name="Output 2 3 4 2 3 6" xfId="32192"/>
    <cellStyle name="Output 2 3 4 2 3 7" xfId="32193"/>
    <cellStyle name="Output 2 3 4 2 3 8" xfId="32194"/>
    <cellStyle name="Output 2 3 4 2 4" xfId="32195"/>
    <cellStyle name="Output 2 3 4 2 4 2" xfId="32196"/>
    <cellStyle name="Output 2 3 4 2 4 2 2" xfId="32197"/>
    <cellStyle name="Output 2 3 4 2 4 2 3" xfId="32198"/>
    <cellStyle name="Output 2 3 4 2 4 2 4" xfId="32199"/>
    <cellStyle name="Output 2 3 4 2 4 3" xfId="32200"/>
    <cellStyle name="Output 2 3 4 2 4 4" xfId="32201"/>
    <cellStyle name="Output 2 3 4 2 4 5" xfId="32202"/>
    <cellStyle name="Output 2 3 4 2 4 6" xfId="32203"/>
    <cellStyle name="Output 2 3 4 2 5" xfId="32204"/>
    <cellStyle name="Output 2 3 4 2 5 2" xfId="32205"/>
    <cellStyle name="Output 2 3 4 2 5 3" xfId="32206"/>
    <cellStyle name="Output 2 3 4 2 5 4" xfId="32207"/>
    <cellStyle name="Output 2 3 4 2 5 5" xfId="32208"/>
    <cellStyle name="Output 2 3 4 2 6" xfId="32209"/>
    <cellStyle name="Output 2 3 4 2 6 2" xfId="32210"/>
    <cellStyle name="Output 2 3 4 2 6 3" xfId="32211"/>
    <cellStyle name="Output 2 3 4 2 6 4" xfId="32212"/>
    <cellStyle name="Output 2 3 4 2 7" xfId="32213"/>
    <cellStyle name="Output 2 3 4 2 7 2" xfId="32214"/>
    <cellStyle name="Output 2 3 4 2 7 3" xfId="32215"/>
    <cellStyle name="Output 2 3 4 2 7 4" xfId="32216"/>
    <cellStyle name="Output 2 3 4 2 8" xfId="32217"/>
    <cellStyle name="Output 2 3 4 2 8 2" xfId="32218"/>
    <cellStyle name="Output 2 3 4 2 8 3" xfId="32219"/>
    <cellStyle name="Output 2 3 4 2 8 4" xfId="32220"/>
    <cellStyle name="Output 2 3 4 2 9" xfId="32221"/>
    <cellStyle name="Output 2 3 4 3" xfId="844"/>
    <cellStyle name="Output 2 3 4 3 10" xfId="32222"/>
    <cellStyle name="Output 2 3 4 3 11" xfId="32223"/>
    <cellStyle name="Output 2 3 4 3 2" xfId="32224"/>
    <cellStyle name="Output 2 3 4 3 2 2" xfId="32225"/>
    <cellStyle name="Output 2 3 4 3 2 2 2" xfId="32226"/>
    <cellStyle name="Output 2 3 4 3 2 2 2 2" xfId="32227"/>
    <cellStyle name="Output 2 3 4 3 2 2 2 3" xfId="32228"/>
    <cellStyle name="Output 2 3 4 3 2 2 2 4" xfId="32229"/>
    <cellStyle name="Output 2 3 4 3 2 2 3" xfId="32230"/>
    <cellStyle name="Output 2 3 4 3 2 2 4" xfId="32231"/>
    <cellStyle name="Output 2 3 4 3 2 2 5" xfId="32232"/>
    <cellStyle name="Output 2 3 4 3 2 2 6" xfId="32233"/>
    <cellStyle name="Output 2 3 4 3 2 3" xfId="32234"/>
    <cellStyle name="Output 2 3 4 3 2 3 2" xfId="32235"/>
    <cellStyle name="Output 2 3 4 3 2 3 2 2" xfId="32236"/>
    <cellStyle name="Output 2 3 4 3 2 3 2 3" xfId="32237"/>
    <cellStyle name="Output 2 3 4 3 2 3 2 4" xfId="32238"/>
    <cellStyle name="Output 2 3 4 3 2 3 3" xfId="32239"/>
    <cellStyle name="Output 2 3 4 3 2 3 4" xfId="32240"/>
    <cellStyle name="Output 2 3 4 3 2 3 5" xfId="32241"/>
    <cellStyle name="Output 2 3 4 3 2 3 6" xfId="32242"/>
    <cellStyle name="Output 2 3 4 3 2 4" xfId="32243"/>
    <cellStyle name="Output 2 3 4 3 2 4 2" xfId="32244"/>
    <cellStyle name="Output 2 3 4 3 2 4 3" xfId="32245"/>
    <cellStyle name="Output 2 3 4 3 2 4 4" xfId="32246"/>
    <cellStyle name="Output 2 3 4 3 2 5" xfId="32247"/>
    <cellStyle name="Output 2 3 4 3 2 6" xfId="32248"/>
    <cellStyle name="Output 2 3 4 3 2 7" xfId="32249"/>
    <cellStyle name="Output 2 3 4 3 2 8" xfId="32250"/>
    <cellStyle name="Output 2 3 4 3 3" xfId="32251"/>
    <cellStyle name="Output 2 3 4 3 3 2" xfId="32252"/>
    <cellStyle name="Output 2 3 4 3 3 2 2" xfId="32253"/>
    <cellStyle name="Output 2 3 4 3 3 2 3" xfId="32254"/>
    <cellStyle name="Output 2 3 4 3 3 2 4" xfId="32255"/>
    <cellStyle name="Output 2 3 4 3 3 3" xfId="32256"/>
    <cellStyle name="Output 2 3 4 3 3 4" xfId="32257"/>
    <cellStyle name="Output 2 3 4 3 3 5" xfId="32258"/>
    <cellStyle name="Output 2 3 4 3 3 6" xfId="32259"/>
    <cellStyle name="Output 2 3 4 3 4" xfId="32260"/>
    <cellStyle name="Output 2 3 4 3 4 2" xfId="32261"/>
    <cellStyle name="Output 2 3 4 3 4 3" xfId="32262"/>
    <cellStyle name="Output 2 3 4 3 4 4" xfId="32263"/>
    <cellStyle name="Output 2 3 4 3 4 5" xfId="32264"/>
    <cellStyle name="Output 2 3 4 3 5" xfId="32265"/>
    <cellStyle name="Output 2 3 4 3 5 2" xfId="32266"/>
    <cellStyle name="Output 2 3 4 3 5 3" xfId="32267"/>
    <cellStyle name="Output 2 3 4 3 5 4" xfId="32268"/>
    <cellStyle name="Output 2 3 4 3 6" xfId="32269"/>
    <cellStyle name="Output 2 3 4 3 6 2" xfId="32270"/>
    <cellStyle name="Output 2 3 4 3 6 3" xfId="32271"/>
    <cellStyle name="Output 2 3 4 3 6 4" xfId="32272"/>
    <cellStyle name="Output 2 3 4 3 7" xfId="32273"/>
    <cellStyle name="Output 2 3 4 3 7 2" xfId="32274"/>
    <cellStyle name="Output 2 3 4 3 7 3" xfId="32275"/>
    <cellStyle name="Output 2 3 4 3 7 4" xfId="32276"/>
    <cellStyle name="Output 2 3 4 3 8" xfId="32277"/>
    <cellStyle name="Output 2 3 4 3 9" xfId="32278"/>
    <cellStyle name="Output 2 3 4 4" xfId="32279"/>
    <cellStyle name="Output 2 3 4 4 2" xfId="32280"/>
    <cellStyle name="Output 2 3 4 4 2 2" xfId="32281"/>
    <cellStyle name="Output 2 3 4 4 2 2 2" xfId="32282"/>
    <cellStyle name="Output 2 3 4 4 2 2 3" xfId="32283"/>
    <cellStyle name="Output 2 3 4 4 2 2 4" xfId="32284"/>
    <cellStyle name="Output 2 3 4 4 2 3" xfId="32285"/>
    <cellStyle name="Output 2 3 4 4 2 4" xfId="32286"/>
    <cellStyle name="Output 2 3 4 4 2 5" xfId="32287"/>
    <cellStyle name="Output 2 3 4 4 2 6" xfId="32288"/>
    <cellStyle name="Output 2 3 4 4 3" xfId="32289"/>
    <cellStyle name="Output 2 3 4 4 3 2" xfId="32290"/>
    <cellStyle name="Output 2 3 4 4 3 2 2" xfId="32291"/>
    <cellStyle name="Output 2 3 4 4 3 2 3" xfId="32292"/>
    <cellStyle name="Output 2 3 4 4 3 2 4" xfId="32293"/>
    <cellStyle name="Output 2 3 4 4 3 3" xfId="32294"/>
    <cellStyle name="Output 2 3 4 4 3 4" xfId="32295"/>
    <cellStyle name="Output 2 3 4 4 3 5" xfId="32296"/>
    <cellStyle name="Output 2 3 4 4 3 6" xfId="32297"/>
    <cellStyle name="Output 2 3 4 4 4" xfId="32298"/>
    <cellStyle name="Output 2 3 4 4 4 2" xfId="32299"/>
    <cellStyle name="Output 2 3 4 4 4 3" xfId="32300"/>
    <cellStyle name="Output 2 3 4 4 4 4" xfId="32301"/>
    <cellStyle name="Output 2 3 4 4 5" xfId="32302"/>
    <cellStyle name="Output 2 3 4 4 6" xfId="32303"/>
    <cellStyle name="Output 2 3 4 4 7" xfId="32304"/>
    <cellStyle name="Output 2 3 4 4 8" xfId="32305"/>
    <cellStyle name="Output 2 3 4 5" xfId="32306"/>
    <cellStyle name="Output 2 3 4 5 2" xfId="32307"/>
    <cellStyle name="Output 2 3 4 5 2 2" xfId="32308"/>
    <cellStyle name="Output 2 3 4 5 2 3" xfId="32309"/>
    <cellStyle name="Output 2 3 4 5 2 4" xfId="32310"/>
    <cellStyle name="Output 2 3 4 5 3" xfId="32311"/>
    <cellStyle name="Output 2 3 4 5 3 2" xfId="32312"/>
    <cellStyle name="Output 2 3 4 5 3 3" xfId="32313"/>
    <cellStyle name="Output 2 3 4 5 3 4" xfId="32314"/>
    <cellStyle name="Output 2 3 4 5 4" xfId="32315"/>
    <cellStyle name="Output 2 3 4 5 5" xfId="32316"/>
    <cellStyle name="Output 2 3 4 5 6" xfId="32317"/>
    <cellStyle name="Output 2 3 4 5 7" xfId="32318"/>
    <cellStyle name="Output 2 3 4 6" xfId="32319"/>
    <cellStyle name="Output 2 3 4 6 2" xfId="32320"/>
    <cellStyle name="Output 2 3 4 6 2 2" xfId="32321"/>
    <cellStyle name="Output 2 3 4 6 2 3" xfId="32322"/>
    <cellStyle name="Output 2 3 4 6 2 4" xfId="32323"/>
    <cellStyle name="Output 2 3 4 6 3" xfId="32324"/>
    <cellStyle name="Output 2 3 4 6 3 2" xfId="32325"/>
    <cellStyle name="Output 2 3 4 6 3 3" xfId="32326"/>
    <cellStyle name="Output 2 3 4 6 3 4" xfId="32327"/>
    <cellStyle name="Output 2 3 4 6 4" xfId="32328"/>
    <cellStyle name="Output 2 3 4 6 5" xfId="32329"/>
    <cellStyle name="Output 2 3 4 6 6" xfId="32330"/>
    <cellStyle name="Output 2 3 4 6 7" xfId="32331"/>
    <cellStyle name="Output 2 3 4 7" xfId="32332"/>
    <cellStyle name="Output 2 3 4 7 2" xfId="32333"/>
    <cellStyle name="Output 2 3 4 7 2 2" xfId="32334"/>
    <cellStyle name="Output 2 3 4 7 2 3" xfId="32335"/>
    <cellStyle name="Output 2 3 4 7 2 4" xfId="32336"/>
    <cellStyle name="Output 2 3 4 7 3" xfId="32337"/>
    <cellStyle name="Output 2 3 4 7 3 2" xfId="32338"/>
    <cellStyle name="Output 2 3 4 7 3 3" xfId="32339"/>
    <cellStyle name="Output 2 3 4 7 3 4" xfId="32340"/>
    <cellStyle name="Output 2 3 4 7 4" xfId="32341"/>
    <cellStyle name="Output 2 3 4 7 5" xfId="32342"/>
    <cellStyle name="Output 2 3 4 7 6" xfId="32343"/>
    <cellStyle name="Output 2 3 4 7 7" xfId="32344"/>
    <cellStyle name="Output 2 3 4 8" xfId="32345"/>
    <cellStyle name="Output 2 3 4 8 2" xfId="32346"/>
    <cellStyle name="Output 2 3 4 8 2 2" xfId="32347"/>
    <cellStyle name="Output 2 3 4 8 2 3" xfId="32348"/>
    <cellStyle name="Output 2 3 4 8 2 4" xfId="32349"/>
    <cellStyle name="Output 2 3 4 8 3" xfId="32350"/>
    <cellStyle name="Output 2 3 4 8 4" xfId="32351"/>
    <cellStyle name="Output 2 3 4 8 5" xfId="32352"/>
    <cellStyle name="Output 2 3 4 8 6" xfId="32353"/>
    <cellStyle name="Output 2 3 4 9" xfId="32354"/>
    <cellStyle name="Output 2 3 4 9 2" xfId="32355"/>
    <cellStyle name="Output 2 3 4 9 3" xfId="32356"/>
    <cellStyle name="Output 2 3 4 9 4" xfId="32357"/>
    <cellStyle name="Output 2 3 4 9 5" xfId="32358"/>
    <cellStyle name="Output 2 3 40" xfId="55624"/>
    <cellStyle name="Output 2 3 5" xfId="845"/>
    <cellStyle name="Output 2 3 5 10" xfId="32359"/>
    <cellStyle name="Output 2 3 5 11" xfId="32360"/>
    <cellStyle name="Output 2 3 5 12" xfId="32361"/>
    <cellStyle name="Output 2 3 5 13" xfId="32362"/>
    <cellStyle name="Output 2 3 5 2" xfId="846"/>
    <cellStyle name="Output 2 3 5 2 10" xfId="32363"/>
    <cellStyle name="Output 2 3 5 2 11" xfId="32364"/>
    <cellStyle name="Output 2 3 5 2 12" xfId="32365"/>
    <cellStyle name="Output 2 3 5 2 2" xfId="32366"/>
    <cellStyle name="Output 2 3 5 2 2 10" xfId="32367"/>
    <cellStyle name="Output 2 3 5 2 2 11" xfId="32368"/>
    <cellStyle name="Output 2 3 5 2 2 2" xfId="32369"/>
    <cellStyle name="Output 2 3 5 2 2 2 2" xfId="32370"/>
    <cellStyle name="Output 2 3 5 2 2 2 2 2" xfId="32371"/>
    <cellStyle name="Output 2 3 5 2 2 2 2 2 2" xfId="32372"/>
    <cellStyle name="Output 2 3 5 2 2 2 2 2 3" xfId="32373"/>
    <cellStyle name="Output 2 3 5 2 2 2 2 2 4" xfId="32374"/>
    <cellStyle name="Output 2 3 5 2 2 2 2 3" xfId="32375"/>
    <cellStyle name="Output 2 3 5 2 2 2 2 4" xfId="32376"/>
    <cellStyle name="Output 2 3 5 2 2 2 2 5" xfId="32377"/>
    <cellStyle name="Output 2 3 5 2 2 2 2 6" xfId="32378"/>
    <cellStyle name="Output 2 3 5 2 2 2 3" xfId="32379"/>
    <cellStyle name="Output 2 3 5 2 2 2 3 2" xfId="32380"/>
    <cellStyle name="Output 2 3 5 2 2 2 3 2 2" xfId="32381"/>
    <cellStyle name="Output 2 3 5 2 2 2 3 2 3" xfId="32382"/>
    <cellStyle name="Output 2 3 5 2 2 2 3 2 4" xfId="32383"/>
    <cellStyle name="Output 2 3 5 2 2 2 3 3" xfId="32384"/>
    <cellStyle name="Output 2 3 5 2 2 2 3 4" xfId="32385"/>
    <cellStyle name="Output 2 3 5 2 2 2 3 5" xfId="32386"/>
    <cellStyle name="Output 2 3 5 2 2 2 3 6" xfId="32387"/>
    <cellStyle name="Output 2 3 5 2 2 2 4" xfId="32388"/>
    <cellStyle name="Output 2 3 5 2 2 2 4 2" xfId="32389"/>
    <cellStyle name="Output 2 3 5 2 2 2 4 3" xfId="32390"/>
    <cellStyle name="Output 2 3 5 2 2 2 4 4" xfId="32391"/>
    <cellStyle name="Output 2 3 5 2 2 2 5" xfId="32392"/>
    <cellStyle name="Output 2 3 5 2 2 2 6" xfId="32393"/>
    <cellStyle name="Output 2 3 5 2 2 2 7" xfId="32394"/>
    <cellStyle name="Output 2 3 5 2 2 2 8" xfId="32395"/>
    <cellStyle name="Output 2 3 5 2 2 3" xfId="32396"/>
    <cellStyle name="Output 2 3 5 2 2 3 2" xfId="32397"/>
    <cellStyle name="Output 2 3 5 2 2 3 2 2" xfId="32398"/>
    <cellStyle name="Output 2 3 5 2 2 3 2 3" xfId="32399"/>
    <cellStyle name="Output 2 3 5 2 2 3 2 4" xfId="32400"/>
    <cellStyle name="Output 2 3 5 2 2 3 3" xfId="32401"/>
    <cellStyle name="Output 2 3 5 2 2 3 4" xfId="32402"/>
    <cellStyle name="Output 2 3 5 2 2 3 5" xfId="32403"/>
    <cellStyle name="Output 2 3 5 2 2 3 6" xfId="32404"/>
    <cellStyle name="Output 2 3 5 2 2 4" xfId="32405"/>
    <cellStyle name="Output 2 3 5 2 2 4 2" xfId="32406"/>
    <cellStyle name="Output 2 3 5 2 2 4 3" xfId="32407"/>
    <cellStyle name="Output 2 3 5 2 2 4 4" xfId="32408"/>
    <cellStyle name="Output 2 3 5 2 2 4 5" xfId="32409"/>
    <cellStyle name="Output 2 3 5 2 2 5" xfId="32410"/>
    <cellStyle name="Output 2 3 5 2 2 5 2" xfId="32411"/>
    <cellStyle name="Output 2 3 5 2 2 5 3" xfId="32412"/>
    <cellStyle name="Output 2 3 5 2 2 5 4" xfId="32413"/>
    <cellStyle name="Output 2 3 5 2 2 6" xfId="32414"/>
    <cellStyle name="Output 2 3 5 2 2 6 2" xfId="32415"/>
    <cellStyle name="Output 2 3 5 2 2 6 3" xfId="32416"/>
    <cellStyle name="Output 2 3 5 2 2 6 4" xfId="32417"/>
    <cellStyle name="Output 2 3 5 2 2 7" xfId="32418"/>
    <cellStyle name="Output 2 3 5 2 2 7 2" xfId="32419"/>
    <cellStyle name="Output 2 3 5 2 2 7 3" xfId="32420"/>
    <cellStyle name="Output 2 3 5 2 2 7 4" xfId="32421"/>
    <cellStyle name="Output 2 3 5 2 2 8" xfId="32422"/>
    <cellStyle name="Output 2 3 5 2 2 9" xfId="32423"/>
    <cellStyle name="Output 2 3 5 2 3" xfId="32424"/>
    <cellStyle name="Output 2 3 5 2 3 2" xfId="32425"/>
    <cellStyle name="Output 2 3 5 2 3 2 2" xfId="32426"/>
    <cellStyle name="Output 2 3 5 2 3 2 2 2" xfId="32427"/>
    <cellStyle name="Output 2 3 5 2 3 2 2 3" xfId="32428"/>
    <cellStyle name="Output 2 3 5 2 3 2 2 4" xfId="32429"/>
    <cellStyle name="Output 2 3 5 2 3 2 3" xfId="32430"/>
    <cellStyle name="Output 2 3 5 2 3 2 4" xfId="32431"/>
    <cellStyle name="Output 2 3 5 2 3 2 5" xfId="32432"/>
    <cellStyle name="Output 2 3 5 2 3 2 6" xfId="32433"/>
    <cellStyle name="Output 2 3 5 2 3 3" xfId="32434"/>
    <cellStyle name="Output 2 3 5 2 3 3 2" xfId="32435"/>
    <cellStyle name="Output 2 3 5 2 3 3 2 2" xfId="32436"/>
    <cellStyle name="Output 2 3 5 2 3 3 2 3" xfId="32437"/>
    <cellStyle name="Output 2 3 5 2 3 3 2 4" xfId="32438"/>
    <cellStyle name="Output 2 3 5 2 3 3 3" xfId="32439"/>
    <cellStyle name="Output 2 3 5 2 3 3 4" xfId="32440"/>
    <cellStyle name="Output 2 3 5 2 3 3 5" xfId="32441"/>
    <cellStyle name="Output 2 3 5 2 3 3 6" xfId="32442"/>
    <cellStyle name="Output 2 3 5 2 3 4" xfId="32443"/>
    <cellStyle name="Output 2 3 5 2 3 4 2" xfId="32444"/>
    <cellStyle name="Output 2 3 5 2 3 4 3" xfId="32445"/>
    <cellStyle name="Output 2 3 5 2 3 4 4" xfId="32446"/>
    <cellStyle name="Output 2 3 5 2 3 5" xfId="32447"/>
    <cellStyle name="Output 2 3 5 2 3 6" xfId="32448"/>
    <cellStyle name="Output 2 3 5 2 3 7" xfId="32449"/>
    <cellStyle name="Output 2 3 5 2 3 8" xfId="32450"/>
    <cellStyle name="Output 2 3 5 2 4" xfId="32451"/>
    <cellStyle name="Output 2 3 5 2 4 2" xfId="32452"/>
    <cellStyle name="Output 2 3 5 2 4 2 2" xfId="32453"/>
    <cellStyle name="Output 2 3 5 2 4 2 3" xfId="32454"/>
    <cellStyle name="Output 2 3 5 2 4 2 4" xfId="32455"/>
    <cellStyle name="Output 2 3 5 2 4 3" xfId="32456"/>
    <cellStyle name="Output 2 3 5 2 4 4" xfId="32457"/>
    <cellStyle name="Output 2 3 5 2 4 5" xfId="32458"/>
    <cellStyle name="Output 2 3 5 2 4 6" xfId="32459"/>
    <cellStyle name="Output 2 3 5 2 5" xfId="32460"/>
    <cellStyle name="Output 2 3 5 2 5 2" xfId="32461"/>
    <cellStyle name="Output 2 3 5 2 5 3" xfId="32462"/>
    <cellStyle name="Output 2 3 5 2 5 4" xfId="32463"/>
    <cellStyle name="Output 2 3 5 2 5 5" xfId="32464"/>
    <cellStyle name="Output 2 3 5 2 6" xfId="32465"/>
    <cellStyle name="Output 2 3 5 2 6 2" xfId="32466"/>
    <cellStyle name="Output 2 3 5 2 6 3" xfId="32467"/>
    <cellStyle name="Output 2 3 5 2 6 4" xfId="32468"/>
    <cellStyle name="Output 2 3 5 2 7" xfId="32469"/>
    <cellStyle name="Output 2 3 5 2 7 2" xfId="32470"/>
    <cellStyle name="Output 2 3 5 2 7 3" xfId="32471"/>
    <cellStyle name="Output 2 3 5 2 7 4" xfId="32472"/>
    <cellStyle name="Output 2 3 5 2 8" xfId="32473"/>
    <cellStyle name="Output 2 3 5 2 8 2" xfId="32474"/>
    <cellStyle name="Output 2 3 5 2 8 3" xfId="32475"/>
    <cellStyle name="Output 2 3 5 2 8 4" xfId="32476"/>
    <cellStyle name="Output 2 3 5 2 9" xfId="32477"/>
    <cellStyle name="Output 2 3 5 3" xfId="847"/>
    <cellStyle name="Output 2 3 5 3 10" xfId="32478"/>
    <cellStyle name="Output 2 3 5 3 11" xfId="32479"/>
    <cellStyle name="Output 2 3 5 3 2" xfId="32480"/>
    <cellStyle name="Output 2 3 5 3 2 2" xfId="32481"/>
    <cellStyle name="Output 2 3 5 3 2 2 2" xfId="32482"/>
    <cellStyle name="Output 2 3 5 3 2 2 2 2" xfId="32483"/>
    <cellStyle name="Output 2 3 5 3 2 2 2 3" xfId="32484"/>
    <cellStyle name="Output 2 3 5 3 2 2 2 4" xfId="32485"/>
    <cellStyle name="Output 2 3 5 3 2 2 3" xfId="32486"/>
    <cellStyle name="Output 2 3 5 3 2 2 4" xfId="32487"/>
    <cellStyle name="Output 2 3 5 3 2 2 5" xfId="32488"/>
    <cellStyle name="Output 2 3 5 3 2 2 6" xfId="32489"/>
    <cellStyle name="Output 2 3 5 3 2 3" xfId="32490"/>
    <cellStyle name="Output 2 3 5 3 2 3 2" xfId="32491"/>
    <cellStyle name="Output 2 3 5 3 2 3 2 2" xfId="32492"/>
    <cellStyle name="Output 2 3 5 3 2 3 2 3" xfId="32493"/>
    <cellStyle name="Output 2 3 5 3 2 3 2 4" xfId="32494"/>
    <cellStyle name="Output 2 3 5 3 2 3 3" xfId="32495"/>
    <cellStyle name="Output 2 3 5 3 2 3 4" xfId="32496"/>
    <cellStyle name="Output 2 3 5 3 2 3 5" xfId="32497"/>
    <cellStyle name="Output 2 3 5 3 2 3 6" xfId="32498"/>
    <cellStyle name="Output 2 3 5 3 2 4" xfId="32499"/>
    <cellStyle name="Output 2 3 5 3 2 4 2" xfId="32500"/>
    <cellStyle name="Output 2 3 5 3 2 4 3" xfId="32501"/>
    <cellStyle name="Output 2 3 5 3 2 4 4" xfId="32502"/>
    <cellStyle name="Output 2 3 5 3 2 5" xfId="32503"/>
    <cellStyle name="Output 2 3 5 3 2 6" xfId="32504"/>
    <cellStyle name="Output 2 3 5 3 2 7" xfId="32505"/>
    <cellStyle name="Output 2 3 5 3 2 8" xfId="32506"/>
    <cellStyle name="Output 2 3 5 3 3" xfId="32507"/>
    <cellStyle name="Output 2 3 5 3 3 2" xfId="32508"/>
    <cellStyle name="Output 2 3 5 3 3 2 2" xfId="32509"/>
    <cellStyle name="Output 2 3 5 3 3 2 3" xfId="32510"/>
    <cellStyle name="Output 2 3 5 3 3 2 4" xfId="32511"/>
    <cellStyle name="Output 2 3 5 3 3 3" xfId="32512"/>
    <cellStyle name="Output 2 3 5 3 3 4" xfId="32513"/>
    <cellStyle name="Output 2 3 5 3 3 5" xfId="32514"/>
    <cellStyle name="Output 2 3 5 3 3 6" xfId="32515"/>
    <cellStyle name="Output 2 3 5 3 4" xfId="32516"/>
    <cellStyle name="Output 2 3 5 3 4 2" xfId="32517"/>
    <cellStyle name="Output 2 3 5 3 4 3" xfId="32518"/>
    <cellStyle name="Output 2 3 5 3 4 4" xfId="32519"/>
    <cellStyle name="Output 2 3 5 3 4 5" xfId="32520"/>
    <cellStyle name="Output 2 3 5 3 5" xfId="32521"/>
    <cellStyle name="Output 2 3 5 3 5 2" xfId="32522"/>
    <cellStyle name="Output 2 3 5 3 5 3" xfId="32523"/>
    <cellStyle name="Output 2 3 5 3 5 4" xfId="32524"/>
    <cellStyle name="Output 2 3 5 3 6" xfId="32525"/>
    <cellStyle name="Output 2 3 5 3 6 2" xfId="32526"/>
    <cellStyle name="Output 2 3 5 3 6 3" xfId="32527"/>
    <cellStyle name="Output 2 3 5 3 6 4" xfId="32528"/>
    <cellStyle name="Output 2 3 5 3 7" xfId="32529"/>
    <cellStyle name="Output 2 3 5 3 7 2" xfId="32530"/>
    <cellStyle name="Output 2 3 5 3 7 3" xfId="32531"/>
    <cellStyle name="Output 2 3 5 3 7 4" xfId="32532"/>
    <cellStyle name="Output 2 3 5 3 8" xfId="32533"/>
    <cellStyle name="Output 2 3 5 3 9" xfId="32534"/>
    <cellStyle name="Output 2 3 5 4" xfId="32535"/>
    <cellStyle name="Output 2 3 5 4 2" xfId="32536"/>
    <cellStyle name="Output 2 3 5 4 2 2" xfId="32537"/>
    <cellStyle name="Output 2 3 5 4 2 2 2" xfId="32538"/>
    <cellStyle name="Output 2 3 5 4 2 2 3" xfId="32539"/>
    <cellStyle name="Output 2 3 5 4 2 2 4" xfId="32540"/>
    <cellStyle name="Output 2 3 5 4 2 3" xfId="32541"/>
    <cellStyle name="Output 2 3 5 4 2 4" xfId="32542"/>
    <cellStyle name="Output 2 3 5 4 2 5" xfId="32543"/>
    <cellStyle name="Output 2 3 5 4 2 6" xfId="32544"/>
    <cellStyle name="Output 2 3 5 4 3" xfId="32545"/>
    <cellStyle name="Output 2 3 5 4 3 2" xfId="32546"/>
    <cellStyle name="Output 2 3 5 4 3 2 2" xfId="32547"/>
    <cellStyle name="Output 2 3 5 4 3 2 3" xfId="32548"/>
    <cellStyle name="Output 2 3 5 4 3 2 4" xfId="32549"/>
    <cellStyle name="Output 2 3 5 4 3 3" xfId="32550"/>
    <cellStyle name="Output 2 3 5 4 3 4" xfId="32551"/>
    <cellStyle name="Output 2 3 5 4 3 5" xfId="32552"/>
    <cellStyle name="Output 2 3 5 4 3 6" xfId="32553"/>
    <cellStyle name="Output 2 3 5 4 4" xfId="32554"/>
    <cellStyle name="Output 2 3 5 4 4 2" xfId="32555"/>
    <cellStyle name="Output 2 3 5 4 4 3" xfId="32556"/>
    <cellStyle name="Output 2 3 5 4 4 4" xfId="32557"/>
    <cellStyle name="Output 2 3 5 4 5" xfId="32558"/>
    <cellStyle name="Output 2 3 5 4 6" xfId="32559"/>
    <cellStyle name="Output 2 3 5 4 7" xfId="32560"/>
    <cellStyle name="Output 2 3 5 4 8" xfId="32561"/>
    <cellStyle name="Output 2 3 5 5" xfId="32562"/>
    <cellStyle name="Output 2 3 5 5 2" xfId="32563"/>
    <cellStyle name="Output 2 3 5 5 2 2" xfId="32564"/>
    <cellStyle name="Output 2 3 5 5 2 3" xfId="32565"/>
    <cellStyle name="Output 2 3 5 5 2 4" xfId="32566"/>
    <cellStyle name="Output 2 3 5 5 3" xfId="32567"/>
    <cellStyle name="Output 2 3 5 5 4" xfId="32568"/>
    <cellStyle name="Output 2 3 5 5 5" xfId="32569"/>
    <cellStyle name="Output 2 3 5 5 6" xfId="32570"/>
    <cellStyle name="Output 2 3 5 6" xfId="32571"/>
    <cellStyle name="Output 2 3 5 6 2" xfId="32572"/>
    <cellStyle name="Output 2 3 5 6 3" xfId="32573"/>
    <cellStyle name="Output 2 3 5 6 4" xfId="32574"/>
    <cellStyle name="Output 2 3 5 6 5" xfId="32575"/>
    <cellStyle name="Output 2 3 5 7" xfId="32576"/>
    <cellStyle name="Output 2 3 5 7 2" xfId="32577"/>
    <cellStyle name="Output 2 3 5 7 3" xfId="32578"/>
    <cellStyle name="Output 2 3 5 7 4" xfId="32579"/>
    <cellStyle name="Output 2 3 5 8" xfId="32580"/>
    <cellStyle name="Output 2 3 5 8 2" xfId="32581"/>
    <cellStyle name="Output 2 3 5 8 3" xfId="32582"/>
    <cellStyle name="Output 2 3 5 8 4" xfId="32583"/>
    <cellStyle name="Output 2 3 5 9" xfId="32584"/>
    <cellStyle name="Output 2 3 5 9 2" xfId="32585"/>
    <cellStyle name="Output 2 3 5 9 3" xfId="32586"/>
    <cellStyle name="Output 2 3 5 9 4" xfId="32587"/>
    <cellStyle name="Output 2 3 6" xfId="848"/>
    <cellStyle name="Output 2 3 6 10" xfId="32588"/>
    <cellStyle name="Output 2 3 6 11" xfId="32589"/>
    <cellStyle name="Output 2 3 6 12" xfId="32590"/>
    <cellStyle name="Output 2 3 6 13" xfId="32591"/>
    <cellStyle name="Output 2 3 6 2" xfId="849"/>
    <cellStyle name="Output 2 3 6 2 10" xfId="32592"/>
    <cellStyle name="Output 2 3 6 2 11" xfId="32593"/>
    <cellStyle name="Output 2 3 6 2 2" xfId="32594"/>
    <cellStyle name="Output 2 3 6 2 2 2" xfId="32595"/>
    <cellStyle name="Output 2 3 6 2 2 2 2" xfId="32596"/>
    <cellStyle name="Output 2 3 6 2 2 2 2 2" xfId="32597"/>
    <cellStyle name="Output 2 3 6 2 2 2 2 3" xfId="32598"/>
    <cellStyle name="Output 2 3 6 2 2 2 2 4" xfId="32599"/>
    <cellStyle name="Output 2 3 6 2 2 2 3" xfId="32600"/>
    <cellStyle name="Output 2 3 6 2 2 2 4" xfId="32601"/>
    <cellStyle name="Output 2 3 6 2 2 2 5" xfId="32602"/>
    <cellStyle name="Output 2 3 6 2 2 2 6" xfId="32603"/>
    <cellStyle name="Output 2 3 6 2 2 3" xfId="32604"/>
    <cellStyle name="Output 2 3 6 2 2 3 2" xfId="32605"/>
    <cellStyle name="Output 2 3 6 2 2 3 2 2" xfId="32606"/>
    <cellStyle name="Output 2 3 6 2 2 3 2 3" xfId="32607"/>
    <cellStyle name="Output 2 3 6 2 2 3 2 4" xfId="32608"/>
    <cellStyle name="Output 2 3 6 2 2 3 3" xfId="32609"/>
    <cellStyle name="Output 2 3 6 2 2 3 4" xfId="32610"/>
    <cellStyle name="Output 2 3 6 2 2 3 5" xfId="32611"/>
    <cellStyle name="Output 2 3 6 2 2 3 6" xfId="32612"/>
    <cellStyle name="Output 2 3 6 2 2 4" xfId="32613"/>
    <cellStyle name="Output 2 3 6 2 2 4 2" xfId="32614"/>
    <cellStyle name="Output 2 3 6 2 2 4 3" xfId="32615"/>
    <cellStyle name="Output 2 3 6 2 2 4 4" xfId="32616"/>
    <cellStyle name="Output 2 3 6 2 2 5" xfId="32617"/>
    <cellStyle name="Output 2 3 6 2 2 6" xfId="32618"/>
    <cellStyle name="Output 2 3 6 2 2 7" xfId="32619"/>
    <cellStyle name="Output 2 3 6 2 2 8" xfId="32620"/>
    <cellStyle name="Output 2 3 6 2 3" xfId="32621"/>
    <cellStyle name="Output 2 3 6 2 3 2" xfId="32622"/>
    <cellStyle name="Output 2 3 6 2 3 2 2" xfId="32623"/>
    <cellStyle name="Output 2 3 6 2 3 2 3" xfId="32624"/>
    <cellStyle name="Output 2 3 6 2 3 2 4" xfId="32625"/>
    <cellStyle name="Output 2 3 6 2 3 3" xfId="32626"/>
    <cellStyle name="Output 2 3 6 2 3 4" xfId="32627"/>
    <cellStyle name="Output 2 3 6 2 3 5" xfId="32628"/>
    <cellStyle name="Output 2 3 6 2 3 6" xfId="32629"/>
    <cellStyle name="Output 2 3 6 2 4" xfId="32630"/>
    <cellStyle name="Output 2 3 6 2 4 2" xfId="32631"/>
    <cellStyle name="Output 2 3 6 2 4 3" xfId="32632"/>
    <cellStyle name="Output 2 3 6 2 4 4" xfId="32633"/>
    <cellStyle name="Output 2 3 6 2 4 5" xfId="32634"/>
    <cellStyle name="Output 2 3 6 2 5" xfId="32635"/>
    <cellStyle name="Output 2 3 6 2 5 2" xfId="32636"/>
    <cellStyle name="Output 2 3 6 2 5 3" xfId="32637"/>
    <cellStyle name="Output 2 3 6 2 5 4" xfId="32638"/>
    <cellStyle name="Output 2 3 6 2 6" xfId="32639"/>
    <cellStyle name="Output 2 3 6 2 6 2" xfId="32640"/>
    <cellStyle name="Output 2 3 6 2 6 3" xfId="32641"/>
    <cellStyle name="Output 2 3 6 2 6 4" xfId="32642"/>
    <cellStyle name="Output 2 3 6 2 7" xfId="32643"/>
    <cellStyle name="Output 2 3 6 2 7 2" xfId="32644"/>
    <cellStyle name="Output 2 3 6 2 7 3" xfId="32645"/>
    <cellStyle name="Output 2 3 6 2 7 4" xfId="32646"/>
    <cellStyle name="Output 2 3 6 2 8" xfId="32647"/>
    <cellStyle name="Output 2 3 6 2 9" xfId="32648"/>
    <cellStyle name="Output 2 3 6 3" xfId="850"/>
    <cellStyle name="Output 2 3 6 3 10" xfId="32649"/>
    <cellStyle name="Output 2 3 6 3 11" xfId="32650"/>
    <cellStyle name="Output 2 3 6 3 2" xfId="32651"/>
    <cellStyle name="Output 2 3 6 3 2 2" xfId="32652"/>
    <cellStyle name="Output 2 3 6 3 2 2 2" xfId="32653"/>
    <cellStyle name="Output 2 3 6 3 2 2 2 2" xfId="32654"/>
    <cellStyle name="Output 2 3 6 3 2 2 2 3" xfId="32655"/>
    <cellStyle name="Output 2 3 6 3 2 2 2 4" xfId="32656"/>
    <cellStyle name="Output 2 3 6 3 2 2 3" xfId="32657"/>
    <cellStyle name="Output 2 3 6 3 2 2 4" xfId="32658"/>
    <cellStyle name="Output 2 3 6 3 2 2 5" xfId="32659"/>
    <cellStyle name="Output 2 3 6 3 2 2 6" xfId="32660"/>
    <cellStyle name="Output 2 3 6 3 2 3" xfId="32661"/>
    <cellStyle name="Output 2 3 6 3 2 3 2" xfId="32662"/>
    <cellStyle name="Output 2 3 6 3 2 3 3" xfId="32663"/>
    <cellStyle name="Output 2 3 6 3 2 3 4" xfId="32664"/>
    <cellStyle name="Output 2 3 6 3 2 4" xfId="32665"/>
    <cellStyle name="Output 2 3 6 3 2 4 2" xfId="32666"/>
    <cellStyle name="Output 2 3 6 3 2 4 3" xfId="32667"/>
    <cellStyle name="Output 2 3 6 3 2 4 4" xfId="32668"/>
    <cellStyle name="Output 2 3 6 3 2 5" xfId="32669"/>
    <cellStyle name="Output 2 3 6 3 2 6" xfId="32670"/>
    <cellStyle name="Output 2 3 6 3 2 7" xfId="32671"/>
    <cellStyle name="Output 2 3 6 3 2 8" xfId="32672"/>
    <cellStyle name="Output 2 3 6 3 3" xfId="32673"/>
    <cellStyle name="Output 2 3 6 3 3 2" xfId="32674"/>
    <cellStyle name="Output 2 3 6 3 3 2 2" xfId="32675"/>
    <cellStyle name="Output 2 3 6 3 3 2 3" xfId="32676"/>
    <cellStyle name="Output 2 3 6 3 3 2 4" xfId="32677"/>
    <cellStyle name="Output 2 3 6 3 3 3" xfId="32678"/>
    <cellStyle name="Output 2 3 6 3 3 4" xfId="32679"/>
    <cellStyle name="Output 2 3 6 3 3 5" xfId="32680"/>
    <cellStyle name="Output 2 3 6 3 3 6" xfId="32681"/>
    <cellStyle name="Output 2 3 6 3 4" xfId="32682"/>
    <cellStyle name="Output 2 3 6 3 4 2" xfId="32683"/>
    <cellStyle name="Output 2 3 6 3 4 3" xfId="32684"/>
    <cellStyle name="Output 2 3 6 3 4 4" xfId="32685"/>
    <cellStyle name="Output 2 3 6 3 4 5" xfId="32686"/>
    <cellStyle name="Output 2 3 6 3 5" xfId="32687"/>
    <cellStyle name="Output 2 3 6 3 5 2" xfId="32688"/>
    <cellStyle name="Output 2 3 6 3 5 3" xfId="32689"/>
    <cellStyle name="Output 2 3 6 3 5 4" xfId="32690"/>
    <cellStyle name="Output 2 3 6 3 6" xfId="32691"/>
    <cellStyle name="Output 2 3 6 3 6 2" xfId="32692"/>
    <cellStyle name="Output 2 3 6 3 6 3" xfId="32693"/>
    <cellStyle name="Output 2 3 6 3 6 4" xfId="32694"/>
    <cellStyle name="Output 2 3 6 3 7" xfId="32695"/>
    <cellStyle name="Output 2 3 6 3 7 2" xfId="32696"/>
    <cellStyle name="Output 2 3 6 3 7 3" xfId="32697"/>
    <cellStyle name="Output 2 3 6 3 7 4" xfId="32698"/>
    <cellStyle name="Output 2 3 6 3 8" xfId="32699"/>
    <cellStyle name="Output 2 3 6 3 9" xfId="32700"/>
    <cellStyle name="Output 2 3 6 4" xfId="32701"/>
    <cellStyle name="Output 2 3 6 4 2" xfId="32702"/>
    <cellStyle name="Output 2 3 6 4 2 2" xfId="32703"/>
    <cellStyle name="Output 2 3 6 4 2 2 2" xfId="32704"/>
    <cellStyle name="Output 2 3 6 4 2 2 3" xfId="32705"/>
    <cellStyle name="Output 2 3 6 4 2 2 4" xfId="32706"/>
    <cellStyle name="Output 2 3 6 4 2 3" xfId="32707"/>
    <cellStyle name="Output 2 3 6 4 2 4" xfId="32708"/>
    <cellStyle name="Output 2 3 6 4 2 5" xfId="32709"/>
    <cellStyle name="Output 2 3 6 4 2 6" xfId="32710"/>
    <cellStyle name="Output 2 3 6 4 3" xfId="32711"/>
    <cellStyle name="Output 2 3 6 4 3 2" xfId="32712"/>
    <cellStyle name="Output 2 3 6 4 3 2 2" xfId="32713"/>
    <cellStyle name="Output 2 3 6 4 3 2 3" xfId="32714"/>
    <cellStyle name="Output 2 3 6 4 3 2 4" xfId="32715"/>
    <cellStyle name="Output 2 3 6 4 3 3" xfId="32716"/>
    <cellStyle name="Output 2 3 6 4 3 4" xfId="32717"/>
    <cellStyle name="Output 2 3 6 4 3 5" xfId="32718"/>
    <cellStyle name="Output 2 3 6 4 3 6" xfId="32719"/>
    <cellStyle name="Output 2 3 6 4 4" xfId="32720"/>
    <cellStyle name="Output 2 3 6 4 4 2" xfId="32721"/>
    <cellStyle name="Output 2 3 6 4 4 3" xfId="32722"/>
    <cellStyle name="Output 2 3 6 4 4 4" xfId="32723"/>
    <cellStyle name="Output 2 3 6 4 5" xfId="32724"/>
    <cellStyle name="Output 2 3 6 4 6" xfId="32725"/>
    <cellStyle name="Output 2 3 6 4 7" xfId="32726"/>
    <cellStyle name="Output 2 3 6 4 8" xfId="32727"/>
    <cellStyle name="Output 2 3 6 5" xfId="32728"/>
    <cellStyle name="Output 2 3 6 5 2" xfId="32729"/>
    <cellStyle name="Output 2 3 6 5 2 2" xfId="32730"/>
    <cellStyle name="Output 2 3 6 5 2 3" xfId="32731"/>
    <cellStyle name="Output 2 3 6 5 2 4" xfId="32732"/>
    <cellStyle name="Output 2 3 6 5 3" xfId="32733"/>
    <cellStyle name="Output 2 3 6 5 4" xfId="32734"/>
    <cellStyle name="Output 2 3 6 5 5" xfId="32735"/>
    <cellStyle name="Output 2 3 6 5 6" xfId="32736"/>
    <cellStyle name="Output 2 3 6 6" xfId="32737"/>
    <cellStyle name="Output 2 3 6 6 2" xfId="32738"/>
    <cellStyle name="Output 2 3 6 6 3" xfId="32739"/>
    <cellStyle name="Output 2 3 6 6 4" xfId="32740"/>
    <cellStyle name="Output 2 3 6 6 5" xfId="32741"/>
    <cellStyle name="Output 2 3 6 7" xfId="32742"/>
    <cellStyle name="Output 2 3 6 7 2" xfId="32743"/>
    <cellStyle name="Output 2 3 6 7 3" xfId="32744"/>
    <cellStyle name="Output 2 3 6 7 4" xfId="32745"/>
    <cellStyle name="Output 2 3 6 8" xfId="32746"/>
    <cellStyle name="Output 2 3 6 8 2" xfId="32747"/>
    <cellStyle name="Output 2 3 6 8 3" xfId="32748"/>
    <cellStyle name="Output 2 3 6 8 4" xfId="32749"/>
    <cellStyle name="Output 2 3 6 9" xfId="32750"/>
    <cellStyle name="Output 2 3 6 9 2" xfId="32751"/>
    <cellStyle name="Output 2 3 6 9 3" xfId="32752"/>
    <cellStyle name="Output 2 3 6 9 4" xfId="32753"/>
    <cellStyle name="Output 2 3 7" xfId="851"/>
    <cellStyle name="Output 2 3 7 10" xfId="32754"/>
    <cellStyle name="Output 2 3 7 11" xfId="32755"/>
    <cellStyle name="Output 2 3 7 12" xfId="32756"/>
    <cellStyle name="Output 2 3 7 2" xfId="852"/>
    <cellStyle name="Output 2 3 7 2 10" xfId="32757"/>
    <cellStyle name="Output 2 3 7 2 11" xfId="32758"/>
    <cellStyle name="Output 2 3 7 2 2" xfId="32759"/>
    <cellStyle name="Output 2 3 7 2 2 2" xfId="32760"/>
    <cellStyle name="Output 2 3 7 2 2 2 2" xfId="32761"/>
    <cellStyle name="Output 2 3 7 2 2 2 2 2" xfId="32762"/>
    <cellStyle name="Output 2 3 7 2 2 2 2 3" xfId="32763"/>
    <cellStyle name="Output 2 3 7 2 2 2 2 4" xfId="32764"/>
    <cellStyle name="Output 2 3 7 2 2 2 3" xfId="32765"/>
    <cellStyle name="Output 2 3 7 2 2 2 4" xfId="32766"/>
    <cellStyle name="Output 2 3 7 2 2 2 5" xfId="32767"/>
    <cellStyle name="Output 2 3 7 2 2 2 6" xfId="32768"/>
    <cellStyle name="Output 2 3 7 2 2 3" xfId="32769"/>
    <cellStyle name="Output 2 3 7 2 2 3 2" xfId="32770"/>
    <cellStyle name="Output 2 3 7 2 2 3 2 2" xfId="32771"/>
    <cellStyle name="Output 2 3 7 2 2 3 2 3" xfId="32772"/>
    <cellStyle name="Output 2 3 7 2 2 3 2 4" xfId="32773"/>
    <cellStyle name="Output 2 3 7 2 2 3 3" xfId="32774"/>
    <cellStyle name="Output 2 3 7 2 2 3 4" xfId="32775"/>
    <cellStyle name="Output 2 3 7 2 2 3 5" xfId="32776"/>
    <cellStyle name="Output 2 3 7 2 2 3 6" xfId="32777"/>
    <cellStyle name="Output 2 3 7 2 2 4" xfId="32778"/>
    <cellStyle name="Output 2 3 7 2 2 4 2" xfId="32779"/>
    <cellStyle name="Output 2 3 7 2 2 4 3" xfId="32780"/>
    <cellStyle name="Output 2 3 7 2 2 4 4" xfId="32781"/>
    <cellStyle name="Output 2 3 7 2 2 5" xfId="32782"/>
    <cellStyle name="Output 2 3 7 2 2 6" xfId="32783"/>
    <cellStyle name="Output 2 3 7 2 2 7" xfId="32784"/>
    <cellStyle name="Output 2 3 7 2 2 8" xfId="32785"/>
    <cellStyle name="Output 2 3 7 2 3" xfId="32786"/>
    <cellStyle name="Output 2 3 7 2 3 2" xfId="32787"/>
    <cellStyle name="Output 2 3 7 2 3 2 2" xfId="32788"/>
    <cellStyle name="Output 2 3 7 2 3 2 3" xfId="32789"/>
    <cellStyle name="Output 2 3 7 2 3 2 4" xfId="32790"/>
    <cellStyle name="Output 2 3 7 2 3 3" xfId="32791"/>
    <cellStyle name="Output 2 3 7 2 3 4" xfId="32792"/>
    <cellStyle name="Output 2 3 7 2 3 5" xfId="32793"/>
    <cellStyle name="Output 2 3 7 2 3 6" xfId="32794"/>
    <cellStyle name="Output 2 3 7 2 4" xfId="32795"/>
    <cellStyle name="Output 2 3 7 2 4 2" xfId="32796"/>
    <cellStyle name="Output 2 3 7 2 4 3" xfId="32797"/>
    <cellStyle name="Output 2 3 7 2 4 4" xfId="32798"/>
    <cellStyle name="Output 2 3 7 2 4 5" xfId="32799"/>
    <cellStyle name="Output 2 3 7 2 5" xfId="32800"/>
    <cellStyle name="Output 2 3 7 2 5 2" xfId="32801"/>
    <cellStyle name="Output 2 3 7 2 5 3" xfId="32802"/>
    <cellStyle name="Output 2 3 7 2 5 4" xfId="32803"/>
    <cellStyle name="Output 2 3 7 2 6" xfId="32804"/>
    <cellStyle name="Output 2 3 7 2 6 2" xfId="32805"/>
    <cellStyle name="Output 2 3 7 2 6 3" xfId="32806"/>
    <cellStyle name="Output 2 3 7 2 6 4" xfId="32807"/>
    <cellStyle name="Output 2 3 7 2 7" xfId="32808"/>
    <cellStyle name="Output 2 3 7 2 7 2" xfId="32809"/>
    <cellStyle name="Output 2 3 7 2 7 3" xfId="32810"/>
    <cellStyle name="Output 2 3 7 2 7 4" xfId="32811"/>
    <cellStyle name="Output 2 3 7 2 8" xfId="32812"/>
    <cellStyle name="Output 2 3 7 2 9" xfId="32813"/>
    <cellStyle name="Output 2 3 7 3" xfId="853"/>
    <cellStyle name="Output 2 3 7 3 2" xfId="32814"/>
    <cellStyle name="Output 2 3 7 3 2 2" xfId="32815"/>
    <cellStyle name="Output 2 3 7 3 2 2 2" xfId="32816"/>
    <cellStyle name="Output 2 3 7 3 2 2 3" xfId="32817"/>
    <cellStyle name="Output 2 3 7 3 2 2 4" xfId="32818"/>
    <cellStyle name="Output 2 3 7 3 2 3" xfId="32819"/>
    <cellStyle name="Output 2 3 7 3 2 4" xfId="32820"/>
    <cellStyle name="Output 2 3 7 3 2 5" xfId="32821"/>
    <cellStyle name="Output 2 3 7 3 2 6" xfId="32822"/>
    <cellStyle name="Output 2 3 7 3 3" xfId="32823"/>
    <cellStyle name="Output 2 3 7 3 3 2" xfId="32824"/>
    <cellStyle name="Output 2 3 7 3 3 2 2" xfId="32825"/>
    <cellStyle name="Output 2 3 7 3 3 2 3" xfId="32826"/>
    <cellStyle name="Output 2 3 7 3 3 2 4" xfId="32827"/>
    <cellStyle name="Output 2 3 7 3 3 3" xfId="32828"/>
    <cellStyle name="Output 2 3 7 3 3 4" xfId="32829"/>
    <cellStyle name="Output 2 3 7 3 3 5" xfId="32830"/>
    <cellStyle name="Output 2 3 7 3 3 6" xfId="32831"/>
    <cellStyle name="Output 2 3 7 3 4" xfId="32832"/>
    <cellStyle name="Output 2 3 7 3 4 2" xfId="32833"/>
    <cellStyle name="Output 2 3 7 3 4 3" xfId="32834"/>
    <cellStyle name="Output 2 3 7 3 4 4" xfId="32835"/>
    <cellStyle name="Output 2 3 7 3 5" xfId="32836"/>
    <cellStyle name="Output 2 3 7 3 6" xfId="32837"/>
    <cellStyle name="Output 2 3 7 3 7" xfId="32838"/>
    <cellStyle name="Output 2 3 7 3 8" xfId="32839"/>
    <cellStyle name="Output 2 3 7 4" xfId="32840"/>
    <cellStyle name="Output 2 3 7 4 2" xfId="32841"/>
    <cellStyle name="Output 2 3 7 4 2 2" xfId="32842"/>
    <cellStyle name="Output 2 3 7 4 2 3" xfId="32843"/>
    <cellStyle name="Output 2 3 7 4 2 4" xfId="32844"/>
    <cellStyle name="Output 2 3 7 4 3" xfId="32845"/>
    <cellStyle name="Output 2 3 7 4 4" xfId="32846"/>
    <cellStyle name="Output 2 3 7 4 5" xfId="32847"/>
    <cellStyle name="Output 2 3 7 4 6" xfId="32848"/>
    <cellStyle name="Output 2 3 7 5" xfId="32849"/>
    <cellStyle name="Output 2 3 7 5 2" xfId="32850"/>
    <cellStyle name="Output 2 3 7 5 3" xfId="32851"/>
    <cellStyle name="Output 2 3 7 5 4" xfId="32852"/>
    <cellStyle name="Output 2 3 7 5 5" xfId="32853"/>
    <cellStyle name="Output 2 3 7 6" xfId="32854"/>
    <cellStyle name="Output 2 3 7 6 2" xfId="32855"/>
    <cellStyle name="Output 2 3 7 6 3" xfId="32856"/>
    <cellStyle name="Output 2 3 7 6 4" xfId="32857"/>
    <cellStyle name="Output 2 3 7 7" xfId="32858"/>
    <cellStyle name="Output 2 3 7 7 2" xfId="32859"/>
    <cellStyle name="Output 2 3 7 7 3" xfId="32860"/>
    <cellStyle name="Output 2 3 7 7 4" xfId="32861"/>
    <cellStyle name="Output 2 3 7 8" xfId="32862"/>
    <cellStyle name="Output 2 3 7 8 2" xfId="32863"/>
    <cellStyle name="Output 2 3 7 8 3" xfId="32864"/>
    <cellStyle name="Output 2 3 7 8 4" xfId="32865"/>
    <cellStyle name="Output 2 3 7 9" xfId="32866"/>
    <cellStyle name="Output 2 3 8" xfId="854"/>
    <cellStyle name="Output 2 3 8 10" xfId="32867"/>
    <cellStyle name="Output 2 3 8 11" xfId="32868"/>
    <cellStyle name="Output 2 3 8 2" xfId="855"/>
    <cellStyle name="Output 2 3 8 2 2" xfId="32869"/>
    <cellStyle name="Output 2 3 8 2 2 2" xfId="32870"/>
    <cellStyle name="Output 2 3 8 2 2 2 2" xfId="32871"/>
    <cellStyle name="Output 2 3 8 2 2 2 3" xfId="32872"/>
    <cellStyle name="Output 2 3 8 2 2 2 4" xfId="32873"/>
    <cellStyle name="Output 2 3 8 2 2 3" xfId="32874"/>
    <cellStyle name="Output 2 3 8 2 2 4" xfId="32875"/>
    <cellStyle name="Output 2 3 8 2 2 5" xfId="32876"/>
    <cellStyle name="Output 2 3 8 2 2 6" xfId="32877"/>
    <cellStyle name="Output 2 3 8 2 3" xfId="32878"/>
    <cellStyle name="Output 2 3 8 2 3 2" xfId="32879"/>
    <cellStyle name="Output 2 3 8 2 3 2 2" xfId="32880"/>
    <cellStyle name="Output 2 3 8 2 3 2 3" xfId="32881"/>
    <cellStyle name="Output 2 3 8 2 3 2 4" xfId="32882"/>
    <cellStyle name="Output 2 3 8 2 3 3" xfId="32883"/>
    <cellStyle name="Output 2 3 8 2 3 4" xfId="32884"/>
    <cellStyle name="Output 2 3 8 2 3 5" xfId="32885"/>
    <cellStyle name="Output 2 3 8 2 3 6" xfId="32886"/>
    <cellStyle name="Output 2 3 8 2 4" xfId="32887"/>
    <cellStyle name="Output 2 3 8 2 4 2" xfId="32888"/>
    <cellStyle name="Output 2 3 8 2 4 3" xfId="32889"/>
    <cellStyle name="Output 2 3 8 2 4 4" xfId="32890"/>
    <cellStyle name="Output 2 3 8 2 5" xfId="32891"/>
    <cellStyle name="Output 2 3 8 2 6" xfId="32892"/>
    <cellStyle name="Output 2 3 8 2 7" xfId="32893"/>
    <cellStyle name="Output 2 3 8 2 8" xfId="32894"/>
    <cellStyle name="Output 2 3 8 3" xfId="856"/>
    <cellStyle name="Output 2 3 8 3 2" xfId="32895"/>
    <cellStyle name="Output 2 3 8 3 2 2" xfId="32896"/>
    <cellStyle name="Output 2 3 8 3 2 3" xfId="32897"/>
    <cellStyle name="Output 2 3 8 3 2 4" xfId="32898"/>
    <cellStyle name="Output 2 3 8 3 3" xfId="32899"/>
    <cellStyle name="Output 2 3 8 3 4" xfId="32900"/>
    <cellStyle name="Output 2 3 8 3 5" xfId="32901"/>
    <cellStyle name="Output 2 3 8 3 6" xfId="32902"/>
    <cellStyle name="Output 2 3 8 4" xfId="32903"/>
    <cellStyle name="Output 2 3 8 4 2" xfId="32904"/>
    <cellStyle name="Output 2 3 8 4 3" xfId="32905"/>
    <cellStyle name="Output 2 3 8 4 4" xfId="32906"/>
    <cellStyle name="Output 2 3 8 4 5" xfId="32907"/>
    <cellStyle name="Output 2 3 8 5" xfId="32908"/>
    <cellStyle name="Output 2 3 8 5 2" xfId="32909"/>
    <cellStyle name="Output 2 3 8 5 3" xfId="32910"/>
    <cellStyle name="Output 2 3 8 5 4" xfId="32911"/>
    <cellStyle name="Output 2 3 8 6" xfId="32912"/>
    <cellStyle name="Output 2 3 8 6 2" xfId="32913"/>
    <cellStyle name="Output 2 3 8 6 3" xfId="32914"/>
    <cellStyle name="Output 2 3 8 6 4" xfId="32915"/>
    <cellStyle name="Output 2 3 8 7" xfId="32916"/>
    <cellStyle name="Output 2 3 8 7 2" xfId="32917"/>
    <cellStyle name="Output 2 3 8 7 3" xfId="32918"/>
    <cellStyle name="Output 2 3 8 7 4" xfId="32919"/>
    <cellStyle name="Output 2 3 8 8" xfId="32920"/>
    <cellStyle name="Output 2 3 8 9" xfId="32921"/>
    <cellStyle name="Output 2 3 9" xfId="857"/>
    <cellStyle name="Output 2 3 9 10" xfId="32922"/>
    <cellStyle name="Output 2 3 9 11" xfId="32923"/>
    <cellStyle name="Output 2 3 9 2" xfId="858"/>
    <cellStyle name="Output 2 3 9 2 2" xfId="32924"/>
    <cellStyle name="Output 2 3 9 2 2 2" xfId="32925"/>
    <cellStyle name="Output 2 3 9 2 2 3" xfId="32926"/>
    <cellStyle name="Output 2 3 9 2 2 4" xfId="32927"/>
    <cellStyle name="Output 2 3 9 2 3" xfId="32928"/>
    <cellStyle name="Output 2 3 9 2 4" xfId="32929"/>
    <cellStyle name="Output 2 3 9 2 5" xfId="32930"/>
    <cellStyle name="Output 2 3 9 2 6" xfId="32931"/>
    <cellStyle name="Output 2 3 9 3" xfId="859"/>
    <cellStyle name="Output 2 3 9 3 2" xfId="32932"/>
    <cellStyle name="Output 2 3 9 3 2 2" xfId="32933"/>
    <cellStyle name="Output 2 3 9 3 2 3" xfId="32934"/>
    <cellStyle name="Output 2 3 9 3 2 4" xfId="32935"/>
    <cellStyle name="Output 2 3 9 3 3" xfId="32936"/>
    <cellStyle name="Output 2 3 9 3 4" xfId="32937"/>
    <cellStyle name="Output 2 3 9 3 5" xfId="32938"/>
    <cellStyle name="Output 2 3 9 3 6" xfId="32939"/>
    <cellStyle name="Output 2 3 9 4" xfId="32940"/>
    <cellStyle name="Output 2 3 9 4 2" xfId="32941"/>
    <cellStyle name="Output 2 3 9 4 3" xfId="32942"/>
    <cellStyle name="Output 2 3 9 4 4" xfId="32943"/>
    <cellStyle name="Output 2 3 9 5" xfId="32944"/>
    <cellStyle name="Output 2 3 9 5 2" xfId="32945"/>
    <cellStyle name="Output 2 3 9 5 3" xfId="32946"/>
    <cellStyle name="Output 2 3 9 5 4" xfId="32947"/>
    <cellStyle name="Output 2 3 9 6" xfId="32948"/>
    <cellStyle name="Output 2 3 9 6 2" xfId="32949"/>
    <cellStyle name="Output 2 3 9 6 3" xfId="32950"/>
    <cellStyle name="Output 2 3 9 6 4" xfId="32951"/>
    <cellStyle name="Output 2 3 9 7" xfId="32952"/>
    <cellStyle name="Output 2 3 9 7 2" xfId="32953"/>
    <cellStyle name="Output 2 3 9 7 3" xfId="32954"/>
    <cellStyle name="Output 2 3 9 7 4" xfId="32955"/>
    <cellStyle name="Output 2 3 9 8" xfId="32956"/>
    <cellStyle name="Output 2 3 9 9" xfId="32957"/>
    <cellStyle name="Output 2 30" xfId="32958"/>
    <cellStyle name="Output 2 30 10" xfId="32959"/>
    <cellStyle name="Output 2 30 11" xfId="32960"/>
    <cellStyle name="Output 2 30 12" xfId="32961"/>
    <cellStyle name="Output 2 30 2" xfId="32962"/>
    <cellStyle name="Output 2 30 3" xfId="32963"/>
    <cellStyle name="Output 2 30 4" xfId="32964"/>
    <cellStyle name="Output 2 30 5" xfId="32965"/>
    <cellStyle name="Output 2 30 6" xfId="32966"/>
    <cellStyle name="Output 2 30 7" xfId="32967"/>
    <cellStyle name="Output 2 30 8" xfId="32968"/>
    <cellStyle name="Output 2 30 9" xfId="32969"/>
    <cellStyle name="Output 2 31" xfId="32970"/>
    <cellStyle name="Output 2 32" xfId="32971"/>
    <cellStyle name="Output 2 33" xfId="32972"/>
    <cellStyle name="Output 2 34" xfId="32973"/>
    <cellStyle name="Output 2 35" xfId="32974"/>
    <cellStyle name="Output 2 36" xfId="32975"/>
    <cellStyle name="Output 2 37" xfId="32976"/>
    <cellStyle name="Output 2 38" xfId="32977"/>
    <cellStyle name="Output 2 39" xfId="32978"/>
    <cellStyle name="Output 2 4" xfId="220"/>
    <cellStyle name="Output 2 4 10" xfId="860"/>
    <cellStyle name="Output 2 4 10 2" xfId="861"/>
    <cellStyle name="Output 2 4 10 3" xfId="862"/>
    <cellStyle name="Output 2 4 10 4" xfId="32979"/>
    <cellStyle name="Output 2 4 11" xfId="863"/>
    <cellStyle name="Output 2 4 11 2" xfId="864"/>
    <cellStyle name="Output 2 4 11 3" xfId="865"/>
    <cellStyle name="Output 2 4 11 4" xfId="32980"/>
    <cellStyle name="Output 2 4 12" xfId="866"/>
    <cellStyle name="Output 2 4 12 2" xfId="867"/>
    <cellStyle name="Output 2 4 12 3" xfId="868"/>
    <cellStyle name="Output 2 4 12 4" xfId="32981"/>
    <cellStyle name="Output 2 4 13" xfId="869"/>
    <cellStyle name="Output 2 4 13 2" xfId="870"/>
    <cellStyle name="Output 2 4 13 3" xfId="871"/>
    <cellStyle name="Output 2 4 14" xfId="872"/>
    <cellStyle name="Output 2 4 15" xfId="873"/>
    <cellStyle name="Output 2 4 16" xfId="32982"/>
    <cellStyle name="Output 2 4 17" xfId="32983"/>
    <cellStyle name="Output 2 4 18" xfId="32984"/>
    <cellStyle name="Output 2 4 19" xfId="32985"/>
    <cellStyle name="Output 2 4 2" xfId="221"/>
    <cellStyle name="Output 2 4 2 10" xfId="32986"/>
    <cellStyle name="Output 2 4 2 11" xfId="32987"/>
    <cellStyle name="Output 2 4 2 12" xfId="32988"/>
    <cellStyle name="Output 2 4 2 2" xfId="874"/>
    <cellStyle name="Output 2 4 2 2 10" xfId="32989"/>
    <cellStyle name="Output 2 4 2 2 11" xfId="32990"/>
    <cellStyle name="Output 2 4 2 2 2" xfId="32991"/>
    <cellStyle name="Output 2 4 2 2 2 2" xfId="32992"/>
    <cellStyle name="Output 2 4 2 2 2 2 2" xfId="32993"/>
    <cellStyle name="Output 2 4 2 2 2 2 2 2" xfId="32994"/>
    <cellStyle name="Output 2 4 2 2 2 2 2 3" xfId="32995"/>
    <cellStyle name="Output 2 4 2 2 2 2 2 4" xfId="32996"/>
    <cellStyle name="Output 2 4 2 2 2 2 3" xfId="32997"/>
    <cellStyle name="Output 2 4 2 2 2 2 4" xfId="32998"/>
    <cellStyle name="Output 2 4 2 2 2 2 5" xfId="32999"/>
    <cellStyle name="Output 2 4 2 2 2 2 6" xfId="33000"/>
    <cellStyle name="Output 2 4 2 2 2 3" xfId="33001"/>
    <cellStyle name="Output 2 4 2 2 2 3 2" xfId="33002"/>
    <cellStyle name="Output 2 4 2 2 2 3 2 2" xfId="33003"/>
    <cellStyle name="Output 2 4 2 2 2 3 2 3" xfId="33004"/>
    <cellStyle name="Output 2 4 2 2 2 3 2 4" xfId="33005"/>
    <cellStyle name="Output 2 4 2 2 2 3 3" xfId="33006"/>
    <cellStyle name="Output 2 4 2 2 2 3 4" xfId="33007"/>
    <cellStyle name="Output 2 4 2 2 2 3 5" xfId="33008"/>
    <cellStyle name="Output 2 4 2 2 2 3 6" xfId="33009"/>
    <cellStyle name="Output 2 4 2 2 2 4" xfId="33010"/>
    <cellStyle name="Output 2 4 2 2 2 4 2" xfId="33011"/>
    <cellStyle name="Output 2 4 2 2 2 4 3" xfId="33012"/>
    <cellStyle name="Output 2 4 2 2 2 4 4" xfId="33013"/>
    <cellStyle name="Output 2 4 2 2 2 5" xfId="33014"/>
    <cellStyle name="Output 2 4 2 2 2 6" xfId="33015"/>
    <cellStyle name="Output 2 4 2 2 2 7" xfId="33016"/>
    <cellStyle name="Output 2 4 2 2 2 8" xfId="33017"/>
    <cellStyle name="Output 2 4 2 2 3" xfId="33018"/>
    <cellStyle name="Output 2 4 2 2 3 2" xfId="33019"/>
    <cellStyle name="Output 2 4 2 2 3 2 2" xfId="33020"/>
    <cellStyle name="Output 2 4 2 2 3 2 3" xfId="33021"/>
    <cellStyle name="Output 2 4 2 2 3 2 4" xfId="33022"/>
    <cellStyle name="Output 2 4 2 2 3 3" xfId="33023"/>
    <cellStyle name="Output 2 4 2 2 3 4" xfId="33024"/>
    <cellStyle name="Output 2 4 2 2 3 5" xfId="33025"/>
    <cellStyle name="Output 2 4 2 2 3 6" xfId="33026"/>
    <cellStyle name="Output 2 4 2 2 4" xfId="33027"/>
    <cellStyle name="Output 2 4 2 2 4 2" xfId="33028"/>
    <cellStyle name="Output 2 4 2 2 4 3" xfId="33029"/>
    <cellStyle name="Output 2 4 2 2 4 4" xfId="33030"/>
    <cellStyle name="Output 2 4 2 2 4 5" xfId="33031"/>
    <cellStyle name="Output 2 4 2 2 5" xfId="33032"/>
    <cellStyle name="Output 2 4 2 2 5 2" xfId="33033"/>
    <cellStyle name="Output 2 4 2 2 5 3" xfId="33034"/>
    <cellStyle name="Output 2 4 2 2 5 4" xfId="33035"/>
    <cellStyle name="Output 2 4 2 2 6" xfId="33036"/>
    <cellStyle name="Output 2 4 2 2 6 2" xfId="33037"/>
    <cellStyle name="Output 2 4 2 2 6 3" xfId="33038"/>
    <cellStyle name="Output 2 4 2 2 6 4" xfId="33039"/>
    <cellStyle name="Output 2 4 2 2 7" xfId="33040"/>
    <cellStyle name="Output 2 4 2 2 7 2" xfId="33041"/>
    <cellStyle name="Output 2 4 2 2 7 3" xfId="33042"/>
    <cellStyle name="Output 2 4 2 2 7 4" xfId="33043"/>
    <cellStyle name="Output 2 4 2 2 8" xfId="33044"/>
    <cellStyle name="Output 2 4 2 2 9" xfId="33045"/>
    <cellStyle name="Output 2 4 2 3" xfId="33046"/>
    <cellStyle name="Output 2 4 2 3 2" xfId="33047"/>
    <cellStyle name="Output 2 4 2 3 2 2" xfId="33048"/>
    <cellStyle name="Output 2 4 2 3 2 2 2" xfId="33049"/>
    <cellStyle name="Output 2 4 2 3 2 2 3" xfId="33050"/>
    <cellStyle name="Output 2 4 2 3 2 2 4" xfId="33051"/>
    <cellStyle name="Output 2 4 2 3 2 3" xfId="33052"/>
    <cellStyle name="Output 2 4 2 3 2 4" xfId="33053"/>
    <cellStyle name="Output 2 4 2 3 2 5" xfId="33054"/>
    <cellStyle name="Output 2 4 2 3 2 6" xfId="33055"/>
    <cellStyle name="Output 2 4 2 3 3" xfId="33056"/>
    <cellStyle name="Output 2 4 2 3 3 2" xfId="33057"/>
    <cellStyle name="Output 2 4 2 3 3 2 2" xfId="33058"/>
    <cellStyle name="Output 2 4 2 3 3 2 3" xfId="33059"/>
    <cellStyle name="Output 2 4 2 3 3 2 4" xfId="33060"/>
    <cellStyle name="Output 2 4 2 3 3 3" xfId="33061"/>
    <cellStyle name="Output 2 4 2 3 3 4" xfId="33062"/>
    <cellStyle name="Output 2 4 2 3 3 5" xfId="33063"/>
    <cellStyle name="Output 2 4 2 3 3 6" xfId="33064"/>
    <cellStyle name="Output 2 4 2 3 4" xfId="33065"/>
    <cellStyle name="Output 2 4 2 3 4 2" xfId="33066"/>
    <cellStyle name="Output 2 4 2 3 4 3" xfId="33067"/>
    <cellStyle name="Output 2 4 2 3 4 4" xfId="33068"/>
    <cellStyle name="Output 2 4 2 3 5" xfId="33069"/>
    <cellStyle name="Output 2 4 2 3 6" xfId="33070"/>
    <cellStyle name="Output 2 4 2 3 7" xfId="33071"/>
    <cellStyle name="Output 2 4 2 3 8" xfId="33072"/>
    <cellStyle name="Output 2 4 2 4" xfId="33073"/>
    <cellStyle name="Output 2 4 2 4 2" xfId="33074"/>
    <cellStyle name="Output 2 4 2 4 2 2" xfId="33075"/>
    <cellStyle name="Output 2 4 2 4 2 3" xfId="33076"/>
    <cellStyle name="Output 2 4 2 4 2 4" xfId="33077"/>
    <cellStyle name="Output 2 4 2 4 3" xfId="33078"/>
    <cellStyle name="Output 2 4 2 4 4" xfId="33079"/>
    <cellStyle name="Output 2 4 2 4 5" xfId="33080"/>
    <cellStyle name="Output 2 4 2 4 6" xfId="33081"/>
    <cellStyle name="Output 2 4 2 5" xfId="33082"/>
    <cellStyle name="Output 2 4 2 5 2" xfId="33083"/>
    <cellStyle name="Output 2 4 2 5 3" xfId="33084"/>
    <cellStyle name="Output 2 4 2 5 4" xfId="33085"/>
    <cellStyle name="Output 2 4 2 5 5" xfId="33086"/>
    <cellStyle name="Output 2 4 2 6" xfId="33087"/>
    <cellStyle name="Output 2 4 2 6 2" xfId="33088"/>
    <cellStyle name="Output 2 4 2 6 3" xfId="33089"/>
    <cellStyle name="Output 2 4 2 6 4" xfId="33090"/>
    <cellStyle name="Output 2 4 2 7" xfId="33091"/>
    <cellStyle name="Output 2 4 2 7 2" xfId="33092"/>
    <cellStyle name="Output 2 4 2 7 3" xfId="33093"/>
    <cellStyle name="Output 2 4 2 7 4" xfId="33094"/>
    <cellStyle name="Output 2 4 2 8" xfId="33095"/>
    <cellStyle name="Output 2 4 2 8 2" xfId="33096"/>
    <cellStyle name="Output 2 4 2 8 3" xfId="33097"/>
    <cellStyle name="Output 2 4 2 8 4" xfId="33098"/>
    <cellStyle name="Output 2 4 2 9" xfId="33099"/>
    <cellStyle name="Output 2 4 20" xfId="33100"/>
    <cellStyle name="Output 2 4 21" xfId="33101"/>
    <cellStyle name="Output 2 4 22" xfId="33102"/>
    <cellStyle name="Output 2 4 23" xfId="33103"/>
    <cellStyle name="Output 2 4 24" xfId="33104"/>
    <cellStyle name="Output 2 4 25" xfId="33105"/>
    <cellStyle name="Output 2 4 26" xfId="33106"/>
    <cellStyle name="Output 2 4 27" xfId="33107"/>
    <cellStyle name="Output 2 4 28" xfId="33108"/>
    <cellStyle name="Output 2 4 29" xfId="55625"/>
    <cellStyle name="Output 2 4 3" xfId="875"/>
    <cellStyle name="Output 2 4 3 10" xfId="33109"/>
    <cellStyle name="Output 2 4 3 11" xfId="33110"/>
    <cellStyle name="Output 2 4 3 2" xfId="876"/>
    <cellStyle name="Output 2 4 3 2 2" xfId="33111"/>
    <cellStyle name="Output 2 4 3 2 2 2" xfId="33112"/>
    <cellStyle name="Output 2 4 3 2 2 2 2" xfId="33113"/>
    <cellStyle name="Output 2 4 3 2 2 2 3" xfId="33114"/>
    <cellStyle name="Output 2 4 3 2 2 2 4" xfId="33115"/>
    <cellStyle name="Output 2 4 3 2 2 3" xfId="33116"/>
    <cellStyle name="Output 2 4 3 2 2 4" xfId="33117"/>
    <cellStyle name="Output 2 4 3 2 2 5" xfId="33118"/>
    <cellStyle name="Output 2 4 3 2 2 6" xfId="33119"/>
    <cellStyle name="Output 2 4 3 2 3" xfId="33120"/>
    <cellStyle name="Output 2 4 3 2 3 2" xfId="33121"/>
    <cellStyle name="Output 2 4 3 2 3 2 2" xfId="33122"/>
    <cellStyle name="Output 2 4 3 2 3 2 3" xfId="33123"/>
    <cellStyle name="Output 2 4 3 2 3 2 4" xfId="33124"/>
    <cellStyle name="Output 2 4 3 2 3 3" xfId="33125"/>
    <cellStyle name="Output 2 4 3 2 3 4" xfId="33126"/>
    <cellStyle name="Output 2 4 3 2 3 5" xfId="33127"/>
    <cellStyle name="Output 2 4 3 2 3 6" xfId="33128"/>
    <cellStyle name="Output 2 4 3 2 4" xfId="33129"/>
    <cellStyle name="Output 2 4 3 2 4 2" xfId="33130"/>
    <cellStyle name="Output 2 4 3 2 4 3" xfId="33131"/>
    <cellStyle name="Output 2 4 3 2 4 4" xfId="33132"/>
    <cellStyle name="Output 2 4 3 2 5" xfId="33133"/>
    <cellStyle name="Output 2 4 3 2 6" xfId="33134"/>
    <cellStyle name="Output 2 4 3 2 7" xfId="33135"/>
    <cellStyle name="Output 2 4 3 2 8" xfId="33136"/>
    <cellStyle name="Output 2 4 3 3" xfId="33137"/>
    <cellStyle name="Output 2 4 3 3 2" xfId="33138"/>
    <cellStyle name="Output 2 4 3 3 2 2" xfId="33139"/>
    <cellStyle name="Output 2 4 3 3 2 3" xfId="33140"/>
    <cellStyle name="Output 2 4 3 3 2 4" xfId="33141"/>
    <cellStyle name="Output 2 4 3 3 3" xfId="33142"/>
    <cellStyle name="Output 2 4 3 3 4" xfId="33143"/>
    <cellStyle name="Output 2 4 3 3 5" xfId="33144"/>
    <cellStyle name="Output 2 4 3 3 6" xfId="33145"/>
    <cellStyle name="Output 2 4 3 4" xfId="33146"/>
    <cellStyle name="Output 2 4 3 4 2" xfId="33147"/>
    <cellStyle name="Output 2 4 3 4 3" xfId="33148"/>
    <cellStyle name="Output 2 4 3 4 4" xfId="33149"/>
    <cellStyle name="Output 2 4 3 4 5" xfId="33150"/>
    <cellStyle name="Output 2 4 3 5" xfId="33151"/>
    <cellStyle name="Output 2 4 3 5 2" xfId="33152"/>
    <cellStyle name="Output 2 4 3 5 3" xfId="33153"/>
    <cellStyle name="Output 2 4 3 5 4" xfId="33154"/>
    <cellStyle name="Output 2 4 3 6" xfId="33155"/>
    <cellStyle name="Output 2 4 3 6 2" xfId="33156"/>
    <cellStyle name="Output 2 4 3 6 3" xfId="33157"/>
    <cellStyle name="Output 2 4 3 6 4" xfId="33158"/>
    <cellStyle name="Output 2 4 3 7" xfId="33159"/>
    <cellStyle name="Output 2 4 3 7 2" xfId="33160"/>
    <cellStyle name="Output 2 4 3 7 3" xfId="33161"/>
    <cellStyle name="Output 2 4 3 7 4" xfId="33162"/>
    <cellStyle name="Output 2 4 3 8" xfId="33163"/>
    <cellStyle name="Output 2 4 3 9" xfId="33164"/>
    <cellStyle name="Output 2 4 30" xfId="55626"/>
    <cellStyle name="Output 2 4 31" xfId="55627"/>
    <cellStyle name="Output 2 4 32" xfId="55628"/>
    <cellStyle name="Output 2 4 33" xfId="55629"/>
    <cellStyle name="Output 2 4 34" xfId="55630"/>
    <cellStyle name="Output 2 4 35" xfId="55631"/>
    <cellStyle name="Output 2 4 36" xfId="55632"/>
    <cellStyle name="Output 2 4 37" xfId="55633"/>
    <cellStyle name="Output 2 4 38" xfId="55634"/>
    <cellStyle name="Output 2 4 39" xfId="55635"/>
    <cellStyle name="Output 2 4 4" xfId="877"/>
    <cellStyle name="Output 2 4 4 2" xfId="878"/>
    <cellStyle name="Output 2 4 4 2 2" xfId="33165"/>
    <cellStyle name="Output 2 4 4 2 2 2" xfId="33166"/>
    <cellStyle name="Output 2 4 4 2 2 3" xfId="33167"/>
    <cellStyle name="Output 2 4 4 2 2 4" xfId="33168"/>
    <cellStyle name="Output 2 4 4 2 3" xfId="33169"/>
    <cellStyle name="Output 2 4 4 2 4" xfId="33170"/>
    <cellStyle name="Output 2 4 4 2 5" xfId="33171"/>
    <cellStyle name="Output 2 4 4 2 6" xfId="33172"/>
    <cellStyle name="Output 2 4 4 3" xfId="879"/>
    <cellStyle name="Output 2 4 4 3 2" xfId="33173"/>
    <cellStyle name="Output 2 4 4 3 2 2" xfId="33174"/>
    <cellStyle name="Output 2 4 4 3 2 3" xfId="33175"/>
    <cellStyle name="Output 2 4 4 3 2 4" xfId="33176"/>
    <cellStyle name="Output 2 4 4 3 3" xfId="33177"/>
    <cellStyle name="Output 2 4 4 3 4" xfId="33178"/>
    <cellStyle name="Output 2 4 4 3 5" xfId="33179"/>
    <cellStyle name="Output 2 4 4 3 6" xfId="33180"/>
    <cellStyle name="Output 2 4 4 4" xfId="33181"/>
    <cellStyle name="Output 2 4 4 4 2" xfId="33182"/>
    <cellStyle name="Output 2 4 4 4 3" xfId="33183"/>
    <cellStyle name="Output 2 4 4 4 4" xfId="33184"/>
    <cellStyle name="Output 2 4 4 5" xfId="33185"/>
    <cellStyle name="Output 2 4 4 6" xfId="33186"/>
    <cellStyle name="Output 2 4 4 7" xfId="33187"/>
    <cellStyle name="Output 2 4 4 8" xfId="33188"/>
    <cellStyle name="Output 2 4 40" xfId="55636"/>
    <cellStyle name="Output 2 4 5" xfId="880"/>
    <cellStyle name="Output 2 4 5 2" xfId="881"/>
    <cellStyle name="Output 2 4 5 2 2" xfId="33189"/>
    <cellStyle name="Output 2 4 5 2 3" xfId="33190"/>
    <cellStyle name="Output 2 4 5 2 4" xfId="33191"/>
    <cellStyle name="Output 2 4 5 3" xfId="882"/>
    <cellStyle name="Output 2 4 5 3 2" xfId="33192"/>
    <cellStyle name="Output 2 4 5 3 3" xfId="33193"/>
    <cellStyle name="Output 2 4 5 3 4" xfId="33194"/>
    <cellStyle name="Output 2 4 5 4" xfId="33195"/>
    <cellStyle name="Output 2 4 5 5" xfId="33196"/>
    <cellStyle name="Output 2 4 5 6" xfId="33197"/>
    <cellStyle name="Output 2 4 5 7" xfId="33198"/>
    <cellStyle name="Output 2 4 6" xfId="883"/>
    <cellStyle name="Output 2 4 6 2" xfId="884"/>
    <cellStyle name="Output 2 4 6 2 2" xfId="33199"/>
    <cellStyle name="Output 2 4 6 2 3" xfId="33200"/>
    <cellStyle name="Output 2 4 6 2 4" xfId="33201"/>
    <cellStyle name="Output 2 4 6 3" xfId="885"/>
    <cellStyle name="Output 2 4 6 3 2" xfId="33202"/>
    <cellStyle name="Output 2 4 6 3 3" xfId="33203"/>
    <cellStyle name="Output 2 4 6 3 4" xfId="33204"/>
    <cellStyle name="Output 2 4 6 4" xfId="33205"/>
    <cellStyle name="Output 2 4 6 5" xfId="33206"/>
    <cellStyle name="Output 2 4 6 6" xfId="33207"/>
    <cellStyle name="Output 2 4 6 7" xfId="33208"/>
    <cellStyle name="Output 2 4 7" xfId="886"/>
    <cellStyle name="Output 2 4 7 2" xfId="887"/>
    <cellStyle name="Output 2 4 7 2 2" xfId="33209"/>
    <cellStyle name="Output 2 4 7 2 3" xfId="33210"/>
    <cellStyle name="Output 2 4 7 2 4" xfId="33211"/>
    <cellStyle name="Output 2 4 7 3" xfId="888"/>
    <cellStyle name="Output 2 4 7 3 2" xfId="33212"/>
    <cellStyle name="Output 2 4 7 3 3" xfId="33213"/>
    <cellStyle name="Output 2 4 7 3 4" xfId="33214"/>
    <cellStyle name="Output 2 4 7 4" xfId="33215"/>
    <cellStyle name="Output 2 4 7 5" xfId="33216"/>
    <cellStyle name="Output 2 4 7 6" xfId="33217"/>
    <cellStyle name="Output 2 4 7 7" xfId="33218"/>
    <cellStyle name="Output 2 4 8" xfId="889"/>
    <cellStyle name="Output 2 4 8 2" xfId="890"/>
    <cellStyle name="Output 2 4 8 2 2" xfId="33219"/>
    <cellStyle name="Output 2 4 8 2 3" xfId="33220"/>
    <cellStyle name="Output 2 4 8 2 4" xfId="33221"/>
    <cellStyle name="Output 2 4 8 3" xfId="891"/>
    <cellStyle name="Output 2 4 8 4" xfId="33222"/>
    <cellStyle name="Output 2 4 8 5" xfId="33223"/>
    <cellStyle name="Output 2 4 8 6" xfId="33224"/>
    <cellStyle name="Output 2 4 9" xfId="892"/>
    <cellStyle name="Output 2 4 9 2" xfId="893"/>
    <cellStyle name="Output 2 4 9 3" xfId="894"/>
    <cellStyle name="Output 2 4 9 4" xfId="33225"/>
    <cellStyle name="Output 2 4 9 5" xfId="33226"/>
    <cellStyle name="Output 2 40" xfId="33227"/>
    <cellStyle name="Output 2 41" xfId="33228"/>
    <cellStyle name="Output 2 42" xfId="55637"/>
    <cellStyle name="Output 2 43" xfId="55638"/>
    <cellStyle name="Output 2 44" xfId="55639"/>
    <cellStyle name="Output 2 45" xfId="55640"/>
    <cellStyle name="Output 2 46" xfId="55641"/>
    <cellStyle name="Output 2 47" xfId="55642"/>
    <cellStyle name="Output 2 48" xfId="55643"/>
    <cellStyle name="Output 2 49" xfId="55644"/>
    <cellStyle name="Output 2 5" xfId="895"/>
    <cellStyle name="Output 2 5 10" xfId="33229"/>
    <cellStyle name="Output 2 5 10 2" xfId="33230"/>
    <cellStyle name="Output 2 5 10 3" xfId="33231"/>
    <cellStyle name="Output 2 5 10 4" xfId="33232"/>
    <cellStyle name="Output 2 5 11" xfId="33233"/>
    <cellStyle name="Output 2 5 11 2" xfId="33234"/>
    <cellStyle name="Output 2 5 11 3" xfId="33235"/>
    <cellStyle name="Output 2 5 11 4" xfId="33236"/>
    <cellStyle name="Output 2 5 12" xfId="33237"/>
    <cellStyle name="Output 2 5 12 2" xfId="33238"/>
    <cellStyle name="Output 2 5 12 3" xfId="33239"/>
    <cellStyle name="Output 2 5 12 4" xfId="33240"/>
    <cellStyle name="Output 2 5 13" xfId="33241"/>
    <cellStyle name="Output 2 5 14" xfId="33242"/>
    <cellStyle name="Output 2 5 15" xfId="33243"/>
    <cellStyle name="Output 2 5 16" xfId="33244"/>
    <cellStyle name="Output 2 5 17" xfId="33245"/>
    <cellStyle name="Output 2 5 18" xfId="33246"/>
    <cellStyle name="Output 2 5 19" xfId="33247"/>
    <cellStyle name="Output 2 5 2" xfId="896"/>
    <cellStyle name="Output 2 5 2 10" xfId="33248"/>
    <cellStyle name="Output 2 5 2 11" xfId="33249"/>
    <cellStyle name="Output 2 5 2 12" xfId="33250"/>
    <cellStyle name="Output 2 5 2 2" xfId="33251"/>
    <cellStyle name="Output 2 5 2 2 10" xfId="33252"/>
    <cellStyle name="Output 2 5 2 2 11" xfId="33253"/>
    <cellStyle name="Output 2 5 2 2 2" xfId="33254"/>
    <cellStyle name="Output 2 5 2 2 2 2" xfId="33255"/>
    <cellStyle name="Output 2 5 2 2 2 2 2" xfId="33256"/>
    <cellStyle name="Output 2 5 2 2 2 2 2 2" xfId="33257"/>
    <cellStyle name="Output 2 5 2 2 2 2 2 3" xfId="33258"/>
    <cellStyle name="Output 2 5 2 2 2 2 2 4" xfId="33259"/>
    <cellStyle name="Output 2 5 2 2 2 2 3" xfId="33260"/>
    <cellStyle name="Output 2 5 2 2 2 2 4" xfId="33261"/>
    <cellStyle name="Output 2 5 2 2 2 2 5" xfId="33262"/>
    <cellStyle name="Output 2 5 2 2 2 2 6" xfId="33263"/>
    <cellStyle name="Output 2 5 2 2 2 3" xfId="33264"/>
    <cellStyle name="Output 2 5 2 2 2 3 2" xfId="33265"/>
    <cellStyle name="Output 2 5 2 2 2 3 2 2" xfId="33266"/>
    <cellStyle name="Output 2 5 2 2 2 3 2 3" xfId="33267"/>
    <cellStyle name="Output 2 5 2 2 2 3 2 4" xfId="33268"/>
    <cellStyle name="Output 2 5 2 2 2 3 3" xfId="33269"/>
    <cellStyle name="Output 2 5 2 2 2 3 4" xfId="33270"/>
    <cellStyle name="Output 2 5 2 2 2 3 5" xfId="33271"/>
    <cellStyle name="Output 2 5 2 2 2 3 6" xfId="33272"/>
    <cellStyle name="Output 2 5 2 2 2 4" xfId="33273"/>
    <cellStyle name="Output 2 5 2 2 2 4 2" xfId="33274"/>
    <cellStyle name="Output 2 5 2 2 2 4 3" xfId="33275"/>
    <cellStyle name="Output 2 5 2 2 2 4 4" xfId="33276"/>
    <cellStyle name="Output 2 5 2 2 2 5" xfId="33277"/>
    <cellStyle name="Output 2 5 2 2 2 6" xfId="33278"/>
    <cellStyle name="Output 2 5 2 2 2 7" xfId="33279"/>
    <cellStyle name="Output 2 5 2 2 2 8" xfId="33280"/>
    <cellStyle name="Output 2 5 2 2 3" xfId="33281"/>
    <cellStyle name="Output 2 5 2 2 3 2" xfId="33282"/>
    <cellStyle name="Output 2 5 2 2 3 2 2" xfId="33283"/>
    <cellStyle name="Output 2 5 2 2 3 2 3" xfId="33284"/>
    <cellStyle name="Output 2 5 2 2 3 2 4" xfId="33285"/>
    <cellStyle name="Output 2 5 2 2 3 3" xfId="33286"/>
    <cellStyle name="Output 2 5 2 2 3 4" xfId="33287"/>
    <cellStyle name="Output 2 5 2 2 3 5" xfId="33288"/>
    <cellStyle name="Output 2 5 2 2 3 6" xfId="33289"/>
    <cellStyle name="Output 2 5 2 2 4" xfId="33290"/>
    <cellStyle name="Output 2 5 2 2 4 2" xfId="33291"/>
    <cellStyle name="Output 2 5 2 2 4 3" xfId="33292"/>
    <cellStyle name="Output 2 5 2 2 4 4" xfId="33293"/>
    <cellStyle name="Output 2 5 2 2 4 5" xfId="33294"/>
    <cellStyle name="Output 2 5 2 2 5" xfId="33295"/>
    <cellStyle name="Output 2 5 2 2 5 2" xfId="33296"/>
    <cellStyle name="Output 2 5 2 2 5 3" xfId="33297"/>
    <cellStyle name="Output 2 5 2 2 5 4" xfId="33298"/>
    <cellStyle name="Output 2 5 2 2 6" xfId="33299"/>
    <cellStyle name="Output 2 5 2 2 6 2" xfId="33300"/>
    <cellStyle name="Output 2 5 2 2 6 3" xfId="33301"/>
    <cellStyle name="Output 2 5 2 2 6 4" xfId="33302"/>
    <cellStyle name="Output 2 5 2 2 7" xfId="33303"/>
    <cellStyle name="Output 2 5 2 2 7 2" xfId="33304"/>
    <cellStyle name="Output 2 5 2 2 7 3" xfId="33305"/>
    <cellStyle name="Output 2 5 2 2 7 4" xfId="33306"/>
    <cellStyle name="Output 2 5 2 2 8" xfId="33307"/>
    <cellStyle name="Output 2 5 2 2 9" xfId="33308"/>
    <cellStyle name="Output 2 5 2 3" xfId="33309"/>
    <cellStyle name="Output 2 5 2 3 2" xfId="33310"/>
    <cellStyle name="Output 2 5 2 3 2 2" xfId="33311"/>
    <cellStyle name="Output 2 5 2 3 2 2 2" xfId="33312"/>
    <cellStyle name="Output 2 5 2 3 2 2 3" xfId="33313"/>
    <cellStyle name="Output 2 5 2 3 2 2 4" xfId="33314"/>
    <cellStyle name="Output 2 5 2 3 2 3" xfId="33315"/>
    <cellStyle name="Output 2 5 2 3 2 4" xfId="33316"/>
    <cellStyle name="Output 2 5 2 3 2 5" xfId="33317"/>
    <cellStyle name="Output 2 5 2 3 2 6" xfId="33318"/>
    <cellStyle name="Output 2 5 2 3 3" xfId="33319"/>
    <cellStyle name="Output 2 5 2 3 3 2" xfId="33320"/>
    <cellStyle name="Output 2 5 2 3 3 2 2" xfId="33321"/>
    <cellStyle name="Output 2 5 2 3 3 2 3" xfId="33322"/>
    <cellStyle name="Output 2 5 2 3 3 2 4" xfId="33323"/>
    <cellStyle name="Output 2 5 2 3 3 3" xfId="33324"/>
    <cellStyle name="Output 2 5 2 3 3 4" xfId="33325"/>
    <cellStyle name="Output 2 5 2 3 3 5" xfId="33326"/>
    <cellStyle name="Output 2 5 2 3 3 6" xfId="33327"/>
    <cellStyle name="Output 2 5 2 3 4" xfId="33328"/>
    <cellStyle name="Output 2 5 2 3 4 2" xfId="33329"/>
    <cellStyle name="Output 2 5 2 3 4 3" xfId="33330"/>
    <cellStyle name="Output 2 5 2 3 4 4" xfId="33331"/>
    <cellStyle name="Output 2 5 2 3 5" xfId="33332"/>
    <cellStyle name="Output 2 5 2 3 6" xfId="33333"/>
    <cellStyle name="Output 2 5 2 3 7" xfId="33334"/>
    <cellStyle name="Output 2 5 2 3 8" xfId="33335"/>
    <cellStyle name="Output 2 5 2 4" xfId="33336"/>
    <cellStyle name="Output 2 5 2 4 2" xfId="33337"/>
    <cellStyle name="Output 2 5 2 4 2 2" xfId="33338"/>
    <cellStyle name="Output 2 5 2 4 2 3" xfId="33339"/>
    <cellStyle name="Output 2 5 2 4 2 4" xfId="33340"/>
    <cellStyle name="Output 2 5 2 4 3" xfId="33341"/>
    <cellStyle name="Output 2 5 2 4 4" xfId="33342"/>
    <cellStyle name="Output 2 5 2 4 5" xfId="33343"/>
    <cellStyle name="Output 2 5 2 4 6" xfId="33344"/>
    <cellStyle name="Output 2 5 2 5" xfId="33345"/>
    <cellStyle name="Output 2 5 2 5 2" xfId="33346"/>
    <cellStyle name="Output 2 5 2 5 3" xfId="33347"/>
    <cellStyle name="Output 2 5 2 5 4" xfId="33348"/>
    <cellStyle name="Output 2 5 2 5 5" xfId="33349"/>
    <cellStyle name="Output 2 5 2 6" xfId="33350"/>
    <cellStyle name="Output 2 5 2 6 2" xfId="33351"/>
    <cellStyle name="Output 2 5 2 6 3" xfId="33352"/>
    <cellStyle name="Output 2 5 2 6 4" xfId="33353"/>
    <cellStyle name="Output 2 5 2 7" xfId="33354"/>
    <cellStyle name="Output 2 5 2 7 2" xfId="33355"/>
    <cellStyle name="Output 2 5 2 7 3" xfId="33356"/>
    <cellStyle name="Output 2 5 2 7 4" xfId="33357"/>
    <cellStyle name="Output 2 5 2 8" xfId="33358"/>
    <cellStyle name="Output 2 5 2 8 2" xfId="33359"/>
    <cellStyle name="Output 2 5 2 8 3" xfId="33360"/>
    <cellStyle name="Output 2 5 2 8 4" xfId="33361"/>
    <cellStyle name="Output 2 5 2 9" xfId="33362"/>
    <cellStyle name="Output 2 5 20" xfId="33363"/>
    <cellStyle name="Output 2 5 21" xfId="33364"/>
    <cellStyle name="Output 2 5 22" xfId="33365"/>
    <cellStyle name="Output 2 5 23" xfId="33366"/>
    <cellStyle name="Output 2 5 24" xfId="33367"/>
    <cellStyle name="Output 2 5 25" xfId="33368"/>
    <cellStyle name="Output 2 5 26" xfId="33369"/>
    <cellStyle name="Output 2 5 27" xfId="33370"/>
    <cellStyle name="Output 2 5 28" xfId="33371"/>
    <cellStyle name="Output 2 5 29" xfId="55645"/>
    <cellStyle name="Output 2 5 3" xfId="897"/>
    <cellStyle name="Output 2 5 3 10" xfId="33372"/>
    <cellStyle name="Output 2 5 3 11" xfId="33373"/>
    <cellStyle name="Output 2 5 3 2" xfId="33374"/>
    <cellStyle name="Output 2 5 3 2 2" xfId="33375"/>
    <cellStyle name="Output 2 5 3 2 2 2" xfId="33376"/>
    <cellStyle name="Output 2 5 3 2 2 2 2" xfId="33377"/>
    <cellStyle name="Output 2 5 3 2 2 2 3" xfId="33378"/>
    <cellStyle name="Output 2 5 3 2 2 2 4" xfId="33379"/>
    <cellStyle name="Output 2 5 3 2 2 3" xfId="33380"/>
    <cellStyle name="Output 2 5 3 2 2 4" xfId="33381"/>
    <cellStyle name="Output 2 5 3 2 2 5" xfId="33382"/>
    <cellStyle name="Output 2 5 3 2 2 6" xfId="33383"/>
    <cellStyle name="Output 2 5 3 2 3" xfId="33384"/>
    <cellStyle name="Output 2 5 3 2 3 2" xfId="33385"/>
    <cellStyle name="Output 2 5 3 2 3 2 2" xfId="33386"/>
    <cellStyle name="Output 2 5 3 2 3 2 3" xfId="33387"/>
    <cellStyle name="Output 2 5 3 2 3 2 4" xfId="33388"/>
    <cellStyle name="Output 2 5 3 2 3 3" xfId="33389"/>
    <cellStyle name="Output 2 5 3 2 3 4" xfId="33390"/>
    <cellStyle name="Output 2 5 3 2 3 5" xfId="33391"/>
    <cellStyle name="Output 2 5 3 2 3 6" xfId="33392"/>
    <cellStyle name="Output 2 5 3 2 4" xfId="33393"/>
    <cellStyle name="Output 2 5 3 2 4 2" xfId="33394"/>
    <cellStyle name="Output 2 5 3 2 4 3" xfId="33395"/>
    <cellStyle name="Output 2 5 3 2 4 4" xfId="33396"/>
    <cellStyle name="Output 2 5 3 2 5" xfId="33397"/>
    <cellStyle name="Output 2 5 3 2 6" xfId="33398"/>
    <cellStyle name="Output 2 5 3 2 7" xfId="33399"/>
    <cellStyle name="Output 2 5 3 2 8" xfId="33400"/>
    <cellStyle name="Output 2 5 3 3" xfId="33401"/>
    <cellStyle name="Output 2 5 3 3 2" xfId="33402"/>
    <cellStyle name="Output 2 5 3 3 2 2" xfId="33403"/>
    <cellStyle name="Output 2 5 3 3 2 3" xfId="33404"/>
    <cellStyle name="Output 2 5 3 3 2 4" xfId="33405"/>
    <cellStyle name="Output 2 5 3 3 3" xfId="33406"/>
    <cellStyle name="Output 2 5 3 3 4" xfId="33407"/>
    <cellStyle name="Output 2 5 3 3 5" xfId="33408"/>
    <cellStyle name="Output 2 5 3 3 6" xfId="33409"/>
    <cellStyle name="Output 2 5 3 4" xfId="33410"/>
    <cellStyle name="Output 2 5 3 4 2" xfId="33411"/>
    <cellStyle name="Output 2 5 3 4 3" xfId="33412"/>
    <cellStyle name="Output 2 5 3 4 4" xfId="33413"/>
    <cellStyle name="Output 2 5 3 4 5" xfId="33414"/>
    <cellStyle name="Output 2 5 3 5" xfId="33415"/>
    <cellStyle name="Output 2 5 3 5 2" xfId="33416"/>
    <cellStyle name="Output 2 5 3 5 3" xfId="33417"/>
    <cellStyle name="Output 2 5 3 5 4" xfId="33418"/>
    <cellStyle name="Output 2 5 3 6" xfId="33419"/>
    <cellStyle name="Output 2 5 3 6 2" xfId="33420"/>
    <cellStyle name="Output 2 5 3 6 3" xfId="33421"/>
    <cellStyle name="Output 2 5 3 6 4" xfId="33422"/>
    <cellStyle name="Output 2 5 3 7" xfId="33423"/>
    <cellStyle name="Output 2 5 3 7 2" xfId="33424"/>
    <cellStyle name="Output 2 5 3 7 3" xfId="33425"/>
    <cellStyle name="Output 2 5 3 7 4" xfId="33426"/>
    <cellStyle name="Output 2 5 3 8" xfId="33427"/>
    <cellStyle name="Output 2 5 3 9" xfId="33428"/>
    <cellStyle name="Output 2 5 30" xfId="55646"/>
    <cellStyle name="Output 2 5 31" xfId="55647"/>
    <cellStyle name="Output 2 5 32" xfId="55648"/>
    <cellStyle name="Output 2 5 33" xfId="55649"/>
    <cellStyle name="Output 2 5 34" xfId="55650"/>
    <cellStyle name="Output 2 5 35" xfId="55651"/>
    <cellStyle name="Output 2 5 36" xfId="55652"/>
    <cellStyle name="Output 2 5 37" xfId="55653"/>
    <cellStyle name="Output 2 5 38" xfId="55654"/>
    <cellStyle name="Output 2 5 39" xfId="55655"/>
    <cellStyle name="Output 2 5 4" xfId="33429"/>
    <cellStyle name="Output 2 5 4 2" xfId="33430"/>
    <cellStyle name="Output 2 5 4 2 2" xfId="33431"/>
    <cellStyle name="Output 2 5 4 2 2 2" xfId="33432"/>
    <cellStyle name="Output 2 5 4 2 2 3" xfId="33433"/>
    <cellStyle name="Output 2 5 4 2 2 4" xfId="33434"/>
    <cellStyle name="Output 2 5 4 2 3" xfId="33435"/>
    <cellStyle name="Output 2 5 4 2 4" xfId="33436"/>
    <cellStyle name="Output 2 5 4 2 5" xfId="33437"/>
    <cellStyle name="Output 2 5 4 2 6" xfId="33438"/>
    <cellStyle name="Output 2 5 4 3" xfId="33439"/>
    <cellStyle name="Output 2 5 4 3 2" xfId="33440"/>
    <cellStyle name="Output 2 5 4 3 2 2" xfId="33441"/>
    <cellStyle name="Output 2 5 4 3 2 3" xfId="33442"/>
    <cellStyle name="Output 2 5 4 3 2 4" xfId="33443"/>
    <cellStyle name="Output 2 5 4 3 3" xfId="33444"/>
    <cellStyle name="Output 2 5 4 3 4" xfId="33445"/>
    <cellStyle name="Output 2 5 4 3 5" xfId="33446"/>
    <cellStyle name="Output 2 5 4 3 6" xfId="33447"/>
    <cellStyle name="Output 2 5 4 4" xfId="33448"/>
    <cellStyle name="Output 2 5 4 4 2" xfId="33449"/>
    <cellStyle name="Output 2 5 4 4 3" xfId="33450"/>
    <cellStyle name="Output 2 5 4 4 4" xfId="33451"/>
    <cellStyle name="Output 2 5 4 5" xfId="33452"/>
    <cellStyle name="Output 2 5 4 6" xfId="33453"/>
    <cellStyle name="Output 2 5 4 7" xfId="33454"/>
    <cellStyle name="Output 2 5 4 8" xfId="33455"/>
    <cellStyle name="Output 2 5 40" xfId="55656"/>
    <cellStyle name="Output 2 5 5" xfId="33456"/>
    <cellStyle name="Output 2 5 5 2" xfId="33457"/>
    <cellStyle name="Output 2 5 5 2 2" xfId="33458"/>
    <cellStyle name="Output 2 5 5 2 3" xfId="33459"/>
    <cellStyle name="Output 2 5 5 2 4" xfId="33460"/>
    <cellStyle name="Output 2 5 5 3" xfId="33461"/>
    <cellStyle name="Output 2 5 5 3 2" xfId="33462"/>
    <cellStyle name="Output 2 5 5 3 3" xfId="33463"/>
    <cellStyle name="Output 2 5 5 3 4" xfId="33464"/>
    <cellStyle name="Output 2 5 5 4" xfId="33465"/>
    <cellStyle name="Output 2 5 5 5" xfId="33466"/>
    <cellStyle name="Output 2 5 5 6" xfId="33467"/>
    <cellStyle name="Output 2 5 5 7" xfId="33468"/>
    <cellStyle name="Output 2 5 6" xfId="33469"/>
    <cellStyle name="Output 2 5 6 2" xfId="33470"/>
    <cellStyle name="Output 2 5 6 2 2" xfId="33471"/>
    <cellStyle name="Output 2 5 6 2 3" xfId="33472"/>
    <cellStyle name="Output 2 5 6 2 4" xfId="33473"/>
    <cellStyle name="Output 2 5 6 3" xfId="33474"/>
    <cellStyle name="Output 2 5 6 3 2" xfId="33475"/>
    <cellStyle name="Output 2 5 6 3 3" xfId="33476"/>
    <cellStyle name="Output 2 5 6 3 4" xfId="33477"/>
    <cellStyle name="Output 2 5 6 4" xfId="33478"/>
    <cellStyle name="Output 2 5 6 5" xfId="33479"/>
    <cellStyle name="Output 2 5 6 6" xfId="33480"/>
    <cellStyle name="Output 2 5 6 7" xfId="33481"/>
    <cellStyle name="Output 2 5 7" xfId="33482"/>
    <cellStyle name="Output 2 5 7 2" xfId="33483"/>
    <cellStyle name="Output 2 5 7 2 2" xfId="33484"/>
    <cellStyle name="Output 2 5 7 2 3" xfId="33485"/>
    <cellStyle name="Output 2 5 7 2 4" xfId="33486"/>
    <cellStyle name="Output 2 5 7 3" xfId="33487"/>
    <cellStyle name="Output 2 5 7 3 2" xfId="33488"/>
    <cellStyle name="Output 2 5 7 3 3" xfId="33489"/>
    <cellStyle name="Output 2 5 7 3 4" xfId="33490"/>
    <cellStyle name="Output 2 5 7 4" xfId="33491"/>
    <cellStyle name="Output 2 5 7 5" xfId="33492"/>
    <cellStyle name="Output 2 5 7 6" xfId="33493"/>
    <cellStyle name="Output 2 5 7 7" xfId="33494"/>
    <cellStyle name="Output 2 5 8" xfId="33495"/>
    <cellStyle name="Output 2 5 8 2" xfId="33496"/>
    <cellStyle name="Output 2 5 8 2 2" xfId="33497"/>
    <cellStyle name="Output 2 5 8 2 3" xfId="33498"/>
    <cellStyle name="Output 2 5 8 2 4" xfId="33499"/>
    <cellStyle name="Output 2 5 8 3" xfId="33500"/>
    <cellStyle name="Output 2 5 8 4" xfId="33501"/>
    <cellStyle name="Output 2 5 8 5" xfId="33502"/>
    <cellStyle name="Output 2 5 8 6" xfId="33503"/>
    <cellStyle name="Output 2 5 9" xfId="33504"/>
    <cellStyle name="Output 2 5 9 2" xfId="33505"/>
    <cellStyle name="Output 2 5 9 3" xfId="33506"/>
    <cellStyle name="Output 2 5 9 4" xfId="33507"/>
    <cellStyle name="Output 2 5 9 5" xfId="33508"/>
    <cellStyle name="Output 2 50" xfId="55657"/>
    <cellStyle name="Output 2 51" xfId="55658"/>
    <cellStyle name="Output 2 52" xfId="55659"/>
    <cellStyle name="Output 2 53" xfId="55660"/>
    <cellStyle name="Output 2 54" xfId="55661"/>
    <cellStyle name="Output 2 55" xfId="55662"/>
    <cellStyle name="Output 2 56" xfId="55663"/>
    <cellStyle name="Output 2 57" xfId="55664"/>
    <cellStyle name="Output 2 6" xfId="898"/>
    <cellStyle name="Output 2 6 10" xfId="33509"/>
    <cellStyle name="Output 2 6 10 2" xfId="33510"/>
    <cellStyle name="Output 2 6 10 3" xfId="33511"/>
    <cellStyle name="Output 2 6 10 4" xfId="33512"/>
    <cellStyle name="Output 2 6 11" xfId="33513"/>
    <cellStyle name="Output 2 6 11 2" xfId="33514"/>
    <cellStyle name="Output 2 6 11 3" xfId="33515"/>
    <cellStyle name="Output 2 6 11 4" xfId="33516"/>
    <cellStyle name="Output 2 6 12" xfId="33517"/>
    <cellStyle name="Output 2 6 12 2" xfId="33518"/>
    <cellStyle name="Output 2 6 12 3" xfId="33519"/>
    <cellStyle name="Output 2 6 12 4" xfId="33520"/>
    <cellStyle name="Output 2 6 13" xfId="33521"/>
    <cellStyle name="Output 2 6 14" xfId="33522"/>
    <cellStyle name="Output 2 6 15" xfId="33523"/>
    <cellStyle name="Output 2 6 16" xfId="33524"/>
    <cellStyle name="Output 2 6 17" xfId="33525"/>
    <cellStyle name="Output 2 6 18" xfId="33526"/>
    <cellStyle name="Output 2 6 19" xfId="33527"/>
    <cellStyle name="Output 2 6 2" xfId="899"/>
    <cellStyle name="Output 2 6 2 10" xfId="33528"/>
    <cellStyle name="Output 2 6 2 11" xfId="33529"/>
    <cellStyle name="Output 2 6 2 12" xfId="33530"/>
    <cellStyle name="Output 2 6 2 2" xfId="33531"/>
    <cellStyle name="Output 2 6 2 2 10" xfId="33532"/>
    <cellStyle name="Output 2 6 2 2 11" xfId="33533"/>
    <cellStyle name="Output 2 6 2 2 2" xfId="33534"/>
    <cellStyle name="Output 2 6 2 2 2 2" xfId="33535"/>
    <cellStyle name="Output 2 6 2 2 2 2 2" xfId="33536"/>
    <cellStyle name="Output 2 6 2 2 2 2 2 2" xfId="33537"/>
    <cellStyle name="Output 2 6 2 2 2 2 2 3" xfId="33538"/>
    <cellStyle name="Output 2 6 2 2 2 2 2 4" xfId="33539"/>
    <cellStyle name="Output 2 6 2 2 2 2 3" xfId="33540"/>
    <cellStyle name="Output 2 6 2 2 2 2 4" xfId="33541"/>
    <cellStyle name="Output 2 6 2 2 2 2 5" xfId="33542"/>
    <cellStyle name="Output 2 6 2 2 2 2 6" xfId="33543"/>
    <cellStyle name="Output 2 6 2 2 2 3" xfId="33544"/>
    <cellStyle name="Output 2 6 2 2 2 3 2" xfId="33545"/>
    <cellStyle name="Output 2 6 2 2 2 3 2 2" xfId="33546"/>
    <cellStyle name="Output 2 6 2 2 2 3 2 3" xfId="33547"/>
    <cellStyle name="Output 2 6 2 2 2 3 2 4" xfId="33548"/>
    <cellStyle name="Output 2 6 2 2 2 3 3" xfId="33549"/>
    <cellStyle name="Output 2 6 2 2 2 3 4" xfId="33550"/>
    <cellStyle name="Output 2 6 2 2 2 3 5" xfId="33551"/>
    <cellStyle name="Output 2 6 2 2 2 3 6" xfId="33552"/>
    <cellStyle name="Output 2 6 2 2 2 4" xfId="33553"/>
    <cellStyle name="Output 2 6 2 2 2 4 2" xfId="33554"/>
    <cellStyle name="Output 2 6 2 2 2 4 3" xfId="33555"/>
    <cellStyle name="Output 2 6 2 2 2 4 4" xfId="33556"/>
    <cellStyle name="Output 2 6 2 2 2 5" xfId="33557"/>
    <cellStyle name="Output 2 6 2 2 2 6" xfId="33558"/>
    <cellStyle name="Output 2 6 2 2 2 7" xfId="33559"/>
    <cellStyle name="Output 2 6 2 2 2 8" xfId="33560"/>
    <cellStyle name="Output 2 6 2 2 3" xfId="33561"/>
    <cellStyle name="Output 2 6 2 2 3 2" xfId="33562"/>
    <cellStyle name="Output 2 6 2 2 3 2 2" xfId="33563"/>
    <cellStyle name="Output 2 6 2 2 3 2 3" xfId="33564"/>
    <cellStyle name="Output 2 6 2 2 3 2 4" xfId="33565"/>
    <cellStyle name="Output 2 6 2 2 3 3" xfId="33566"/>
    <cellStyle name="Output 2 6 2 2 3 4" xfId="33567"/>
    <cellStyle name="Output 2 6 2 2 3 5" xfId="33568"/>
    <cellStyle name="Output 2 6 2 2 3 6" xfId="33569"/>
    <cellStyle name="Output 2 6 2 2 4" xfId="33570"/>
    <cellStyle name="Output 2 6 2 2 4 2" xfId="33571"/>
    <cellStyle name="Output 2 6 2 2 4 3" xfId="33572"/>
    <cellStyle name="Output 2 6 2 2 4 4" xfId="33573"/>
    <cellStyle name="Output 2 6 2 2 4 5" xfId="33574"/>
    <cellStyle name="Output 2 6 2 2 5" xfId="33575"/>
    <cellStyle name="Output 2 6 2 2 5 2" xfId="33576"/>
    <cellStyle name="Output 2 6 2 2 5 3" xfId="33577"/>
    <cellStyle name="Output 2 6 2 2 5 4" xfId="33578"/>
    <cellStyle name="Output 2 6 2 2 6" xfId="33579"/>
    <cellStyle name="Output 2 6 2 2 6 2" xfId="33580"/>
    <cellStyle name="Output 2 6 2 2 6 3" xfId="33581"/>
    <cellStyle name="Output 2 6 2 2 6 4" xfId="33582"/>
    <cellStyle name="Output 2 6 2 2 7" xfId="33583"/>
    <cellStyle name="Output 2 6 2 2 7 2" xfId="33584"/>
    <cellStyle name="Output 2 6 2 2 7 3" xfId="33585"/>
    <cellStyle name="Output 2 6 2 2 7 4" xfId="33586"/>
    <cellStyle name="Output 2 6 2 2 8" xfId="33587"/>
    <cellStyle name="Output 2 6 2 2 9" xfId="33588"/>
    <cellStyle name="Output 2 6 2 3" xfId="33589"/>
    <cellStyle name="Output 2 6 2 3 2" xfId="33590"/>
    <cellStyle name="Output 2 6 2 3 2 2" xfId="33591"/>
    <cellStyle name="Output 2 6 2 3 2 2 2" xfId="33592"/>
    <cellStyle name="Output 2 6 2 3 2 2 3" xfId="33593"/>
    <cellStyle name="Output 2 6 2 3 2 2 4" xfId="33594"/>
    <cellStyle name="Output 2 6 2 3 2 3" xfId="33595"/>
    <cellStyle name="Output 2 6 2 3 2 4" xfId="33596"/>
    <cellStyle name="Output 2 6 2 3 2 5" xfId="33597"/>
    <cellStyle name="Output 2 6 2 3 2 6" xfId="33598"/>
    <cellStyle name="Output 2 6 2 3 3" xfId="33599"/>
    <cellStyle name="Output 2 6 2 3 3 2" xfId="33600"/>
    <cellStyle name="Output 2 6 2 3 3 2 2" xfId="33601"/>
    <cellStyle name="Output 2 6 2 3 3 2 3" xfId="33602"/>
    <cellStyle name="Output 2 6 2 3 3 2 4" xfId="33603"/>
    <cellStyle name="Output 2 6 2 3 3 3" xfId="33604"/>
    <cellStyle name="Output 2 6 2 3 3 4" xfId="33605"/>
    <cellStyle name="Output 2 6 2 3 3 5" xfId="33606"/>
    <cellStyle name="Output 2 6 2 3 3 6" xfId="33607"/>
    <cellStyle name="Output 2 6 2 3 4" xfId="33608"/>
    <cellStyle name="Output 2 6 2 3 4 2" xfId="33609"/>
    <cellStyle name="Output 2 6 2 3 4 3" xfId="33610"/>
    <cellStyle name="Output 2 6 2 3 4 4" xfId="33611"/>
    <cellStyle name="Output 2 6 2 3 5" xfId="33612"/>
    <cellStyle name="Output 2 6 2 3 6" xfId="33613"/>
    <cellStyle name="Output 2 6 2 3 7" xfId="33614"/>
    <cellStyle name="Output 2 6 2 3 8" xfId="33615"/>
    <cellStyle name="Output 2 6 2 4" xfId="33616"/>
    <cellStyle name="Output 2 6 2 4 2" xfId="33617"/>
    <cellStyle name="Output 2 6 2 4 2 2" xfId="33618"/>
    <cellStyle name="Output 2 6 2 4 2 3" xfId="33619"/>
    <cellStyle name="Output 2 6 2 4 2 4" xfId="33620"/>
    <cellStyle name="Output 2 6 2 4 3" xfId="33621"/>
    <cellStyle name="Output 2 6 2 4 4" xfId="33622"/>
    <cellStyle name="Output 2 6 2 4 5" xfId="33623"/>
    <cellStyle name="Output 2 6 2 4 6" xfId="33624"/>
    <cellStyle name="Output 2 6 2 5" xfId="33625"/>
    <cellStyle name="Output 2 6 2 5 2" xfId="33626"/>
    <cellStyle name="Output 2 6 2 5 3" xfId="33627"/>
    <cellStyle name="Output 2 6 2 5 4" xfId="33628"/>
    <cellStyle name="Output 2 6 2 5 5" xfId="33629"/>
    <cellStyle name="Output 2 6 2 6" xfId="33630"/>
    <cellStyle name="Output 2 6 2 6 2" xfId="33631"/>
    <cellStyle name="Output 2 6 2 6 3" xfId="33632"/>
    <cellStyle name="Output 2 6 2 6 4" xfId="33633"/>
    <cellStyle name="Output 2 6 2 7" xfId="33634"/>
    <cellStyle name="Output 2 6 2 7 2" xfId="33635"/>
    <cellStyle name="Output 2 6 2 7 3" xfId="33636"/>
    <cellStyle name="Output 2 6 2 7 4" xfId="33637"/>
    <cellStyle name="Output 2 6 2 8" xfId="33638"/>
    <cellStyle name="Output 2 6 2 8 2" xfId="33639"/>
    <cellStyle name="Output 2 6 2 8 3" xfId="33640"/>
    <cellStyle name="Output 2 6 2 8 4" xfId="33641"/>
    <cellStyle name="Output 2 6 2 9" xfId="33642"/>
    <cellStyle name="Output 2 6 20" xfId="33643"/>
    <cellStyle name="Output 2 6 21" xfId="33644"/>
    <cellStyle name="Output 2 6 22" xfId="33645"/>
    <cellStyle name="Output 2 6 23" xfId="33646"/>
    <cellStyle name="Output 2 6 24" xfId="33647"/>
    <cellStyle name="Output 2 6 25" xfId="33648"/>
    <cellStyle name="Output 2 6 26" xfId="33649"/>
    <cellStyle name="Output 2 6 27" xfId="33650"/>
    <cellStyle name="Output 2 6 28" xfId="33651"/>
    <cellStyle name="Output 2 6 29" xfId="55665"/>
    <cellStyle name="Output 2 6 3" xfId="33652"/>
    <cellStyle name="Output 2 6 3 10" xfId="33653"/>
    <cellStyle name="Output 2 6 3 11" xfId="33654"/>
    <cellStyle name="Output 2 6 3 2" xfId="33655"/>
    <cellStyle name="Output 2 6 3 2 2" xfId="33656"/>
    <cellStyle name="Output 2 6 3 2 2 2" xfId="33657"/>
    <cellStyle name="Output 2 6 3 2 2 2 2" xfId="33658"/>
    <cellStyle name="Output 2 6 3 2 2 2 3" xfId="33659"/>
    <cellStyle name="Output 2 6 3 2 2 2 4" xfId="33660"/>
    <cellStyle name="Output 2 6 3 2 2 3" xfId="33661"/>
    <cellStyle name="Output 2 6 3 2 2 4" xfId="33662"/>
    <cellStyle name="Output 2 6 3 2 2 5" xfId="33663"/>
    <cellStyle name="Output 2 6 3 2 2 6" xfId="33664"/>
    <cellStyle name="Output 2 6 3 2 3" xfId="33665"/>
    <cellStyle name="Output 2 6 3 2 3 2" xfId="33666"/>
    <cellStyle name="Output 2 6 3 2 3 2 2" xfId="33667"/>
    <cellStyle name="Output 2 6 3 2 3 2 3" xfId="33668"/>
    <cellStyle name="Output 2 6 3 2 3 2 4" xfId="33669"/>
    <cellStyle name="Output 2 6 3 2 3 3" xfId="33670"/>
    <cellStyle name="Output 2 6 3 2 3 4" xfId="33671"/>
    <cellStyle name="Output 2 6 3 2 3 5" xfId="33672"/>
    <cellStyle name="Output 2 6 3 2 3 6" xfId="33673"/>
    <cellStyle name="Output 2 6 3 2 4" xfId="33674"/>
    <cellStyle name="Output 2 6 3 2 4 2" xfId="33675"/>
    <cellStyle name="Output 2 6 3 2 4 3" xfId="33676"/>
    <cellStyle name="Output 2 6 3 2 4 4" xfId="33677"/>
    <cellStyle name="Output 2 6 3 2 5" xfId="33678"/>
    <cellStyle name="Output 2 6 3 2 6" xfId="33679"/>
    <cellStyle name="Output 2 6 3 2 7" xfId="33680"/>
    <cellStyle name="Output 2 6 3 2 8" xfId="33681"/>
    <cellStyle name="Output 2 6 3 3" xfId="33682"/>
    <cellStyle name="Output 2 6 3 3 2" xfId="33683"/>
    <cellStyle name="Output 2 6 3 3 2 2" xfId="33684"/>
    <cellStyle name="Output 2 6 3 3 2 3" xfId="33685"/>
    <cellStyle name="Output 2 6 3 3 2 4" xfId="33686"/>
    <cellStyle name="Output 2 6 3 3 3" xfId="33687"/>
    <cellStyle name="Output 2 6 3 3 4" xfId="33688"/>
    <cellStyle name="Output 2 6 3 3 5" xfId="33689"/>
    <cellStyle name="Output 2 6 3 3 6" xfId="33690"/>
    <cellStyle name="Output 2 6 3 4" xfId="33691"/>
    <cellStyle name="Output 2 6 3 4 2" xfId="33692"/>
    <cellStyle name="Output 2 6 3 4 3" xfId="33693"/>
    <cellStyle name="Output 2 6 3 4 4" xfId="33694"/>
    <cellStyle name="Output 2 6 3 4 5" xfId="33695"/>
    <cellStyle name="Output 2 6 3 5" xfId="33696"/>
    <cellStyle name="Output 2 6 3 5 2" xfId="33697"/>
    <cellStyle name="Output 2 6 3 5 3" xfId="33698"/>
    <cellStyle name="Output 2 6 3 5 4" xfId="33699"/>
    <cellStyle name="Output 2 6 3 6" xfId="33700"/>
    <cellStyle name="Output 2 6 3 6 2" xfId="33701"/>
    <cellStyle name="Output 2 6 3 6 3" xfId="33702"/>
    <cellStyle name="Output 2 6 3 6 4" xfId="33703"/>
    <cellStyle name="Output 2 6 3 7" xfId="33704"/>
    <cellStyle name="Output 2 6 3 7 2" xfId="33705"/>
    <cellStyle name="Output 2 6 3 7 3" xfId="33706"/>
    <cellStyle name="Output 2 6 3 7 4" xfId="33707"/>
    <cellStyle name="Output 2 6 3 8" xfId="33708"/>
    <cellStyle name="Output 2 6 3 9" xfId="33709"/>
    <cellStyle name="Output 2 6 30" xfId="55666"/>
    <cellStyle name="Output 2 6 31" xfId="55667"/>
    <cellStyle name="Output 2 6 32" xfId="55668"/>
    <cellStyle name="Output 2 6 33" xfId="55669"/>
    <cellStyle name="Output 2 6 34" xfId="55670"/>
    <cellStyle name="Output 2 6 35" xfId="55671"/>
    <cellStyle name="Output 2 6 36" xfId="55672"/>
    <cellStyle name="Output 2 6 37" xfId="55673"/>
    <cellStyle name="Output 2 6 38" xfId="55674"/>
    <cellStyle name="Output 2 6 39" xfId="55675"/>
    <cellStyle name="Output 2 6 4" xfId="33710"/>
    <cellStyle name="Output 2 6 4 2" xfId="33711"/>
    <cellStyle name="Output 2 6 4 2 2" xfId="33712"/>
    <cellStyle name="Output 2 6 4 2 2 2" xfId="33713"/>
    <cellStyle name="Output 2 6 4 2 2 3" xfId="33714"/>
    <cellStyle name="Output 2 6 4 2 2 4" xfId="33715"/>
    <cellStyle name="Output 2 6 4 2 3" xfId="33716"/>
    <cellStyle name="Output 2 6 4 2 4" xfId="33717"/>
    <cellStyle name="Output 2 6 4 2 5" xfId="33718"/>
    <cellStyle name="Output 2 6 4 2 6" xfId="33719"/>
    <cellStyle name="Output 2 6 4 3" xfId="33720"/>
    <cellStyle name="Output 2 6 4 3 2" xfId="33721"/>
    <cellStyle name="Output 2 6 4 3 2 2" xfId="33722"/>
    <cellStyle name="Output 2 6 4 3 2 3" xfId="33723"/>
    <cellStyle name="Output 2 6 4 3 2 4" xfId="33724"/>
    <cellStyle name="Output 2 6 4 3 3" xfId="33725"/>
    <cellStyle name="Output 2 6 4 3 4" xfId="33726"/>
    <cellStyle name="Output 2 6 4 3 5" xfId="33727"/>
    <cellStyle name="Output 2 6 4 3 6" xfId="33728"/>
    <cellStyle name="Output 2 6 4 4" xfId="33729"/>
    <cellStyle name="Output 2 6 4 4 2" xfId="33730"/>
    <cellStyle name="Output 2 6 4 4 3" xfId="33731"/>
    <cellStyle name="Output 2 6 4 4 4" xfId="33732"/>
    <cellStyle name="Output 2 6 4 5" xfId="33733"/>
    <cellStyle name="Output 2 6 4 6" xfId="33734"/>
    <cellStyle name="Output 2 6 4 7" xfId="33735"/>
    <cellStyle name="Output 2 6 4 8" xfId="33736"/>
    <cellStyle name="Output 2 6 40" xfId="55676"/>
    <cellStyle name="Output 2 6 5" xfId="33737"/>
    <cellStyle name="Output 2 6 5 2" xfId="33738"/>
    <cellStyle name="Output 2 6 5 2 2" xfId="33739"/>
    <cellStyle name="Output 2 6 5 2 3" xfId="33740"/>
    <cellStyle name="Output 2 6 5 2 4" xfId="33741"/>
    <cellStyle name="Output 2 6 5 3" xfId="33742"/>
    <cellStyle name="Output 2 6 5 3 2" xfId="33743"/>
    <cellStyle name="Output 2 6 5 3 3" xfId="33744"/>
    <cellStyle name="Output 2 6 5 3 4" xfId="33745"/>
    <cellStyle name="Output 2 6 5 4" xfId="33746"/>
    <cellStyle name="Output 2 6 5 5" xfId="33747"/>
    <cellStyle name="Output 2 6 5 6" xfId="33748"/>
    <cellStyle name="Output 2 6 5 7" xfId="33749"/>
    <cellStyle name="Output 2 6 6" xfId="33750"/>
    <cellStyle name="Output 2 6 6 2" xfId="33751"/>
    <cellStyle name="Output 2 6 6 2 2" xfId="33752"/>
    <cellStyle name="Output 2 6 6 2 3" xfId="33753"/>
    <cellStyle name="Output 2 6 6 2 4" xfId="33754"/>
    <cellStyle name="Output 2 6 6 3" xfId="33755"/>
    <cellStyle name="Output 2 6 6 3 2" xfId="33756"/>
    <cellStyle name="Output 2 6 6 3 3" xfId="33757"/>
    <cellStyle name="Output 2 6 6 3 4" xfId="33758"/>
    <cellStyle name="Output 2 6 6 4" xfId="33759"/>
    <cellStyle name="Output 2 6 6 5" xfId="33760"/>
    <cellStyle name="Output 2 6 6 6" xfId="33761"/>
    <cellStyle name="Output 2 6 6 7" xfId="33762"/>
    <cellStyle name="Output 2 6 7" xfId="33763"/>
    <cellStyle name="Output 2 6 7 2" xfId="33764"/>
    <cellStyle name="Output 2 6 7 2 2" xfId="33765"/>
    <cellStyle name="Output 2 6 7 2 3" xfId="33766"/>
    <cellStyle name="Output 2 6 7 2 4" xfId="33767"/>
    <cellStyle name="Output 2 6 7 3" xfId="33768"/>
    <cellStyle name="Output 2 6 7 3 2" xfId="33769"/>
    <cellStyle name="Output 2 6 7 3 3" xfId="33770"/>
    <cellStyle name="Output 2 6 7 3 4" xfId="33771"/>
    <cellStyle name="Output 2 6 7 4" xfId="33772"/>
    <cellStyle name="Output 2 6 7 5" xfId="33773"/>
    <cellStyle name="Output 2 6 7 6" xfId="33774"/>
    <cellStyle name="Output 2 6 7 7" xfId="33775"/>
    <cellStyle name="Output 2 6 8" xfId="33776"/>
    <cellStyle name="Output 2 6 8 2" xfId="33777"/>
    <cellStyle name="Output 2 6 8 2 2" xfId="33778"/>
    <cellStyle name="Output 2 6 8 2 3" xfId="33779"/>
    <cellStyle name="Output 2 6 8 2 4" xfId="33780"/>
    <cellStyle name="Output 2 6 8 3" xfId="33781"/>
    <cellStyle name="Output 2 6 8 4" xfId="33782"/>
    <cellStyle name="Output 2 6 8 5" xfId="33783"/>
    <cellStyle name="Output 2 6 8 6" xfId="33784"/>
    <cellStyle name="Output 2 6 9" xfId="33785"/>
    <cellStyle name="Output 2 6 9 2" xfId="33786"/>
    <cellStyle name="Output 2 6 9 3" xfId="33787"/>
    <cellStyle name="Output 2 6 9 4" xfId="33788"/>
    <cellStyle name="Output 2 6 9 5" xfId="33789"/>
    <cellStyle name="Output 2 7" xfId="900"/>
    <cellStyle name="Output 2 7 10" xfId="33790"/>
    <cellStyle name="Output 2 7 10 2" xfId="33791"/>
    <cellStyle name="Output 2 7 10 3" xfId="33792"/>
    <cellStyle name="Output 2 7 10 4" xfId="33793"/>
    <cellStyle name="Output 2 7 11" xfId="33794"/>
    <cellStyle name="Output 2 7 11 2" xfId="33795"/>
    <cellStyle name="Output 2 7 11 3" xfId="33796"/>
    <cellStyle name="Output 2 7 11 4" xfId="33797"/>
    <cellStyle name="Output 2 7 12" xfId="33798"/>
    <cellStyle name="Output 2 7 12 2" xfId="33799"/>
    <cellStyle name="Output 2 7 12 3" xfId="33800"/>
    <cellStyle name="Output 2 7 12 4" xfId="33801"/>
    <cellStyle name="Output 2 7 13" xfId="33802"/>
    <cellStyle name="Output 2 7 14" xfId="33803"/>
    <cellStyle name="Output 2 7 15" xfId="33804"/>
    <cellStyle name="Output 2 7 16" xfId="33805"/>
    <cellStyle name="Output 2 7 17" xfId="33806"/>
    <cellStyle name="Output 2 7 18" xfId="33807"/>
    <cellStyle name="Output 2 7 19" xfId="33808"/>
    <cellStyle name="Output 2 7 2" xfId="901"/>
    <cellStyle name="Output 2 7 2 10" xfId="33809"/>
    <cellStyle name="Output 2 7 2 11" xfId="33810"/>
    <cellStyle name="Output 2 7 2 12" xfId="33811"/>
    <cellStyle name="Output 2 7 2 2" xfId="33812"/>
    <cellStyle name="Output 2 7 2 2 10" xfId="33813"/>
    <cellStyle name="Output 2 7 2 2 11" xfId="33814"/>
    <cellStyle name="Output 2 7 2 2 2" xfId="33815"/>
    <cellStyle name="Output 2 7 2 2 2 2" xfId="33816"/>
    <cellStyle name="Output 2 7 2 2 2 2 2" xfId="33817"/>
    <cellStyle name="Output 2 7 2 2 2 2 2 2" xfId="33818"/>
    <cellStyle name="Output 2 7 2 2 2 2 2 3" xfId="33819"/>
    <cellStyle name="Output 2 7 2 2 2 2 2 4" xfId="33820"/>
    <cellStyle name="Output 2 7 2 2 2 2 3" xfId="33821"/>
    <cellStyle name="Output 2 7 2 2 2 2 4" xfId="33822"/>
    <cellStyle name="Output 2 7 2 2 2 2 5" xfId="33823"/>
    <cellStyle name="Output 2 7 2 2 2 2 6" xfId="33824"/>
    <cellStyle name="Output 2 7 2 2 2 3" xfId="33825"/>
    <cellStyle name="Output 2 7 2 2 2 3 2" xfId="33826"/>
    <cellStyle name="Output 2 7 2 2 2 3 2 2" xfId="33827"/>
    <cellStyle name="Output 2 7 2 2 2 3 2 3" xfId="33828"/>
    <cellStyle name="Output 2 7 2 2 2 3 2 4" xfId="33829"/>
    <cellStyle name="Output 2 7 2 2 2 3 3" xfId="33830"/>
    <cellStyle name="Output 2 7 2 2 2 3 4" xfId="33831"/>
    <cellStyle name="Output 2 7 2 2 2 3 5" xfId="33832"/>
    <cellStyle name="Output 2 7 2 2 2 3 6" xfId="33833"/>
    <cellStyle name="Output 2 7 2 2 2 4" xfId="33834"/>
    <cellStyle name="Output 2 7 2 2 2 4 2" xfId="33835"/>
    <cellStyle name="Output 2 7 2 2 2 4 3" xfId="33836"/>
    <cellStyle name="Output 2 7 2 2 2 4 4" xfId="33837"/>
    <cellStyle name="Output 2 7 2 2 2 5" xfId="33838"/>
    <cellStyle name="Output 2 7 2 2 2 6" xfId="33839"/>
    <cellStyle name="Output 2 7 2 2 2 7" xfId="33840"/>
    <cellStyle name="Output 2 7 2 2 2 8" xfId="33841"/>
    <cellStyle name="Output 2 7 2 2 3" xfId="33842"/>
    <cellStyle name="Output 2 7 2 2 3 2" xfId="33843"/>
    <cellStyle name="Output 2 7 2 2 3 2 2" xfId="33844"/>
    <cellStyle name="Output 2 7 2 2 3 2 3" xfId="33845"/>
    <cellStyle name="Output 2 7 2 2 3 2 4" xfId="33846"/>
    <cellStyle name="Output 2 7 2 2 3 3" xfId="33847"/>
    <cellStyle name="Output 2 7 2 2 3 4" xfId="33848"/>
    <cellStyle name="Output 2 7 2 2 3 5" xfId="33849"/>
    <cellStyle name="Output 2 7 2 2 3 6" xfId="33850"/>
    <cellStyle name="Output 2 7 2 2 4" xfId="33851"/>
    <cellStyle name="Output 2 7 2 2 4 2" xfId="33852"/>
    <cellStyle name="Output 2 7 2 2 4 3" xfId="33853"/>
    <cellStyle name="Output 2 7 2 2 4 4" xfId="33854"/>
    <cellStyle name="Output 2 7 2 2 4 5" xfId="33855"/>
    <cellStyle name="Output 2 7 2 2 5" xfId="33856"/>
    <cellStyle name="Output 2 7 2 2 5 2" xfId="33857"/>
    <cellStyle name="Output 2 7 2 2 5 3" xfId="33858"/>
    <cellStyle name="Output 2 7 2 2 5 4" xfId="33859"/>
    <cellStyle name="Output 2 7 2 2 6" xfId="33860"/>
    <cellStyle name="Output 2 7 2 2 6 2" xfId="33861"/>
    <cellStyle name="Output 2 7 2 2 6 3" xfId="33862"/>
    <cellStyle name="Output 2 7 2 2 6 4" xfId="33863"/>
    <cellStyle name="Output 2 7 2 2 7" xfId="33864"/>
    <cellStyle name="Output 2 7 2 2 7 2" xfId="33865"/>
    <cellStyle name="Output 2 7 2 2 7 3" xfId="33866"/>
    <cellStyle name="Output 2 7 2 2 7 4" xfId="33867"/>
    <cellStyle name="Output 2 7 2 2 8" xfId="33868"/>
    <cellStyle name="Output 2 7 2 2 9" xfId="33869"/>
    <cellStyle name="Output 2 7 2 3" xfId="33870"/>
    <cellStyle name="Output 2 7 2 3 2" xfId="33871"/>
    <cellStyle name="Output 2 7 2 3 2 2" xfId="33872"/>
    <cellStyle name="Output 2 7 2 3 2 2 2" xfId="33873"/>
    <cellStyle name="Output 2 7 2 3 2 2 3" xfId="33874"/>
    <cellStyle name="Output 2 7 2 3 2 2 4" xfId="33875"/>
    <cellStyle name="Output 2 7 2 3 2 3" xfId="33876"/>
    <cellStyle name="Output 2 7 2 3 2 4" xfId="33877"/>
    <cellStyle name="Output 2 7 2 3 2 5" xfId="33878"/>
    <cellStyle name="Output 2 7 2 3 2 6" xfId="33879"/>
    <cellStyle name="Output 2 7 2 3 3" xfId="33880"/>
    <cellStyle name="Output 2 7 2 3 3 2" xfId="33881"/>
    <cellStyle name="Output 2 7 2 3 3 2 2" xfId="33882"/>
    <cellStyle name="Output 2 7 2 3 3 2 3" xfId="33883"/>
    <cellStyle name="Output 2 7 2 3 3 2 4" xfId="33884"/>
    <cellStyle name="Output 2 7 2 3 3 3" xfId="33885"/>
    <cellStyle name="Output 2 7 2 3 3 4" xfId="33886"/>
    <cellStyle name="Output 2 7 2 3 3 5" xfId="33887"/>
    <cellStyle name="Output 2 7 2 3 3 6" xfId="33888"/>
    <cellStyle name="Output 2 7 2 3 4" xfId="33889"/>
    <cellStyle name="Output 2 7 2 3 4 2" xfId="33890"/>
    <cellStyle name="Output 2 7 2 3 4 3" xfId="33891"/>
    <cellStyle name="Output 2 7 2 3 4 4" xfId="33892"/>
    <cellStyle name="Output 2 7 2 3 5" xfId="33893"/>
    <cellStyle name="Output 2 7 2 3 6" xfId="33894"/>
    <cellStyle name="Output 2 7 2 3 7" xfId="33895"/>
    <cellStyle name="Output 2 7 2 3 8" xfId="33896"/>
    <cellStyle name="Output 2 7 2 4" xfId="33897"/>
    <cellStyle name="Output 2 7 2 4 2" xfId="33898"/>
    <cellStyle name="Output 2 7 2 4 2 2" xfId="33899"/>
    <cellStyle name="Output 2 7 2 4 2 3" xfId="33900"/>
    <cellStyle name="Output 2 7 2 4 2 4" xfId="33901"/>
    <cellStyle name="Output 2 7 2 4 3" xfId="33902"/>
    <cellStyle name="Output 2 7 2 4 4" xfId="33903"/>
    <cellStyle name="Output 2 7 2 4 5" xfId="33904"/>
    <cellStyle name="Output 2 7 2 4 6" xfId="33905"/>
    <cellStyle name="Output 2 7 2 5" xfId="33906"/>
    <cellStyle name="Output 2 7 2 5 2" xfId="33907"/>
    <cellStyle name="Output 2 7 2 5 3" xfId="33908"/>
    <cellStyle name="Output 2 7 2 5 4" xfId="33909"/>
    <cellStyle name="Output 2 7 2 5 5" xfId="33910"/>
    <cellStyle name="Output 2 7 2 6" xfId="33911"/>
    <cellStyle name="Output 2 7 2 6 2" xfId="33912"/>
    <cellStyle name="Output 2 7 2 6 3" xfId="33913"/>
    <cellStyle name="Output 2 7 2 6 4" xfId="33914"/>
    <cellStyle name="Output 2 7 2 7" xfId="33915"/>
    <cellStyle name="Output 2 7 2 7 2" xfId="33916"/>
    <cellStyle name="Output 2 7 2 7 3" xfId="33917"/>
    <cellStyle name="Output 2 7 2 7 4" xfId="33918"/>
    <cellStyle name="Output 2 7 2 8" xfId="33919"/>
    <cellStyle name="Output 2 7 2 8 2" xfId="33920"/>
    <cellStyle name="Output 2 7 2 8 3" xfId="33921"/>
    <cellStyle name="Output 2 7 2 8 4" xfId="33922"/>
    <cellStyle name="Output 2 7 2 9" xfId="33923"/>
    <cellStyle name="Output 2 7 20" xfId="33924"/>
    <cellStyle name="Output 2 7 21" xfId="33925"/>
    <cellStyle name="Output 2 7 22" xfId="33926"/>
    <cellStyle name="Output 2 7 23" xfId="33927"/>
    <cellStyle name="Output 2 7 24" xfId="33928"/>
    <cellStyle name="Output 2 7 25" xfId="33929"/>
    <cellStyle name="Output 2 7 26" xfId="33930"/>
    <cellStyle name="Output 2 7 27" xfId="33931"/>
    <cellStyle name="Output 2 7 28" xfId="33932"/>
    <cellStyle name="Output 2 7 29" xfId="55677"/>
    <cellStyle name="Output 2 7 3" xfId="33933"/>
    <cellStyle name="Output 2 7 3 10" xfId="33934"/>
    <cellStyle name="Output 2 7 3 11" xfId="33935"/>
    <cellStyle name="Output 2 7 3 2" xfId="33936"/>
    <cellStyle name="Output 2 7 3 2 2" xfId="33937"/>
    <cellStyle name="Output 2 7 3 2 2 2" xfId="33938"/>
    <cellStyle name="Output 2 7 3 2 2 2 2" xfId="33939"/>
    <cellStyle name="Output 2 7 3 2 2 2 3" xfId="33940"/>
    <cellStyle name="Output 2 7 3 2 2 2 4" xfId="33941"/>
    <cellStyle name="Output 2 7 3 2 2 3" xfId="33942"/>
    <cellStyle name="Output 2 7 3 2 2 4" xfId="33943"/>
    <cellStyle name="Output 2 7 3 2 2 5" xfId="33944"/>
    <cellStyle name="Output 2 7 3 2 2 6" xfId="33945"/>
    <cellStyle name="Output 2 7 3 2 3" xfId="33946"/>
    <cellStyle name="Output 2 7 3 2 3 2" xfId="33947"/>
    <cellStyle name="Output 2 7 3 2 3 2 2" xfId="33948"/>
    <cellStyle name="Output 2 7 3 2 3 2 3" xfId="33949"/>
    <cellStyle name="Output 2 7 3 2 3 2 4" xfId="33950"/>
    <cellStyle name="Output 2 7 3 2 3 3" xfId="33951"/>
    <cellStyle name="Output 2 7 3 2 3 4" xfId="33952"/>
    <cellStyle name="Output 2 7 3 2 3 5" xfId="33953"/>
    <cellStyle name="Output 2 7 3 2 3 6" xfId="33954"/>
    <cellStyle name="Output 2 7 3 2 4" xfId="33955"/>
    <cellStyle name="Output 2 7 3 2 4 2" xfId="33956"/>
    <cellStyle name="Output 2 7 3 2 4 3" xfId="33957"/>
    <cellStyle name="Output 2 7 3 2 4 4" xfId="33958"/>
    <cellStyle name="Output 2 7 3 2 5" xfId="33959"/>
    <cellStyle name="Output 2 7 3 2 6" xfId="33960"/>
    <cellStyle name="Output 2 7 3 2 7" xfId="33961"/>
    <cellStyle name="Output 2 7 3 2 8" xfId="33962"/>
    <cellStyle name="Output 2 7 3 3" xfId="33963"/>
    <cellStyle name="Output 2 7 3 3 2" xfId="33964"/>
    <cellStyle name="Output 2 7 3 3 2 2" xfId="33965"/>
    <cellStyle name="Output 2 7 3 3 2 3" xfId="33966"/>
    <cellStyle name="Output 2 7 3 3 2 4" xfId="33967"/>
    <cellStyle name="Output 2 7 3 3 3" xfId="33968"/>
    <cellStyle name="Output 2 7 3 3 4" xfId="33969"/>
    <cellStyle name="Output 2 7 3 3 5" xfId="33970"/>
    <cellStyle name="Output 2 7 3 3 6" xfId="33971"/>
    <cellStyle name="Output 2 7 3 4" xfId="33972"/>
    <cellStyle name="Output 2 7 3 4 2" xfId="33973"/>
    <cellStyle name="Output 2 7 3 4 3" xfId="33974"/>
    <cellStyle name="Output 2 7 3 4 4" xfId="33975"/>
    <cellStyle name="Output 2 7 3 4 5" xfId="33976"/>
    <cellStyle name="Output 2 7 3 5" xfId="33977"/>
    <cellStyle name="Output 2 7 3 5 2" xfId="33978"/>
    <cellStyle name="Output 2 7 3 5 3" xfId="33979"/>
    <cellStyle name="Output 2 7 3 5 4" xfId="33980"/>
    <cellStyle name="Output 2 7 3 6" xfId="33981"/>
    <cellStyle name="Output 2 7 3 6 2" xfId="33982"/>
    <cellStyle name="Output 2 7 3 6 3" xfId="33983"/>
    <cellStyle name="Output 2 7 3 6 4" xfId="33984"/>
    <cellStyle name="Output 2 7 3 7" xfId="33985"/>
    <cellStyle name="Output 2 7 3 7 2" xfId="33986"/>
    <cellStyle name="Output 2 7 3 7 3" xfId="33987"/>
    <cellStyle name="Output 2 7 3 7 4" xfId="33988"/>
    <cellStyle name="Output 2 7 3 8" xfId="33989"/>
    <cellStyle name="Output 2 7 3 9" xfId="33990"/>
    <cellStyle name="Output 2 7 30" xfId="55678"/>
    <cellStyle name="Output 2 7 31" xfId="55679"/>
    <cellStyle name="Output 2 7 32" xfId="55680"/>
    <cellStyle name="Output 2 7 33" xfId="55681"/>
    <cellStyle name="Output 2 7 34" xfId="55682"/>
    <cellStyle name="Output 2 7 35" xfId="55683"/>
    <cellStyle name="Output 2 7 36" xfId="55684"/>
    <cellStyle name="Output 2 7 37" xfId="55685"/>
    <cellStyle name="Output 2 7 38" xfId="55686"/>
    <cellStyle name="Output 2 7 39" xfId="55687"/>
    <cellStyle name="Output 2 7 4" xfId="33991"/>
    <cellStyle name="Output 2 7 4 2" xfId="33992"/>
    <cellStyle name="Output 2 7 4 2 2" xfId="33993"/>
    <cellStyle name="Output 2 7 4 2 2 2" xfId="33994"/>
    <cellStyle name="Output 2 7 4 2 2 3" xfId="33995"/>
    <cellStyle name="Output 2 7 4 2 2 4" xfId="33996"/>
    <cellStyle name="Output 2 7 4 2 3" xfId="33997"/>
    <cellStyle name="Output 2 7 4 2 4" xfId="33998"/>
    <cellStyle name="Output 2 7 4 2 5" xfId="33999"/>
    <cellStyle name="Output 2 7 4 2 6" xfId="34000"/>
    <cellStyle name="Output 2 7 4 3" xfId="34001"/>
    <cellStyle name="Output 2 7 4 3 2" xfId="34002"/>
    <cellStyle name="Output 2 7 4 3 2 2" xfId="34003"/>
    <cellStyle name="Output 2 7 4 3 2 3" xfId="34004"/>
    <cellStyle name="Output 2 7 4 3 2 4" xfId="34005"/>
    <cellStyle name="Output 2 7 4 3 3" xfId="34006"/>
    <cellStyle name="Output 2 7 4 3 4" xfId="34007"/>
    <cellStyle name="Output 2 7 4 3 5" xfId="34008"/>
    <cellStyle name="Output 2 7 4 3 6" xfId="34009"/>
    <cellStyle name="Output 2 7 4 4" xfId="34010"/>
    <cellStyle name="Output 2 7 4 4 2" xfId="34011"/>
    <cellStyle name="Output 2 7 4 4 3" xfId="34012"/>
    <cellStyle name="Output 2 7 4 4 4" xfId="34013"/>
    <cellStyle name="Output 2 7 4 5" xfId="34014"/>
    <cellStyle name="Output 2 7 4 6" xfId="34015"/>
    <cellStyle name="Output 2 7 4 7" xfId="34016"/>
    <cellStyle name="Output 2 7 4 8" xfId="34017"/>
    <cellStyle name="Output 2 7 40" xfId="55688"/>
    <cellStyle name="Output 2 7 5" xfId="34018"/>
    <cellStyle name="Output 2 7 5 2" xfId="34019"/>
    <cellStyle name="Output 2 7 5 2 2" xfId="34020"/>
    <cellStyle name="Output 2 7 5 2 3" xfId="34021"/>
    <cellStyle name="Output 2 7 5 2 4" xfId="34022"/>
    <cellStyle name="Output 2 7 5 3" xfId="34023"/>
    <cellStyle name="Output 2 7 5 3 2" xfId="34024"/>
    <cellStyle name="Output 2 7 5 3 3" xfId="34025"/>
    <cellStyle name="Output 2 7 5 3 4" xfId="34026"/>
    <cellStyle name="Output 2 7 5 4" xfId="34027"/>
    <cellStyle name="Output 2 7 5 5" xfId="34028"/>
    <cellStyle name="Output 2 7 5 6" xfId="34029"/>
    <cellStyle name="Output 2 7 5 7" xfId="34030"/>
    <cellStyle name="Output 2 7 6" xfId="34031"/>
    <cellStyle name="Output 2 7 6 2" xfId="34032"/>
    <cellStyle name="Output 2 7 6 2 2" xfId="34033"/>
    <cellStyle name="Output 2 7 6 2 3" xfId="34034"/>
    <cellStyle name="Output 2 7 6 2 4" xfId="34035"/>
    <cellStyle name="Output 2 7 6 3" xfId="34036"/>
    <cellStyle name="Output 2 7 6 3 2" xfId="34037"/>
    <cellStyle name="Output 2 7 6 3 3" xfId="34038"/>
    <cellStyle name="Output 2 7 6 3 4" xfId="34039"/>
    <cellStyle name="Output 2 7 6 4" xfId="34040"/>
    <cellStyle name="Output 2 7 6 5" xfId="34041"/>
    <cellStyle name="Output 2 7 6 6" xfId="34042"/>
    <cellStyle name="Output 2 7 6 7" xfId="34043"/>
    <cellStyle name="Output 2 7 7" xfId="34044"/>
    <cellStyle name="Output 2 7 7 2" xfId="34045"/>
    <cellStyle name="Output 2 7 7 2 2" xfId="34046"/>
    <cellStyle name="Output 2 7 7 2 3" xfId="34047"/>
    <cellStyle name="Output 2 7 7 2 4" xfId="34048"/>
    <cellStyle name="Output 2 7 7 3" xfId="34049"/>
    <cellStyle name="Output 2 7 7 3 2" xfId="34050"/>
    <cellStyle name="Output 2 7 7 3 3" xfId="34051"/>
    <cellStyle name="Output 2 7 7 3 4" xfId="34052"/>
    <cellStyle name="Output 2 7 7 4" xfId="34053"/>
    <cellStyle name="Output 2 7 7 5" xfId="34054"/>
    <cellStyle name="Output 2 7 7 6" xfId="34055"/>
    <cellStyle name="Output 2 7 7 7" xfId="34056"/>
    <cellStyle name="Output 2 7 8" xfId="34057"/>
    <cellStyle name="Output 2 7 8 2" xfId="34058"/>
    <cellStyle name="Output 2 7 8 2 2" xfId="34059"/>
    <cellStyle name="Output 2 7 8 2 3" xfId="34060"/>
    <cellStyle name="Output 2 7 8 2 4" xfId="34061"/>
    <cellStyle name="Output 2 7 8 3" xfId="34062"/>
    <cellStyle name="Output 2 7 8 4" xfId="34063"/>
    <cellStyle name="Output 2 7 8 5" xfId="34064"/>
    <cellStyle name="Output 2 7 8 6" xfId="34065"/>
    <cellStyle name="Output 2 7 9" xfId="34066"/>
    <cellStyle name="Output 2 7 9 2" xfId="34067"/>
    <cellStyle name="Output 2 7 9 3" xfId="34068"/>
    <cellStyle name="Output 2 7 9 4" xfId="34069"/>
    <cellStyle name="Output 2 7 9 5" xfId="34070"/>
    <cellStyle name="Output 2 8" xfId="902"/>
    <cellStyle name="Output 2 8 10" xfId="34071"/>
    <cellStyle name="Output 2 8 10 2" xfId="34072"/>
    <cellStyle name="Output 2 8 10 3" xfId="34073"/>
    <cellStyle name="Output 2 8 10 4" xfId="34074"/>
    <cellStyle name="Output 2 8 11" xfId="34075"/>
    <cellStyle name="Output 2 8 12" xfId="34076"/>
    <cellStyle name="Output 2 8 13" xfId="34077"/>
    <cellStyle name="Output 2 8 14" xfId="34078"/>
    <cellStyle name="Output 2 8 15" xfId="34079"/>
    <cellStyle name="Output 2 8 16" xfId="34080"/>
    <cellStyle name="Output 2 8 17" xfId="34081"/>
    <cellStyle name="Output 2 8 18" xfId="34082"/>
    <cellStyle name="Output 2 8 19" xfId="34083"/>
    <cellStyle name="Output 2 8 2" xfId="903"/>
    <cellStyle name="Output 2 8 2 10" xfId="34084"/>
    <cellStyle name="Output 2 8 2 11" xfId="34085"/>
    <cellStyle name="Output 2 8 2 2" xfId="34086"/>
    <cellStyle name="Output 2 8 2 2 2" xfId="34087"/>
    <cellStyle name="Output 2 8 2 2 2 2" xfId="34088"/>
    <cellStyle name="Output 2 8 2 2 2 2 2" xfId="34089"/>
    <cellStyle name="Output 2 8 2 2 2 2 3" xfId="34090"/>
    <cellStyle name="Output 2 8 2 2 2 2 4" xfId="34091"/>
    <cellStyle name="Output 2 8 2 2 2 3" xfId="34092"/>
    <cellStyle name="Output 2 8 2 2 2 4" xfId="34093"/>
    <cellStyle name="Output 2 8 2 2 2 5" xfId="34094"/>
    <cellStyle name="Output 2 8 2 2 2 6" xfId="34095"/>
    <cellStyle name="Output 2 8 2 2 3" xfId="34096"/>
    <cellStyle name="Output 2 8 2 2 3 2" xfId="34097"/>
    <cellStyle name="Output 2 8 2 2 3 2 2" xfId="34098"/>
    <cellStyle name="Output 2 8 2 2 3 2 3" xfId="34099"/>
    <cellStyle name="Output 2 8 2 2 3 2 4" xfId="34100"/>
    <cellStyle name="Output 2 8 2 2 3 3" xfId="34101"/>
    <cellStyle name="Output 2 8 2 2 3 4" xfId="34102"/>
    <cellStyle name="Output 2 8 2 2 3 5" xfId="34103"/>
    <cellStyle name="Output 2 8 2 2 3 6" xfId="34104"/>
    <cellStyle name="Output 2 8 2 2 4" xfId="34105"/>
    <cellStyle name="Output 2 8 2 2 4 2" xfId="34106"/>
    <cellStyle name="Output 2 8 2 2 4 3" xfId="34107"/>
    <cellStyle name="Output 2 8 2 2 4 4" xfId="34108"/>
    <cellStyle name="Output 2 8 2 2 5" xfId="34109"/>
    <cellStyle name="Output 2 8 2 2 6" xfId="34110"/>
    <cellStyle name="Output 2 8 2 2 7" xfId="34111"/>
    <cellStyle name="Output 2 8 2 2 8" xfId="34112"/>
    <cellStyle name="Output 2 8 2 3" xfId="34113"/>
    <cellStyle name="Output 2 8 2 3 2" xfId="34114"/>
    <cellStyle name="Output 2 8 2 3 2 2" xfId="34115"/>
    <cellStyle name="Output 2 8 2 3 2 3" xfId="34116"/>
    <cellStyle name="Output 2 8 2 3 2 4" xfId="34117"/>
    <cellStyle name="Output 2 8 2 3 3" xfId="34118"/>
    <cellStyle name="Output 2 8 2 3 4" xfId="34119"/>
    <cellStyle name="Output 2 8 2 3 5" xfId="34120"/>
    <cellStyle name="Output 2 8 2 3 6" xfId="34121"/>
    <cellStyle name="Output 2 8 2 4" xfId="34122"/>
    <cellStyle name="Output 2 8 2 4 2" xfId="34123"/>
    <cellStyle name="Output 2 8 2 4 3" xfId="34124"/>
    <cellStyle name="Output 2 8 2 4 4" xfId="34125"/>
    <cellStyle name="Output 2 8 2 4 5" xfId="34126"/>
    <cellStyle name="Output 2 8 2 5" xfId="34127"/>
    <cellStyle name="Output 2 8 2 5 2" xfId="34128"/>
    <cellStyle name="Output 2 8 2 5 3" xfId="34129"/>
    <cellStyle name="Output 2 8 2 5 4" xfId="34130"/>
    <cellStyle name="Output 2 8 2 6" xfId="34131"/>
    <cellStyle name="Output 2 8 2 6 2" xfId="34132"/>
    <cellStyle name="Output 2 8 2 6 3" xfId="34133"/>
    <cellStyle name="Output 2 8 2 6 4" xfId="34134"/>
    <cellStyle name="Output 2 8 2 7" xfId="34135"/>
    <cellStyle name="Output 2 8 2 7 2" xfId="34136"/>
    <cellStyle name="Output 2 8 2 7 3" xfId="34137"/>
    <cellStyle name="Output 2 8 2 7 4" xfId="34138"/>
    <cellStyle name="Output 2 8 2 8" xfId="34139"/>
    <cellStyle name="Output 2 8 2 9" xfId="34140"/>
    <cellStyle name="Output 2 8 20" xfId="34141"/>
    <cellStyle name="Output 2 8 21" xfId="34142"/>
    <cellStyle name="Output 2 8 22" xfId="34143"/>
    <cellStyle name="Output 2 8 23" xfId="34144"/>
    <cellStyle name="Output 2 8 24" xfId="34145"/>
    <cellStyle name="Output 2 8 25" xfId="34146"/>
    <cellStyle name="Output 2 8 26" xfId="34147"/>
    <cellStyle name="Output 2 8 27" xfId="55689"/>
    <cellStyle name="Output 2 8 28" xfId="55690"/>
    <cellStyle name="Output 2 8 29" xfId="55691"/>
    <cellStyle name="Output 2 8 3" xfId="904"/>
    <cellStyle name="Output 2 8 3 10" xfId="34148"/>
    <cellStyle name="Output 2 8 3 11" xfId="34149"/>
    <cellStyle name="Output 2 8 3 2" xfId="34150"/>
    <cellStyle name="Output 2 8 3 2 2" xfId="34151"/>
    <cellStyle name="Output 2 8 3 2 2 2" xfId="34152"/>
    <cellStyle name="Output 2 8 3 2 2 2 2" xfId="34153"/>
    <cellStyle name="Output 2 8 3 2 2 2 3" xfId="34154"/>
    <cellStyle name="Output 2 8 3 2 2 2 4" xfId="34155"/>
    <cellStyle name="Output 2 8 3 2 2 3" xfId="34156"/>
    <cellStyle name="Output 2 8 3 2 2 4" xfId="34157"/>
    <cellStyle name="Output 2 8 3 2 2 5" xfId="34158"/>
    <cellStyle name="Output 2 8 3 2 2 6" xfId="34159"/>
    <cellStyle name="Output 2 8 3 2 3" xfId="34160"/>
    <cellStyle name="Output 2 8 3 2 3 2" xfId="34161"/>
    <cellStyle name="Output 2 8 3 2 3 3" xfId="34162"/>
    <cellStyle name="Output 2 8 3 2 3 4" xfId="34163"/>
    <cellStyle name="Output 2 8 3 2 4" xfId="34164"/>
    <cellStyle name="Output 2 8 3 2 4 2" xfId="34165"/>
    <cellStyle name="Output 2 8 3 2 4 3" xfId="34166"/>
    <cellStyle name="Output 2 8 3 2 4 4" xfId="34167"/>
    <cellStyle name="Output 2 8 3 2 5" xfId="34168"/>
    <cellStyle name="Output 2 8 3 2 6" xfId="34169"/>
    <cellStyle name="Output 2 8 3 2 7" xfId="34170"/>
    <cellStyle name="Output 2 8 3 2 8" xfId="34171"/>
    <cellStyle name="Output 2 8 3 3" xfId="34172"/>
    <cellStyle name="Output 2 8 3 3 2" xfId="34173"/>
    <cellStyle name="Output 2 8 3 3 2 2" xfId="34174"/>
    <cellStyle name="Output 2 8 3 3 2 3" xfId="34175"/>
    <cellStyle name="Output 2 8 3 3 2 4" xfId="34176"/>
    <cellStyle name="Output 2 8 3 3 3" xfId="34177"/>
    <cellStyle name="Output 2 8 3 3 4" xfId="34178"/>
    <cellStyle name="Output 2 8 3 3 5" xfId="34179"/>
    <cellStyle name="Output 2 8 3 3 6" xfId="34180"/>
    <cellStyle name="Output 2 8 3 4" xfId="34181"/>
    <cellStyle name="Output 2 8 3 4 2" xfId="34182"/>
    <cellStyle name="Output 2 8 3 4 3" xfId="34183"/>
    <cellStyle name="Output 2 8 3 4 4" xfId="34184"/>
    <cellStyle name="Output 2 8 3 4 5" xfId="34185"/>
    <cellStyle name="Output 2 8 3 5" xfId="34186"/>
    <cellStyle name="Output 2 8 3 5 2" xfId="34187"/>
    <cellStyle name="Output 2 8 3 5 3" xfId="34188"/>
    <cellStyle name="Output 2 8 3 5 4" xfId="34189"/>
    <cellStyle name="Output 2 8 3 6" xfId="34190"/>
    <cellStyle name="Output 2 8 3 6 2" xfId="34191"/>
    <cellStyle name="Output 2 8 3 6 3" xfId="34192"/>
    <cellStyle name="Output 2 8 3 6 4" xfId="34193"/>
    <cellStyle name="Output 2 8 3 7" xfId="34194"/>
    <cellStyle name="Output 2 8 3 7 2" xfId="34195"/>
    <cellStyle name="Output 2 8 3 7 3" xfId="34196"/>
    <cellStyle name="Output 2 8 3 7 4" xfId="34197"/>
    <cellStyle name="Output 2 8 3 8" xfId="34198"/>
    <cellStyle name="Output 2 8 3 9" xfId="34199"/>
    <cellStyle name="Output 2 8 30" xfId="55692"/>
    <cellStyle name="Output 2 8 31" xfId="55693"/>
    <cellStyle name="Output 2 8 32" xfId="55694"/>
    <cellStyle name="Output 2 8 33" xfId="55695"/>
    <cellStyle name="Output 2 8 34" xfId="55696"/>
    <cellStyle name="Output 2 8 35" xfId="55697"/>
    <cellStyle name="Output 2 8 36" xfId="55698"/>
    <cellStyle name="Output 2 8 37" xfId="55699"/>
    <cellStyle name="Output 2 8 38" xfId="55700"/>
    <cellStyle name="Output 2 8 39" xfId="55701"/>
    <cellStyle name="Output 2 8 4" xfId="34200"/>
    <cellStyle name="Output 2 8 4 2" xfId="34201"/>
    <cellStyle name="Output 2 8 4 2 2" xfId="34202"/>
    <cellStyle name="Output 2 8 4 2 2 2" xfId="34203"/>
    <cellStyle name="Output 2 8 4 2 2 3" xfId="34204"/>
    <cellStyle name="Output 2 8 4 2 2 4" xfId="34205"/>
    <cellStyle name="Output 2 8 4 2 3" xfId="34206"/>
    <cellStyle name="Output 2 8 4 2 4" xfId="34207"/>
    <cellStyle name="Output 2 8 4 2 5" xfId="34208"/>
    <cellStyle name="Output 2 8 4 2 6" xfId="34209"/>
    <cellStyle name="Output 2 8 4 3" xfId="34210"/>
    <cellStyle name="Output 2 8 4 3 2" xfId="34211"/>
    <cellStyle name="Output 2 8 4 3 2 2" xfId="34212"/>
    <cellStyle name="Output 2 8 4 3 2 3" xfId="34213"/>
    <cellStyle name="Output 2 8 4 3 2 4" xfId="34214"/>
    <cellStyle name="Output 2 8 4 3 3" xfId="34215"/>
    <cellStyle name="Output 2 8 4 3 4" xfId="34216"/>
    <cellStyle name="Output 2 8 4 3 5" xfId="34217"/>
    <cellStyle name="Output 2 8 4 3 6" xfId="34218"/>
    <cellStyle name="Output 2 8 4 4" xfId="34219"/>
    <cellStyle name="Output 2 8 4 4 2" xfId="34220"/>
    <cellStyle name="Output 2 8 4 4 3" xfId="34221"/>
    <cellStyle name="Output 2 8 4 4 4" xfId="34222"/>
    <cellStyle name="Output 2 8 4 5" xfId="34223"/>
    <cellStyle name="Output 2 8 4 6" xfId="34224"/>
    <cellStyle name="Output 2 8 4 7" xfId="34225"/>
    <cellStyle name="Output 2 8 4 8" xfId="34226"/>
    <cellStyle name="Output 2 8 40" xfId="55702"/>
    <cellStyle name="Output 2 8 5" xfId="34227"/>
    <cellStyle name="Output 2 8 5 2" xfId="34228"/>
    <cellStyle name="Output 2 8 5 2 2" xfId="34229"/>
    <cellStyle name="Output 2 8 5 2 3" xfId="34230"/>
    <cellStyle name="Output 2 8 5 2 4" xfId="34231"/>
    <cellStyle name="Output 2 8 5 3" xfId="34232"/>
    <cellStyle name="Output 2 8 5 4" xfId="34233"/>
    <cellStyle name="Output 2 8 5 5" xfId="34234"/>
    <cellStyle name="Output 2 8 5 6" xfId="34235"/>
    <cellStyle name="Output 2 8 6" xfId="34236"/>
    <cellStyle name="Output 2 8 6 2" xfId="34237"/>
    <cellStyle name="Output 2 8 6 3" xfId="34238"/>
    <cellStyle name="Output 2 8 6 4" xfId="34239"/>
    <cellStyle name="Output 2 8 6 5" xfId="34240"/>
    <cellStyle name="Output 2 8 7" xfId="34241"/>
    <cellStyle name="Output 2 8 7 2" xfId="34242"/>
    <cellStyle name="Output 2 8 7 3" xfId="34243"/>
    <cellStyle name="Output 2 8 7 4" xfId="34244"/>
    <cellStyle name="Output 2 8 8" xfId="34245"/>
    <cellStyle name="Output 2 8 8 2" xfId="34246"/>
    <cellStyle name="Output 2 8 8 3" xfId="34247"/>
    <cellStyle name="Output 2 8 8 4" xfId="34248"/>
    <cellStyle name="Output 2 8 9" xfId="34249"/>
    <cellStyle name="Output 2 8 9 2" xfId="34250"/>
    <cellStyle name="Output 2 8 9 3" xfId="34251"/>
    <cellStyle name="Output 2 8 9 4" xfId="34252"/>
    <cellStyle name="Output 2 9" xfId="905"/>
    <cellStyle name="Output 2 9 10" xfId="34253"/>
    <cellStyle name="Output 2 9 11" xfId="34254"/>
    <cellStyle name="Output 2 9 12" xfId="34255"/>
    <cellStyle name="Output 2 9 13" xfId="34256"/>
    <cellStyle name="Output 2 9 14" xfId="34257"/>
    <cellStyle name="Output 2 9 15" xfId="34258"/>
    <cellStyle name="Output 2 9 16" xfId="34259"/>
    <cellStyle name="Output 2 9 17" xfId="34260"/>
    <cellStyle name="Output 2 9 18" xfId="34261"/>
    <cellStyle name="Output 2 9 19" xfId="34262"/>
    <cellStyle name="Output 2 9 2" xfId="906"/>
    <cellStyle name="Output 2 9 2 10" xfId="34263"/>
    <cellStyle name="Output 2 9 2 11" xfId="34264"/>
    <cellStyle name="Output 2 9 2 2" xfId="34265"/>
    <cellStyle name="Output 2 9 2 2 2" xfId="34266"/>
    <cellStyle name="Output 2 9 2 2 2 2" xfId="34267"/>
    <cellStyle name="Output 2 9 2 2 2 2 2" xfId="34268"/>
    <cellStyle name="Output 2 9 2 2 2 2 3" xfId="34269"/>
    <cellStyle name="Output 2 9 2 2 2 2 4" xfId="34270"/>
    <cellStyle name="Output 2 9 2 2 2 3" xfId="34271"/>
    <cellStyle name="Output 2 9 2 2 2 4" xfId="34272"/>
    <cellStyle name="Output 2 9 2 2 2 5" xfId="34273"/>
    <cellStyle name="Output 2 9 2 2 2 6" xfId="34274"/>
    <cellStyle name="Output 2 9 2 2 3" xfId="34275"/>
    <cellStyle name="Output 2 9 2 2 3 2" xfId="34276"/>
    <cellStyle name="Output 2 9 2 2 3 2 2" xfId="34277"/>
    <cellStyle name="Output 2 9 2 2 3 2 3" xfId="34278"/>
    <cellStyle name="Output 2 9 2 2 3 2 4" xfId="34279"/>
    <cellStyle name="Output 2 9 2 2 3 3" xfId="34280"/>
    <cellStyle name="Output 2 9 2 2 3 4" xfId="34281"/>
    <cellStyle name="Output 2 9 2 2 3 5" xfId="34282"/>
    <cellStyle name="Output 2 9 2 2 3 6" xfId="34283"/>
    <cellStyle name="Output 2 9 2 2 4" xfId="34284"/>
    <cellStyle name="Output 2 9 2 2 4 2" xfId="34285"/>
    <cellStyle name="Output 2 9 2 2 4 3" xfId="34286"/>
    <cellStyle name="Output 2 9 2 2 4 4" xfId="34287"/>
    <cellStyle name="Output 2 9 2 2 5" xfId="34288"/>
    <cellStyle name="Output 2 9 2 2 6" xfId="34289"/>
    <cellStyle name="Output 2 9 2 2 7" xfId="34290"/>
    <cellStyle name="Output 2 9 2 2 8" xfId="34291"/>
    <cellStyle name="Output 2 9 2 3" xfId="34292"/>
    <cellStyle name="Output 2 9 2 3 2" xfId="34293"/>
    <cellStyle name="Output 2 9 2 3 2 2" xfId="34294"/>
    <cellStyle name="Output 2 9 2 3 2 3" xfId="34295"/>
    <cellStyle name="Output 2 9 2 3 2 4" xfId="34296"/>
    <cellStyle name="Output 2 9 2 3 3" xfId="34297"/>
    <cellStyle name="Output 2 9 2 3 4" xfId="34298"/>
    <cellStyle name="Output 2 9 2 3 5" xfId="34299"/>
    <cellStyle name="Output 2 9 2 3 6" xfId="34300"/>
    <cellStyle name="Output 2 9 2 4" xfId="34301"/>
    <cellStyle name="Output 2 9 2 4 2" xfId="34302"/>
    <cellStyle name="Output 2 9 2 4 3" xfId="34303"/>
    <cellStyle name="Output 2 9 2 4 4" xfId="34304"/>
    <cellStyle name="Output 2 9 2 4 5" xfId="34305"/>
    <cellStyle name="Output 2 9 2 5" xfId="34306"/>
    <cellStyle name="Output 2 9 2 5 2" xfId="34307"/>
    <cellStyle name="Output 2 9 2 5 3" xfId="34308"/>
    <cellStyle name="Output 2 9 2 5 4" xfId="34309"/>
    <cellStyle name="Output 2 9 2 6" xfId="34310"/>
    <cellStyle name="Output 2 9 2 6 2" xfId="34311"/>
    <cellStyle name="Output 2 9 2 6 3" xfId="34312"/>
    <cellStyle name="Output 2 9 2 6 4" xfId="34313"/>
    <cellStyle name="Output 2 9 2 7" xfId="34314"/>
    <cellStyle name="Output 2 9 2 7 2" xfId="34315"/>
    <cellStyle name="Output 2 9 2 7 3" xfId="34316"/>
    <cellStyle name="Output 2 9 2 7 4" xfId="34317"/>
    <cellStyle name="Output 2 9 2 8" xfId="34318"/>
    <cellStyle name="Output 2 9 2 9" xfId="34319"/>
    <cellStyle name="Output 2 9 20" xfId="34320"/>
    <cellStyle name="Output 2 9 21" xfId="34321"/>
    <cellStyle name="Output 2 9 22" xfId="34322"/>
    <cellStyle name="Output 2 9 23" xfId="34323"/>
    <cellStyle name="Output 2 9 24" xfId="34324"/>
    <cellStyle name="Output 2 9 25" xfId="34325"/>
    <cellStyle name="Output 2 9 3" xfId="907"/>
    <cellStyle name="Output 2 9 3 2" xfId="34326"/>
    <cellStyle name="Output 2 9 3 2 2" xfId="34327"/>
    <cellStyle name="Output 2 9 3 2 2 2" xfId="34328"/>
    <cellStyle name="Output 2 9 3 2 2 3" xfId="34329"/>
    <cellStyle name="Output 2 9 3 2 2 4" xfId="34330"/>
    <cellStyle name="Output 2 9 3 2 3" xfId="34331"/>
    <cellStyle name="Output 2 9 3 2 4" xfId="34332"/>
    <cellStyle name="Output 2 9 3 2 5" xfId="34333"/>
    <cellStyle name="Output 2 9 3 2 6" xfId="34334"/>
    <cellStyle name="Output 2 9 3 3" xfId="34335"/>
    <cellStyle name="Output 2 9 3 3 2" xfId="34336"/>
    <cellStyle name="Output 2 9 3 3 2 2" xfId="34337"/>
    <cellStyle name="Output 2 9 3 3 2 3" xfId="34338"/>
    <cellStyle name="Output 2 9 3 3 2 4" xfId="34339"/>
    <cellStyle name="Output 2 9 3 3 3" xfId="34340"/>
    <cellStyle name="Output 2 9 3 3 4" xfId="34341"/>
    <cellStyle name="Output 2 9 3 3 5" xfId="34342"/>
    <cellStyle name="Output 2 9 3 3 6" xfId="34343"/>
    <cellStyle name="Output 2 9 3 4" xfId="34344"/>
    <cellStyle name="Output 2 9 3 4 2" xfId="34345"/>
    <cellStyle name="Output 2 9 3 4 3" xfId="34346"/>
    <cellStyle name="Output 2 9 3 4 4" xfId="34347"/>
    <cellStyle name="Output 2 9 3 5" xfId="34348"/>
    <cellStyle name="Output 2 9 3 6" xfId="34349"/>
    <cellStyle name="Output 2 9 3 7" xfId="34350"/>
    <cellStyle name="Output 2 9 3 8" xfId="34351"/>
    <cellStyle name="Output 2 9 4" xfId="34352"/>
    <cellStyle name="Output 2 9 4 2" xfId="34353"/>
    <cellStyle name="Output 2 9 4 2 2" xfId="34354"/>
    <cellStyle name="Output 2 9 4 2 3" xfId="34355"/>
    <cellStyle name="Output 2 9 4 2 4" xfId="34356"/>
    <cellStyle name="Output 2 9 4 3" xfId="34357"/>
    <cellStyle name="Output 2 9 4 4" xfId="34358"/>
    <cellStyle name="Output 2 9 4 5" xfId="34359"/>
    <cellStyle name="Output 2 9 4 6" xfId="34360"/>
    <cellStyle name="Output 2 9 5" xfId="34361"/>
    <cellStyle name="Output 2 9 5 2" xfId="34362"/>
    <cellStyle name="Output 2 9 5 3" xfId="34363"/>
    <cellStyle name="Output 2 9 5 4" xfId="34364"/>
    <cellStyle name="Output 2 9 5 5" xfId="34365"/>
    <cellStyle name="Output 2 9 5 6" xfId="55703"/>
    <cellStyle name="Output 2 9 6" xfId="34366"/>
    <cellStyle name="Output 2 9 6 2" xfId="34367"/>
    <cellStyle name="Output 2 9 6 3" xfId="34368"/>
    <cellStyle name="Output 2 9 6 4" xfId="34369"/>
    <cellStyle name="Output 2 9 7" xfId="34370"/>
    <cellStyle name="Output 2 9 7 2" xfId="34371"/>
    <cellStyle name="Output 2 9 7 3" xfId="34372"/>
    <cellStyle name="Output 2 9 7 4" xfId="34373"/>
    <cellStyle name="Output 2 9 8" xfId="34374"/>
    <cellStyle name="Output 2 9 8 2" xfId="34375"/>
    <cellStyle name="Output 2 9 8 3" xfId="34376"/>
    <cellStyle name="Output 2 9 8 4" xfId="34377"/>
    <cellStyle name="Output 2 9 9" xfId="34378"/>
    <cellStyle name="Output 2 9 9 2" xfId="34379"/>
    <cellStyle name="Output 2 9 9 3" xfId="34380"/>
    <cellStyle name="Output 2 9 9 4" xfId="34381"/>
    <cellStyle name="Output 2_~9868926" xfId="55704"/>
    <cellStyle name="Output 3" xfId="222"/>
    <cellStyle name="Output 3 2" xfId="223"/>
    <cellStyle name="Output 3 2 2" xfId="224"/>
    <cellStyle name="Output 3 2 2 2" xfId="55705"/>
    <cellStyle name="Output 3 2 2 3" xfId="55706"/>
    <cellStyle name="Output 3 2 2 4" xfId="55707"/>
    <cellStyle name="Output 3 2 3" xfId="55708"/>
    <cellStyle name="Output 3 2 3 2" xfId="55709"/>
    <cellStyle name="Output 3 2 3 3" xfId="55710"/>
    <cellStyle name="Output 3 2 3 4" xfId="55711"/>
    <cellStyle name="Output 3 2 4" xfId="55712"/>
    <cellStyle name="Output 3 2 5" xfId="55713"/>
    <cellStyle name="Output 3 2 6" xfId="55714"/>
    <cellStyle name="Output 3 3" xfId="225"/>
    <cellStyle name="Output 3 3 2" xfId="226"/>
    <cellStyle name="Output 3 4" xfId="227"/>
    <cellStyle name="Output 3_~9868926" xfId="55715"/>
    <cellStyle name="Output 4" xfId="228"/>
    <cellStyle name="Output 4 2" xfId="229"/>
    <cellStyle name="Output 4 2 2" xfId="55716"/>
    <cellStyle name="Output 4 2 3" xfId="55717"/>
    <cellStyle name="Output 4 2 4" xfId="55718"/>
    <cellStyle name="Output 4 3" xfId="55719"/>
    <cellStyle name="Output 4 3 2" xfId="55720"/>
    <cellStyle name="Output 4 3 3" xfId="55721"/>
    <cellStyle name="Output 4 3 4" xfId="55722"/>
    <cellStyle name="Output 4 4" xfId="55723"/>
    <cellStyle name="Output 4 5" xfId="55724"/>
    <cellStyle name="Output 4 6" xfId="55725"/>
    <cellStyle name="Output 4 7" xfId="55726"/>
    <cellStyle name="Output 4 8" xfId="55727"/>
    <cellStyle name="Output 5" xfId="230"/>
    <cellStyle name="Output 5 2" xfId="231"/>
    <cellStyle name="Output 5 2 2" xfId="55728"/>
    <cellStyle name="Output 5 2 3" xfId="55729"/>
    <cellStyle name="Output 5 2 4" xfId="55730"/>
    <cellStyle name="Output 5 3" xfId="55731"/>
    <cellStyle name="Output 5 3 2" xfId="55732"/>
    <cellStyle name="Output 5 3 3" xfId="55733"/>
    <cellStyle name="Output 5 3 4" xfId="55734"/>
    <cellStyle name="Output 5 4" xfId="55735"/>
    <cellStyle name="Output 5 5" xfId="55736"/>
    <cellStyle name="Output 5 6" xfId="55737"/>
    <cellStyle name="Output 5 7" xfId="55738"/>
    <cellStyle name="Output 5 8" xfId="55739"/>
    <cellStyle name="Output 6" xfId="232"/>
    <cellStyle name="Output 6 2" xfId="55740"/>
    <cellStyle name="Output 6 2 2" xfId="55741"/>
    <cellStyle name="Output 6 2 3" xfId="55742"/>
    <cellStyle name="Output 6 2 4" xfId="55743"/>
    <cellStyle name="Output 6 3" xfId="55744"/>
    <cellStyle name="Output 6 3 2" xfId="55745"/>
    <cellStyle name="Output 6 3 3" xfId="55746"/>
    <cellStyle name="Output 6 3 4" xfId="55747"/>
    <cellStyle name="Output 6 4" xfId="55748"/>
    <cellStyle name="Output 6 5" xfId="55749"/>
    <cellStyle name="Output 6 6" xfId="55750"/>
    <cellStyle name="Output 6 7" xfId="55751"/>
    <cellStyle name="Output 6 8" xfId="55752"/>
    <cellStyle name="Output 7" xfId="55753"/>
    <cellStyle name="Output 7 2" xfId="55754"/>
    <cellStyle name="Output 7 2 2" xfId="55755"/>
    <cellStyle name="Output 7 2 3" xfId="55756"/>
    <cellStyle name="Output 7 2 4" xfId="55757"/>
    <cellStyle name="Output 7 3" xfId="55758"/>
    <cellStyle name="Output 7 3 2" xfId="55759"/>
    <cellStyle name="Output 7 3 3" xfId="55760"/>
    <cellStyle name="Output 7 3 4" xfId="55761"/>
    <cellStyle name="Output 7 4" xfId="55762"/>
    <cellStyle name="Output 7 5" xfId="55763"/>
    <cellStyle name="Output 7 6" xfId="55764"/>
    <cellStyle name="Output 7 7" xfId="55765"/>
    <cellStyle name="Output 7 8" xfId="55766"/>
    <cellStyle name="Output 8" xfId="55767"/>
    <cellStyle name="Output 8 2" xfId="55768"/>
    <cellStyle name="Output 8 2 2" xfId="55769"/>
    <cellStyle name="Output 8 2 3" xfId="55770"/>
    <cellStyle name="Output 8 2 4" xfId="55771"/>
    <cellStyle name="Output 8 3" xfId="55772"/>
    <cellStyle name="Output 8 3 2" xfId="55773"/>
    <cellStyle name="Output 8 3 3" xfId="55774"/>
    <cellStyle name="Output 8 3 4" xfId="55775"/>
    <cellStyle name="Output 8 4" xfId="55776"/>
    <cellStyle name="Output 8 5" xfId="55777"/>
    <cellStyle name="Output 8 6" xfId="55778"/>
    <cellStyle name="Output 8 7" xfId="55779"/>
    <cellStyle name="Output 8 8" xfId="55780"/>
    <cellStyle name="Output 9" xfId="55781"/>
    <cellStyle name="Output 9 2" xfId="55782"/>
    <cellStyle name="Output 9 2 2" xfId="55783"/>
    <cellStyle name="Output 9 2 3" xfId="55784"/>
    <cellStyle name="Output 9 2 4" xfId="55785"/>
    <cellStyle name="Output 9 3" xfId="55786"/>
    <cellStyle name="Output 9 3 2" xfId="55787"/>
    <cellStyle name="Output 9 3 3" xfId="55788"/>
    <cellStyle name="Output 9 3 4" xfId="55789"/>
    <cellStyle name="Output 9 4" xfId="55790"/>
    <cellStyle name="Output 9 5" xfId="55791"/>
    <cellStyle name="Output 9 6" xfId="55792"/>
    <cellStyle name="Output 9 7" xfId="55793"/>
    <cellStyle name="Output 9 8" xfId="55794"/>
    <cellStyle name="Output Amounts" xfId="272"/>
    <cellStyle name="Output Column Headings" xfId="273"/>
    <cellStyle name="Output Column Headings 2" xfId="55795"/>
    <cellStyle name="Output Line Items" xfId="274"/>
    <cellStyle name="Output Line Items 10" xfId="34382"/>
    <cellStyle name="Output Line Items 11" xfId="34383"/>
    <cellStyle name="Output Line Items 12" xfId="34384"/>
    <cellStyle name="Output Line Items 13" xfId="34385"/>
    <cellStyle name="Output Line Items 14" xfId="34386"/>
    <cellStyle name="Output Line Items 2" xfId="275"/>
    <cellStyle name="Output Line Items 2 2" xfId="276"/>
    <cellStyle name="Output Line Items 2 2 2" xfId="277"/>
    <cellStyle name="Output Line Items 2 2 2 2" xfId="908"/>
    <cellStyle name="Output Line Items 2 2 2 2 2" xfId="909"/>
    <cellStyle name="Output Line Items 2 2 2 2 2 2" xfId="34387"/>
    <cellStyle name="Output Line Items 2 2 2 2 3" xfId="34388"/>
    <cellStyle name="Output Line Items 2 2 2 3" xfId="910"/>
    <cellStyle name="Output Line Items 2 2 2 3 2" xfId="911"/>
    <cellStyle name="Output Line Items 2 2 2 4" xfId="912"/>
    <cellStyle name="Output Line Items 2 2 2 4 2" xfId="913"/>
    <cellStyle name="Output Line Items 2 2 2 5" xfId="914"/>
    <cellStyle name="Output Line Items 2 2 2 6" xfId="34389"/>
    <cellStyle name="Output Line Items 2 2 3" xfId="915"/>
    <cellStyle name="Output Line Items 2 2 3 2" xfId="916"/>
    <cellStyle name="Output Line Items 2 2 3 2 2" xfId="34390"/>
    <cellStyle name="Output Line Items 2 2 3 3" xfId="34391"/>
    <cellStyle name="Output Line Items 2 2 4" xfId="917"/>
    <cellStyle name="Output Line Items 2 2 4 2" xfId="918"/>
    <cellStyle name="Output Line Items 2 2 5" xfId="919"/>
    <cellStyle name="Output Line Items 2 2 6" xfId="34392"/>
    <cellStyle name="Output Line Items 2 2 7" xfId="34393"/>
    <cellStyle name="Output Line Items 2 3" xfId="278"/>
    <cellStyle name="Output Line Items 2 3 2" xfId="920"/>
    <cellStyle name="Output Line Items 2 3 2 2" xfId="921"/>
    <cellStyle name="Output Line Items 2 3 2 2 2" xfId="34394"/>
    <cellStyle name="Output Line Items 2 3 2 3" xfId="34395"/>
    <cellStyle name="Output Line Items 2 3 3" xfId="922"/>
    <cellStyle name="Output Line Items 2 3 3 2" xfId="923"/>
    <cellStyle name="Output Line Items 2 3 4" xfId="924"/>
    <cellStyle name="Output Line Items 2 3 4 2" xfId="925"/>
    <cellStyle name="Output Line Items 2 3 5" xfId="926"/>
    <cellStyle name="Output Line Items 2 3 6" xfId="34396"/>
    <cellStyle name="Output Line Items 2 4" xfId="927"/>
    <cellStyle name="Output Line Items 2 4 2" xfId="928"/>
    <cellStyle name="Output Line Items 2 4 2 2" xfId="34397"/>
    <cellStyle name="Output Line Items 2 4 3" xfId="34398"/>
    <cellStyle name="Output Line Items 2 5" xfId="929"/>
    <cellStyle name="Output Line Items 2 5 2" xfId="930"/>
    <cellStyle name="Output Line Items 2 6" xfId="931"/>
    <cellStyle name="Output Line Items 2 7" xfId="34399"/>
    <cellStyle name="Output Line Items 2 8" xfId="34400"/>
    <cellStyle name="Output Line Items 3" xfId="279"/>
    <cellStyle name="Output Line Items 3 2" xfId="280"/>
    <cellStyle name="Output Line Items 3 2 2" xfId="932"/>
    <cellStyle name="Output Line Items 3 2 2 2" xfId="933"/>
    <cellStyle name="Output Line Items 3 2 2 2 2" xfId="34401"/>
    <cellStyle name="Output Line Items 3 2 2 3" xfId="34402"/>
    <cellStyle name="Output Line Items 3 2 3" xfId="934"/>
    <cellStyle name="Output Line Items 3 2 3 2" xfId="935"/>
    <cellStyle name="Output Line Items 3 2 4" xfId="936"/>
    <cellStyle name="Output Line Items 3 2 4 2" xfId="937"/>
    <cellStyle name="Output Line Items 3 2 5" xfId="938"/>
    <cellStyle name="Output Line Items 3 2 6" xfId="34403"/>
    <cellStyle name="Output Line Items 3 3" xfId="939"/>
    <cellStyle name="Output Line Items 3 3 2" xfId="940"/>
    <cellStyle name="Output Line Items 3 3 2 2" xfId="34404"/>
    <cellStyle name="Output Line Items 3 3 3" xfId="34405"/>
    <cellStyle name="Output Line Items 3 4" xfId="941"/>
    <cellStyle name="Output Line Items 3 4 2" xfId="942"/>
    <cellStyle name="Output Line Items 3 5" xfId="943"/>
    <cellStyle name="Output Line Items 3 6" xfId="34406"/>
    <cellStyle name="Output Line Items 3 7" xfId="34407"/>
    <cellStyle name="Output Line Items 4" xfId="281"/>
    <cellStyle name="Output Line Items 4 2" xfId="944"/>
    <cellStyle name="Output Line Items 4 2 2" xfId="945"/>
    <cellStyle name="Output Line Items 4 2 2 2" xfId="34408"/>
    <cellStyle name="Output Line Items 4 2 2 2 2" xfId="34409"/>
    <cellStyle name="Output Line Items 4 2 2 3" xfId="34410"/>
    <cellStyle name="Output Line Items 4 2 3" xfId="34411"/>
    <cellStyle name="Output Line Items 4 2 3 2" xfId="34412"/>
    <cellStyle name="Output Line Items 4 2 4" xfId="34413"/>
    <cellStyle name="Output Line Items 4 3" xfId="946"/>
    <cellStyle name="Output Line Items 4 3 2" xfId="947"/>
    <cellStyle name="Output Line Items 4 3 2 2" xfId="34414"/>
    <cellStyle name="Output Line Items 4 3 3" xfId="34415"/>
    <cellStyle name="Output Line Items 4 4" xfId="948"/>
    <cellStyle name="Output Line Items 4 4 2" xfId="949"/>
    <cellStyle name="Output Line Items 4 5" xfId="950"/>
    <cellStyle name="Output Line Items 4 6" xfId="34416"/>
    <cellStyle name="Output Line Items 4 7" xfId="34417"/>
    <cellStyle name="Output Line Items 5" xfId="951"/>
    <cellStyle name="Output Line Items 5 2" xfId="952"/>
    <cellStyle name="Output Line Items 5 2 2" xfId="34418"/>
    <cellStyle name="Output Line Items 5 2 2 2" xfId="34419"/>
    <cellStyle name="Output Line Items 5 2 3" xfId="34420"/>
    <cellStyle name="Output Line Items 5 3" xfId="34421"/>
    <cellStyle name="Output Line Items 5 3 2" xfId="34422"/>
    <cellStyle name="Output Line Items 5 4" xfId="34423"/>
    <cellStyle name="Output Line Items 6" xfId="953"/>
    <cellStyle name="Output Line Items 6 2" xfId="954"/>
    <cellStyle name="Output Line Items 6 2 2" xfId="34424"/>
    <cellStyle name="Output Line Items 6 3" xfId="34425"/>
    <cellStyle name="Output Line Items 7" xfId="955"/>
    <cellStyle name="Output Line Items 7 2" xfId="34426"/>
    <cellStyle name="Output Line Items 7 2 2" xfId="34427"/>
    <cellStyle name="Output Line Items 7 3" xfId="34428"/>
    <cellStyle name="Output Line Items 8" xfId="34429"/>
    <cellStyle name="Output Line Items 8 2" xfId="34430"/>
    <cellStyle name="Output Line Items 9" xfId="34431"/>
    <cellStyle name="Output Line Items_Copy of 1.Total Mar Capex Reports Working File" xfId="55796"/>
    <cellStyle name="Output millions" xfId="55797"/>
    <cellStyle name="Output millions 2" xfId="55798"/>
    <cellStyle name="Output millions 2 2" xfId="55799"/>
    <cellStyle name="Output millions 3" xfId="55800"/>
    <cellStyle name="Output millions 3 2" xfId="55801"/>
    <cellStyle name="Output millions 4" xfId="55802"/>
    <cellStyle name="Output millions 4 2" xfId="55803"/>
    <cellStyle name="Output millions 5" xfId="55804"/>
    <cellStyle name="Output millions 5 2" xfId="55805"/>
    <cellStyle name="Output millions 6" xfId="55806"/>
    <cellStyle name="Output millions 6 2" xfId="55807"/>
    <cellStyle name="Output millions 7" xfId="55808"/>
    <cellStyle name="Output millions_AffinPartner" xfId="55809"/>
    <cellStyle name="Output Report Heading" xfId="282"/>
    <cellStyle name="Output Report Heading 2" xfId="55810"/>
    <cellStyle name="Output Report Title" xfId="283"/>
    <cellStyle name="Output Report Title 2" xfId="55811"/>
    <cellStyle name="Overskrift 1" xfId="55812"/>
    <cellStyle name="Overskrift 1 2" xfId="55813"/>
    <cellStyle name="Overskrift 2" xfId="55814"/>
    <cellStyle name="Overskrift 2 2" xfId="55815"/>
    <cellStyle name="Overskrift 3" xfId="55816"/>
    <cellStyle name="Overskrift 3 2" xfId="55817"/>
    <cellStyle name="Overskrift 4" xfId="55818"/>
    <cellStyle name="Overskrift 4 2" xfId="55819"/>
    <cellStyle name="Page Number" xfId="55820"/>
    <cellStyle name="Page_No" xfId="55821"/>
    <cellStyle name="pence" xfId="55822"/>
    <cellStyle name="pence [1]" xfId="55823"/>
    <cellStyle name="pence [1] 2" xfId="55824"/>
    <cellStyle name="pence [1] 2 2" xfId="55825"/>
    <cellStyle name="pence [1] 3" xfId="55826"/>
    <cellStyle name="pence [1] 3 2" xfId="55827"/>
    <cellStyle name="pence [1] 4" xfId="55828"/>
    <cellStyle name="pence [1] 4 2" xfId="55829"/>
    <cellStyle name="pence [1] 5" xfId="55830"/>
    <cellStyle name="pence [1] 5 2" xfId="55831"/>
    <cellStyle name="pence [1] 6" xfId="55832"/>
    <cellStyle name="pence [1] 6 2" xfId="55833"/>
    <cellStyle name="pence [1] 7" xfId="55834"/>
    <cellStyle name="pence 10" xfId="55835"/>
    <cellStyle name="pence 11" xfId="55836"/>
    <cellStyle name="pence 2" xfId="55837"/>
    <cellStyle name="pence 2 2" xfId="55838"/>
    <cellStyle name="pence 3" xfId="55839"/>
    <cellStyle name="pence 3 2" xfId="55840"/>
    <cellStyle name="pence 4" xfId="55841"/>
    <cellStyle name="pence 4 2" xfId="55842"/>
    <cellStyle name="pence 5" xfId="55843"/>
    <cellStyle name="pence 5 2" xfId="55844"/>
    <cellStyle name="pence 6" xfId="55845"/>
    <cellStyle name="pence 6 2" xfId="55846"/>
    <cellStyle name="pence 7" xfId="55847"/>
    <cellStyle name="pence 8" xfId="55848"/>
    <cellStyle name="pence 9" xfId="55849"/>
    <cellStyle name="per.style" xfId="55850"/>
    <cellStyle name="Percent" xfId="46" builtinId="5"/>
    <cellStyle name="Percent (0)" xfId="55851"/>
    <cellStyle name="Percent (0) 2" xfId="55852"/>
    <cellStyle name="Percent (1)" xfId="55853"/>
    <cellStyle name="Percent (2)" xfId="55854"/>
    <cellStyle name="Percent [0]" xfId="55855"/>
    <cellStyle name="Percent [0] 2" xfId="55856"/>
    <cellStyle name="Percent [00]" xfId="55857"/>
    <cellStyle name="Percent [00] 2" xfId="55858"/>
    <cellStyle name="percent [1]" xfId="55859"/>
    <cellStyle name="percent [1] 2" xfId="55860"/>
    <cellStyle name="percent [1] 2 2" xfId="55861"/>
    <cellStyle name="percent [1] 3" xfId="55862"/>
    <cellStyle name="percent [1] 3 2" xfId="55863"/>
    <cellStyle name="percent [1] 4" xfId="55864"/>
    <cellStyle name="percent [1] 4 2" xfId="55865"/>
    <cellStyle name="percent [1] 5" xfId="55866"/>
    <cellStyle name="percent [1] 5 2" xfId="55867"/>
    <cellStyle name="percent [1] 6" xfId="55868"/>
    <cellStyle name="percent [1] 6 2" xfId="55869"/>
    <cellStyle name="percent [1] 7" xfId="55870"/>
    <cellStyle name="percent [100]" xfId="55871"/>
    <cellStyle name="percent [100] 2" xfId="55872"/>
    <cellStyle name="percent [100] 2 2" xfId="55873"/>
    <cellStyle name="percent [100] 3" xfId="55874"/>
    <cellStyle name="percent [100] 3 2" xfId="55875"/>
    <cellStyle name="percent [100] 4" xfId="55876"/>
    <cellStyle name="percent [100] 4 2" xfId="55877"/>
    <cellStyle name="percent [100] 5" xfId="55878"/>
    <cellStyle name="percent [100] 5 2" xfId="55879"/>
    <cellStyle name="percent [100] 6" xfId="55880"/>
    <cellStyle name="percent [100] 6 2" xfId="55881"/>
    <cellStyle name="percent [100] 7" xfId="55882"/>
    <cellStyle name="percent [2]" xfId="55883"/>
    <cellStyle name="Percent 0" xfId="55884"/>
    <cellStyle name="Percent 0 2" xfId="55885"/>
    <cellStyle name="Percent 1" xfId="55886"/>
    <cellStyle name="Percent 10" xfId="34432"/>
    <cellStyle name="Percent 10 2" xfId="34433"/>
    <cellStyle name="Percent 10 2 2" xfId="55887"/>
    <cellStyle name="Percent 10 3" xfId="34434"/>
    <cellStyle name="Percent 10 4" xfId="34435"/>
    <cellStyle name="Percent 11" xfId="34436"/>
    <cellStyle name="Percent 11 2" xfId="34437"/>
    <cellStyle name="Percent 11 2 2" xfId="34438"/>
    <cellStyle name="Percent 11 2 3" xfId="34439"/>
    <cellStyle name="Percent 11 2 4" xfId="34440"/>
    <cellStyle name="Percent 11 3" xfId="34441"/>
    <cellStyle name="Percent 11 3 2" xfId="34442"/>
    <cellStyle name="Percent 11 3 3" xfId="34443"/>
    <cellStyle name="Percent 11 4" xfId="34444"/>
    <cellStyle name="Percent 11 5" xfId="34445"/>
    <cellStyle name="Percent 11 6" xfId="34446"/>
    <cellStyle name="Percent 12" xfId="34447"/>
    <cellStyle name="Percent 12 2" xfId="55888"/>
    <cellStyle name="Percent 12 2 2" xfId="55889"/>
    <cellStyle name="Percent 12 3" xfId="55890"/>
    <cellStyle name="Percent 13" xfId="34448"/>
    <cellStyle name="Percent 13 2" xfId="55891"/>
    <cellStyle name="Percent 13 2 2" xfId="55892"/>
    <cellStyle name="Percent 13 3" xfId="55893"/>
    <cellStyle name="Percent 14" xfId="40205"/>
    <cellStyle name="Percent 14 2" xfId="55894"/>
    <cellStyle name="Percent 14 2 2" xfId="55895"/>
    <cellStyle name="Percent 14 3" xfId="55896"/>
    <cellStyle name="Percent 15" xfId="55897"/>
    <cellStyle name="Percent 15 2" xfId="55898"/>
    <cellStyle name="Percent 15 2 2" xfId="55899"/>
    <cellStyle name="Percent 15 3" xfId="55900"/>
    <cellStyle name="Percent 16" xfId="55901"/>
    <cellStyle name="Percent 16 2" xfId="55902"/>
    <cellStyle name="Percent 16 2 2" xfId="55903"/>
    <cellStyle name="Percent 16 3" xfId="55904"/>
    <cellStyle name="Percent 17" xfId="55905"/>
    <cellStyle name="Percent 17 2" xfId="55906"/>
    <cellStyle name="Percent 17 2 2" xfId="55907"/>
    <cellStyle name="Percent 17 3" xfId="55908"/>
    <cellStyle name="Percent 18" xfId="55909"/>
    <cellStyle name="Percent 18 2" xfId="55910"/>
    <cellStyle name="Percent 18 2 2" xfId="55911"/>
    <cellStyle name="Percent 18 3" xfId="55912"/>
    <cellStyle name="Percent 19" xfId="55913"/>
    <cellStyle name="Percent 19 2" xfId="55914"/>
    <cellStyle name="Percent 19 2 2" xfId="55915"/>
    <cellStyle name="Percent 19 3" xfId="55916"/>
    <cellStyle name="Percent 2" xfId="59"/>
    <cellStyle name="Percent 2 10" xfId="55917"/>
    <cellStyle name="Percent 2 11" xfId="55918"/>
    <cellStyle name="Percent 2 12" xfId="55919"/>
    <cellStyle name="Percent 2 13" xfId="55920"/>
    <cellStyle name="Percent 2 14" xfId="55921"/>
    <cellStyle name="Percent 2 15" xfId="55922"/>
    <cellStyle name="Percent 2 16" xfId="55923"/>
    <cellStyle name="Percent 2 17" xfId="55924"/>
    <cellStyle name="Percent 2 18" xfId="55925"/>
    <cellStyle name="Percent 2 19" xfId="55926"/>
    <cellStyle name="Percent 2 2" xfId="63"/>
    <cellStyle name="Percent 2 2 2" xfId="34449"/>
    <cellStyle name="Percent 2 2 2 2" xfId="34450"/>
    <cellStyle name="Percent 2 2 2 3" xfId="34451"/>
    <cellStyle name="Percent 2 20" xfId="55927"/>
    <cellStyle name="Percent 2 21" xfId="55928"/>
    <cellStyle name="Percent 2 22" xfId="55929"/>
    <cellStyle name="Percent 2 23" xfId="55930"/>
    <cellStyle name="Percent 2 24" xfId="55931"/>
    <cellStyle name="Percent 2 25" xfId="55932"/>
    <cellStyle name="Percent 2 26" xfId="55933"/>
    <cellStyle name="Percent 2 27" xfId="55934"/>
    <cellStyle name="Percent 2 28" xfId="55935"/>
    <cellStyle name="Percent 2 29" xfId="55936"/>
    <cellStyle name="Percent 2 3" xfId="34452"/>
    <cellStyle name="Percent 2 3 2" xfId="34453"/>
    <cellStyle name="Percent 2 3 3" xfId="34454"/>
    <cellStyle name="Percent 2 30" xfId="55937"/>
    <cellStyle name="Percent 2 4" xfId="55938"/>
    <cellStyle name="Percent 2 5" xfId="55939"/>
    <cellStyle name="Percent 2 6" xfId="55940"/>
    <cellStyle name="Percent 2 7" xfId="55941"/>
    <cellStyle name="Percent 2 8" xfId="55942"/>
    <cellStyle name="Percent 2 9" xfId="55943"/>
    <cellStyle name="Percent 20" xfId="55944"/>
    <cellStyle name="Percent 20 2" xfId="55945"/>
    <cellStyle name="Percent 20 2 2" xfId="55946"/>
    <cellStyle name="Percent 20 3" xfId="55947"/>
    <cellStyle name="Percent 21" xfId="55948"/>
    <cellStyle name="Percent 21 2" xfId="55949"/>
    <cellStyle name="Percent 21 2 2" xfId="55950"/>
    <cellStyle name="Percent 21 3" xfId="55951"/>
    <cellStyle name="Percent 22" xfId="55952"/>
    <cellStyle name="Percent 22 2" xfId="55953"/>
    <cellStyle name="Percent 22 3" xfId="55954"/>
    <cellStyle name="Percent 23" xfId="55955"/>
    <cellStyle name="Percent 23 2" xfId="55956"/>
    <cellStyle name="Percent 24" xfId="55957"/>
    <cellStyle name="Percent 24 2" xfId="55958"/>
    <cellStyle name="Percent 25" xfId="55959"/>
    <cellStyle name="Percent 25 2" xfId="55960"/>
    <cellStyle name="Percent 25 2 2" xfId="55961"/>
    <cellStyle name="Percent 25 3" xfId="55962"/>
    <cellStyle name="Percent 26" xfId="55963"/>
    <cellStyle name="Percent 26 2" xfId="55964"/>
    <cellStyle name="Percent 27" xfId="55965"/>
    <cellStyle name="Percent 27 2" xfId="55966"/>
    <cellStyle name="Percent 28" xfId="55967"/>
    <cellStyle name="Percent 28 2" xfId="55968"/>
    <cellStyle name="Percent 29" xfId="55969"/>
    <cellStyle name="Percent 29 2" xfId="55970"/>
    <cellStyle name="Percent 3" xfId="233"/>
    <cellStyle name="Percent 3 10" xfId="55971"/>
    <cellStyle name="Percent 3 11" xfId="55972"/>
    <cellStyle name="Percent 3 12" xfId="55973"/>
    <cellStyle name="Percent 3 13" xfId="55974"/>
    <cellStyle name="Percent 3 14" xfId="55975"/>
    <cellStyle name="Percent 3 15" xfId="55976"/>
    <cellStyle name="Percent 3 16" xfId="55977"/>
    <cellStyle name="Percent 3 17" xfId="55978"/>
    <cellStyle name="Percent 3 18" xfId="55979"/>
    <cellStyle name="Percent 3 19" xfId="55980"/>
    <cellStyle name="Percent 3 2" xfId="956"/>
    <cellStyle name="Percent 3 2 2" xfId="34455"/>
    <cellStyle name="Percent 3 2 3" xfId="34456"/>
    <cellStyle name="Percent 3 20" xfId="55981"/>
    <cellStyle name="Percent 3 21" xfId="55982"/>
    <cellStyle name="Percent 3 22" xfId="55983"/>
    <cellStyle name="Percent 3 23" xfId="55984"/>
    <cellStyle name="Percent 3 24" xfId="55985"/>
    <cellStyle name="Percent 3 25" xfId="55986"/>
    <cellStyle name="Percent 3 26" xfId="55987"/>
    <cellStyle name="Percent 3 27" xfId="55988"/>
    <cellStyle name="Percent 3 28" xfId="55989"/>
    <cellStyle name="Percent 3 29" xfId="55990"/>
    <cellStyle name="Percent 3 3" xfId="34457"/>
    <cellStyle name="Percent 3 3 2" xfId="55991"/>
    <cellStyle name="Percent 3 3 2 2" xfId="55992"/>
    <cellStyle name="Percent 3 3 3" xfId="55993"/>
    <cellStyle name="Percent 3 30" xfId="55994"/>
    <cellStyle name="Percent 3 4" xfId="55995"/>
    <cellStyle name="Percent 3 5" xfId="55996"/>
    <cellStyle name="Percent 3 6" xfId="55997"/>
    <cellStyle name="Percent 3 7" xfId="55998"/>
    <cellStyle name="Percent 3 8" xfId="55999"/>
    <cellStyle name="Percent 3 9" xfId="56000"/>
    <cellStyle name="Percent 30" xfId="56001"/>
    <cellStyle name="Percent 30 2" xfId="56002"/>
    <cellStyle name="Percent 31" xfId="56003"/>
    <cellStyle name="Percent 31 2" xfId="56004"/>
    <cellStyle name="Percent 32" xfId="56005"/>
    <cellStyle name="Percent 32 2" xfId="56006"/>
    <cellStyle name="Percent 32 2 2" xfId="56007"/>
    <cellStyle name="Percent 32 3" xfId="56008"/>
    <cellStyle name="Percent 33" xfId="56009"/>
    <cellStyle name="Percent 34" xfId="56010"/>
    <cellStyle name="Percent 34 2" xfId="56011"/>
    <cellStyle name="Percent 35" xfId="56012"/>
    <cellStyle name="Percent 36" xfId="56013"/>
    <cellStyle name="Percent 37" xfId="56014"/>
    <cellStyle name="Percent 38" xfId="56015"/>
    <cellStyle name="Percent 39" xfId="56016"/>
    <cellStyle name="Percent 4" xfId="234"/>
    <cellStyle name="Percent 4 2" xfId="235"/>
    <cellStyle name="Percent 4 2 2" xfId="34458"/>
    <cellStyle name="Percent 4 3" xfId="34459"/>
    <cellStyle name="Percent 4 3 2" xfId="34460"/>
    <cellStyle name="Percent 4 4" xfId="34461"/>
    <cellStyle name="Percent 4 5" xfId="34462"/>
    <cellStyle name="Percent 40" xfId="56017"/>
    <cellStyle name="Percent 41" xfId="59028"/>
    <cellStyle name="Percent 42" xfId="59030"/>
    <cellStyle name="Percent 5" xfId="236"/>
    <cellStyle name="Percent 5 2" xfId="237"/>
    <cellStyle name="Percent 5 2 2" xfId="56018"/>
    <cellStyle name="Percent 5 3" xfId="56019"/>
    <cellStyle name="Percent 5 4" xfId="56020"/>
    <cellStyle name="Percent 6" xfId="238"/>
    <cellStyle name="Percent 6 2" xfId="239"/>
    <cellStyle name="Percent 6 2 2" xfId="56021"/>
    <cellStyle name="Percent 6 3" xfId="56022"/>
    <cellStyle name="Percent 7" xfId="240"/>
    <cellStyle name="Percent 7 2" xfId="34463"/>
    <cellStyle name="Percent 7 2 2" xfId="56023"/>
    <cellStyle name="Percent 7 3" xfId="34464"/>
    <cellStyle name="Percent 8" xfId="263"/>
    <cellStyle name="Percent 8 2" xfId="34465"/>
    <cellStyle name="Percent 8 2 2" xfId="34466"/>
    <cellStyle name="Percent 8 2 2 2" xfId="34467"/>
    <cellStyle name="Percent 8 2 3" xfId="34468"/>
    <cellStyle name="Percent 8 2 4" xfId="34469"/>
    <cellStyle name="Percent 8 2 5" xfId="34470"/>
    <cellStyle name="Percent 8 3" xfId="34471"/>
    <cellStyle name="Percent 8 3 2" xfId="34472"/>
    <cellStyle name="Percent 8 3 2 2" xfId="34473"/>
    <cellStyle name="Percent 8 3 3" xfId="34474"/>
    <cellStyle name="Percent 8 4" xfId="34475"/>
    <cellStyle name="Percent 8 4 2" xfId="34476"/>
    <cellStyle name="Percent 8 5" xfId="34477"/>
    <cellStyle name="Percent 8 6" xfId="34478"/>
    <cellStyle name="Percent 8 7" xfId="34479"/>
    <cellStyle name="Percent 8 8" xfId="34480"/>
    <cellStyle name="Percent 9" xfId="265"/>
    <cellStyle name="Percent 9 2" xfId="34481"/>
    <cellStyle name="Percent 9 2 2" xfId="56024"/>
    <cellStyle name="Percent 9 3" xfId="34482"/>
    <cellStyle name="Percent 9 4" xfId="34483"/>
    <cellStyle name="Percent 9 5" xfId="34484"/>
    <cellStyle name="Percent 9 6" xfId="34485"/>
    <cellStyle name="percent format" xfId="56025"/>
    <cellStyle name="percent to sales" xfId="56026"/>
    <cellStyle name="Percent*" xfId="56027"/>
    <cellStyle name="Percent1" xfId="56028"/>
    <cellStyle name="Percentage" xfId="56029"/>
    <cellStyle name="Percentage 2" xfId="56030"/>
    <cellStyle name="Percentage." xfId="56031"/>
    <cellStyle name="Percentuale_aziende gen-nov 99 rp" xfId="56032"/>
    <cellStyle name="Period Title" xfId="56033"/>
    <cellStyle name="Period Title 2" xfId="56034"/>
    <cellStyle name="Period Title." xfId="56035"/>
    <cellStyle name="Phone" xfId="56036"/>
    <cellStyle name="Porcentual_MRP default values table" xfId="56037"/>
    <cellStyle name="PrePop Currency (0)" xfId="56038"/>
    <cellStyle name="PrePop Currency (0) 2" xfId="56039"/>
    <cellStyle name="PrePop Currency (2)" xfId="56040"/>
    <cellStyle name="PrePop Currency (2) 2" xfId="56041"/>
    <cellStyle name="PrePop Units (0)" xfId="56042"/>
    <cellStyle name="PrePop Units (0) 2" xfId="56043"/>
    <cellStyle name="PrePop Units (1)" xfId="56044"/>
    <cellStyle name="PrePop Units (1) 2" xfId="56045"/>
    <cellStyle name="PrePop Units (2)" xfId="56046"/>
    <cellStyle name="PrePop Units (2) 2" xfId="56047"/>
    <cellStyle name="Presentation Currency." xfId="56048"/>
    <cellStyle name="Presentation Date." xfId="56049"/>
    <cellStyle name="Presentation Heading 1." xfId="56050"/>
    <cellStyle name="Presentation Heading 2." xfId="56051"/>
    <cellStyle name="Presentation Heading 3." xfId="56052"/>
    <cellStyle name="Presentation Heading 4." xfId="56053"/>
    <cellStyle name="Presentation Hyperlink Arrow." xfId="56054"/>
    <cellStyle name="Presentation Hyperlink Check." xfId="56055"/>
    <cellStyle name="Presentation Hyperlink Text." xfId="56056"/>
    <cellStyle name="Presentation Model Name." xfId="56057"/>
    <cellStyle name="Presentation Multiple." xfId="56058"/>
    <cellStyle name="Presentation Normal." xfId="56059"/>
    <cellStyle name="Presentation Number." xfId="56060"/>
    <cellStyle name="Presentation Percentage." xfId="56061"/>
    <cellStyle name="Presentation Period Title." xfId="56062"/>
    <cellStyle name="Presentation Section Number." xfId="56063"/>
    <cellStyle name="Presentation Sheet Title." xfId="56064"/>
    <cellStyle name="Presentation Sub Total." xfId="56065"/>
    <cellStyle name="Presentation TOC 1." xfId="56066"/>
    <cellStyle name="Presentation TOC 2." xfId="56067"/>
    <cellStyle name="Presentation TOC 3." xfId="56068"/>
    <cellStyle name="Presentation TOC 4." xfId="56069"/>
    <cellStyle name="Presentation Year." xfId="56070"/>
    <cellStyle name="Price" xfId="56071"/>
    <cellStyle name="Price  .00" xfId="56072"/>
    <cellStyle name="Price  .00 2" xfId="56073"/>
    <cellStyle name="Price  .00 3" xfId="56074"/>
    <cellStyle name="Price 2" xfId="56075"/>
    <cellStyle name="Price_BOT pricing v.1.0" xfId="56076"/>
    <cellStyle name="pricing" xfId="56077"/>
    <cellStyle name="PS %" xfId="56078"/>
    <cellStyle name="PS Detail" xfId="56079"/>
    <cellStyle name="PS Detail2" xfId="56080"/>
    <cellStyle name="PSChar" xfId="56081"/>
    <cellStyle name="PSChar 2" xfId="56082"/>
    <cellStyle name="PSChar 2 10" xfId="56083"/>
    <cellStyle name="PSChar 2 2" xfId="56084"/>
    <cellStyle name="PSChar 2 3" xfId="56085"/>
    <cellStyle name="PSChar 2 4" xfId="56086"/>
    <cellStyle name="PSChar 2 5" xfId="56087"/>
    <cellStyle name="PSChar 2 6" xfId="56088"/>
    <cellStyle name="PSChar 2 7" xfId="56089"/>
    <cellStyle name="PSChar 2 8" xfId="56090"/>
    <cellStyle name="PSChar 2 9" xfId="56091"/>
    <cellStyle name="PSChar 3" xfId="56092"/>
    <cellStyle name="PSChar 3 2" xfId="56093"/>
    <cellStyle name="PSChar 3 3" xfId="56094"/>
    <cellStyle name="PSChar 3 4" xfId="56095"/>
    <cellStyle name="PSChar 3 5" xfId="56096"/>
    <cellStyle name="PSChar 3 6" xfId="56097"/>
    <cellStyle name="PSChar 3 7" xfId="56098"/>
    <cellStyle name="PSChar 3 8" xfId="56099"/>
    <cellStyle name="PSChar 3 9" xfId="56100"/>
    <cellStyle name="PSChar 4" xfId="56101"/>
    <cellStyle name="PSDate" xfId="56102"/>
    <cellStyle name="PSDate 2" xfId="56103"/>
    <cellStyle name="PSDate 2 2" xfId="56104"/>
    <cellStyle name="PSDate 2 3" xfId="56105"/>
    <cellStyle name="PSDate 2 4" xfId="56106"/>
    <cellStyle name="PSDate 2 5" xfId="56107"/>
    <cellStyle name="PSDate 2 6" xfId="56108"/>
    <cellStyle name="PSDate 2 7" xfId="56109"/>
    <cellStyle name="PSDate 2 8" xfId="56110"/>
    <cellStyle name="PSDate 2 9" xfId="56111"/>
    <cellStyle name="PSDate 3" xfId="56112"/>
    <cellStyle name="PSDate 3 2" xfId="56113"/>
    <cellStyle name="PSDate 3 3" xfId="56114"/>
    <cellStyle name="PSDate 3 4" xfId="56115"/>
    <cellStyle name="PSDate 3 5" xfId="56116"/>
    <cellStyle name="PSDate 3 6" xfId="56117"/>
    <cellStyle name="PSDate 3 7" xfId="56118"/>
    <cellStyle name="PSDate 3 8" xfId="56119"/>
    <cellStyle name="PSDate 3 9" xfId="56120"/>
    <cellStyle name="PSDec" xfId="56121"/>
    <cellStyle name="PSDec 2" xfId="56122"/>
    <cellStyle name="PSDec 2 2" xfId="56123"/>
    <cellStyle name="PSDec 2 3" xfId="56124"/>
    <cellStyle name="PSDec 2 4" xfId="56125"/>
    <cellStyle name="PSDec 2 5" xfId="56126"/>
    <cellStyle name="PSDec 2 6" xfId="56127"/>
    <cellStyle name="PSDec 2 7" xfId="56128"/>
    <cellStyle name="PSDec 2 8" xfId="56129"/>
    <cellStyle name="PSDec 2 9" xfId="56130"/>
    <cellStyle name="PSDec 3" xfId="56131"/>
    <cellStyle name="PSDec 3 2" xfId="56132"/>
    <cellStyle name="PSDec 3 3" xfId="56133"/>
    <cellStyle name="PSDec 3 4" xfId="56134"/>
    <cellStyle name="PSDec 3 5" xfId="56135"/>
    <cellStyle name="PSDec 3 6" xfId="56136"/>
    <cellStyle name="PSDec 3 7" xfId="56137"/>
    <cellStyle name="PSDec 3 8" xfId="56138"/>
    <cellStyle name="PSDec 3 9" xfId="56139"/>
    <cellStyle name="PSHeading" xfId="56140"/>
    <cellStyle name="PSHeading 2" xfId="56141"/>
    <cellStyle name="PSHeading 2 10" xfId="56142"/>
    <cellStyle name="PSHeading 2 2" xfId="56143"/>
    <cellStyle name="PSHeading 2 3" xfId="56144"/>
    <cellStyle name="PSHeading 2 4" xfId="56145"/>
    <cellStyle name="PSHeading 2 5" xfId="56146"/>
    <cellStyle name="PSHeading 2 6" xfId="56147"/>
    <cellStyle name="PSHeading 2 7" xfId="56148"/>
    <cellStyle name="PSHeading 2 8" xfId="56149"/>
    <cellStyle name="PSHeading 2 9" xfId="56150"/>
    <cellStyle name="PSHeading 2_IBP - COPI Uplift at Investment Area Level 01Feb12" xfId="56151"/>
    <cellStyle name="PSHeading 3" xfId="56152"/>
    <cellStyle name="PSHeading 3 2" xfId="56153"/>
    <cellStyle name="PSHeading 3 3" xfId="56154"/>
    <cellStyle name="PSHeading 3 4" xfId="56155"/>
    <cellStyle name="PSHeading 3 5" xfId="56156"/>
    <cellStyle name="PSHeading 3 6" xfId="56157"/>
    <cellStyle name="PSHeading 3 7" xfId="56158"/>
    <cellStyle name="PSHeading 3 8" xfId="56159"/>
    <cellStyle name="PSHeading 3 9" xfId="56160"/>
    <cellStyle name="PSHeading 3_IBP - COPI Uplift at Investment Area Level 01Feb12" xfId="56161"/>
    <cellStyle name="PSHeading 4" xfId="56162"/>
    <cellStyle name="PSHeading_~9868926" xfId="56163"/>
    <cellStyle name="PSInt" xfId="56164"/>
    <cellStyle name="PSInt 2" xfId="56165"/>
    <cellStyle name="PSInt 2 2" xfId="56166"/>
    <cellStyle name="PSInt 2 3" xfId="56167"/>
    <cellStyle name="PSInt 2 4" xfId="56168"/>
    <cellStyle name="PSInt 2 5" xfId="56169"/>
    <cellStyle name="PSInt 2 6" xfId="56170"/>
    <cellStyle name="PSInt 2 7" xfId="56171"/>
    <cellStyle name="PSInt 2 8" xfId="56172"/>
    <cellStyle name="PSInt 2 9" xfId="56173"/>
    <cellStyle name="PSInt 3" xfId="56174"/>
    <cellStyle name="PSInt 3 2" xfId="56175"/>
    <cellStyle name="PSInt 3 3" xfId="56176"/>
    <cellStyle name="PSInt 3 4" xfId="56177"/>
    <cellStyle name="PSInt 3 5" xfId="56178"/>
    <cellStyle name="PSInt 3 6" xfId="56179"/>
    <cellStyle name="PSInt 3 7" xfId="56180"/>
    <cellStyle name="PSInt 3 8" xfId="56181"/>
    <cellStyle name="PSInt 3 9" xfId="56182"/>
    <cellStyle name="PSSpacer" xfId="56183"/>
    <cellStyle name="PSSpacer 2" xfId="56184"/>
    <cellStyle name="PSSpacer 2 10" xfId="56185"/>
    <cellStyle name="PSSpacer 2 2" xfId="56186"/>
    <cellStyle name="PSSpacer 2 3" xfId="56187"/>
    <cellStyle name="PSSpacer 2 4" xfId="56188"/>
    <cellStyle name="PSSpacer 2 5" xfId="56189"/>
    <cellStyle name="PSSpacer 2 6" xfId="56190"/>
    <cellStyle name="PSSpacer 2 7" xfId="56191"/>
    <cellStyle name="PSSpacer 2 8" xfId="56192"/>
    <cellStyle name="PSSpacer 2 9" xfId="56193"/>
    <cellStyle name="PSSpacer 3" xfId="56194"/>
    <cellStyle name="PSSpacer 3 2" xfId="56195"/>
    <cellStyle name="PSSpacer 3 3" xfId="56196"/>
    <cellStyle name="PSSpacer 3 4" xfId="56197"/>
    <cellStyle name="PSSpacer 3 5" xfId="56198"/>
    <cellStyle name="PSSpacer 3 6" xfId="56199"/>
    <cellStyle name="PSSpacer 3 7" xfId="56200"/>
    <cellStyle name="PSSpacer 3 8" xfId="56201"/>
    <cellStyle name="PSSpacer 3 9" xfId="56202"/>
    <cellStyle name="PSSpacer 4" xfId="56203"/>
    <cellStyle name="Publication_style" xfId="56204"/>
    <cellStyle name="Punto0" xfId="56205"/>
    <cellStyle name="Qty" xfId="56206"/>
    <cellStyle name="Qty 2" xfId="56207"/>
    <cellStyle name="quant" xfId="56208"/>
    <cellStyle name="r" xfId="56209"/>
    <cellStyle name="r_DCF_EBITDA" xfId="56210"/>
    <cellStyle name="r_DCF_PERPETUITY" xfId="56211"/>
    <cellStyle name="r_Division" xfId="56212"/>
    <cellStyle name="r_Division_EBIT" xfId="56213"/>
    <cellStyle name="r_Division_Sales" xfId="56214"/>
    <cellStyle name="r_PUBMKT" xfId="56215"/>
    <cellStyle name="r_Synergy" xfId="56216"/>
    <cellStyle name="r_Synergy_DCF_EBITDA" xfId="56217"/>
    <cellStyle name="r_Synergy_DCF_PERPETUITY" xfId="56218"/>
    <cellStyle name="r_Synergy_Division_EBIT" xfId="56219"/>
    <cellStyle name="r_Synergy_Division_Sales" xfId="56220"/>
    <cellStyle name="r_Synergy_Tecnol_Matrix" xfId="56221"/>
    <cellStyle name="r_Tecnol_Matrix" xfId="56222"/>
    <cellStyle name="Rank" xfId="56223"/>
    <cellStyle name="Rate" xfId="56224"/>
    <cellStyle name="Ratio" xfId="56225"/>
    <cellStyle name="Ratio 2" xfId="56226"/>
    <cellStyle name="Ratio 2 2" xfId="56227"/>
    <cellStyle name="Ratio 3" xfId="56228"/>
    <cellStyle name="Ratio 3 2" xfId="56229"/>
    <cellStyle name="Ratio 4" xfId="56230"/>
    <cellStyle name="Ratio 4 2" xfId="56231"/>
    <cellStyle name="Ratio 5" xfId="56232"/>
    <cellStyle name="Ratio 5 2" xfId="56233"/>
    <cellStyle name="Ratio 6" xfId="56234"/>
    <cellStyle name="Ratio 6 2" xfId="56235"/>
    <cellStyle name="Ratio 7" xfId="56236"/>
    <cellStyle name="Ratio_AffinPartner" xfId="56237"/>
    <cellStyle name="Red Brackets" xfId="56238"/>
    <cellStyle name="Red_%1" xfId="56239"/>
    <cellStyle name="Refdb standard" xfId="56240"/>
    <cellStyle name="regstoresfromspecstores" xfId="56241"/>
    <cellStyle name="regstoresfromspecstores 2" xfId="56242"/>
    <cellStyle name="report detail" xfId="56243"/>
    <cellStyle name="RevList" xfId="56244"/>
    <cellStyle name="Right Currency" xfId="56245"/>
    <cellStyle name="Right Currency 2" xfId="56246"/>
    <cellStyle name="Right Date" xfId="56247"/>
    <cellStyle name="Right Date 2" xfId="56248"/>
    <cellStyle name="Right Multiple" xfId="56249"/>
    <cellStyle name="Right Multiple 2" xfId="56250"/>
    <cellStyle name="Right Number" xfId="56251"/>
    <cellStyle name="Right Number 2" xfId="56252"/>
    <cellStyle name="Right Percentage" xfId="56253"/>
    <cellStyle name="Right Percentage 2" xfId="56254"/>
    <cellStyle name="Right Year" xfId="56255"/>
    <cellStyle name="Right Year 2" xfId="56256"/>
    <cellStyle name="roll12a1" xfId="56257"/>
    <cellStyle name="roll12a1 2" xfId="56258"/>
    <cellStyle name="ROMAN" xfId="56259"/>
    <cellStyle name="Row title 1" xfId="56260"/>
    <cellStyle name="Row Title 3" xfId="56261"/>
    <cellStyle name="Rows" xfId="56262"/>
    <cellStyle name="Rows 2" xfId="56263"/>
    <cellStyle name="Rows 3" xfId="56264"/>
    <cellStyle name="Rows 4" xfId="56265"/>
    <cellStyle name="Rows 5" xfId="56266"/>
    <cellStyle name="Rows 6" xfId="56267"/>
    <cellStyle name="Salomon Logo" xfId="56268"/>
    <cellStyle name="SAPBEXaggData" xfId="56269"/>
    <cellStyle name="SAPBEXaggData 2" xfId="56270"/>
    <cellStyle name="SAPBEXaggData 2 2" xfId="56271"/>
    <cellStyle name="SAPBEXaggData 2 3" xfId="56272"/>
    <cellStyle name="SAPBEXaggData 3" xfId="56273"/>
    <cellStyle name="SAPBEXaggData 4" xfId="56274"/>
    <cellStyle name="SAPBEXaggData 5" xfId="56275"/>
    <cellStyle name="SAPBEXaggData_Adjustments" xfId="56276"/>
    <cellStyle name="SAPBEXaggDataEmph" xfId="56277"/>
    <cellStyle name="SAPBEXaggDataEmph 2" xfId="56278"/>
    <cellStyle name="SAPBEXaggDataEmph 2 2" xfId="56279"/>
    <cellStyle name="SAPBEXaggDataEmph 2 3" xfId="56280"/>
    <cellStyle name="SAPBEXaggDataEmph 3" xfId="56281"/>
    <cellStyle name="SAPBEXaggDataEmph 4" xfId="56282"/>
    <cellStyle name="SAPBEXaggDataEmph 5" xfId="56283"/>
    <cellStyle name="SAPBEXaggItem" xfId="56284"/>
    <cellStyle name="SAPBEXaggItem 2" xfId="56285"/>
    <cellStyle name="SAPBEXaggItem 2 2" xfId="56286"/>
    <cellStyle name="SAPBEXaggItem 2 3" xfId="56287"/>
    <cellStyle name="SAPBEXaggItem 3" xfId="56288"/>
    <cellStyle name="SAPBEXaggItem 4" xfId="56289"/>
    <cellStyle name="SAPBEXaggItem 5" xfId="56290"/>
    <cellStyle name="SAPBEXaggItem_Adjustments" xfId="56291"/>
    <cellStyle name="SAPBEXaggItemX" xfId="56292"/>
    <cellStyle name="SAPBEXaggItemX 2" xfId="56293"/>
    <cellStyle name="SAPBEXaggItemX 2 2" xfId="56294"/>
    <cellStyle name="SAPBEXaggItemX 2 3" xfId="56295"/>
    <cellStyle name="SAPBEXaggItemX 3" xfId="56296"/>
    <cellStyle name="SAPBEXaggItemX 4" xfId="56297"/>
    <cellStyle name="SAPBEXaggItemX 5" xfId="56298"/>
    <cellStyle name="SAPBEXchaText" xfId="56299"/>
    <cellStyle name="SAPBEXchaText 2" xfId="56300"/>
    <cellStyle name="SAPBEXchaText 2 2" xfId="56301"/>
    <cellStyle name="SAPBEXchaText 2 2 2" xfId="56302"/>
    <cellStyle name="SAPBEXchaText 2 2 2 2" xfId="56303"/>
    <cellStyle name="SAPBEXchaText 2 2 2 3" xfId="56304"/>
    <cellStyle name="SAPBEXchaText 2 2 2 4" xfId="56305"/>
    <cellStyle name="SAPBEXchaText 2 2 3" xfId="56306"/>
    <cellStyle name="SAPBEXchaText 2 2 3 2" xfId="56307"/>
    <cellStyle name="SAPBEXchaText 2 2 3 3" xfId="56308"/>
    <cellStyle name="SAPBEXchaText 2 2 3 4" xfId="56309"/>
    <cellStyle name="SAPBEXchaText 2 2 4" xfId="56310"/>
    <cellStyle name="SAPBEXchaText 2 2 5" xfId="56311"/>
    <cellStyle name="SAPBEXchaText 2 3" xfId="56312"/>
    <cellStyle name="SAPBEXchaText 2 4" xfId="56313"/>
    <cellStyle name="SAPBEXchaText 2 5" xfId="56314"/>
    <cellStyle name="SAPBEXchaText 3" xfId="56315"/>
    <cellStyle name="SAPBEXchaText 3 2" xfId="56316"/>
    <cellStyle name="SAPBEXchaText 3 2 2" xfId="56317"/>
    <cellStyle name="SAPBEXchaText 3 2 3" xfId="56318"/>
    <cellStyle name="SAPBEXchaText 3 2 4" xfId="56319"/>
    <cellStyle name="SAPBEXchaText 3 3" xfId="56320"/>
    <cellStyle name="SAPBEXchaText 3 3 2" xfId="56321"/>
    <cellStyle name="SAPBEXchaText 3 3 3" xfId="56322"/>
    <cellStyle name="SAPBEXchaText 3 3 4" xfId="56323"/>
    <cellStyle name="SAPBEXchaText 3 4" xfId="56324"/>
    <cellStyle name="SAPBEXchaText 3 5" xfId="56325"/>
    <cellStyle name="SAPBEXchaText 4" xfId="56326"/>
    <cellStyle name="SAPBEXchaText 5" xfId="56327"/>
    <cellStyle name="SAPBEXchaText 6" xfId="56328"/>
    <cellStyle name="SAPBEXchaText_Adjustments" xfId="56329"/>
    <cellStyle name="SAPBEXexcBad7" xfId="56330"/>
    <cellStyle name="SAPBEXexcBad7 2" xfId="56331"/>
    <cellStyle name="SAPBEXexcBad7 2 2" xfId="56332"/>
    <cellStyle name="SAPBEXexcBad7 2 3" xfId="56333"/>
    <cellStyle name="SAPBEXexcBad7 3" xfId="56334"/>
    <cellStyle name="SAPBEXexcBad7 4" xfId="56335"/>
    <cellStyle name="SAPBEXexcBad7 5" xfId="56336"/>
    <cellStyle name="SAPBEXexcBad8" xfId="56337"/>
    <cellStyle name="SAPBEXexcBad8 2" xfId="56338"/>
    <cellStyle name="SAPBEXexcBad8 2 2" xfId="56339"/>
    <cellStyle name="SAPBEXexcBad8 2 3" xfId="56340"/>
    <cellStyle name="SAPBEXexcBad8 3" xfId="56341"/>
    <cellStyle name="SAPBEXexcBad8 4" xfId="56342"/>
    <cellStyle name="SAPBEXexcBad8 5" xfId="56343"/>
    <cellStyle name="SAPBEXexcBad9" xfId="56344"/>
    <cellStyle name="SAPBEXexcBad9 2" xfId="56345"/>
    <cellStyle name="SAPBEXexcBad9 2 2" xfId="56346"/>
    <cellStyle name="SAPBEXexcBad9 2 3" xfId="56347"/>
    <cellStyle name="SAPBEXexcBad9 3" xfId="56348"/>
    <cellStyle name="SAPBEXexcBad9 4" xfId="56349"/>
    <cellStyle name="SAPBEXexcBad9 5" xfId="56350"/>
    <cellStyle name="SAPBEXexcCritical4" xfId="56351"/>
    <cellStyle name="SAPBEXexcCritical4 2" xfId="56352"/>
    <cellStyle name="SAPBEXexcCritical4 2 2" xfId="56353"/>
    <cellStyle name="SAPBEXexcCritical4 2 3" xfId="56354"/>
    <cellStyle name="SAPBEXexcCritical4 3" xfId="56355"/>
    <cellStyle name="SAPBEXexcCritical4 4" xfId="56356"/>
    <cellStyle name="SAPBEXexcCritical4 5" xfId="56357"/>
    <cellStyle name="SAPBEXexcCritical5" xfId="56358"/>
    <cellStyle name="SAPBEXexcCritical5 2" xfId="56359"/>
    <cellStyle name="SAPBEXexcCritical5 2 2" xfId="56360"/>
    <cellStyle name="SAPBEXexcCritical5 2 3" xfId="56361"/>
    <cellStyle name="SAPBEXexcCritical5 3" xfId="56362"/>
    <cellStyle name="SAPBEXexcCritical5 4" xfId="56363"/>
    <cellStyle name="SAPBEXexcCritical5 5" xfId="56364"/>
    <cellStyle name="SAPBEXexcCritical6" xfId="56365"/>
    <cellStyle name="SAPBEXexcCritical6 2" xfId="56366"/>
    <cellStyle name="SAPBEXexcCritical6 2 2" xfId="56367"/>
    <cellStyle name="SAPBEXexcCritical6 2 3" xfId="56368"/>
    <cellStyle name="SAPBEXexcCritical6 3" xfId="56369"/>
    <cellStyle name="SAPBEXexcCritical6 4" xfId="56370"/>
    <cellStyle name="SAPBEXexcCritical6 5" xfId="56371"/>
    <cellStyle name="SAPBEXexcGood1" xfId="56372"/>
    <cellStyle name="SAPBEXexcGood1 2" xfId="56373"/>
    <cellStyle name="SAPBEXexcGood1 2 2" xfId="56374"/>
    <cellStyle name="SAPBEXexcGood1 2 3" xfId="56375"/>
    <cellStyle name="SAPBEXexcGood1 3" xfId="56376"/>
    <cellStyle name="SAPBEXexcGood1 4" xfId="56377"/>
    <cellStyle name="SAPBEXexcGood1 5" xfId="56378"/>
    <cellStyle name="SAPBEXexcGood2" xfId="56379"/>
    <cellStyle name="SAPBEXexcGood2 2" xfId="56380"/>
    <cellStyle name="SAPBEXexcGood2 2 2" xfId="56381"/>
    <cellStyle name="SAPBEXexcGood2 2 3" xfId="56382"/>
    <cellStyle name="SAPBEXexcGood2 3" xfId="56383"/>
    <cellStyle name="SAPBEXexcGood2 4" xfId="56384"/>
    <cellStyle name="SAPBEXexcGood2 5" xfId="56385"/>
    <cellStyle name="SAPBEXexcGood3" xfId="56386"/>
    <cellStyle name="SAPBEXexcGood3 2" xfId="56387"/>
    <cellStyle name="SAPBEXexcGood3 2 2" xfId="56388"/>
    <cellStyle name="SAPBEXexcGood3 2 3" xfId="56389"/>
    <cellStyle name="SAPBEXexcGood3 3" xfId="56390"/>
    <cellStyle name="SAPBEXexcGood3 4" xfId="56391"/>
    <cellStyle name="SAPBEXexcGood3 5" xfId="56392"/>
    <cellStyle name="SAPBEXfilterDrill" xfId="56393"/>
    <cellStyle name="SAPBEXfilterDrill 2" xfId="56394"/>
    <cellStyle name="SAPBEXfilterDrill 2 2" xfId="56395"/>
    <cellStyle name="SAPBEXfilterDrill 2 3" xfId="56396"/>
    <cellStyle name="SAPBEXfilterDrill 3" xfId="56397"/>
    <cellStyle name="SAPBEXfilterDrill 4" xfId="56398"/>
    <cellStyle name="SAPBEXfilterDrill 5" xfId="56399"/>
    <cellStyle name="SAPBEXfilterItem" xfId="56400"/>
    <cellStyle name="SAPBEXfilterItem 2" xfId="56401"/>
    <cellStyle name="SAPBEXfilterItem 2 2" xfId="56402"/>
    <cellStyle name="SAPBEXfilterItem 2 3" xfId="56403"/>
    <cellStyle name="SAPBEXfilterItem 3" xfId="56404"/>
    <cellStyle name="SAPBEXfilterItem 4" xfId="56405"/>
    <cellStyle name="SAPBEXfilterItem 5" xfId="56406"/>
    <cellStyle name="SAPBEXfilterText" xfId="56407"/>
    <cellStyle name="SAPBEXfilterText 2" xfId="56408"/>
    <cellStyle name="SAPBEXfilterText 3" xfId="56409"/>
    <cellStyle name="SAPBEXfilterText 4" xfId="56410"/>
    <cellStyle name="SAPBEXfilterText 5" xfId="56411"/>
    <cellStyle name="SAPBEXformats" xfId="56412"/>
    <cellStyle name="SAPBEXformats 2" xfId="56413"/>
    <cellStyle name="SAPBEXformats 2 2" xfId="56414"/>
    <cellStyle name="SAPBEXformats 2 3" xfId="56415"/>
    <cellStyle name="SAPBEXformats 3" xfId="56416"/>
    <cellStyle name="SAPBEXformats 4" xfId="56417"/>
    <cellStyle name="SAPBEXformats 5" xfId="56418"/>
    <cellStyle name="SAPBEXheaderItem" xfId="56419"/>
    <cellStyle name="SAPBEXheaderItem 2" xfId="56420"/>
    <cellStyle name="SAPBEXheaderItem 3" xfId="56421"/>
    <cellStyle name="SAPBEXheaderItem 3 2" xfId="56422"/>
    <cellStyle name="SAPBEXheaderItem 3 2 2" xfId="56423"/>
    <cellStyle name="SAPBEXheaderItem 3 2 3" xfId="56424"/>
    <cellStyle name="SAPBEXheaderItem 3 2 4" xfId="56425"/>
    <cellStyle name="SAPBEXheaderItem 3 3" xfId="56426"/>
    <cellStyle name="SAPBEXheaderItem 3 3 2" xfId="56427"/>
    <cellStyle name="SAPBEXheaderItem 3 3 3" xfId="56428"/>
    <cellStyle name="SAPBEXheaderItem 3 3 4" xfId="56429"/>
    <cellStyle name="SAPBEXheaderItem 3 4" xfId="56430"/>
    <cellStyle name="SAPBEXheaderItem 3 5" xfId="56431"/>
    <cellStyle name="SAPBEXheaderItem 3 6" xfId="56432"/>
    <cellStyle name="SAPBEXheaderItem 3 7" xfId="56433"/>
    <cellStyle name="SAPBEXheaderItem 4" xfId="56434"/>
    <cellStyle name="SAPBEXheaderItem 5" xfId="56435"/>
    <cellStyle name="SAPBEXheaderText" xfId="56436"/>
    <cellStyle name="SAPBEXheaderText 2" xfId="56437"/>
    <cellStyle name="SAPBEXheaderText 3" xfId="56438"/>
    <cellStyle name="SAPBEXheaderText 3 2" xfId="56439"/>
    <cellStyle name="SAPBEXheaderText 3 2 2" xfId="56440"/>
    <cellStyle name="SAPBEXheaderText 3 2 3" xfId="56441"/>
    <cellStyle name="SAPBEXheaderText 3 2 4" xfId="56442"/>
    <cellStyle name="SAPBEXheaderText 3 3" xfId="56443"/>
    <cellStyle name="SAPBEXheaderText 3 3 2" xfId="56444"/>
    <cellStyle name="SAPBEXheaderText 3 3 3" xfId="56445"/>
    <cellStyle name="SAPBEXheaderText 3 3 4" xfId="56446"/>
    <cellStyle name="SAPBEXheaderText 3 4" xfId="56447"/>
    <cellStyle name="SAPBEXheaderText 3 5" xfId="56448"/>
    <cellStyle name="SAPBEXheaderText 3 6" xfId="56449"/>
    <cellStyle name="SAPBEXheaderText 3 7" xfId="56450"/>
    <cellStyle name="SAPBEXheaderText 4" xfId="56451"/>
    <cellStyle name="SAPBEXheaderText 5" xfId="56452"/>
    <cellStyle name="SAPBEXHLevel0" xfId="56453"/>
    <cellStyle name="SAPBEXHLevel0 2" xfId="56454"/>
    <cellStyle name="SAPBEXHLevel0 2 2" xfId="56455"/>
    <cellStyle name="SAPBEXHLevel0 2 2 2" xfId="56456"/>
    <cellStyle name="SAPBEXHLevel0 2 2 3" xfId="56457"/>
    <cellStyle name="SAPBEXHLevel0 2 2 4" xfId="56458"/>
    <cellStyle name="SAPBEXHLevel0 2 3" xfId="56459"/>
    <cellStyle name="SAPBEXHLevel0 2 3 2" xfId="56460"/>
    <cellStyle name="SAPBEXHLevel0 2 3 3" xfId="56461"/>
    <cellStyle name="SAPBEXHLevel0 2 3 4" xfId="56462"/>
    <cellStyle name="SAPBEXHLevel0 2 4" xfId="56463"/>
    <cellStyle name="SAPBEXHLevel0 2 5" xfId="56464"/>
    <cellStyle name="SAPBEXHLevel0 2 6" xfId="56465"/>
    <cellStyle name="SAPBEXHLevel0 2 7" xfId="56466"/>
    <cellStyle name="SAPBEXHLevel0 2 8" xfId="56467"/>
    <cellStyle name="SAPBEXHLevel0 3" xfId="56468"/>
    <cellStyle name="SAPBEXHLevel0 4" xfId="56469"/>
    <cellStyle name="SAPBEXHLevel0 5" xfId="56470"/>
    <cellStyle name="SAPBEXHLevel0X" xfId="56471"/>
    <cellStyle name="SAPBEXHLevel0X 2" xfId="56472"/>
    <cellStyle name="SAPBEXHLevel0X 2 2" xfId="56473"/>
    <cellStyle name="SAPBEXHLevel0X 2 2 2" xfId="56474"/>
    <cellStyle name="SAPBEXHLevel0X 2 2 3" xfId="56475"/>
    <cellStyle name="SAPBEXHLevel0X 2 2 4" xfId="56476"/>
    <cellStyle name="SAPBEXHLevel0X 2 3" xfId="56477"/>
    <cellStyle name="SAPBEXHLevel0X 2 3 2" xfId="56478"/>
    <cellStyle name="SAPBEXHLevel0X 2 3 3" xfId="56479"/>
    <cellStyle name="SAPBEXHLevel0X 2 3 4" xfId="56480"/>
    <cellStyle name="SAPBEXHLevel0X 2 4" xfId="56481"/>
    <cellStyle name="SAPBEXHLevel0X 2 5" xfId="56482"/>
    <cellStyle name="SAPBEXHLevel0X 2 6" xfId="56483"/>
    <cellStyle name="SAPBEXHLevel0X 2 7" xfId="56484"/>
    <cellStyle name="SAPBEXHLevel0X 2 8" xfId="56485"/>
    <cellStyle name="SAPBEXHLevel0X 3" xfId="56486"/>
    <cellStyle name="SAPBEXHLevel0X 4" xfId="56487"/>
    <cellStyle name="SAPBEXHLevel0X 5" xfId="56488"/>
    <cellStyle name="SAPBEXHLevel1" xfId="56489"/>
    <cellStyle name="SAPBEXHLevel1 10" xfId="56490"/>
    <cellStyle name="SAPBEXHLevel1 10 2" xfId="56491"/>
    <cellStyle name="SAPBEXHLevel1 10 2 2" xfId="56492"/>
    <cellStyle name="SAPBEXHLevel1 10 2 3" xfId="56493"/>
    <cellStyle name="SAPBEXHLevel1 10 2 4" xfId="56494"/>
    <cellStyle name="SAPBEXHLevel1 10 3" xfId="56495"/>
    <cellStyle name="SAPBEXHLevel1 10 3 2" xfId="56496"/>
    <cellStyle name="SAPBEXHLevel1 10 3 3" xfId="56497"/>
    <cellStyle name="SAPBEXHLevel1 10 3 4" xfId="56498"/>
    <cellStyle name="SAPBEXHLevel1 10 4" xfId="56499"/>
    <cellStyle name="SAPBEXHLevel1 10 5" xfId="56500"/>
    <cellStyle name="SAPBEXHLevel1 11" xfId="56501"/>
    <cellStyle name="SAPBEXHLevel1 11 2" xfId="56502"/>
    <cellStyle name="SAPBEXHLevel1 11 2 2" xfId="56503"/>
    <cellStyle name="SAPBEXHLevel1 11 2 3" xfId="56504"/>
    <cellStyle name="SAPBEXHLevel1 11 2 4" xfId="56505"/>
    <cellStyle name="SAPBEXHLevel1 11 3" xfId="56506"/>
    <cellStyle name="SAPBEXHLevel1 11 3 2" xfId="56507"/>
    <cellStyle name="SAPBEXHLevel1 11 3 3" xfId="56508"/>
    <cellStyle name="SAPBEXHLevel1 11 3 4" xfId="56509"/>
    <cellStyle name="SAPBEXHLevel1 11 4" xfId="56510"/>
    <cellStyle name="SAPBEXHLevel1 11 5" xfId="56511"/>
    <cellStyle name="SAPBEXHLevel1 12" xfId="56512"/>
    <cellStyle name="SAPBEXHLevel1 12 2" xfId="56513"/>
    <cellStyle name="SAPBEXHLevel1 12 2 2" xfId="56514"/>
    <cellStyle name="SAPBEXHLevel1 12 2 3" xfId="56515"/>
    <cellStyle name="SAPBEXHLevel1 12 2 4" xfId="56516"/>
    <cellStyle name="SAPBEXHLevel1 12 3" xfId="56517"/>
    <cellStyle name="SAPBEXHLevel1 12 3 2" xfId="56518"/>
    <cellStyle name="SAPBEXHLevel1 12 3 3" xfId="56519"/>
    <cellStyle name="SAPBEXHLevel1 12 3 4" xfId="56520"/>
    <cellStyle name="SAPBEXHLevel1 12 4" xfId="56521"/>
    <cellStyle name="SAPBEXHLevel1 12 5" xfId="56522"/>
    <cellStyle name="SAPBEXHLevel1 13" xfId="56523"/>
    <cellStyle name="SAPBEXHLevel1 13 2" xfId="56524"/>
    <cellStyle name="SAPBEXHLevel1 13 2 2" xfId="56525"/>
    <cellStyle name="SAPBEXHLevel1 13 2 3" xfId="56526"/>
    <cellStyle name="SAPBEXHLevel1 13 2 4" xfId="56527"/>
    <cellStyle name="SAPBEXHLevel1 13 3" xfId="56528"/>
    <cellStyle name="SAPBEXHLevel1 13 3 2" xfId="56529"/>
    <cellStyle name="SAPBEXHLevel1 13 3 3" xfId="56530"/>
    <cellStyle name="SAPBEXHLevel1 13 3 4" xfId="56531"/>
    <cellStyle name="SAPBEXHLevel1 13 4" xfId="56532"/>
    <cellStyle name="SAPBEXHLevel1 13 5" xfId="56533"/>
    <cellStyle name="SAPBEXHLevel1 14" xfId="56534"/>
    <cellStyle name="SAPBEXHLevel1 14 2" xfId="56535"/>
    <cellStyle name="SAPBEXHLevel1 14 2 2" xfId="56536"/>
    <cellStyle name="SAPBEXHLevel1 14 2 3" xfId="56537"/>
    <cellStyle name="SAPBEXHLevel1 14 2 4" xfId="56538"/>
    <cellStyle name="SAPBEXHLevel1 14 3" xfId="56539"/>
    <cellStyle name="SAPBEXHLevel1 14 3 2" xfId="56540"/>
    <cellStyle name="SAPBEXHLevel1 14 3 3" xfId="56541"/>
    <cellStyle name="SAPBEXHLevel1 14 3 4" xfId="56542"/>
    <cellStyle name="SAPBEXHLevel1 14 4" xfId="56543"/>
    <cellStyle name="SAPBEXHLevel1 14 5" xfId="56544"/>
    <cellStyle name="SAPBEXHLevel1 15" xfId="56545"/>
    <cellStyle name="SAPBEXHLevel1 15 2" xfId="56546"/>
    <cellStyle name="SAPBEXHLevel1 15 2 2" xfId="56547"/>
    <cellStyle name="SAPBEXHLevel1 15 2 3" xfId="56548"/>
    <cellStyle name="SAPBEXHLevel1 15 2 4" xfId="56549"/>
    <cellStyle name="SAPBEXHLevel1 15 3" xfId="56550"/>
    <cellStyle name="SAPBEXHLevel1 15 3 2" xfId="56551"/>
    <cellStyle name="SAPBEXHLevel1 15 3 3" xfId="56552"/>
    <cellStyle name="SAPBEXHLevel1 15 3 4" xfId="56553"/>
    <cellStyle name="SAPBEXHLevel1 15 4" xfId="56554"/>
    <cellStyle name="SAPBEXHLevel1 15 5" xfId="56555"/>
    <cellStyle name="SAPBEXHLevel1 16" xfId="56556"/>
    <cellStyle name="SAPBEXHLevel1 16 2" xfId="56557"/>
    <cellStyle name="SAPBEXHLevel1 16 2 2" xfId="56558"/>
    <cellStyle name="SAPBEXHLevel1 16 2 3" xfId="56559"/>
    <cellStyle name="SAPBEXHLevel1 16 2 4" xfId="56560"/>
    <cellStyle name="SAPBEXHLevel1 16 3" xfId="56561"/>
    <cellStyle name="SAPBEXHLevel1 16 3 2" xfId="56562"/>
    <cellStyle name="SAPBEXHLevel1 16 3 3" xfId="56563"/>
    <cellStyle name="SAPBEXHLevel1 16 3 4" xfId="56564"/>
    <cellStyle name="SAPBEXHLevel1 16 4" xfId="56565"/>
    <cellStyle name="SAPBEXHLevel1 16 5" xfId="56566"/>
    <cellStyle name="SAPBEXHLevel1 17" xfId="56567"/>
    <cellStyle name="SAPBEXHLevel1 17 2" xfId="56568"/>
    <cellStyle name="SAPBEXHLevel1 17 2 2" xfId="56569"/>
    <cellStyle name="SAPBEXHLevel1 17 2 3" xfId="56570"/>
    <cellStyle name="SAPBEXHLevel1 17 2 4" xfId="56571"/>
    <cellStyle name="SAPBEXHLevel1 17 3" xfId="56572"/>
    <cellStyle name="SAPBEXHLevel1 17 3 2" xfId="56573"/>
    <cellStyle name="SAPBEXHLevel1 17 3 3" xfId="56574"/>
    <cellStyle name="SAPBEXHLevel1 17 3 4" xfId="56575"/>
    <cellStyle name="SAPBEXHLevel1 17 4" xfId="56576"/>
    <cellStyle name="SAPBEXHLevel1 17 5" xfId="56577"/>
    <cellStyle name="SAPBEXHLevel1 18" xfId="56578"/>
    <cellStyle name="SAPBEXHLevel1 18 2" xfId="56579"/>
    <cellStyle name="SAPBEXHLevel1 18 2 2" xfId="56580"/>
    <cellStyle name="SAPBEXHLevel1 18 2 3" xfId="56581"/>
    <cellStyle name="SAPBEXHLevel1 18 2 4" xfId="56582"/>
    <cellStyle name="SAPBEXHLevel1 18 3" xfId="56583"/>
    <cellStyle name="SAPBEXHLevel1 18 3 2" xfId="56584"/>
    <cellStyle name="SAPBEXHLevel1 18 3 3" xfId="56585"/>
    <cellStyle name="SAPBEXHLevel1 18 3 4" xfId="56586"/>
    <cellStyle name="SAPBEXHLevel1 18 4" xfId="56587"/>
    <cellStyle name="SAPBEXHLevel1 18 5" xfId="56588"/>
    <cellStyle name="SAPBEXHLevel1 19" xfId="56589"/>
    <cellStyle name="SAPBEXHLevel1 19 2" xfId="56590"/>
    <cellStyle name="SAPBEXHLevel1 19 2 2" xfId="56591"/>
    <cellStyle name="SAPBEXHLevel1 19 2 3" xfId="56592"/>
    <cellStyle name="SAPBEXHLevel1 19 2 4" xfId="56593"/>
    <cellStyle name="SAPBEXHLevel1 19 3" xfId="56594"/>
    <cellStyle name="SAPBEXHLevel1 19 3 2" xfId="56595"/>
    <cellStyle name="SAPBEXHLevel1 19 3 3" xfId="56596"/>
    <cellStyle name="SAPBEXHLevel1 19 3 4" xfId="56597"/>
    <cellStyle name="SAPBEXHLevel1 19 4" xfId="56598"/>
    <cellStyle name="SAPBEXHLevel1 19 5" xfId="56599"/>
    <cellStyle name="SAPBEXHLevel1 2" xfId="56600"/>
    <cellStyle name="SAPBEXHLevel1 2 2" xfId="56601"/>
    <cellStyle name="SAPBEXHLevel1 2 2 2" xfId="56602"/>
    <cellStyle name="SAPBEXHLevel1 2 2 2 2" xfId="56603"/>
    <cellStyle name="SAPBEXHLevel1 2 2 2 3" xfId="56604"/>
    <cellStyle name="SAPBEXHLevel1 2 2 2 4" xfId="56605"/>
    <cellStyle name="SAPBEXHLevel1 2 2 3" xfId="56606"/>
    <cellStyle name="SAPBEXHLevel1 2 2 3 2" xfId="56607"/>
    <cellStyle name="SAPBEXHLevel1 2 2 3 3" xfId="56608"/>
    <cellStyle name="SAPBEXHLevel1 2 2 3 4" xfId="56609"/>
    <cellStyle name="SAPBEXHLevel1 2 2 4" xfId="56610"/>
    <cellStyle name="SAPBEXHLevel1 2 2 5" xfId="56611"/>
    <cellStyle name="SAPBEXHLevel1 2 3" xfId="56612"/>
    <cellStyle name="SAPBEXHLevel1 2 3 2" xfId="56613"/>
    <cellStyle name="SAPBEXHLevel1 2 3 3" xfId="56614"/>
    <cellStyle name="SAPBEXHLevel1 2 3 4" xfId="56615"/>
    <cellStyle name="SAPBEXHLevel1 2 4" xfId="56616"/>
    <cellStyle name="SAPBEXHLevel1 2 4 2" xfId="56617"/>
    <cellStyle name="SAPBEXHLevel1 2 4 3" xfId="56618"/>
    <cellStyle name="SAPBEXHLevel1 2 4 4" xfId="56619"/>
    <cellStyle name="SAPBEXHLevel1 2 5" xfId="56620"/>
    <cellStyle name="SAPBEXHLevel1 2 6" xfId="56621"/>
    <cellStyle name="SAPBEXHLevel1 2 7" xfId="56622"/>
    <cellStyle name="SAPBEXHLevel1 2 8" xfId="56623"/>
    <cellStyle name="SAPBEXHLevel1 20" xfId="56624"/>
    <cellStyle name="SAPBEXHLevel1 20 2" xfId="56625"/>
    <cellStyle name="SAPBEXHLevel1 20 2 2" xfId="56626"/>
    <cellStyle name="SAPBEXHLevel1 20 2 3" xfId="56627"/>
    <cellStyle name="SAPBEXHLevel1 20 2 4" xfId="56628"/>
    <cellStyle name="SAPBEXHLevel1 20 3" xfId="56629"/>
    <cellStyle name="SAPBEXHLevel1 20 3 2" xfId="56630"/>
    <cellStyle name="SAPBEXHLevel1 20 3 3" xfId="56631"/>
    <cellStyle name="SAPBEXHLevel1 20 3 4" xfId="56632"/>
    <cellStyle name="SAPBEXHLevel1 20 4" xfId="56633"/>
    <cellStyle name="SAPBEXHLevel1 20 5" xfId="56634"/>
    <cellStyle name="SAPBEXHLevel1 21" xfId="56635"/>
    <cellStyle name="SAPBEXHLevel1 21 2" xfId="56636"/>
    <cellStyle name="SAPBEXHLevel1 21 2 2" xfId="56637"/>
    <cellStyle name="SAPBEXHLevel1 21 2 3" xfId="56638"/>
    <cellStyle name="SAPBEXHLevel1 21 2 4" xfId="56639"/>
    <cellStyle name="SAPBEXHLevel1 21 3" xfId="56640"/>
    <cellStyle name="SAPBEXHLevel1 21 3 2" xfId="56641"/>
    <cellStyle name="SAPBEXHLevel1 21 3 3" xfId="56642"/>
    <cellStyle name="SAPBEXHLevel1 21 3 4" xfId="56643"/>
    <cellStyle name="SAPBEXHLevel1 21 4" xfId="56644"/>
    <cellStyle name="SAPBEXHLevel1 21 5" xfId="56645"/>
    <cellStyle name="SAPBEXHLevel1 22" xfId="56646"/>
    <cellStyle name="SAPBEXHLevel1 22 2" xfId="56647"/>
    <cellStyle name="SAPBEXHLevel1 22 2 2" xfId="56648"/>
    <cellStyle name="SAPBEXHLevel1 22 2 3" xfId="56649"/>
    <cellStyle name="SAPBEXHLevel1 22 2 4" xfId="56650"/>
    <cellStyle name="SAPBEXHLevel1 22 3" xfId="56651"/>
    <cellStyle name="SAPBEXHLevel1 22 3 2" xfId="56652"/>
    <cellStyle name="SAPBEXHLevel1 22 3 3" xfId="56653"/>
    <cellStyle name="SAPBEXHLevel1 22 3 4" xfId="56654"/>
    <cellStyle name="SAPBEXHLevel1 22 4" xfId="56655"/>
    <cellStyle name="SAPBEXHLevel1 22 5" xfId="56656"/>
    <cellStyle name="SAPBEXHLevel1 23" xfId="56657"/>
    <cellStyle name="SAPBEXHLevel1 23 2" xfId="56658"/>
    <cellStyle name="SAPBEXHLevel1 23 2 2" xfId="56659"/>
    <cellStyle name="SAPBEXHLevel1 23 2 3" xfId="56660"/>
    <cellStyle name="SAPBEXHLevel1 23 2 4" xfId="56661"/>
    <cellStyle name="SAPBEXHLevel1 23 3" xfId="56662"/>
    <cellStyle name="SAPBEXHLevel1 23 3 2" xfId="56663"/>
    <cellStyle name="SAPBEXHLevel1 23 3 3" xfId="56664"/>
    <cellStyle name="SAPBEXHLevel1 23 3 4" xfId="56665"/>
    <cellStyle name="SAPBEXHLevel1 23 4" xfId="56666"/>
    <cellStyle name="SAPBEXHLevel1 23 5" xfId="56667"/>
    <cellStyle name="SAPBEXHLevel1 24" xfId="56668"/>
    <cellStyle name="SAPBEXHLevel1 24 2" xfId="56669"/>
    <cellStyle name="SAPBEXHLevel1 24 2 2" xfId="56670"/>
    <cellStyle name="SAPBEXHLevel1 24 2 3" xfId="56671"/>
    <cellStyle name="SAPBEXHLevel1 24 2 4" xfId="56672"/>
    <cellStyle name="SAPBEXHLevel1 24 3" xfId="56673"/>
    <cellStyle name="SAPBEXHLevel1 24 3 2" xfId="56674"/>
    <cellStyle name="SAPBEXHLevel1 24 3 3" xfId="56675"/>
    <cellStyle name="SAPBEXHLevel1 24 3 4" xfId="56676"/>
    <cellStyle name="SAPBEXHLevel1 24 4" xfId="56677"/>
    <cellStyle name="SAPBEXHLevel1 24 5" xfId="56678"/>
    <cellStyle name="SAPBEXHLevel1 25" xfId="56679"/>
    <cellStyle name="SAPBEXHLevel1 25 2" xfId="56680"/>
    <cellStyle name="SAPBEXHLevel1 25 2 2" xfId="56681"/>
    <cellStyle name="SAPBEXHLevel1 25 2 3" xfId="56682"/>
    <cellStyle name="SAPBEXHLevel1 25 2 4" xfId="56683"/>
    <cellStyle name="SAPBEXHLevel1 25 3" xfId="56684"/>
    <cellStyle name="SAPBEXHLevel1 25 3 2" xfId="56685"/>
    <cellStyle name="SAPBEXHLevel1 25 3 3" xfId="56686"/>
    <cellStyle name="SAPBEXHLevel1 25 3 4" xfId="56687"/>
    <cellStyle name="SAPBEXHLevel1 25 4" xfId="56688"/>
    <cellStyle name="SAPBEXHLevel1 25 5" xfId="56689"/>
    <cellStyle name="SAPBEXHLevel1 26" xfId="56690"/>
    <cellStyle name="SAPBEXHLevel1 26 2" xfId="56691"/>
    <cellStyle name="SAPBEXHLevel1 26 2 2" xfId="56692"/>
    <cellStyle name="SAPBEXHLevel1 26 2 3" xfId="56693"/>
    <cellStyle name="SAPBEXHLevel1 26 2 4" xfId="56694"/>
    <cellStyle name="SAPBEXHLevel1 26 3" xfId="56695"/>
    <cellStyle name="SAPBEXHLevel1 26 3 2" xfId="56696"/>
    <cellStyle name="SAPBEXHLevel1 26 3 3" xfId="56697"/>
    <cellStyle name="SAPBEXHLevel1 26 3 4" xfId="56698"/>
    <cellStyle name="SAPBEXHLevel1 26 4" xfId="56699"/>
    <cellStyle name="SAPBEXHLevel1 26 5" xfId="56700"/>
    <cellStyle name="SAPBEXHLevel1 27" xfId="56701"/>
    <cellStyle name="SAPBEXHLevel1 27 2" xfId="56702"/>
    <cellStyle name="SAPBEXHLevel1 27 2 2" xfId="56703"/>
    <cellStyle name="SAPBEXHLevel1 27 2 3" xfId="56704"/>
    <cellStyle name="SAPBEXHLevel1 27 2 4" xfId="56705"/>
    <cellStyle name="SAPBEXHLevel1 27 3" xfId="56706"/>
    <cellStyle name="SAPBEXHLevel1 27 3 2" xfId="56707"/>
    <cellStyle name="SAPBEXHLevel1 27 3 3" xfId="56708"/>
    <cellStyle name="SAPBEXHLevel1 27 3 4" xfId="56709"/>
    <cellStyle name="SAPBEXHLevel1 27 4" xfId="56710"/>
    <cellStyle name="SAPBEXHLevel1 27 5" xfId="56711"/>
    <cellStyle name="SAPBEXHLevel1 28" xfId="56712"/>
    <cellStyle name="SAPBEXHLevel1 28 2" xfId="56713"/>
    <cellStyle name="SAPBEXHLevel1 28 2 2" xfId="56714"/>
    <cellStyle name="SAPBEXHLevel1 28 2 3" xfId="56715"/>
    <cellStyle name="SAPBEXHLevel1 28 2 4" xfId="56716"/>
    <cellStyle name="SAPBEXHLevel1 28 3" xfId="56717"/>
    <cellStyle name="SAPBEXHLevel1 28 3 2" xfId="56718"/>
    <cellStyle name="SAPBEXHLevel1 28 3 3" xfId="56719"/>
    <cellStyle name="SAPBEXHLevel1 28 3 4" xfId="56720"/>
    <cellStyle name="SAPBEXHLevel1 28 4" xfId="56721"/>
    <cellStyle name="SAPBEXHLevel1 28 5" xfId="56722"/>
    <cellStyle name="SAPBEXHLevel1 29" xfId="56723"/>
    <cellStyle name="SAPBEXHLevel1 29 2" xfId="56724"/>
    <cellStyle name="SAPBEXHLevel1 29 2 2" xfId="56725"/>
    <cellStyle name="SAPBEXHLevel1 29 2 3" xfId="56726"/>
    <cellStyle name="SAPBEXHLevel1 29 2 4" xfId="56727"/>
    <cellStyle name="SAPBEXHLevel1 29 3" xfId="56728"/>
    <cellStyle name="SAPBEXHLevel1 29 3 2" xfId="56729"/>
    <cellStyle name="SAPBEXHLevel1 29 3 3" xfId="56730"/>
    <cellStyle name="SAPBEXHLevel1 29 3 4" xfId="56731"/>
    <cellStyle name="SAPBEXHLevel1 29 4" xfId="56732"/>
    <cellStyle name="SAPBEXHLevel1 29 5" xfId="56733"/>
    <cellStyle name="SAPBEXHLevel1 3" xfId="56734"/>
    <cellStyle name="SAPBEXHLevel1 3 2" xfId="56735"/>
    <cellStyle name="SAPBEXHLevel1 3 2 2" xfId="56736"/>
    <cellStyle name="SAPBEXHLevel1 3 2 3" xfId="56737"/>
    <cellStyle name="SAPBEXHLevel1 3 2 4" xfId="56738"/>
    <cellStyle name="SAPBEXHLevel1 3 3" xfId="56739"/>
    <cellStyle name="SAPBEXHLevel1 3 3 2" xfId="56740"/>
    <cellStyle name="SAPBEXHLevel1 3 3 3" xfId="56741"/>
    <cellStyle name="SAPBEXHLevel1 3 3 4" xfId="56742"/>
    <cellStyle name="SAPBEXHLevel1 3 4" xfId="56743"/>
    <cellStyle name="SAPBEXHLevel1 3 5" xfId="56744"/>
    <cellStyle name="SAPBEXHLevel1 30" xfId="56745"/>
    <cellStyle name="SAPBEXHLevel1 30 2" xfId="56746"/>
    <cellStyle name="SAPBEXHLevel1 30 2 2" xfId="56747"/>
    <cellStyle name="SAPBEXHLevel1 30 2 3" xfId="56748"/>
    <cellStyle name="SAPBEXHLevel1 30 2 4" xfId="56749"/>
    <cellStyle name="SAPBEXHLevel1 30 3" xfId="56750"/>
    <cellStyle name="SAPBEXHLevel1 30 3 2" xfId="56751"/>
    <cellStyle name="SAPBEXHLevel1 30 3 3" xfId="56752"/>
    <cellStyle name="SAPBEXHLevel1 30 3 4" xfId="56753"/>
    <cellStyle name="SAPBEXHLevel1 30 4" xfId="56754"/>
    <cellStyle name="SAPBEXHLevel1 30 5" xfId="56755"/>
    <cellStyle name="SAPBEXHLevel1 31" xfId="56756"/>
    <cellStyle name="SAPBEXHLevel1 32" xfId="56757"/>
    <cellStyle name="SAPBEXHLevel1 33" xfId="56758"/>
    <cellStyle name="SAPBEXHLevel1 4" xfId="56759"/>
    <cellStyle name="SAPBEXHLevel1 4 2" xfId="56760"/>
    <cellStyle name="SAPBEXHLevel1 4 2 2" xfId="56761"/>
    <cellStyle name="SAPBEXHLevel1 4 2 3" xfId="56762"/>
    <cellStyle name="SAPBEXHLevel1 4 2 4" xfId="56763"/>
    <cellStyle name="SAPBEXHLevel1 4 3" xfId="56764"/>
    <cellStyle name="SAPBEXHLevel1 4 3 2" xfId="56765"/>
    <cellStyle name="SAPBEXHLevel1 4 3 3" xfId="56766"/>
    <cellStyle name="SAPBEXHLevel1 4 3 4" xfId="56767"/>
    <cellStyle name="SAPBEXHLevel1 4 4" xfId="56768"/>
    <cellStyle name="SAPBEXHLevel1 4 5" xfId="56769"/>
    <cellStyle name="SAPBEXHLevel1 5" xfId="56770"/>
    <cellStyle name="SAPBEXHLevel1 5 2" xfId="56771"/>
    <cellStyle name="SAPBEXHLevel1 5 2 2" xfId="56772"/>
    <cellStyle name="SAPBEXHLevel1 5 2 3" xfId="56773"/>
    <cellStyle name="SAPBEXHLevel1 5 2 4" xfId="56774"/>
    <cellStyle name="SAPBEXHLevel1 5 3" xfId="56775"/>
    <cellStyle name="SAPBEXHLevel1 5 3 2" xfId="56776"/>
    <cellStyle name="SAPBEXHLevel1 5 3 3" xfId="56777"/>
    <cellStyle name="SAPBEXHLevel1 5 3 4" xfId="56778"/>
    <cellStyle name="SAPBEXHLevel1 5 4" xfId="56779"/>
    <cellStyle name="SAPBEXHLevel1 5 5" xfId="56780"/>
    <cellStyle name="SAPBEXHLevel1 6" xfId="56781"/>
    <cellStyle name="SAPBEXHLevel1 6 2" xfId="56782"/>
    <cellStyle name="SAPBEXHLevel1 6 2 2" xfId="56783"/>
    <cellStyle name="SAPBEXHLevel1 6 2 3" xfId="56784"/>
    <cellStyle name="SAPBEXHLevel1 6 2 4" xfId="56785"/>
    <cellStyle name="SAPBEXHLevel1 6 3" xfId="56786"/>
    <cellStyle name="SAPBEXHLevel1 6 3 2" xfId="56787"/>
    <cellStyle name="SAPBEXHLevel1 6 3 3" xfId="56788"/>
    <cellStyle name="SAPBEXHLevel1 6 3 4" xfId="56789"/>
    <cellStyle name="SAPBEXHLevel1 6 4" xfId="56790"/>
    <cellStyle name="SAPBEXHLevel1 6 5" xfId="56791"/>
    <cellStyle name="SAPBEXHLevel1 7" xfId="56792"/>
    <cellStyle name="SAPBEXHLevel1 7 2" xfId="56793"/>
    <cellStyle name="SAPBEXHLevel1 7 2 2" xfId="56794"/>
    <cellStyle name="SAPBEXHLevel1 7 2 3" xfId="56795"/>
    <cellStyle name="SAPBEXHLevel1 7 2 4" xfId="56796"/>
    <cellStyle name="SAPBEXHLevel1 7 3" xfId="56797"/>
    <cellStyle name="SAPBEXHLevel1 7 3 2" xfId="56798"/>
    <cellStyle name="SAPBEXHLevel1 7 3 3" xfId="56799"/>
    <cellStyle name="SAPBEXHLevel1 7 3 4" xfId="56800"/>
    <cellStyle name="SAPBEXHLevel1 7 4" xfId="56801"/>
    <cellStyle name="SAPBEXHLevel1 7 5" xfId="56802"/>
    <cellStyle name="SAPBEXHLevel1 8" xfId="56803"/>
    <cellStyle name="SAPBEXHLevel1 8 2" xfId="56804"/>
    <cellStyle name="SAPBEXHLevel1 8 2 2" xfId="56805"/>
    <cellStyle name="SAPBEXHLevel1 8 2 3" xfId="56806"/>
    <cellStyle name="SAPBEXHLevel1 8 2 4" xfId="56807"/>
    <cellStyle name="SAPBEXHLevel1 8 3" xfId="56808"/>
    <cellStyle name="SAPBEXHLevel1 8 3 2" xfId="56809"/>
    <cellStyle name="SAPBEXHLevel1 8 3 3" xfId="56810"/>
    <cellStyle name="SAPBEXHLevel1 8 3 4" xfId="56811"/>
    <cellStyle name="SAPBEXHLevel1 8 4" xfId="56812"/>
    <cellStyle name="SAPBEXHLevel1 8 5" xfId="56813"/>
    <cellStyle name="SAPBEXHLevel1 9" xfId="56814"/>
    <cellStyle name="SAPBEXHLevel1 9 2" xfId="56815"/>
    <cellStyle name="SAPBEXHLevel1 9 2 2" xfId="56816"/>
    <cellStyle name="SAPBEXHLevel1 9 2 3" xfId="56817"/>
    <cellStyle name="SAPBEXHLevel1 9 2 4" xfId="56818"/>
    <cellStyle name="SAPBEXHLevel1 9 3" xfId="56819"/>
    <cellStyle name="SAPBEXHLevel1 9 3 2" xfId="56820"/>
    <cellStyle name="SAPBEXHLevel1 9 3 3" xfId="56821"/>
    <cellStyle name="SAPBEXHLevel1 9 3 4" xfId="56822"/>
    <cellStyle name="SAPBEXHLevel1 9 4" xfId="56823"/>
    <cellStyle name="SAPBEXHLevel1 9 5" xfId="56824"/>
    <cellStyle name="SAPBEXHLevel1_~9868926" xfId="56825"/>
    <cellStyle name="SAPBEXHLevel1X" xfId="56826"/>
    <cellStyle name="SAPBEXHLevel1X 2" xfId="56827"/>
    <cellStyle name="SAPBEXHLevel1X 2 2" xfId="56828"/>
    <cellStyle name="SAPBEXHLevel1X 2 2 2" xfId="56829"/>
    <cellStyle name="SAPBEXHLevel1X 2 2 3" xfId="56830"/>
    <cellStyle name="SAPBEXHLevel1X 2 2 4" xfId="56831"/>
    <cellStyle name="SAPBEXHLevel1X 2 3" xfId="56832"/>
    <cellStyle name="SAPBEXHLevel1X 2 3 2" xfId="56833"/>
    <cellStyle name="SAPBEXHLevel1X 2 3 3" xfId="56834"/>
    <cellStyle name="SAPBEXHLevel1X 2 3 4" xfId="56835"/>
    <cellStyle name="SAPBEXHLevel1X 2 4" xfId="56836"/>
    <cellStyle name="SAPBEXHLevel1X 2 5" xfId="56837"/>
    <cellStyle name="SAPBEXHLevel1X 2 6" xfId="56838"/>
    <cellStyle name="SAPBEXHLevel1X 2 7" xfId="56839"/>
    <cellStyle name="SAPBEXHLevel1X 2 8" xfId="56840"/>
    <cellStyle name="SAPBEXHLevel1X 3" xfId="56841"/>
    <cellStyle name="SAPBEXHLevel1X 4" xfId="56842"/>
    <cellStyle name="SAPBEXHLevel1X 5" xfId="56843"/>
    <cellStyle name="SAPBEXHLevel2" xfId="56844"/>
    <cellStyle name="SAPBEXHLevel2 2" xfId="56845"/>
    <cellStyle name="SAPBEXHLevel2 2 2" xfId="56846"/>
    <cellStyle name="SAPBEXHLevel2 2 2 2" xfId="56847"/>
    <cellStyle name="SAPBEXHLevel2 2 2 3" xfId="56848"/>
    <cellStyle name="SAPBEXHLevel2 2 2 4" xfId="56849"/>
    <cellStyle name="SAPBEXHLevel2 2 3" xfId="56850"/>
    <cellStyle name="SAPBEXHLevel2 2 3 2" xfId="56851"/>
    <cellStyle name="SAPBEXHLevel2 2 3 3" xfId="56852"/>
    <cellStyle name="SAPBEXHLevel2 2 3 4" xfId="56853"/>
    <cellStyle name="SAPBEXHLevel2 2 4" xfId="56854"/>
    <cellStyle name="SAPBEXHLevel2 2 5" xfId="56855"/>
    <cellStyle name="SAPBEXHLevel2 2 6" xfId="56856"/>
    <cellStyle name="SAPBEXHLevel2 2 7" xfId="56857"/>
    <cellStyle name="SAPBEXHLevel2 2 8" xfId="56858"/>
    <cellStyle name="SAPBEXHLevel2 3" xfId="56859"/>
    <cellStyle name="SAPBEXHLevel2 4" xfId="56860"/>
    <cellStyle name="SAPBEXHLevel2 5" xfId="56861"/>
    <cellStyle name="SAPBEXHLevel2X" xfId="56862"/>
    <cellStyle name="SAPBEXHLevel2X 2" xfId="56863"/>
    <cellStyle name="SAPBEXHLevel2X 2 2" xfId="56864"/>
    <cellStyle name="SAPBEXHLevel2X 2 2 2" xfId="56865"/>
    <cellStyle name="SAPBEXHLevel2X 2 2 3" xfId="56866"/>
    <cellStyle name="SAPBEXHLevel2X 2 2 4" xfId="56867"/>
    <cellStyle name="SAPBEXHLevel2X 2 3" xfId="56868"/>
    <cellStyle name="SAPBEXHLevel2X 2 3 2" xfId="56869"/>
    <cellStyle name="SAPBEXHLevel2X 2 3 3" xfId="56870"/>
    <cellStyle name="SAPBEXHLevel2X 2 3 4" xfId="56871"/>
    <cellStyle name="SAPBEXHLevel2X 2 4" xfId="56872"/>
    <cellStyle name="SAPBEXHLevel2X 2 5" xfId="56873"/>
    <cellStyle name="SAPBEXHLevel2X 2 6" xfId="56874"/>
    <cellStyle name="SAPBEXHLevel2X 2 7" xfId="56875"/>
    <cellStyle name="SAPBEXHLevel2X 2 8" xfId="56876"/>
    <cellStyle name="SAPBEXHLevel2X 3" xfId="56877"/>
    <cellStyle name="SAPBEXHLevel2X 4" xfId="56878"/>
    <cellStyle name="SAPBEXHLevel2X 5" xfId="56879"/>
    <cellStyle name="SAPBEXHLevel3" xfId="56880"/>
    <cellStyle name="SAPBEXHLevel3 2" xfId="56881"/>
    <cellStyle name="SAPBEXHLevel3 2 2" xfId="56882"/>
    <cellStyle name="SAPBEXHLevel3 2 2 2" xfId="56883"/>
    <cellStyle name="SAPBEXHLevel3 2 2 3" xfId="56884"/>
    <cellStyle name="SAPBEXHLevel3 2 2 4" xfId="56885"/>
    <cellStyle name="SAPBEXHLevel3 2 3" xfId="56886"/>
    <cellStyle name="SAPBEXHLevel3 2 3 2" xfId="56887"/>
    <cellStyle name="SAPBEXHLevel3 2 3 3" xfId="56888"/>
    <cellStyle name="SAPBEXHLevel3 2 3 4" xfId="56889"/>
    <cellStyle name="SAPBEXHLevel3 2 4" xfId="56890"/>
    <cellStyle name="SAPBEXHLevel3 2 5" xfId="56891"/>
    <cellStyle name="SAPBEXHLevel3 2 6" xfId="56892"/>
    <cellStyle name="SAPBEXHLevel3 2 7" xfId="56893"/>
    <cellStyle name="SAPBEXHLevel3 2 8" xfId="56894"/>
    <cellStyle name="SAPBEXHLevel3 3" xfId="56895"/>
    <cellStyle name="SAPBEXHLevel3 4" xfId="56896"/>
    <cellStyle name="SAPBEXHLevel3 5" xfId="56897"/>
    <cellStyle name="SAPBEXHLevel3X" xfId="56898"/>
    <cellStyle name="SAPBEXHLevel3X 2" xfId="56899"/>
    <cellStyle name="SAPBEXHLevel3X 2 2" xfId="56900"/>
    <cellStyle name="SAPBEXHLevel3X 2 2 2" xfId="56901"/>
    <cellStyle name="SAPBEXHLevel3X 2 2 3" xfId="56902"/>
    <cellStyle name="SAPBEXHLevel3X 2 2 4" xfId="56903"/>
    <cellStyle name="SAPBEXHLevel3X 2 3" xfId="56904"/>
    <cellStyle name="SAPBEXHLevel3X 2 3 2" xfId="56905"/>
    <cellStyle name="SAPBEXHLevel3X 2 3 3" xfId="56906"/>
    <cellStyle name="SAPBEXHLevel3X 2 3 4" xfId="56907"/>
    <cellStyle name="SAPBEXHLevel3X 2 4" xfId="56908"/>
    <cellStyle name="SAPBEXHLevel3X 2 5" xfId="56909"/>
    <cellStyle name="SAPBEXHLevel3X 2 6" xfId="56910"/>
    <cellStyle name="SAPBEXHLevel3X 2 7" xfId="56911"/>
    <cellStyle name="SAPBEXHLevel3X 2 8" xfId="56912"/>
    <cellStyle name="SAPBEXHLevel3X 3" xfId="56913"/>
    <cellStyle name="SAPBEXHLevel3X 4" xfId="56914"/>
    <cellStyle name="SAPBEXHLevel3X 5" xfId="56915"/>
    <cellStyle name="SAPBEXinputData" xfId="56916"/>
    <cellStyle name="SAPBEXinputData 2" xfId="56917"/>
    <cellStyle name="SAPBEXinputData 2 2" xfId="56918"/>
    <cellStyle name="SAPBEXinputData 2 3" xfId="56919"/>
    <cellStyle name="SAPBEXinputData 2 4" xfId="56920"/>
    <cellStyle name="SAPBEXinputData 2 5" xfId="56921"/>
    <cellStyle name="SAPBEXinputData 2 6" xfId="56922"/>
    <cellStyle name="SAPBEXinputData 3" xfId="56923"/>
    <cellStyle name="SAPBEXItemHeader" xfId="56924"/>
    <cellStyle name="SAPBEXItemHeader 2" xfId="56925"/>
    <cellStyle name="SAPBEXItemHeader 2 2" xfId="56926"/>
    <cellStyle name="SAPBEXItemHeader 2 2 2" xfId="56927"/>
    <cellStyle name="SAPBEXItemHeader 2 2 3" xfId="56928"/>
    <cellStyle name="SAPBEXItemHeader 2 2 4" xfId="56929"/>
    <cellStyle name="SAPBEXItemHeader 2 3" xfId="56930"/>
    <cellStyle name="SAPBEXItemHeader 2 3 2" xfId="56931"/>
    <cellStyle name="SAPBEXItemHeader 2 3 3" xfId="56932"/>
    <cellStyle name="SAPBEXItemHeader 2 3 4" xfId="56933"/>
    <cellStyle name="SAPBEXItemHeader 2 4" xfId="56934"/>
    <cellStyle name="SAPBEXItemHeader 2 5" xfId="56935"/>
    <cellStyle name="SAPBEXItemHeader 2 6" xfId="56936"/>
    <cellStyle name="SAPBEXItemHeader 2 7" xfId="56937"/>
    <cellStyle name="SAPBEXItemHeader 2 8" xfId="56938"/>
    <cellStyle name="SAPBEXItemHeader 3" xfId="56939"/>
    <cellStyle name="SAPBEXItemHeader 3 2" xfId="56940"/>
    <cellStyle name="SAPBEXItemHeader 3 3" xfId="56941"/>
    <cellStyle name="SAPBEXItemHeader 3 4" xfId="56942"/>
    <cellStyle name="SAPBEXItemHeader 4" xfId="56943"/>
    <cellStyle name="SAPBEXItemHeader 4 2" xfId="56944"/>
    <cellStyle name="SAPBEXItemHeader 4 3" xfId="56945"/>
    <cellStyle name="SAPBEXItemHeader 4 4" xfId="56946"/>
    <cellStyle name="SAPBEXItemHeader 5" xfId="56947"/>
    <cellStyle name="SAPBEXItemHeader 6" xfId="56948"/>
    <cellStyle name="SAPBEXItemHeader 7" xfId="56949"/>
    <cellStyle name="SAPBEXItemHeader 8" xfId="56950"/>
    <cellStyle name="SAPBEXItemHeader 9" xfId="56951"/>
    <cellStyle name="SAPBEXresData" xfId="56952"/>
    <cellStyle name="SAPBEXresData 2" xfId="56953"/>
    <cellStyle name="SAPBEXresData 2 2" xfId="56954"/>
    <cellStyle name="SAPBEXresData 2 3" xfId="56955"/>
    <cellStyle name="SAPBEXresData 3" xfId="56956"/>
    <cellStyle name="SAPBEXresData 4" xfId="56957"/>
    <cellStyle name="SAPBEXresData 5" xfId="56958"/>
    <cellStyle name="SAPBEXresDataEmph" xfId="56959"/>
    <cellStyle name="SAPBEXresDataEmph 2" xfId="56960"/>
    <cellStyle name="SAPBEXresDataEmph 2 2" xfId="56961"/>
    <cellStyle name="SAPBEXresDataEmph 2 3" xfId="56962"/>
    <cellStyle name="SAPBEXresDataEmph 3" xfId="56963"/>
    <cellStyle name="SAPBEXresDataEmph 4" xfId="56964"/>
    <cellStyle name="SAPBEXresDataEmph 5" xfId="56965"/>
    <cellStyle name="SAPBEXresItem" xfId="56966"/>
    <cellStyle name="SAPBEXresItem 2" xfId="56967"/>
    <cellStyle name="SAPBEXresItem 2 2" xfId="56968"/>
    <cellStyle name="SAPBEXresItem 2 3" xfId="56969"/>
    <cellStyle name="SAPBEXresItem 3" xfId="56970"/>
    <cellStyle name="SAPBEXresItem 4" xfId="56971"/>
    <cellStyle name="SAPBEXresItem 5" xfId="56972"/>
    <cellStyle name="SAPBEXresItemX" xfId="56973"/>
    <cellStyle name="SAPBEXresItemX 2" xfId="56974"/>
    <cellStyle name="SAPBEXresItemX 2 2" xfId="56975"/>
    <cellStyle name="SAPBEXresItemX 2 3" xfId="56976"/>
    <cellStyle name="SAPBEXresItemX 3" xfId="56977"/>
    <cellStyle name="SAPBEXresItemX 4" xfId="56978"/>
    <cellStyle name="SAPBEXresItemX 5" xfId="56979"/>
    <cellStyle name="SAPBEXstdData" xfId="56980"/>
    <cellStyle name="SAPBEXstdData 2" xfId="56981"/>
    <cellStyle name="SAPBEXstdData 2 2" xfId="56982"/>
    <cellStyle name="SAPBEXstdData 2 3" xfId="56983"/>
    <cellStyle name="SAPBEXstdData 3" xfId="56984"/>
    <cellStyle name="SAPBEXstdData 4" xfId="56985"/>
    <cellStyle name="SAPBEXstdData 5" xfId="56986"/>
    <cellStyle name="SAPBEXstdData_Adjustments" xfId="56987"/>
    <cellStyle name="SAPBEXstdDataEmph" xfId="56988"/>
    <cellStyle name="SAPBEXstdDataEmph 2" xfId="56989"/>
    <cellStyle name="SAPBEXstdDataEmph 2 2" xfId="56990"/>
    <cellStyle name="SAPBEXstdDataEmph 2 3" xfId="56991"/>
    <cellStyle name="SAPBEXstdDataEmph 3" xfId="56992"/>
    <cellStyle name="SAPBEXstdDataEmph 4" xfId="56993"/>
    <cellStyle name="SAPBEXstdDataEmph 5" xfId="56994"/>
    <cellStyle name="SAPBEXstdItem" xfId="56995"/>
    <cellStyle name="SAPBEXstdItem 2" xfId="56996"/>
    <cellStyle name="SAPBEXstdItem 2 2" xfId="56997"/>
    <cellStyle name="SAPBEXstdItem 2 2 2" xfId="56998"/>
    <cellStyle name="SAPBEXstdItem 2 2 2 2" xfId="56999"/>
    <cellStyle name="SAPBEXstdItem 2 2 2 3" xfId="57000"/>
    <cellStyle name="SAPBEXstdItem 2 2 2 4" xfId="57001"/>
    <cellStyle name="SAPBEXstdItem 2 2 3" xfId="57002"/>
    <cellStyle name="SAPBEXstdItem 2 2 3 2" xfId="57003"/>
    <cellStyle name="SAPBEXstdItem 2 2 3 3" xfId="57004"/>
    <cellStyle name="SAPBEXstdItem 2 2 3 4" xfId="57005"/>
    <cellStyle name="SAPBEXstdItem 2 2 4" xfId="57006"/>
    <cellStyle name="SAPBEXstdItem 2 2 5" xfId="57007"/>
    <cellStyle name="SAPBEXstdItem 2 3" xfId="57008"/>
    <cellStyle name="SAPBEXstdItem 2 4" xfId="57009"/>
    <cellStyle name="SAPBEXstdItem 2 5" xfId="57010"/>
    <cellStyle name="SAPBEXstdItem 3" xfId="57011"/>
    <cellStyle name="SAPBEXstdItem 3 2" xfId="57012"/>
    <cellStyle name="SAPBEXstdItem 3 2 2" xfId="57013"/>
    <cellStyle name="SAPBEXstdItem 3 2 3" xfId="57014"/>
    <cellStyle name="SAPBEXstdItem 3 2 4" xfId="57015"/>
    <cellStyle name="SAPBEXstdItem 3 3" xfId="57016"/>
    <cellStyle name="SAPBEXstdItem 3 3 2" xfId="57017"/>
    <cellStyle name="SAPBEXstdItem 3 3 3" xfId="57018"/>
    <cellStyle name="SAPBEXstdItem 3 3 4" xfId="57019"/>
    <cellStyle name="SAPBEXstdItem 3 4" xfId="57020"/>
    <cellStyle name="SAPBEXstdItem 3 5" xfId="57021"/>
    <cellStyle name="SAPBEXstdItem 4" xfId="57022"/>
    <cellStyle name="SAPBEXstdItem 5" xfId="57023"/>
    <cellStyle name="SAPBEXstdItem 6" xfId="57024"/>
    <cellStyle name="SAPBEXstdItem_Adjustments" xfId="57025"/>
    <cellStyle name="SAPBEXstdItemX" xfId="57026"/>
    <cellStyle name="SAPBEXstdItemX 2" xfId="57027"/>
    <cellStyle name="SAPBEXstdItemX 2 2" xfId="57028"/>
    <cellStyle name="SAPBEXstdItemX 2 3" xfId="57029"/>
    <cellStyle name="SAPBEXstdItemX 3" xfId="57030"/>
    <cellStyle name="SAPBEXstdItemX 4" xfId="57031"/>
    <cellStyle name="SAPBEXstdItemX 5" xfId="57032"/>
    <cellStyle name="SAPBEXtitle" xfId="57033"/>
    <cellStyle name="SAPBEXtitle 2" xfId="57034"/>
    <cellStyle name="SAPBEXtitle 3" xfId="57035"/>
    <cellStyle name="SAPBEXtitle 4" xfId="57036"/>
    <cellStyle name="SAPBEXtitle 5" xfId="57037"/>
    <cellStyle name="SAPBEXunassignedItem" xfId="57038"/>
    <cellStyle name="SAPBEXunassignedItem 2" xfId="57039"/>
    <cellStyle name="SAPBEXunassignedItem 2 2" xfId="57040"/>
    <cellStyle name="SAPBEXunassignedItem 2 3" xfId="57041"/>
    <cellStyle name="SAPBEXunassignedItem 2 4" xfId="57042"/>
    <cellStyle name="SAPBEXunassignedItem 2 5" xfId="57043"/>
    <cellStyle name="SAPBEXunassignedItem 2 6" xfId="57044"/>
    <cellStyle name="SAPBEXunassignedItem 3" xfId="57045"/>
    <cellStyle name="SAPBEXunassignedItem 3 2" xfId="57046"/>
    <cellStyle name="SAPBEXunassignedItem 3 3" xfId="57047"/>
    <cellStyle name="SAPBEXunassignedItem 3 4" xfId="57048"/>
    <cellStyle name="SAPBEXunassignedItem 3 5" xfId="57049"/>
    <cellStyle name="SAPBEXunassignedItem 3 6" xfId="57050"/>
    <cellStyle name="SAPBEXunassignedItem 4" xfId="57051"/>
    <cellStyle name="SAPBEXunassignedItem 5" xfId="57052"/>
    <cellStyle name="SAPBEXunassignedItem 6" xfId="57053"/>
    <cellStyle name="SAPBEXunassignedItem 7" xfId="57054"/>
    <cellStyle name="SAPBEXunassignedItem 8" xfId="57055"/>
    <cellStyle name="SAPBEXundefined" xfId="57056"/>
    <cellStyle name="SAPBEXundefined 2" xfId="57057"/>
    <cellStyle name="SAPBEXundefined 2 2" xfId="57058"/>
    <cellStyle name="SAPBEXundefined 2 3" xfId="57059"/>
    <cellStyle name="SAPBEXundefined 3" xfId="57060"/>
    <cellStyle name="SAPBEXundefined 4" xfId="57061"/>
    <cellStyle name="SAPBEXundefined 5" xfId="57062"/>
    <cellStyle name="Satisfaisant" xfId="57063"/>
    <cellStyle name="Schilling[2]" xfId="57064"/>
    <cellStyle name="Section Heading" xfId="57065"/>
    <cellStyle name="Section Number" xfId="57066"/>
    <cellStyle name="Section Number 2" xfId="57067"/>
    <cellStyle name="Section Number." xfId="57068"/>
    <cellStyle name="Separador de milhares [0]_%vol1" xfId="57069"/>
    <cellStyle name="Separador de milhares_%vol1" xfId="57070"/>
    <cellStyle name="Shade" xfId="57071"/>
    <cellStyle name="SHADEDSTORES" xfId="57072"/>
    <cellStyle name="SHADEDSTORES 2" xfId="57073"/>
    <cellStyle name="SHADEDSTORES 3" xfId="57074"/>
    <cellStyle name="SHADEDSTORES 4" xfId="57075"/>
    <cellStyle name="SHADEDSTORES 5" xfId="57076"/>
    <cellStyle name="SHADEDSTORES 6" xfId="57077"/>
    <cellStyle name="Sheet Heading" xfId="57078"/>
    <cellStyle name="Sheet Title" xfId="57079"/>
    <cellStyle name="Sheet Title 2" xfId="57080"/>
    <cellStyle name="Sheet Title." xfId="57081"/>
    <cellStyle name="Single Border" xfId="57082"/>
    <cellStyle name="Single Border 2" xfId="57083"/>
    <cellStyle name="Single Border 2 2" xfId="57084"/>
    <cellStyle name="Single Border 2 2 2" xfId="57085"/>
    <cellStyle name="Single Border 2 3" xfId="57086"/>
    <cellStyle name="Single Border 2 4" xfId="57087"/>
    <cellStyle name="Single Border 3" xfId="57088"/>
    <cellStyle name="Single Border 3 2" xfId="57089"/>
    <cellStyle name="Single Border 3 3" xfId="57090"/>
    <cellStyle name="Single Border 3 4" xfId="57091"/>
    <cellStyle name="Single Border 4" xfId="57092"/>
    <cellStyle name="Single Border 4 2" xfId="57093"/>
    <cellStyle name="Single Border 5" xfId="57094"/>
    <cellStyle name="Single Border 6" xfId="57095"/>
    <cellStyle name="Single Border_~9868926" xfId="57096"/>
    <cellStyle name="Small" xfId="57097"/>
    <cellStyle name="sonhead" xfId="57098"/>
    <cellStyle name="sonhead 2" xfId="57099"/>
    <cellStyle name="sonscript" xfId="57100"/>
    <cellStyle name="sonscript 2" xfId="57101"/>
    <cellStyle name="sontitle" xfId="57102"/>
    <cellStyle name="sontitle 2" xfId="57103"/>
    <cellStyle name="Sortie" xfId="57104"/>
    <cellStyle name="Source" xfId="57105"/>
    <cellStyle name="Source date" xfId="57106"/>
    <cellStyle name="Source Hed" xfId="57107"/>
    <cellStyle name="Source Text" xfId="57108"/>
    <cellStyle name="specstores" xfId="57109"/>
    <cellStyle name="specstores 2" xfId="57110"/>
    <cellStyle name="SS Col Hdr" xfId="57111"/>
    <cellStyle name="SS Col Hdr 2" xfId="57112"/>
    <cellStyle name="SS Dim 1 Blank" xfId="57113"/>
    <cellStyle name="SS Dim 1 Blank 2" xfId="57114"/>
    <cellStyle name="SS Dim 1 Blank 3" xfId="57115"/>
    <cellStyle name="SS Dim 1 Title" xfId="57116"/>
    <cellStyle name="SS Dim 1 Title 2" xfId="57117"/>
    <cellStyle name="SS Dim 1 Value" xfId="57118"/>
    <cellStyle name="SS Dim 1 Value 2" xfId="57119"/>
    <cellStyle name="SS Dim 1 Value 3" xfId="57120"/>
    <cellStyle name="SS Dim 2 Blank" xfId="57121"/>
    <cellStyle name="SS Dim 2 Blank 2" xfId="57122"/>
    <cellStyle name="SS Dim 2 Title" xfId="57123"/>
    <cellStyle name="SS Dim 2 Title 2" xfId="57124"/>
    <cellStyle name="SS Dim 2 Value" xfId="57125"/>
    <cellStyle name="SS Dim 2 Value 2" xfId="57126"/>
    <cellStyle name="SS Dim 2 Value 3" xfId="57127"/>
    <cellStyle name="SS Dim 3 Blank" xfId="57128"/>
    <cellStyle name="SS Dim 3 Blank 2" xfId="57129"/>
    <cellStyle name="SS Dim 3 Title" xfId="57130"/>
    <cellStyle name="SS Dim 3 Title 2" xfId="57131"/>
    <cellStyle name="SS Dim 3 Title 3" xfId="57132"/>
    <cellStyle name="SS Dim 3 Value" xfId="57133"/>
    <cellStyle name="SS Dim 3 Value 2" xfId="57134"/>
    <cellStyle name="SS Dim 4 Blank" xfId="57135"/>
    <cellStyle name="SS Dim 4 Blank 2" xfId="57136"/>
    <cellStyle name="SS Dim 4 Title" xfId="57137"/>
    <cellStyle name="SS Dim 4 Value" xfId="57138"/>
    <cellStyle name="SS Dim 5 Blank" xfId="57139"/>
    <cellStyle name="SS Dim 5 Blank 2" xfId="57140"/>
    <cellStyle name="SS Dim 5 Title" xfId="57141"/>
    <cellStyle name="SS Dim 5 Value" xfId="57142"/>
    <cellStyle name="SS Other Measure" xfId="57143"/>
    <cellStyle name="SS Other Measure 2" xfId="57144"/>
    <cellStyle name="SS Other Measure 3" xfId="57145"/>
    <cellStyle name="SS Sum Measure" xfId="57146"/>
    <cellStyle name="SS Sum Measure 2" xfId="57147"/>
    <cellStyle name="SS Unbound Dim" xfId="57148"/>
    <cellStyle name="SS Unbound Dim 2" xfId="57149"/>
    <cellStyle name="SS Unbound Dim 3" xfId="57150"/>
    <cellStyle name="SS WAvg Measure" xfId="57151"/>
    <cellStyle name="SS WAvg Measure 2" xfId="57152"/>
    <cellStyle name="Standard" xfId="57153"/>
    <cellStyle name="Standard 2" xfId="57154"/>
    <cellStyle name="Standard Line" xfId="57155"/>
    <cellStyle name="Standard Line 2" xfId="57156"/>
    <cellStyle name="STANDARD_~0049081" xfId="57157"/>
    <cellStyle name="std" xfId="57158"/>
    <cellStyle name="style" xfId="57159"/>
    <cellStyle name="Style 1" xfId="47"/>
    <cellStyle name="Style 1 2" xfId="57160"/>
    <cellStyle name="Style 1 2 2" xfId="57161"/>
    <cellStyle name="Style 1 2 3" xfId="57162"/>
    <cellStyle name="Style 1 3" xfId="57163"/>
    <cellStyle name="Style 1 3 2" xfId="57164"/>
    <cellStyle name="Style 1 4" xfId="57165"/>
    <cellStyle name="Style 1 4 2" xfId="57166"/>
    <cellStyle name="Style 1 5" xfId="57167"/>
    <cellStyle name="Style 1 5 2" xfId="57168"/>
    <cellStyle name="Style 1 6" xfId="57169"/>
    <cellStyle name="Style 1 6 2" xfId="57170"/>
    <cellStyle name="Style 1 7" xfId="57171"/>
    <cellStyle name="Style 1 7 2" xfId="57172"/>
    <cellStyle name="Style 1 8" xfId="57173"/>
    <cellStyle name="Style 1 9" xfId="57174"/>
    <cellStyle name="Style 1_AffinPartner" xfId="57175"/>
    <cellStyle name="style 10" xfId="57176"/>
    <cellStyle name="Style 105" xfId="57177"/>
    <cellStyle name="Style 105 2" xfId="57178"/>
    <cellStyle name="Style 106" xfId="57179"/>
    <cellStyle name="Style 106 2" xfId="57180"/>
    <cellStyle name="Style 107" xfId="57181"/>
    <cellStyle name="Style 107 2" xfId="57182"/>
    <cellStyle name="Style 108" xfId="57183"/>
    <cellStyle name="Style 108 2" xfId="57184"/>
    <cellStyle name="Style 109" xfId="57185"/>
    <cellStyle name="Style 109 2" xfId="57186"/>
    <cellStyle name="Style 109 3" xfId="57187"/>
    <cellStyle name="Style 109 4" xfId="57188"/>
    <cellStyle name="Style 109 5" xfId="57189"/>
    <cellStyle name="Style 109 6" xfId="57190"/>
    <cellStyle name="style 11" xfId="57191"/>
    <cellStyle name="Style 110" xfId="57192"/>
    <cellStyle name="Style 111" xfId="57193"/>
    <cellStyle name="Style 111 2" xfId="57194"/>
    <cellStyle name="Style 111 3" xfId="57195"/>
    <cellStyle name="Style 111 4" xfId="57196"/>
    <cellStyle name="Style 111 5" xfId="57197"/>
    <cellStyle name="Style 111 6" xfId="57198"/>
    <cellStyle name="Style 112" xfId="57199"/>
    <cellStyle name="Style 112 2" xfId="57200"/>
    <cellStyle name="Style 112 3" xfId="57201"/>
    <cellStyle name="Style 112 4" xfId="57202"/>
    <cellStyle name="Style 112 5" xfId="57203"/>
    <cellStyle name="Style 112 6" xfId="57204"/>
    <cellStyle name="Style 113" xfId="57205"/>
    <cellStyle name="Style 113 2" xfId="57206"/>
    <cellStyle name="Style 113 3" xfId="57207"/>
    <cellStyle name="Style 113 4" xfId="57208"/>
    <cellStyle name="Style 113 5" xfId="57209"/>
    <cellStyle name="Style 113 6" xfId="57210"/>
    <cellStyle name="Style 114" xfId="57211"/>
    <cellStyle name="Style 114 2" xfId="57212"/>
    <cellStyle name="Style 114 3" xfId="57213"/>
    <cellStyle name="Style 114 4" xfId="57214"/>
    <cellStyle name="Style 114 5" xfId="57215"/>
    <cellStyle name="Style 114 6" xfId="57216"/>
    <cellStyle name="Style 115" xfId="57217"/>
    <cellStyle name="Style 115 2" xfId="57218"/>
    <cellStyle name="Style 115 3" xfId="57219"/>
    <cellStyle name="Style 115 4" xfId="57220"/>
    <cellStyle name="Style 115 5" xfId="57221"/>
    <cellStyle name="Style 115 6" xfId="57222"/>
    <cellStyle name="Style 116" xfId="57223"/>
    <cellStyle name="Style 116 2" xfId="57224"/>
    <cellStyle name="Style 116 3" xfId="57225"/>
    <cellStyle name="Style 116 4" xfId="57226"/>
    <cellStyle name="Style 116 5" xfId="57227"/>
    <cellStyle name="Style 116 6" xfId="57228"/>
    <cellStyle name="Style 117" xfId="57229"/>
    <cellStyle name="Style 117 2" xfId="57230"/>
    <cellStyle name="Style 117 3" xfId="57231"/>
    <cellStyle name="Style 117 4" xfId="57232"/>
    <cellStyle name="Style 117 5" xfId="57233"/>
    <cellStyle name="Style 117 6" xfId="57234"/>
    <cellStyle name="Style 118" xfId="57235"/>
    <cellStyle name="Style 118 2" xfId="57236"/>
    <cellStyle name="Style 118 3" xfId="57237"/>
    <cellStyle name="Style 118 4" xfId="57238"/>
    <cellStyle name="Style 118 5" xfId="57239"/>
    <cellStyle name="Style 118 6" xfId="57240"/>
    <cellStyle name="Style 119" xfId="57241"/>
    <cellStyle name="Style 119 2" xfId="57242"/>
    <cellStyle name="Style 119 3" xfId="57243"/>
    <cellStyle name="Style 119 4" xfId="57244"/>
    <cellStyle name="Style 119 5" xfId="57245"/>
    <cellStyle name="Style 119 6" xfId="57246"/>
    <cellStyle name="Style 120" xfId="57247"/>
    <cellStyle name="Style 120 2" xfId="57248"/>
    <cellStyle name="Style 120 3" xfId="57249"/>
    <cellStyle name="Style 120 4" xfId="57250"/>
    <cellStyle name="Style 120 5" xfId="57251"/>
    <cellStyle name="Style 120 6" xfId="57252"/>
    <cellStyle name="Style 121" xfId="57253"/>
    <cellStyle name="Style 122" xfId="57254"/>
    <cellStyle name="Style 122 2" xfId="57255"/>
    <cellStyle name="Style 122 3" xfId="57256"/>
    <cellStyle name="Style 122 4" xfId="57257"/>
    <cellStyle name="Style 122 5" xfId="57258"/>
    <cellStyle name="Style 122 6" xfId="57259"/>
    <cellStyle name="Style 123" xfId="57260"/>
    <cellStyle name="Style 124" xfId="57261"/>
    <cellStyle name="Style 124 2" xfId="57262"/>
    <cellStyle name="Style 125" xfId="57263"/>
    <cellStyle name="Style 126" xfId="57264"/>
    <cellStyle name="Style 127" xfId="57265"/>
    <cellStyle name="Style 128" xfId="57266"/>
    <cellStyle name="Style 128 2" xfId="57267"/>
    <cellStyle name="Style 129" xfId="57268"/>
    <cellStyle name="Style 129 2" xfId="57269"/>
    <cellStyle name="Style 130" xfId="57270"/>
    <cellStyle name="Style 130 2" xfId="57271"/>
    <cellStyle name="Style 131" xfId="57272"/>
    <cellStyle name="Style 131 2" xfId="57273"/>
    <cellStyle name="Style 132" xfId="57274"/>
    <cellStyle name="Style 132 2" xfId="57275"/>
    <cellStyle name="Style 133" xfId="57276"/>
    <cellStyle name="Style 134" xfId="57277"/>
    <cellStyle name="Style 134 2" xfId="57278"/>
    <cellStyle name="Style 134 3" xfId="57279"/>
    <cellStyle name="Style 134 4" xfId="57280"/>
    <cellStyle name="Style 134 5" xfId="57281"/>
    <cellStyle name="Style 134 6" xfId="57282"/>
    <cellStyle name="Style 135" xfId="57283"/>
    <cellStyle name="Style 136" xfId="57284"/>
    <cellStyle name="Style 137" xfId="57285"/>
    <cellStyle name="Style 137 2" xfId="57286"/>
    <cellStyle name="Style 137 3" xfId="57287"/>
    <cellStyle name="Style 137 4" xfId="57288"/>
    <cellStyle name="Style 137 5" xfId="57289"/>
    <cellStyle name="Style 137 6" xfId="57290"/>
    <cellStyle name="Style 138" xfId="57291"/>
    <cellStyle name="Style 139" xfId="57292"/>
    <cellStyle name="Style 139 2" xfId="57293"/>
    <cellStyle name="Style 139 3" xfId="57294"/>
    <cellStyle name="Style 139 4" xfId="57295"/>
    <cellStyle name="Style 139 5" xfId="57296"/>
    <cellStyle name="Style 139 6" xfId="57297"/>
    <cellStyle name="Style 140" xfId="57298"/>
    <cellStyle name="Style 141" xfId="57299"/>
    <cellStyle name="Style 141 2" xfId="57300"/>
    <cellStyle name="Style 141 3" xfId="57301"/>
    <cellStyle name="Style 141 4" xfId="57302"/>
    <cellStyle name="Style 141 5" xfId="57303"/>
    <cellStyle name="Style 142" xfId="57304"/>
    <cellStyle name="Style 143" xfId="57305"/>
    <cellStyle name="Style 144" xfId="57306"/>
    <cellStyle name="Style 145" xfId="57307"/>
    <cellStyle name="Style 146" xfId="57308"/>
    <cellStyle name="Style 147" xfId="57309"/>
    <cellStyle name="Style 148" xfId="57310"/>
    <cellStyle name="Style 149" xfId="57311"/>
    <cellStyle name="Style 149 2" xfId="57312"/>
    <cellStyle name="Style 149 3" xfId="57313"/>
    <cellStyle name="Style 149 4" xfId="57314"/>
    <cellStyle name="Style 149 5" xfId="57315"/>
    <cellStyle name="Style 149 6" xfId="57316"/>
    <cellStyle name="Style 150" xfId="57317"/>
    <cellStyle name="Style 151" xfId="57318"/>
    <cellStyle name="Style 151 2" xfId="57319"/>
    <cellStyle name="Style 151 3" xfId="57320"/>
    <cellStyle name="Style 151 4" xfId="57321"/>
    <cellStyle name="Style 151 5" xfId="57322"/>
    <cellStyle name="Style 151 6" xfId="57323"/>
    <cellStyle name="Style 152" xfId="57324"/>
    <cellStyle name="Style 153" xfId="57325"/>
    <cellStyle name="Style 153 2" xfId="57326"/>
    <cellStyle name="Style 153 3" xfId="57327"/>
    <cellStyle name="Style 153 4" xfId="57328"/>
    <cellStyle name="Style 153 5" xfId="57329"/>
    <cellStyle name="Style 153 6" xfId="57330"/>
    <cellStyle name="Style 154" xfId="57331"/>
    <cellStyle name="Style 155" xfId="57332"/>
    <cellStyle name="Style 156" xfId="57333"/>
    <cellStyle name="Style 157" xfId="57334"/>
    <cellStyle name="Style 158" xfId="57335"/>
    <cellStyle name="Style 159" xfId="57336"/>
    <cellStyle name="Style 159 2" xfId="57337"/>
    <cellStyle name="Style 159 3" xfId="57338"/>
    <cellStyle name="Style 159 4" xfId="57339"/>
    <cellStyle name="Style 159 5" xfId="57340"/>
    <cellStyle name="Style 159 6" xfId="57341"/>
    <cellStyle name="Style 160" xfId="57342"/>
    <cellStyle name="Style 161" xfId="57343"/>
    <cellStyle name="Style 161 2" xfId="57344"/>
    <cellStyle name="Style 161 3" xfId="57345"/>
    <cellStyle name="Style 161 4" xfId="57346"/>
    <cellStyle name="Style 161 5" xfId="57347"/>
    <cellStyle name="Style 161 6" xfId="57348"/>
    <cellStyle name="Style 162" xfId="57349"/>
    <cellStyle name="Style 163" xfId="57350"/>
    <cellStyle name="Style 163 2" xfId="57351"/>
    <cellStyle name="Style 163 3" xfId="57352"/>
    <cellStyle name="Style 163 4" xfId="57353"/>
    <cellStyle name="Style 163 5" xfId="57354"/>
    <cellStyle name="Style 164" xfId="57355"/>
    <cellStyle name="Style 165" xfId="57356"/>
    <cellStyle name="Style 165 2" xfId="57357"/>
    <cellStyle name="Style 165 3" xfId="57358"/>
    <cellStyle name="Style 165 4" xfId="57359"/>
    <cellStyle name="Style 165 5" xfId="57360"/>
    <cellStyle name="Style 165 6" xfId="57361"/>
    <cellStyle name="Style 166" xfId="57362"/>
    <cellStyle name="Style 167" xfId="57363"/>
    <cellStyle name="Style 168" xfId="57364"/>
    <cellStyle name="Style 168 2" xfId="57365"/>
    <cellStyle name="Style 168 3" xfId="57366"/>
    <cellStyle name="Style 168 4" xfId="57367"/>
    <cellStyle name="Style 168 5" xfId="57368"/>
    <cellStyle name="Style 168 6" xfId="57369"/>
    <cellStyle name="Style 169" xfId="57370"/>
    <cellStyle name="Style 170" xfId="57371"/>
    <cellStyle name="Style 170 2" xfId="57372"/>
    <cellStyle name="Style 170 3" xfId="57373"/>
    <cellStyle name="Style 170 4" xfId="57374"/>
    <cellStyle name="Style 170 5" xfId="57375"/>
    <cellStyle name="Style 170 6" xfId="57376"/>
    <cellStyle name="Style 171" xfId="57377"/>
    <cellStyle name="Style 172" xfId="57378"/>
    <cellStyle name="Style 172 2" xfId="57379"/>
    <cellStyle name="Style 172 3" xfId="57380"/>
    <cellStyle name="Style 172 4" xfId="57381"/>
    <cellStyle name="Style 172 5" xfId="57382"/>
    <cellStyle name="Style 173" xfId="57383"/>
    <cellStyle name="Style 174" xfId="57384"/>
    <cellStyle name="Style 175" xfId="57385"/>
    <cellStyle name="Style 176" xfId="57386"/>
    <cellStyle name="Style 177" xfId="57387"/>
    <cellStyle name="Style 177 2" xfId="57388"/>
    <cellStyle name="Style 177 3" xfId="57389"/>
    <cellStyle name="Style 177 4" xfId="57390"/>
    <cellStyle name="Style 177 5" xfId="57391"/>
    <cellStyle name="Style 177 6" xfId="57392"/>
    <cellStyle name="Style 178" xfId="57393"/>
    <cellStyle name="Style 179" xfId="57394"/>
    <cellStyle name="Style 179 2" xfId="57395"/>
    <cellStyle name="Style 179 3" xfId="57396"/>
    <cellStyle name="Style 179 4" xfId="57397"/>
    <cellStyle name="Style 179 5" xfId="57398"/>
    <cellStyle name="Style 179 6" xfId="57399"/>
    <cellStyle name="Style 180" xfId="57400"/>
    <cellStyle name="Style 181" xfId="57401"/>
    <cellStyle name="Style 182" xfId="57402"/>
    <cellStyle name="Style 183" xfId="57403"/>
    <cellStyle name="Style 184" xfId="57404"/>
    <cellStyle name="Style 184 2" xfId="57405"/>
    <cellStyle name="Style 185" xfId="57406"/>
    <cellStyle name="Style 185 2" xfId="57407"/>
    <cellStyle name="Style 186" xfId="57408"/>
    <cellStyle name="Style 186 2" xfId="57409"/>
    <cellStyle name="Style 187" xfId="57410"/>
    <cellStyle name="Style 187 2" xfId="57411"/>
    <cellStyle name="Style 188" xfId="57412"/>
    <cellStyle name="Style 188 2" xfId="57413"/>
    <cellStyle name="Style 189" xfId="57414"/>
    <cellStyle name="Style 189 2" xfId="57415"/>
    <cellStyle name="Style 190" xfId="57416"/>
    <cellStyle name="Style 190 2" xfId="57417"/>
    <cellStyle name="Style 190 2 2" xfId="57418"/>
    <cellStyle name="Style 190 3" xfId="57419"/>
    <cellStyle name="Style 190 4" xfId="57420"/>
    <cellStyle name="Style 190 5" xfId="57421"/>
    <cellStyle name="Style 191" xfId="57422"/>
    <cellStyle name="Style 191 2" xfId="57423"/>
    <cellStyle name="Style 191 2 2" xfId="57424"/>
    <cellStyle name="Style 191 3" xfId="57425"/>
    <cellStyle name="Style 191 4" xfId="57426"/>
    <cellStyle name="Style 191 5" xfId="57427"/>
    <cellStyle name="Style 192" xfId="57428"/>
    <cellStyle name="Style 192 2" xfId="57429"/>
    <cellStyle name="Style 192 3" xfId="57430"/>
    <cellStyle name="Style 192 4" xfId="57431"/>
    <cellStyle name="Style 192 5" xfId="57432"/>
    <cellStyle name="Style 192 6" xfId="57433"/>
    <cellStyle name="Style 193" xfId="57434"/>
    <cellStyle name="Style 193 2" xfId="57435"/>
    <cellStyle name="Style 194" xfId="57436"/>
    <cellStyle name="Style 194 2" xfId="57437"/>
    <cellStyle name="Style 195" xfId="57438"/>
    <cellStyle name="Style 195 2" xfId="57439"/>
    <cellStyle name="Style 196" xfId="57440"/>
    <cellStyle name="Style 196 2" xfId="57441"/>
    <cellStyle name="Style 197" xfId="57442"/>
    <cellStyle name="Style 197 2" xfId="57443"/>
    <cellStyle name="Style 198" xfId="57444"/>
    <cellStyle name="Style 198 2" xfId="57445"/>
    <cellStyle name="Style 198 2 2" xfId="57446"/>
    <cellStyle name="Style 198 3" xfId="57447"/>
    <cellStyle name="Style 198 4" xfId="57448"/>
    <cellStyle name="Style 198 5" xfId="57449"/>
    <cellStyle name="Style 199" xfId="57450"/>
    <cellStyle name="Style 199 2" xfId="57451"/>
    <cellStyle name="Style 2" xfId="57452"/>
    <cellStyle name="Style 2 2" xfId="57453"/>
    <cellStyle name="Style 200" xfId="57454"/>
    <cellStyle name="Style 200 2" xfId="57455"/>
    <cellStyle name="Style 201" xfId="57456"/>
    <cellStyle name="Style 201 2" xfId="57457"/>
    <cellStyle name="Style 201 2 2" xfId="57458"/>
    <cellStyle name="Style 201 2 3" xfId="57459"/>
    <cellStyle name="Style 201 2 4" xfId="57460"/>
    <cellStyle name="Style 201 3" xfId="57461"/>
    <cellStyle name="Style 201 3 2" xfId="57462"/>
    <cellStyle name="Style 201 3 3" xfId="57463"/>
    <cellStyle name="Style 201 3 4" xfId="57464"/>
    <cellStyle name="Style 201 4" xfId="57465"/>
    <cellStyle name="Style 201 5" xfId="57466"/>
    <cellStyle name="Style 201 6" xfId="57467"/>
    <cellStyle name="Style 201 7" xfId="57468"/>
    <cellStyle name="Style 202" xfId="57469"/>
    <cellStyle name="Style 202 2" xfId="57470"/>
    <cellStyle name="Style 202 2 2" xfId="57471"/>
    <cellStyle name="Style 202 3" xfId="57472"/>
    <cellStyle name="Style 202 4" xfId="57473"/>
    <cellStyle name="Style 202 5" xfId="57474"/>
    <cellStyle name="Style 203" xfId="57475"/>
    <cellStyle name="Style 203 2" xfId="57476"/>
    <cellStyle name="Style 204" xfId="57477"/>
    <cellStyle name="Style 204 2" xfId="57478"/>
    <cellStyle name="Style 205" xfId="57479"/>
    <cellStyle name="Style 205 2" xfId="57480"/>
    <cellStyle name="Style 205 3" xfId="57481"/>
    <cellStyle name="Style 205 4" xfId="57482"/>
    <cellStyle name="Style 205 5" xfId="57483"/>
    <cellStyle name="Style 205 6" xfId="57484"/>
    <cellStyle name="Style 206" xfId="57485"/>
    <cellStyle name="Style 206 2" xfId="57486"/>
    <cellStyle name="Style 207" xfId="57487"/>
    <cellStyle name="Style 207 2" xfId="57488"/>
    <cellStyle name="Style 208" xfId="57489"/>
    <cellStyle name="Style 208 2" xfId="57490"/>
    <cellStyle name="Style 209" xfId="57491"/>
    <cellStyle name="Style 209 2" xfId="57492"/>
    <cellStyle name="Style 209 3" xfId="57493"/>
    <cellStyle name="Style 209 4" xfId="57494"/>
    <cellStyle name="Style 209 5" xfId="57495"/>
    <cellStyle name="Style 209 6" xfId="57496"/>
    <cellStyle name="Style 21" xfId="57497"/>
    <cellStyle name="Style 210" xfId="57498"/>
    <cellStyle name="Style 210 2" xfId="57499"/>
    <cellStyle name="Style 210 3" xfId="57500"/>
    <cellStyle name="Style 210 4" xfId="57501"/>
    <cellStyle name="Style 210 5" xfId="57502"/>
    <cellStyle name="Style 210 6" xfId="57503"/>
    <cellStyle name="Style 211" xfId="57504"/>
    <cellStyle name="Style 211 2" xfId="57505"/>
    <cellStyle name="Style 211 2 2" xfId="57506"/>
    <cellStyle name="Style 211 2 3" xfId="57507"/>
    <cellStyle name="Style 211 2 4" xfId="57508"/>
    <cellStyle name="Style 211 3" xfId="57509"/>
    <cellStyle name="Style 211 3 2" xfId="57510"/>
    <cellStyle name="Style 211 3 3" xfId="57511"/>
    <cellStyle name="Style 211 3 4" xfId="57512"/>
    <cellStyle name="Style 211 4" xfId="57513"/>
    <cellStyle name="Style 211 5" xfId="57514"/>
    <cellStyle name="Style 211 6" xfId="57515"/>
    <cellStyle name="Style 211 7" xfId="57516"/>
    <cellStyle name="Style 212" xfId="57517"/>
    <cellStyle name="Style 212 2" xfId="57518"/>
    <cellStyle name="Style 212 2 2" xfId="57519"/>
    <cellStyle name="Style 212 2 3" xfId="57520"/>
    <cellStyle name="Style 212 2 4" xfId="57521"/>
    <cellStyle name="Style 212 3" xfId="57522"/>
    <cellStyle name="Style 212 3 2" xfId="57523"/>
    <cellStyle name="Style 212 3 3" xfId="57524"/>
    <cellStyle name="Style 212 3 4" xfId="57525"/>
    <cellStyle name="Style 212 4" xfId="57526"/>
    <cellStyle name="Style 212 5" xfId="57527"/>
    <cellStyle name="Style 212 6" xfId="57528"/>
    <cellStyle name="Style 212 7" xfId="57529"/>
    <cellStyle name="Style 213" xfId="57530"/>
    <cellStyle name="Style 213 2" xfId="57531"/>
    <cellStyle name="Style 213 3" xfId="57532"/>
    <cellStyle name="Style 213 4" xfId="57533"/>
    <cellStyle name="Style 213 5" xfId="57534"/>
    <cellStyle name="Style 214" xfId="57535"/>
    <cellStyle name="Style 214 2" xfId="57536"/>
    <cellStyle name="Style 214 3" xfId="57537"/>
    <cellStyle name="Style 214 4" xfId="57538"/>
    <cellStyle name="Style 214 5" xfId="57539"/>
    <cellStyle name="Style 215" xfId="57540"/>
    <cellStyle name="Style 215 2" xfId="57541"/>
    <cellStyle name="Style 216" xfId="57542"/>
    <cellStyle name="Style 216 2" xfId="57543"/>
    <cellStyle name="Style 217" xfId="57544"/>
    <cellStyle name="Style 217 2" xfId="57545"/>
    <cellStyle name="Style 218" xfId="57546"/>
    <cellStyle name="Style 218 2" xfId="57547"/>
    <cellStyle name="Style 219" xfId="57548"/>
    <cellStyle name="Style 219 2" xfId="57549"/>
    <cellStyle name="Style 219 3" xfId="57550"/>
    <cellStyle name="Style 219 4" xfId="57551"/>
    <cellStyle name="Style 219 5" xfId="57552"/>
    <cellStyle name="Style 22" xfId="57553"/>
    <cellStyle name="Style 220" xfId="57554"/>
    <cellStyle name="Style 220 2" xfId="57555"/>
    <cellStyle name="Style 220 2 2" xfId="57556"/>
    <cellStyle name="Style 220 2 3" xfId="57557"/>
    <cellStyle name="Style 220 2 4" xfId="57558"/>
    <cellStyle name="Style 220 3" xfId="57559"/>
    <cellStyle name="Style 220 4" xfId="57560"/>
    <cellStyle name="Style 220 5" xfId="57561"/>
    <cellStyle name="Style 220 6" xfId="57562"/>
    <cellStyle name="Style 220 7" xfId="57563"/>
    <cellStyle name="Style 221" xfId="57564"/>
    <cellStyle name="Style 221 2" xfId="57565"/>
    <cellStyle name="Style 221 2 2" xfId="57566"/>
    <cellStyle name="Style 221 2 3" xfId="57567"/>
    <cellStyle name="Style 221 2 4" xfId="57568"/>
    <cellStyle name="Style 221 3" xfId="57569"/>
    <cellStyle name="Style 221 4" xfId="57570"/>
    <cellStyle name="Style 221 5" xfId="57571"/>
    <cellStyle name="Style 221 6" xfId="57572"/>
    <cellStyle name="Style 221 7" xfId="57573"/>
    <cellStyle name="Style 222" xfId="57574"/>
    <cellStyle name="Style 222 2" xfId="57575"/>
    <cellStyle name="Style 222 2 2" xfId="57576"/>
    <cellStyle name="Style 222 2 3" xfId="57577"/>
    <cellStyle name="Style 222 2 4" xfId="57578"/>
    <cellStyle name="Style 222 3" xfId="57579"/>
    <cellStyle name="Style 222 4" xfId="57580"/>
    <cellStyle name="Style 222 5" xfId="57581"/>
    <cellStyle name="Style 222 6" xfId="57582"/>
    <cellStyle name="Style 222 7" xfId="57583"/>
    <cellStyle name="Style 223" xfId="57584"/>
    <cellStyle name="Style 223 2" xfId="57585"/>
    <cellStyle name="Style 224" xfId="57586"/>
    <cellStyle name="Style 224 2" xfId="57587"/>
    <cellStyle name="Style 225" xfId="57588"/>
    <cellStyle name="Style 225 2" xfId="57589"/>
    <cellStyle name="Style 226" xfId="57590"/>
    <cellStyle name="Style 226 2" xfId="57591"/>
    <cellStyle name="Style 226 3" xfId="57592"/>
    <cellStyle name="Style 226 4" xfId="57593"/>
    <cellStyle name="Style 226 5" xfId="57594"/>
    <cellStyle name="Style 226 6" xfId="57595"/>
    <cellStyle name="Style 227" xfId="57596"/>
    <cellStyle name="Style 227 2" xfId="57597"/>
    <cellStyle name="Style 227 3" xfId="57598"/>
    <cellStyle name="Style 227 4" xfId="57599"/>
    <cellStyle name="Style 227 5" xfId="57600"/>
    <cellStyle name="Style 227 6" xfId="57601"/>
    <cellStyle name="Style 228" xfId="57602"/>
    <cellStyle name="Style 228 2" xfId="57603"/>
    <cellStyle name="Style 228 2 2" xfId="57604"/>
    <cellStyle name="Style 228 3" xfId="57605"/>
    <cellStyle name="Style 228 4" xfId="57606"/>
    <cellStyle name="Style 228 5" xfId="57607"/>
    <cellStyle name="Style 229" xfId="57608"/>
    <cellStyle name="Style 229 2" xfId="57609"/>
    <cellStyle name="Style 229 3" xfId="57610"/>
    <cellStyle name="Style 229 4" xfId="57611"/>
    <cellStyle name="Style 23" xfId="57612"/>
    <cellStyle name="Style 230" xfId="57613"/>
    <cellStyle name="Style 230 2" xfId="57614"/>
    <cellStyle name="Style 230 3" xfId="57615"/>
    <cellStyle name="Style 230 4" xfId="57616"/>
    <cellStyle name="Style 231" xfId="57617"/>
    <cellStyle name="Style 231 2" xfId="57618"/>
    <cellStyle name="Style 231 3" xfId="57619"/>
    <cellStyle name="Style 231 4" xfId="57620"/>
    <cellStyle name="Style 231 5" xfId="57621"/>
    <cellStyle name="Style 232" xfId="57622"/>
    <cellStyle name="Style 232 2" xfId="57623"/>
    <cellStyle name="Style 232 2 2" xfId="57624"/>
    <cellStyle name="Style 232 2 3" xfId="57625"/>
    <cellStyle name="Style 232 2 4" xfId="57626"/>
    <cellStyle name="Style 232 3" xfId="57627"/>
    <cellStyle name="Style 232 3 2" xfId="57628"/>
    <cellStyle name="Style 232 3 3" xfId="57629"/>
    <cellStyle name="Style 232 3 4" xfId="57630"/>
    <cellStyle name="Style 232 4" xfId="57631"/>
    <cellStyle name="Style 232 5" xfId="57632"/>
    <cellStyle name="Style 232 6" xfId="57633"/>
    <cellStyle name="Style 232 7" xfId="57634"/>
    <cellStyle name="Style 233" xfId="57635"/>
    <cellStyle name="Style 233 2" xfId="57636"/>
    <cellStyle name="Style 234" xfId="57637"/>
    <cellStyle name="Style 234 2" xfId="57638"/>
    <cellStyle name="Style 234 3" xfId="57639"/>
    <cellStyle name="Style 234 4" xfId="57640"/>
    <cellStyle name="Style 235" xfId="57641"/>
    <cellStyle name="Style 235 2" xfId="57642"/>
    <cellStyle name="Style 236" xfId="57643"/>
    <cellStyle name="Style 236 2" xfId="57644"/>
    <cellStyle name="Style 236 3" xfId="57645"/>
    <cellStyle name="Style 236 4" xfId="57646"/>
    <cellStyle name="Style 236 5" xfId="57647"/>
    <cellStyle name="Style 237" xfId="57648"/>
    <cellStyle name="Style 237 2" xfId="57649"/>
    <cellStyle name="Style 237 2 2" xfId="57650"/>
    <cellStyle name="Style 237 3" xfId="57651"/>
    <cellStyle name="Style 237 4" xfId="57652"/>
    <cellStyle name="Style 238" xfId="57653"/>
    <cellStyle name="Style 238 2" xfId="57654"/>
    <cellStyle name="Style 239" xfId="57655"/>
    <cellStyle name="Style 239 2" xfId="57656"/>
    <cellStyle name="Style 24" xfId="57657"/>
    <cellStyle name="Style 240" xfId="57658"/>
    <cellStyle name="Style 240 2" xfId="57659"/>
    <cellStyle name="Style 241" xfId="57660"/>
    <cellStyle name="Style 241 2" xfId="57661"/>
    <cellStyle name="Style 241 2 2" xfId="57662"/>
    <cellStyle name="Style 241 2 3" xfId="57663"/>
    <cellStyle name="Style 241 2 4" xfId="57664"/>
    <cellStyle name="Style 241 3" xfId="57665"/>
    <cellStyle name="Style 241 3 2" xfId="57666"/>
    <cellStyle name="Style 241 3 3" xfId="57667"/>
    <cellStyle name="Style 241 3 4" xfId="57668"/>
    <cellStyle name="Style 241 4" xfId="57669"/>
    <cellStyle name="Style 241 5" xfId="57670"/>
    <cellStyle name="Style 241 6" xfId="57671"/>
    <cellStyle name="Style 241 7" xfId="57672"/>
    <cellStyle name="Style 242" xfId="57673"/>
    <cellStyle name="Style 242 2" xfId="57674"/>
    <cellStyle name="Style 243" xfId="57675"/>
    <cellStyle name="Style 243 2" xfId="57676"/>
    <cellStyle name="Style 244" xfId="57677"/>
    <cellStyle name="Style 244 2" xfId="57678"/>
    <cellStyle name="Style 244 3" xfId="57679"/>
    <cellStyle name="Style 244 4" xfId="57680"/>
    <cellStyle name="Style 244 5" xfId="57681"/>
    <cellStyle name="Style 245" xfId="57682"/>
    <cellStyle name="Style 245 2" xfId="57683"/>
    <cellStyle name="Style 245 3" xfId="57684"/>
    <cellStyle name="Style 245 4" xfId="57685"/>
    <cellStyle name="Style 246" xfId="57686"/>
    <cellStyle name="Style 246 2" xfId="57687"/>
    <cellStyle name="Style 247" xfId="57688"/>
    <cellStyle name="Style 247 2" xfId="57689"/>
    <cellStyle name="Style 248" xfId="57690"/>
    <cellStyle name="Style 248 2" xfId="57691"/>
    <cellStyle name="Style 248 3" xfId="57692"/>
    <cellStyle name="Style 248 4" xfId="57693"/>
    <cellStyle name="Style 248 5" xfId="57694"/>
    <cellStyle name="Style 248 6" xfId="57695"/>
    <cellStyle name="Style 249" xfId="57696"/>
    <cellStyle name="Style 249 2" xfId="57697"/>
    <cellStyle name="Style 249 3" xfId="57698"/>
    <cellStyle name="Style 249 4" xfId="57699"/>
    <cellStyle name="Style 249 5" xfId="57700"/>
    <cellStyle name="Style 249 6" xfId="57701"/>
    <cellStyle name="Style 250" xfId="57702"/>
    <cellStyle name="Style 250 2" xfId="57703"/>
    <cellStyle name="Style 250 3" xfId="57704"/>
    <cellStyle name="Style 250 4" xfId="57705"/>
    <cellStyle name="Style 250 5" xfId="57706"/>
    <cellStyle name="Style 250 6" xfId="57707"/>
    <cellStyle name="Style 251" xfId="57708"/>
    <cellStyle name="Style 251 2" xfId="57709"/>
    <cellStyle name="Style 251 3" xfId="57710"/>
    <cellStyle name="Style 251 4" xfId="57711"/>
    <cellStyle name="Style 251 5" xfId="57712"/>
    <cellStyle name="Style 251 6" xfId="57713"/>
    <cellStyle name="Style 252" xfId="57714"/>
    <cellStyle name="Style 252 2" xfId="57715"/>
    <cellStyle name="Style 252 3" xfId="57716"/>
    <cellStyle name="Style 252 4" xfId="57717"/>
    <cellStyle name="Style 252 5" xfId="57718"/>
    <cellStyle name="Style 252 6" xfId="57719"/>
    <cellStyle name="Style 253" xfId="57720"/>
    <cellStyle name="Style 253 2" xfId="57721"/>
    <cellStyle name="Style 253 3" xfId="57722"/>
    <cellStyle name="Style 253 4" xfId="57723"/>
    <cellStyle name="Style 253 5" xfId="57724"/>
    <cellStyle name="Style 253 6" xfId="57725"/>
    <cellStyle name="Style 254" xfId="57726"/>
    <cellStyle name="Style 254 2" xfId="57727"/>
    <cellStyle name="Style 254 3" xfId="57728"/>
    <cellStyle name="Style 254 4" xfId="57729"/>
    <cellStyle name="Style 254 5" xfId="57730"/>
    <cellStyle name="Style 254 6" xfId="57731"/>
    <cellStyle name="Style 255" xfId="57732"/>
    <cellStyle name="Style 255 2" xfId="57733"/>
    <cellStyle name="Style 255 2 2" xfId="57734"/>
    <cellStyle name="Style 255 2 3" xfId="57735"/>
    <cellStyle name="Style 255 2 4" xfId="57736"/>
    <cellStyle name="Style 255 3" xfId="57737"/>
    <cellStyle name="Style 255 3 2" xfId="57738"/>
    <cellStyle name="Style 255 3 3" xfId="57739"/>
    <cellStyle name="Style 255 3 4" xfId="57740"/>
    <cellStyle name="Style 255 4" xfId="57741"/>
    <cellStyle name="Style 255 5" xfId="57742"/>
    <cellStyle name="Style 255 6" xfId="57743"/>
    <cellStyle name="Style 255 7" xfId="57744"/>
    <cellStyle name="Style 256" xfId="57745"/>
    <cellStyle name="Style 256 2" xfId="57746"/>
    <cellStyle name="Style 256 2 2" xfId="57747"/>
    <cellStyle name="Style 256 3" xfId="57748"/>
    <cellStyle name="Style 256 4" xfId="57749"/>
    <cellStyle name="Style 256 5" xfId="57750"/>
    <cellStyle name="Style 257" xfId="57751"/>
    <cellStyle name="Style 257 2" xfId="57752"/>
    <cellStyle name="Style 257 3" xfId="57753"/>
    <cellStyle name="Style 258" xfId="57754"/>
    <cellStyle name="Style 258 2" xfId="57755"/>
    <cellStyle name="Style 258 3" xfId="57756"/>
    <cellStyle name="Style 258 4" xfId="57757"/>
    <cellStyle name="Style 258 5" xfId="57758"/>
    <cellStyle name="Style 259" xfId="57759"/>
    <cellStyle name="Style 259 2" xfId="57760"/>
    <cellStyle name="Style 259 3" xfId="57761"/>
    <cellStyle name="Style 259 4" xfId="57762"/>
    <cellStyle name="Style 259 5" xfId="57763"/>
    <cellStyle name="Style 260" xfId="57764"/>
    <cellStyle name="Style 260 2" xfId="57765"/>
    <cellStyle name="Style 260 3" xfId="57766"/>
    <cellStyle name="Style 260 4" xfId="57767"/>
    <cellStyle name="Style 261" xfId="57768"/>
    <cellStyle name="Style 261 2" xfId="57769"/>
    <cellStyle name="Style 261 2 2" xfId="57770"/>
    <cellStyle name="Style 261 2 3" xfId="57771"/>
    <cellStyle name="Style 261 2 4" xfId="57772"/>
    <cellStyle name="Style 261 3" xfId="57773"/>
    <cellStyle name="Style 261 4" xfId="57774"/>
    <cellStyle name="Style 261 5" xfId="57775"/>
    <cellStyle name="Style 261 6" xfId="57776"/>
    <cellStyle name="Style 261 7" xfId="57777"/>
    <cellStyle name="Style 262" xfId="57778"/>
    <cellStyle name="Style 262 2" xfId="57779"/>
    <cellStyle name="Style 262 3" xfId="57780"/>
    <cellStyle name="Style 262 4" xfId="57781"/>
    <cellStyle name="Style 263" xfId="57782"/>
    <cellStyle name="Style 263 2" xfId="57783"/>
    <cellStyle name="Style 264" xfId="57784"/>
    <cellStyle name="Style 264 2" xfId="57785"/>
    <cellStyle name="Style 264 3" xfId="57786"/>
    <cellStyle name="Style 264 4" xfId="57787"/>
    <cellStyle name="Style 265" xfId="57788"/>
    <cellStyle name="Style 265 2" xfId="57789"/>
    <cellStyle name="Style 265 3" xfId="57790"/>
    <cellStyle name="Style 265 4" xfId="57791"/>
    <cellStyle name="Style 265 5" xfId="57792"/>
    <cellStyle name="Style 266" xfId="57793"/>
    <cellStyle name="Style 266 2" xfId="57794"/>
    <cellStyle name="Style 266 3" xfId="57795"/>
    <cellStyle name="Style 266 4" xfId="57796"/>
    <cellStyle name="Style 266 5" xfId="57797"/>
    <cellStyle name="Style 266 6" xfId="57798"/>
    <cellStyle name="Style 267" xfId="57799"/>
    <cellStyle name="Style 267 2" xfId="57800"/>
    <cellStyle name="Style 267 3" xfId="57801"/>
    <cellStyle name="Style 267 4" xfId="57802"/>
    <cellStyle name="Style 267 5" xfId="57803"/>
    <cellStyle name="Style 267 6" xfId="57804"/>
    <cellStyle name="Style 268" xfId="57805"/>
    <cellStyle name="Style 268 2" xfId="57806"/>
    <cellStyle name="Style 269" xfId="57807"/>
    <cellStyle name="Style 269 2" xfId="57808"/>
    <cellStyle name="Style 270" xfId="57809"/>
    <cellStyle name="Style 270 2" xfId="57810"/>
    <cellStyle name="Style 271" xfId="57811"/>
    <cellStyle name="Style 271 2" xfId="57812"/>
    <cellStyle name="Style 272" xfId="57813"/>
    <cellStyle name="Style 272 2" xfId="57814"/>
    <cellStyle name="Style 273" xfId="57815"/>
    <cellStyle name="Style 273 2" xfId="57816"/>
    <cellStyle name="Style 274" xfId="57817"/>
    <cellStyle name="Style 274 2" xfId="57818"/>
    <cellStyle name="Style 275" xfId="57819"/>
    <cellStyle name="Style 275 2" xfId="57820"/>
    <cellStyle name="Style 275 3" xfId="57821"/>
    <cellStyle name="Style 275 4" xfId="57822"/>
    <cellStyle name="Style 275 5" xfId="57823"/>
    <cellStyle name="Style 275 6" xfId="57824"/>
    <cellStyle name="Style 276" xfId="57825"/>
    <cellStyle name="Style 276 2" xfId="57826"/>
    <cellStyle name="Style 276 3" xfId="57827"/>
    <cellStyle name="Style 276 4" xfId="57828"/>
    <cellStyle name="Style 276 5" xfId="57829"/>
    <cellStyle name="Style 276 6" xfId="57830"/>
    <cellStyle name="Style 277" xfId="57831"/>
    <cellStyle name="Style 277 2" xfId="57832"/>
    <cellStyle name="Style 277 3" xfId="57833"/>
    <cellStyle name="Style 277 4" xfId="57834"/>
    <cellStyle name="Style 277 5" xfId="57835"/>
    <cellStyle name="Style 277 6" xfId="57836"/>
    <cellStyle name="Style 278" xfId="57837"/>
    <cellStyle name="Style 278 2" xfId="57838"/>
    <cellStyle name="Style 278 3" xfId="57839"/>
    <cellStyle name="Style 278 4" xfId="57840"/>
    <cellStyle name="Style 278 5" xfId="57841"/>
    <cellStyle name="Style 278 6" xfId="57842"/>
    <cellStyle name="Style 279" xfId="57843"/>
    <cellStyle name="Style 279 2" xfId="57844"/>
    <cellStyle name="Style 279 3" xfId="57845"/>
    <cellStyle name="Style 279 4" xfId="57846"/>
    <cellStyle name="Style 279 5" xfId="57847"/>
    <cellStyle name="Style 279 6" xfId="57848"/>
    <cellStyle name="Style 280" xfId="57849"/>
    <cellStyle name="Style 280 2" xfId="57850"/>
    <cellStyle name="Style 280 3" xfId="57851"/>
    <cellStyle name="Style 280 4" xfId="57852"/>
    <cellStyle name="Style 280 5" xfId="57853"/>
    <cellStyle name="Style 280 6" xfId="57854"/>
    <cellStyle name="Style 281" xfId="57855"/>
    <cellStyle name="Style 281 2" xfId="57856"/>
    <cellStyle name="Style 281 3" xfId="57857"/>
    <cellStyle name="Style 281 4" xfId="57858"/>
    <cellStyle name="Style 281 5" xfId="57859"/>
    <cellStyle name="Style 281 6" xfId="57860"/>
    <cellStyle name="Style 282" xfId="57861"/>
    <cellStyle name="Style 282 2" xfId="57862"/>
    <cellStyle name="Style 282 3" xfId="57863"/>
    <cellStyle name="Style 282 4" xfId="57864"/>
    <cellStyle name="Style 282 5" xfId="57865"/>
    <cellStyle name="Style 282 6" xfId="57866"/>
    <cellStyle name="Style 283" xfId="57867"/>
    <cellStyle name="Style 283 2" xfId="57868"/>
    <cellStyle name="Style 283 3" xfId="57869"/>
    <cellStyle name="Style 283 4" xfId="57870"/>
    <cellStyle name="Style 283 5" xfId="57871"/>
    <cellStyle name="Style 283 6" xfId="57872"/>
    <cellStyle name="Style 284" xfId="57873"/>
    <cellStyle name="Style 284 2" xfId="57874"/>
    <cellStyle name="Style 284 3" xfId="57875"/>
    <cellStyle name="Style 284 4" xfId="57876"/>
    <cellStyle name="Style 284 5" xfId="57877"/>
    <cellStyle name="Style 284 6" xfId="57878"/>
    <cellStyle name="Style 285" xfId="57879"/>
    <cellStyle name="Style 285 2" xfId="57880"/>
    <cellStyle name="Style 286" xfId="57881"/>
    <cellStyle name="Style 286 2" xfId="57882"/>
    <cellStyle name="Style 287" xfId="57883"/>
    <cellStyle name="Style 287 2" xfId="57884"/>
    <cellStyle name="Style 287 3" xfId="57885"/>
    <cellStyle name="Style 287 4" xfId="57886"/>
    <cellStyle name="Style 287 5" xfId="57887"/>
    <cellStyle name="Style 287 6" xfId="57888"/>
    <cellStyle name="Style 288" xfId="57889"/>
    <cellStyle name="Style 288 2" xfId="57890"/>
    <cellStyle name="Style 288 3" xfId="57891"/>
    <cellStyle name="Style 288 4" xfId="57892"/>
    <cellStyle name="Style 288 5" xfId="57893"/>
    <cellStyle name="Style 288 6" xfId="57894"/>
    <cellStyle name="Style 289" xfId="57895"/>
    <cellStyle name="Style 289 2" xfId="57896"/>
    <cellStyle name="Style 289 3" xfId="57897"/>
    <cellStyle name="Style 289 4" xfId="57898"/>
    <cellStyle name="Style 289 5" xfId="57899"/>
    <cellStyle name="Style 289 6" xfId="57900"/>
    <cellStyle name="Style 29" xfId="57901"/>
    <cellStyle name="Style 290" xfId="57902"/>
    <cellStyle name="Style 290 2" xfId="57903"/>
    <cellStyle name="Style 290 3" xfId="57904"/>
    <cellStyle name="Style 290 4" xfId="57905"/>
    <cellStyle name="Style 290 5" xfId="57906"/>
    <cellStyle name="Style 290 6" xfId="57907"/>
    <cellStyle name="Style 291" xfId="57908"/>
    <cellStyle name="Style 291 2" xfId="57909"/>
    <cellStyle name="Style 291 3" xfId="57910"/>
    <cellStyle name="Style 291 4" xfId="57911"/>
    <cellStyle name="Style 291 5" xfId="57912"/>
    <cellStyle name="Style 291 6" xfId="57913"/>
    <cellStyle name="Style 292" xfId="57914"/>
    <cellStyle name="Style 292 2" xfId="57915"/>
    <cellStyle name="Style 292 3" xfId="57916"/>
    <cellStyle name="Style 292 4" xfId="57917"/>
    <cellStyle name="Style 292 5" xfId="57918"/>
    <cellStyle name="Style 292 6" xfId="57919"/>
    <cellStyle name="Style 293" xfId="57920"/>
    <cellStyle name="Style 293 2" xfId="57921"/>
    <cellStyle name="Style 293 3" xfId="57922"/>
    <cellStyle name="Style 293 4" xfId="57923"/>
    <cellStyle name="Style 293 5" xfId="57924"/>
    <cellStyle name="Style 293 6" xfId="57925"/>
    <cellStyle name="Style 294" xfId="57926"/>
    <cellStyle name="Style 294 2" xfId="57927"/>
    <cellStyle name="Style 294 3" xfId="57928"/>
    <cellStyle name="Style 294 4" xfId="57929"/>
    <cellStyle name="Style 294 5" xfId="57930"/>
    <cellStyle name="Style 294 6" xfId="57931"/>
    <cellStyle name="Style 295" xfId="57932"/>
    <cellStyle name="Style 295 2" xfId="57933"/>
    <cellStyle name="Style 295 3" xfId="57934"/>
    <cellStyle name="Style 295 4" xfId="57935"/>
    <cellStyle name="Style 295 5" xfId="57936"/>
    <cellStyle name="Style 295 6" xfId="57937"/>
    <cellStyle name="Style 296" xfId="57938"/>
    <cellStyle name="Style 296 2" xfId="57939"/>
    <cellStyle name="Style 296 3" xfId="57940"/>
    <cellStyle name="Style 296 4" xfId="57941"/>
    <cellStyle name="Style 296 5" xfId="57942"/>
    <cellStyle name="Style 296 6" xfId="57943"/>
    <cellStyle name="Style 297" xfId="57944"/>
    <cellStyle name="Style 297 2" xfId="57945"/>
    <cellStyle name="Style 297 3" xfId="57946"/>
    <cellStyle name="Style 297 4" xfId="57947"/>
    <cellStyle name="Style 297 5" xfId="57948"/>
    <cellStyle name="Style 297 6" xfId="57949"/>
    <cellStyle name="Style 298" xfId="57950"/>
    <cellStyle name="Style 298 2" xfId="57951"/>
    <cellStyle name="Style 298 2 2" xfId="57952"/>
    <cellStyle name="Style 298 3" xfId="57953"/>
    <cellStyle name="Style 298 4" xfId="57954"/>
    <cellStyle name="Style 298 5" xfId="57955"/>
    <cellStyle name="Style 299" xfId="57956"/>
    <cellStyle name="Style 299 2" xfId="57957"/>
    <cellStyle name="Style 299 3" xfId="57958"/>
    <cellStyle name="Style 299 4" xfId="57959"/>
    <cellStyle name="Style 3" xfId="57960"/>
    <cellStyle name="Style 3 2" xfId="57961"/>
    <cellStyle name="Style 30" xfId="57962"/>
    <cellStyle name="Style 300" xfId="57963"/>
    <cellStyle name="Style 300 2" xfId="57964"/>
    <cellStyle name="Style 301" xfId="57965"/>
    <cellStyle name="Style 301 2" xfId="57966"/>
    <cellStyle name="Style 302" xfId="57967"/>
    <cellStyle name="Style 302 2" xfId="57968"/>
    <cellStyle name="Style 303" xfId="57969"/>
    <cellStyle name="Style 303 2" xfId="57970"/>
    <cellStyle name="Style 304" xfId="57971"/>
    <cellStyle name="Style 304 2" xfId="57972"/>
    <cellStyle name="Style 304 2 2" xfId="57973"/>
    <cellStyle name="Style 304 2 3" xfId="57974"/>
    <cellStyle name="Style 304 2 4" xfId="57975"/>
    <cellStyle name="Style 304 3" xfId="57976"/>
    <cellStyle name="Style 304 3 2" xfId="57977"/>
    <cellStyle name="Style 304 3 3" xfId="57978"/>
    <cellStyle name="Style 304 3 4" xfId="57979"/>
    <cellStyle name="Style 304 4" xfId="57980"/>
    <cellStyle name="Style 304 5" xfId="57981"/>
    <cellStyle name="Style 304 6" xfId="57982"/>
    <cellStyle name="Style 304 7" xfId="57983"/>
    <cellStyle name="Style 304 8" xfId="57984"/>
    <cellStyle name="Style 305" xfId="57985"/>
    <cellStyle name="Style 305 2" xfId="57986"/>
    <cellStyle name="Style 306" xfId="57987"/>
    <cellStyle name="Style 306 2" xfId="57988"/>
    <cellStyle name="Style 307" xfId="57989"/>
    <cellStyle name="Style 307 2" xfId="57990"/>
    <cellStyle name="Style 307 3" xfId="57991"/>
    <cellStyle name="Style 307 4" xfId="57992"/>
    <cellStyle name="Style 307 5" xfId="57993"/>
    <cellStyle name="Style 307 6" xfId="57994"/>
    <cellStyle name="Style 308" xfId="57995"/>
    <cellStyle name="Style 308 2" xfId="57996"/>
    <cellStyle name="Style 309" xfId="57997"/>
    <cellStyle name="Style 309 2" xfId="57998"/>
    <cellStyle name="Style 31" xfId="57999"/>
    <cellStyle name="Style 310" xfId="58000"/>
    <cellStyle name="Style 310 2" xfId="58001"/>
    <cellStyle name="Style 311" xfId="58002"/>
    <cellStyle name="Style 311 2" xfId="58003"/>
    <cellStyle name="Style 312" xfId="58004"/>
    <cellStyle name="Style 312 2" xfId="58005"/>
    <cellStyle name="Style 312 3" xfId="58006"/>
    <cellStyle name="Style 313" xfId="58007"/>
    <cellStyle name="Style 313 2" xfId="58008"/>
    <cellStyle name="Style 313 3" xfId="58009"/>
    <cellStyle name="Style 314" xfId="58010"/>
    <cellStyle name="Style 314 2" xfId="58011"/>
    <cellStyle name="Style 315" xfId="58012"/>
    <cellStyle name="Style 315 2" xfId="58013"/>
    <cellStyle name="Style 315 3" xfId="58014"/>
    <cellStyle name="Style 315 4" xfId="58015"/>
    <cellStyle name="Style 315 5" xfId="58016"/>
    <cellStyle name="Style 315 6" xfId="58017"/>
    <cellStyle name="Style 316" xfId="58018"/>
    <cellStyle name="Style 316 2" xfId="58019"/>
    <cellStyle name="Style 316 3" xfId="58020"/>
    <cellStyle name="Style 316 4" xfId="58021"/>
    <cellStyle name="Style 316 5" xfId="58022"/>
    <cellStyle name="Style 316 6" xfId="58023"/>
    <cellStyle name="Style 317" xfId="58024"/>
    <cellStyle name="Style 317 2" xfId="58025"/>
    <cellStyle name="Style 317 3" xfId="58026"/>
    <cellStyle name="Style 317 4" xfId="58027"/>
    <cellStyle name="Style 317 5" xfId="58028"/>
    <cellStyle name="Style 317 6" xfId="58029"/>
    <cellStyle name="Style 318" xfId="58030"/>
    <cellStyle name="Style 318 2" xfId="58031"/>
    <cellStyle name="Style 318 2 2" xfId="58032"/>
    <cellStyle name="Style 318 2 3" xfId="58033"/>
    <cellStyle name="Style 318 2 4" xfId="58034"/>
    <cellStyle name="Style 318 3" xfId="58035"/>
    <cellStyle name="Style 318 4" xfId="58036"/>
    <cellStyle name="Style 318 5" xfId="58037"/>
    <cellStyle name="Style 318 6" xfId="58038"/>
    <cellStyle name="Style 318 7" xfId="58039"/>
    <cellStyle name="Style 319" xfId="58040"/>
    <cellStyle name="Style 319 2" xfId="58041"/>
    <cellStyle name="Style 319 2 2" xfId="58042"/>
    <cellStyle name="Style 319 2 3" xfId="58043"/>
    <cellStyle name="Style 319 2 4" xfId="58044"/>
    <cellStyle name="Style 319 3" xfId="58045"/>
    <cellStyle name="Style 319 4" xfId="58046"/>
    <cellStyle name="Style 319 5" xfId="58047"/>
    <cellStyle name="Style 319 6" xfId="58048"/>
    <cellStyle name="Style 319 7" xfId="58049"/>
    <cellStyle name="Style 32" xfId="58050"/>
    <cellStyle name="Style 320" xfId="58051"/>
    <cellStyle name="Style 320 2" xfId="58052"/>
    <cellStyle name="Style 320 3" xfId="58053"/>
    <cellStyle name="Style 320 4" xfId="58054"/>
    <cellStyle name="Style 320 5" xfId="58055"/>
    <cellStyle name="Style 320 6" xfId="58056"/>
    <cellStyle name="Style 321" xfId="58057"/>
    <cellStyle name="Style 321 2" xfId="58058"/>
    <cellStyle name="Style 321 2 2" xfId="58059"/>
    <cellStyle name="Style 321 3" xfId="58060"/>
    <cellStyle name="Style 321 4" xfId="58061"/>
    <cellStyle name="Style 322" xfId="58062"/>
    <cellStyle name="Style 322 2" xfId="58063"/>
    <cellStyle name="Style 322 3" xfId="58064"/>
    <cellStyle name="Style 322 4" xfId="58065"/>
    <cellStyle name="Style 322 5" xfId="58066"/>
    <cellStyle name="Style 323" xfId="58067"/>
    <cellStyle name="Style 323 2" xfId="58068"/>
    <cellStyle name="Style 323 2 2" xfId="58069"/>
    <cellStyle name="Style 323 3" xfId="58070"/>
    <cellStyle name="Style 323 4" xfId="58071"/>
    <cellStyle name="Style 324" xfId="58072"/>
    <cellStyle name="Style 324 2" xfId="58073"/>
    <cellStyle name="Style 324 3" xfId="58074"/>
    <cellStyle name="Style 324 4" xfId="58075"/>
    <cellStyle name="Style 324 5" xfId="58076"/>
    <cellStyle name="Style 325" xfId="58077"/>
    <cellStyle name="Style 325 2" xfId="58078"/>
    <cellStyle name="Style 326" xfId="58079"/>
    <cellStyle name="Style 326 2" xfId="58080"/>
    <cellStyle name="Style 327" xfId="58081"/>
    <cellStyle name="Style 327 2" xfId="58082"/>
    <cellStyle name="Style 328" xfId="58083"/>
    <cellStyle name="Style 328 2" xfId="58084"/>
    <cellStyle name="Style 329" xfId="58085"/>
    <cellStyle name="Style 329 2" xfId="58086"/>
    <cellStyle name="Style 329 2 2" xfId="58087"/>
    <cellStyle name="Style 329 3" xfId="58088"/>
    <cellStyle name="Style 329 4" xfId="58089"/>
    <cellStyle name="Style 329 5" xfId="58090"/>
    <cellStyle name="Style 330" xfId="58091"/>
    <cellStyle name="Style 330 2" xfId="58092"/>
    <cellStyle name="Style 331" xfId="58093"/>
    <cellStyle name="Style 331 2" xfId="58094"/>
    <cellStyle name="Style 331 3" xfId="58095"/>
    <cellStyle name="Style 331 4" xfId="58096"/>
    <cellStyle name="Style 331 5" xfId="58097"/>
    <cellStyle name="Style 331 6" xfId="58098"/>
    <cellStyle name="Style 332" xfId="58099"/>
    <cellStyle name="Style 332 2" xfId="58100"/>
    <cellStyle name="Style 332 3" xfId="58101"/>
    <cellStyle name="Style 332 4" xfId="58102"/>
    <cellStyle name="Style 332 5" xfId="58103"/>
    <cellStyle name="Style 332 6" xfId="58104"/>
    <cellStyle name="Style 333" xfId="58105"/>
    <cellStyle name="Style 333 2" xfId="58106"/>
    <cellStyle name="Style 333 2 2" xfId="58107"/>
    <cellStyle name="Style 333 3" xfId="58108"/>
    <cellStyle name="Style 333 4" xfId="58109"/>
    <cellStyle name="Style 333 5" xfId="58110"/>
    <cellStyle name="Style 334" xfId="58111"/>
    <cellStyle name="Style 334 2" xfId="58112"/>
    <cellStyle name="Style 334 3" xfId="58113"/>
    <cellStyle name="Style 335" xfId="58114"/>
    <cellStyle name="Style 335 2" xfId="58115"/>
    <cellStyle name="Style 336" xfId="58116"/>
    <cellStyle name="Style 336 2" xfId="58117"/>
    <cellStyle name="Style 337" xfId="58118"/>
    <cellStyle name="Style 337 2" xfId="58119"/>
    <cellStyle name="Style 338" xfId="58120"/>
    <cellStyle name="Style 338 2" xfId="58121"/>
    <cellStyle name="Style 339" xfId="58122"/>
    <cellStyle name="Style 339 2" xfId="58123"/>
    <cellStyle name="Style 339 2 2" xfId="58124"/>
    <cellStyle name="Style 339 2 3" xfId="58125"/>
    <cellStyle name="Style 339 2 4" xfId="58126"/>
    <cellStyle name="Style 339 3" xfId="58127"/>
    <cellStyle name="Style 339 3 2" xfId="58128"/>
    <cellStyle name="Style 339 3 3" xfId="58129"/>
    <cellStyle name="Style 339 3 4" xfId="58130"/>
    <cellStyle name="Style 339 4" xfId="58131"/>
    <cellStyle name="Style 339 5" xfId="58132"/>
    <cellStyle name="Style 339 6" xfId="58133"/>
    <cellStyle name="Style 339 7" xfId="58134"/>
    <cellStyle name="Style 340" xfId="58135"/>
    <cellStyle name="Style 340 2" xfId="58136"/>
    <cellStyle name="Style 340 2 2" xfId="58137"/>
    <cellStyle name="Style 340 3" xfId="58138"/>
    <cellStyle name="Style 340 4" xfId="58139"/>
    <cellStyle name="Style 340 5" xfId="58140"/>
    <cellStyle name="Style 341" xfId="58141"/>
    <cellStyle name="Style 341 2" xfId="58142"/>
    <cellStyle name="Style 341 3" xfId="58143"/>
    <cellStyle name="Style 342" xfId="58144"/>
    <cellStyle name="Style 342 2" xfId="58145"/>
    <cellStyle name="Style 342 3" xfId="58146"/>
    <cellStyle name="Style 342 4" xfId="58147"/>
    <cellStyle name="Style 342 5" xfId="58148"/>
    <cellStyle name="Style 343" xfId="58149"/>
    <cellStyle name="Style 343 2" xfId="58150"/>
    <cellStyle name="Style 343 3" xfId="58151"/>
    <cellStyle name="Style 343 4" xfId="58152"/>
    <cellStyle name="Style 343 5" xfId="58153"/>
    <cellStyle name="Style 344" xfId="58154"/>
    <cellStyle name="Style 344 2" xfId="58155"/>
    <cellStyle name="Style 344 3" xfId="58156"/>
    <cellStyle name="Style 344 4" xfId="58157"/>
    <cellStyle name="Style 345" xfId="58158"/>
    <cellStyle name="Style 345 2" xfId="58159"/>
    <cellStyle name="Style 345 2 2" xfId="58160"/>
    <cellStyle name="Style 345 2 3" xfId="58161"/>
    <cellStyle name="Style 345 2 4" xfId="58162"/>
    <cellStyle name="Style 345 3" xfId="58163"/>
    <cellStyle name="Style 345 4" xfId="58164"/>
    <cellStyle name="Style 345 5" xfId="58165"/>
    <cellStyle name="Style 345 6" xfId="58166"/>
    <cellStyle name="Style 345 7" xfId="58167"/>
    <cellStyle name="Style 346" xfId="58168"/>
    <cellStyle name="Style 346 2" xfId="58169"/>
    <cellStyle name="Style 346 3" xfId="58170"/>
    <cellStyle name="Style 346 4" xfId="58171"/>
    <cellStyle name="Style 347" xfId="58172"/>
    <cellStyle name="Style 347 2" xfId="58173"/>
    <cellStyle name="Style 347 2 2" xfId="58174"/>
    <cellStyle name="Style 347 3" xfId="58175"/>
    <cellStyle name="Style 347 4" xfId="58176"/>
    <cellStyle name="Style 348" xfId="58177"/>
    <cellStyle name="Style 348 2" xfId="58178"/>
    <cellStyle name="Style 348 3" xfId="58179"/>
    <cellStyle name="Style 349" xfId="58180"/>
    <cellStyle name="Style 349 2" xfId="58181"/>
    <cellStyle name="Style 349 3" xfId="58182"/>
    <cellStyle name="Style 349 4" xfId="58183"/>
    <cellStyle name="Style 349 5" xfId="58184"/>
    <cellStyle name="Style 349 6" xfId="58185"/>
    <cellStyle name="Style 350" xfId="58186"/>
    <cellStyle name="Style 350 2" xfId="58187"/>
    <cellStyle name="Style 350 3" xfId="58188"/>
    <cellStyle name="Style 351" xfId="58189"/>
    <cellStyle name="Style 351 2" xfId="58190"/>
    <cellStyle name="Style 351 3" xfId="58191"/>
    <cellStyle name="Style 352" xfId="58192"/>
    <cellStyle name="Style 352 2" xfId="58193"/>
    <cellStyle name="Style 352 3" xfId="58194"/>
    <cellStyle name="Style 353" xfId="58195"/>
    <cellStyle name="Style 353 2" xfId="58196"/>
    <cellStyle name="Style 353 3" xfId="58197"/>
    <cellStyle name="Style 354" xfId="58198"/>
    <cellStyle name="Style 354 2" xfId="58199"/>
    <cellStyle name="Style 354 3" xfId="58200"/>
    <cellStyle name="Style 355" xfId="58201"/>
    <cellStyle name="Style 355 2" xfId="58202"/>
    <cellStyle name="Style 355 3" xfId="58203"/>
    <cellStyle name="Style 356" xfId="58204"/>
    <cellStyle name="Style 356 2" xfId="58205"/>
    <cellStyle name="Style 356 3" xfId="58206"/>
    <cellStyle name="Style 357" xfId="58207"/>
    <cellStyle name="Style 357 2" xfId="58208"/>
    <cellStyle name="Style 357 3" xfId="58209"/>
    <cellStyle name="Style 358" xfId="58210"/>
    <cellStyle name="Style 358 2" xfId="58211"/>
    <cellStyle name="Style 358 3" xfId="58212"/>
    <cellStyle name="Style 359" xfId="58213"/>
    <cellStyle name="Style 359 2" xfId="58214"/>
    <cellStyle name="Style 359 3" xfId="58215"/>
    <cellStyle name="Style 360" xfId="58216"/>
    <cellStyle name="Style 360 2" xfId="58217"/>
    <cellStyle name="Style 360 3" xfId="58218"/>
    <cellStyle name="Style 361" xfId="58219"/>
    <cellStyle name="Style 361 2" xfId="58220"/>
    <cellStyle name="Style 361 3" xfId="58221"/>
    <cellStyle name="Style 362" xfId="58222"/>
    <cellStyle name="Style 362 2" xfId="58223"/>
    <cellStyle name="Style 362 3" xfId="58224"/>
    <cellStyle name="Style 363" xfId="58225"/>
    <cellStyle name="Style 363 2" xfId="58226"/>
    <cellStyle name="Style 363 3" xfId="58227"/>
    <cellStyle name="Style 364" xfId="58228"/>
    <cellStyle name="Style 364 2" xfId="58229"/>
    <cellStyle name="Style 364 3" xfId="58230"/>
    <cellStyle name="Style 364 4" xfId="58231"/>
    <cellStyle name="Style 364 5" xfId="58232"/>
    <cellStyle name="Style 364 6" xfId="58233"/>
    <cellStyle name="Style 365" xfId="58234"/>
    <cellStyle name="Style 365 2" xfId="58235"/>
    <cellStyle name="Style 366" xfId="58236"/>
    <cellStyle name="Style 366 2" xfId="58237"/>
    <cellStyle name="Style 367" xfId="58238"/>
    <cellStyle name="Style 367 2" xfId="58239"/>
    <cellStyle name="Style 368" xfId="58240"/>
    <cellStyle name="Style 369" xfId="58241"/>
    <cellStyle name="Style 370" xfId="58242"/>
    <cellStyle name="Style 371" xfId="58243"/>
    <cellStyle name="Style 372" xfId="58244"/>
    <cellStyle name="Style 373" xfId="58245"/>
    <cellStyle name="Style 374" xfId="58246"/>
    <cellStyle name="Style 374 2" xfId="58247"/>
    <cellStyle name="Style 374 3" xfId="58248"/>
    <cellStyle name="Style 374 4" xfId="58249"/>
    <cellStyle name="Style 374 5" xfId="58250"/>
    <cellStyle name="Style 375" xfId="58251"/>
    <cellStyle name="Style 375 2" xfId="58252"/>
    <cellStyle name="Style 375 3" xfId="58253"/>
    <cellStyle name="Style 375 4" xfId="58254"/>
    <cellStyle name="Style 376" xfId="58255"/>
    <cellStyle name="Style 376 2" xfId="58256"/>
    <cellStyle name="Style 376 3" xfId="58257"/>
    <cellStyle name="Style 376 4" xfId="58258"/>
    <cellStyle name="Style 376 5" xfId="58259"/>
    <cellStyle name="Style 4" xfId="58260"/>
    <cellStyle name="Style 4 2" xfId="58261"/>
    <cellStyle name="Style 4 3" xfId="58262"/>
    <cellStyle name="Style 5" xfId="58263"/>
    <cellStyle name="Style 5 2" xfId="58264"/>
    <cellStyle name="Style 50" xfId="58265"/>
    <cellStyle name="Style 50 2" xfId="58266"/>
    <cellStyle name="Style 52" xfId="58267"/>
    <cellStyle name="Style 52 2" xfId="58268"/>
    <cellStyle name="Style 52 3" xfId="58269"/>
    <cellStyle name="Style 6" xfId="58270"/>
    <cellStyle name="Style 6 2" xfId="58271"/>
    <cellStyle name="Style 61" xfId="58272"/>
    <cellStyle name="style 7" xfId="58273"/>
    <cellStyle name="style 8" xfId="58274"/>
    <cellStyle name="style 9" xfId="58275"/>
    <cellStyle name="style_Pricing template_STW_Revised" xfId="58276"/>
    <cellStyle name="STYLE1" xfId="58277"/>
    <cellStyle name="STYLE1 2" xfId="58278"/>
    <cellStyle name="style1 2 2" xfId="58279"/>
    <cellStyle name="style1 2 2 2" xfId="58280"/>
    <cellStyle name="style1 3" xfId="58281"/>
    <cellStyle name="style1 3 2" xfId="58282"/>
    <cellStyle name="style1 4" xfId="58283"/>
    <cellStyle name="style1 4 2" xfId="58284"/>
    <cellStyle name="style1 5" xfId="58285"/>
    <cellStyle name="style1 5 2" xfId="58286"/>
    <cellStyle name="style1 6" xfId="58287"/>
    <cellStyle name="style1 6 2" xfId="58288"/>
    <cellStyle name="STYLE1 7" xfId="58289"/>
    <cellStyle name="style1_AffinPartner" xfId="58290"/>
    <cellStyle name="STYLE2" xfId="58291"/>
    <cellStyle name="STYLE2 2" xfId="58292"/>
    <cellStyle name="STYLE2 2 2" xfId="58293"/>
    <cellStyle name="STYLE2 3" xfId="58294"/>
    <cellStyle name="STYLE2 4" xfId="58295"/>
    <cellStyle name="STYLE2 5" xfId="58296"/>
    <cellStyle name="STYLE2 6" xfId="58297"/>
    <cellStyle name="STYLE2 7" xfId="58298"/>
    <cellStyle name="STYLE2_~9868926" xfId="58299"/>
    <cellStyle name="Sub Total." xfId="58300"/>
    <cellStyle name="SubAccount" xfId="58301"/>
    <cellStyle name="SubAccount 2" xfId="58302"/>
    <cellStyle name="Subheading" xfId="58303"/>
    <cellStyle name="Subrayado" xfId="58304"/>
    <cellStyle name="SubTitle 2" xfId="58305"/>
    <cellStyle name="Subtitulos" xfId="58306"/>
    <cellStyle name="Subtitulos 2" xfId="58307"/>
    <cellStyle name="Subtitulos 3" xfId="58308"/>
    <cellStyle name="Subtitulos 4" xfId="58309"/>
    <cellStyle name="Subtitulos 5" xfId="58310"/>
    <cellStyle name="Subtotal" xfId="58311"/>
    <cellStyle name="SubTotal1Num" xfId="58312"/>
    <cellStyle name="SubTotal1Text" xfId="58313"/>
    <cellStyle name="Sum" xfId="58314"/>
    <cellStyle name="Sum %of HV" xfId="58315"/>
    <cellStyle name="Summe" xfId="58316"/>
    <cellStyle name="Summe 2" xfId="58317"/>
    <cellStyle name="Summe 3" xfId="58318"/>
    <cellStyle name="Switch" xfId="58319"/>
    <cellStyle name="Tab12" xfId="58320"/>
    <cellStyle name="Table Head" xfId="58321"/>
    <cellStyle name="Table Head Aligned" xfId="58322"/>
    <cellStyle name="Table Head Blue" xfId="58323"/>
    <cellStyle name="Table Head Green" xfId="58324"/>
    <cellStyle name="Table Head_LBO" xfId="58325"/>
    <cellStyle name="Table Header" xfId="58326"/>
    <cellStyle name="Table Source" xfId="58327"/>
    <cellStyle name="Table Text" xfId="58328"/>
    <cellStyle name="Table Title" xfId="58329"/>
    <cellStyle name="Table Title 2" xfId="58330"/>
    <cellStyle name="Table Units" xfId="58331"/>
    <cellStyle name="Table_Header" xfId="58332"/>
    <cellStyle name="TB percent_right border" xfId="58333"/>
    <cellStyle name="test" xfId="58334"/>
    <cellStyle name="Text 1" xfId="58335"/>
    <cellStyle name="Text 2" xfId="58336"/>
    <cellStyle name="Text Head 1" xfId="58337"/>
    <cellStyle name="Text Head 2" xfId="58338"/>
    <cellStyle name="Text Indent 1" xfId="58339"/>
    <cellStyle name="Text Indent 2" xfId="58340"/>
    <cellStyle name="Text Indent A" xfId="58341"/>
    <cellStyle name="Text Indent B" xfId="58342"/>
    <cellStyle name="Text Indent B 2" xfId="58343"/>
    <cellStyle name="Text Indent C" xfId="58344"/>
    <cellStyle name="Text Indent C 2" xfId="58345"/>
    <cellStyle name="Text Level 2" xfId="58346"/>
    <cellStyle name="Text Level 2 2" xfId="58347"/>
    <cellStyle name="Text Level 3" xfId="58348"/>
    <cellStyle name="Text Level 3 2" xfId="58349"/>
    <cellStyle name="Text_box" xfId="58350"/>
    <cellStyle name="Texte explicatif" xfId="58351"/>
    <cellStyle name="þ_x001d_ð &amp;ý&amp;†ýG_x0008_€ X_x000a__x0007__x0001__x0001_" xfId="58352"/>
    <cellStyle name="þ_x001d_ð &amp;ý&amp;†ýG_x0008_€ X_x000a__x0007__x0001__x0001_ 2" xfId="58353"/>
    <cellStyle name="þ_x001d_ð &amp;ý&amp;†ýG_x0008_ X_x000a__x0007__x0001__x0001_" xfId="58354"/>
    <cellStyle name="þ_x001d_ð &amp;ý&amp;†ýG_x0008_ X_x000a__x0007__x0001__x0001_ 2" xfId="58355"/>
    <cellStyle name="þ_x001d_ð &amp;ý&amp;†ýG_x0008_ X_x000a__x0007__x0001__x0001_ 3" xfId="58356"/>
    <cellStyle name="Tick_test" xfId="58357"/>
    <cellStyle name="Time" xfId="58358"/>
    <cellStyle name="TIME Detail" xfId="58359"/>
    <cellStyle name="TIME Detail 2" xfId="58360"/>
    <cellStyle name="TimeEnd" xfId="58361"/>
    <cellStyle name="times" xfId="58362"/>
    <cellStyle name="times 2" xfId="58363"/>
    <cellStyle name="times 2 2" xfId="58364"/>
    <cellStyle name="times 3" xfId="58365"/>
    <cellStyle name="times 3 2" xfId="58366"/>
    <cellStyle name="times 4" xfId="58367"/>
    <cellStyle name="times 4 2" xfId="58368"/>
    <cellStyle name="times 5" xfId="58369"/>
    <cellStyle name="times 5 2" xfId="58370"/>
    <cellStyle name="times 6" xfId="58371"/>
    <cellStyle name="times 6 2" xfId="58372"/>
    <cellStyle name="times 7" xfId="58373"/>
    <cellStyle name="times 7 2" xfId="58374"/>
    <cellStyle name="times 8" xfId="58375"/>
    <cellStyle name="Times New Roman" xfId="58376"/>
    <cellStyle name="Times Roman" xfId="58377"/>
    <cellStyle name="TimeSpent" xfId="58378"/>
    <cellStyle name="Title" xfId="48" builtinId="15" customBuiltin="1"/>
    <cellStyle name="Title - PROJECT" xfId="58379"/>
    <cellStyle name="Title - PROJECT 2" xfId="58380"/>
    <cellStyle name="Title - Underline" xfId="58381"/>
    <cellStyle name="Title - Underline 2" xfId="58382"/>
    <cellStyle name="Title 10" xfId="58383"/>
    <cellStyle name="Title 10 2" xfId="58384"/>
    <cellStyle name="Title 11" xfId="58385"/>
    <cellStyle name="Title 12" xfId="58386"/>
    <cellStyle name="Title 13" xfId="58387"/>
    <cellStyle name="Title 14" xfId="58388"/>
    <cellStyle name="Title 15" xfId="58389"/>
    <cellStyle name="Title 16" xfId="58390"/>
    <cellStyle name="Title 17" xfId="58391"/>
    <cellStyle name="Title 18" xfId="58392"/>
    <cellStyle name="Title 19" xfId="58393"/>
    <cellStyle name="Title 2" xfId="241"/>
    <cellStyle name="Title 2 2" xfId="34486"/>
    <cellStyle name="Title 2 3" xfId="34487"/>
    <cellStyle name="Title 2 4" xfId="58394"/>
    <cellStyle name="Title 20" xfId="58395"/>
    <cellStyle name="Title 21" xfId="58396"/>
    <cellStyle name="Title 22" xfId="58397"/>
    <cellStyle name="Title 23" xfId="58398"/>
    <cellStyle name="Title 24" xfId="58399"/>
    <cellStyle name="Title 25" xfId="58400"/>
    <cellStyle name="Title 26" xfId="58401"/>
    <cellStyle name="Title 27" xfId="58402"/>
    <cellStyle name="Title 28" xfId="58403"/>
    <cellStyle name="Title 29" xfId="58404"/>
    <cellStyle name="Title 3" xfId="34488"/>
    <cellStyle name="Title 3 2" xfId="58405"/>
    <cellStyle name="Title 3 3" xfId="58406"/>
    <cellStyle name="Title 3 4" xfId="58407"/>
    <cellStyle name="Title 30" xfId="58408"/>
    <cellStyle name="Title 31" xfId="58409"/>
    <cellStyle name="Title 32" xfId="58410"/>
    <cellStyle name="Title 33" xfId="58411"/>
    <cellStyle name="Title 34" xfId="58412"/>
    <cellStyle name="Title 35" xfId="58413"/>
    <cellStyle name="Title 36" xfId="58414"/>
    <cellStyle name="Title 37" xfId="58415"/>
    <cellStyle name="Title 38" xfId="58416"/>
    <cellStyle name="Title 39" xfId="58417"/>
    <cellStyle name="Title 4" xfId="34489"/>
    <cellStyle name="Title 4 2" xfId="58418"/>
    <cellStyle name="Title 40" xfId="58419"/>
    <cellStyle name="Title 41" xfId="58420"/>
    <cellStyle name="Title 42" xfId="58421"/>
    <cellStyle name="Title 43" xfId="58422"/>
    <cellStyle name="Title 44" xfId="58423"/>
    <cellStyle name="Title 45" xfId="58424"/>
    <cellStyle name="Title 46" xfId="58425"/>
    <cellStyle name="Title 47" xfId="58426"/>
    <cellStyle name="Title 48" xfId="58427"/>
    <cellStyle name="Title 49" xfId="58428"/>
    <cellStyle name="Title 5" xfId="34490"/>
    <cellStyle name="Title 50" xfId="58429"/>
    <cellStyle name="Title 6" xfId="58430"/>
    <cellStyle name="Title 6 2" xfId="58431"/>
    <cellStyle name="Title 7" xfId="58432"/>
    <cellStyle name="Title 7 2" xfId="58433"/>
    <cellStyle name="Title 8" xfId="58434"/>
    <cellStyle name="Title 8 2" xfId="58435"/>
    <cellStyle name="Title 9" xfId="58436"/>
    <cellStyle name="Title 9 2" xfId="58437"/>
    <cellStyle name="Title Input" xfId="58438"/>
    <cellStyle name="title1" xfId="58439"/>
    <cellStyle name="Title-1" xfId="58440"/>
    <cellStyle name="title1 2" xfId="58441"/>
    <cellStyle name="title1 2 2" xfId="58442"/>
    <cellStyle name="title1 3" xfId="58443"/>
    <cellStyle name="title1 3 2" xfId="58444"/>
    <cellStyle name="title1 4" xfId="58445"/>
    <cellStyle name="title1 4 2" xfId="58446"/>
    <cellStyle name="title1 5" xfId="58447"/>
    <cellStyle name="title1 5 2" xfId="58448"/>
    <cellStyle name="title1 6" xfId="58449"/>
    <cellStyle name="title1 6 2" xfId="58450"/>
    <cellStyle name="title1 7" xfId="58451"/>
    <cellStyle name="title1 7 2" xfId="58452"/>
    <cellStyle name="title1 8" xfId="58453"/>
    <cellStyle name="title1_AffinPartner" xfId="58454"/>
    <cellStyle name="title2" xfId="58455"/>
    <cellStyle name="Title-2" xfId="58456"/>
    <cellStyle name="title2 2" xfId="58457"/>
    <cellStyle name="TitleEvid" xfId="58458"/>
    <cellStyle name="Titles" xfId="58459"/>
    <cellStyle name="Titles - Col. Headings" xfId="58460"/>
    <cellStyle name="Titles - Col. Headings 2" xfId="58461"/>
    <cellStyle name="Titles - Col. Headings 2 2" xfId="58462"/>
    <cellStyle name="Titles - Col. Headings 3" xfId="58463"/>
    <cellStyle name="Titles - Other" xfId="58464"/>
    <cellStyle name="Titles - Other 2" xfId="58465"/>
    <cellStyle name="Titre" xfId="58466"/>
    <cellStyle name="Titre ligne" xfId="58467"/>
    <cellStyle name="Titre 1" xfId="58468"/>
    <cellStyle name="Titre 2" xfId="58469"/>
    <cellStyle name="Titre 3" xfId="58470"/>
    <cellStyle name="Titre 4" xfId="58471"/>
    <cellStyle name="Tittel" xfId="58472"/>
    <cellStyle name="Tittel 2" xfId="58473"/>
    <cellStyle name="TITULOS" xfId="58474"/>
    <cellStyle name="TNR 10" xfId="58475"/>
    <cellStyle name="TOC 1" xfId="58476"/>
    <cellStyle name="TOC 2" xfId="58477"/>
    <cellStyle name="tom" xfId="58478"/>
    <cellStyle name="Total" xfId="49" builtinId="25" customBuiltin="1"/>
    <cellStyle name="Total 10" xfId="58479"/>
    <cellStyle name="Total 10 2" xfId="58480"/>
    <cellStyle name="Total 10 2 2" xfId="58481"/>
    <cellStyle name="Total 10 2 3" xfId="58482"/>
    <cellStyle name="Total 10 2 4" xfId="58483"/>
    <cellStyle name="Total 10 3" xfId="58484"/>
    <cellStyle name="Total 10 3 2" xfId="58485"/>
    <cellStyle name="Total 10 3 3" xfId="58486"/>
    <cellStyle name="Total 10 3 4" xfId="58487"/>
    <cellStyle name="Total 10 4" xfId="58488"/>
    <cellStyle name="Total 10 5" xfId="58489"/>
    <cellStyle name="Total 10 6" xfId="58490"/>
    <cellStyle name="Total 10 7" xfId="58491"/>
    <cellStyle name="Total 10 8" xfId="58492"/>
    <cellStyle name="Total 11" xfId="58493"/>
    <cellStyle name="Total 11 2" xfId="58494"/>
    <cellStyle name="Total 2" xfId="242"/>
    <cellStyle name="Total 2 10" xfId="957"/>
    <cellStyle name="Total 2 10 10" xfId="34491"/>
    <cellStyle name="Total 2 10 11" xfId="34492"/>
    <cellStyle name="Total 2 10 11 2" xfId="34493"/>
    <cellStyle name="Total 2 10 12" xfId="34494"/>
    <cellStyle name="Total 2 10 13" xfId="34495"/>
    <cellStyle name="Total 2 10 14" xfId="34496"/>
    <cellStyle name="Total 2 10 15" xfId="34497"/>
    <cellStyle name="Total 2 10 16" xfId="34498"/>
    <cellStyle name="Total 2 10 17" xfId="34499"/>
    <cellStyle name="Total 2 10 18" xfId="34500"/>
    <cellStyle name="Total 2 10 19" xfId="34501"/>
    <cellStyle name="Total 2 10 2" xfId="958"/>
    <cellStyle name="Total 2 10 2 2" xfId="34502"/>
    <cellStyle name="Total 2 10 2 2 2" xfId="34503"/>
    <cellStyle name="Total 2 10 2 2 2 2" xfId="34504"/>
    <cellStyle name="Total 2 10 2 2 2 3" xfId="34505"/>
    <cellStyle name="Total 2 10 2 2 2 4" xfId="34506"/>
    <cellStyle name="Total 2 10 2 2 3" xfId="34507"/>
    <cellStyle name="Total 2 10 2 2 4" xfId="34508"/>
    <cellStyle name="Total 2 10 2 2 5" xfId="34509"/>
    <cellStyle name="Total 2 10 2 2 6" xfId="34510"/>
    <cellStyle name="Total 2 10 2 3" xfId="34511"/>
    <cellStyle name="Total 2 10 2 3 2" xfId="34512"/>
    <cellStyle name="Total 2 10 2 3 3" xfId="34513"/>
    <cellStyle name="Total 2 10 2 3 4" xfId="34514"/>
    <cellStyle name="Total 2 10 2 4" xfId="34515"/>
    <cellStyle name="Total 2 10 2 5" xfId="34516"/>
    <cellStyle name="Total 2 10 2 6" xfId="34517"/>
    <cellStyle name="Total 2 10 2 7" xfId="34518"/>
    <cellStyle name="Total 2 10 20" xfId="34519"/>
    <cellStyle name="Total 2 10 21" xfId="34520"/>
    <cellStyle name="Total 2 10 22" xfId="34521"/>
    <cellStyle name="Total 2 10 23" xfId="34522"/>
    <cellStyle name="Total 2 10 24" xfId="34523"/>
    <cellStyle name="Total 2 10 3" xfId="959"/>
    <cellStyle name="Total 2 10 3 2" xfId="34524"/>
    <cellStyle name="Total 2 10 3 2 2" xfId="34525"/>
    <cellStyle name="Total 2 10 3 2 3" xfId="34526"/>
    <cellStyle name="Total 2 10 3 2 4" xfId="34527"/>
    <cellStyle name="Total 2 10 3 3" xfId="34528"/>
    <cellStyle name="Total 2 10 3 4" xfId="34529"/>
    <cellStyle name="Total 2 10 3 5" xfId="34530"/>
    <cellStyle name="Total 2 10 3 6" xfId="34531"/>
    <cellStyle name="Total 2 10 4" xfId="34532"/>
    <cellStyle name="Total 2 10 4 2" xfId="34533"/>
    <cellStyle name="Total 2 10 4 3" xfId="34534"/>
    <cellStyle name="Total 2 10 4 4" xfId="34535"/>
    <cellStyle name="Total 2 10 4 5" xfId="34536"/>
    <cellStyle name="Total 2 10 5" xfId="34537"/>
    <cellStyle name="Total 2 10 5 2" xfId="34538"/>
    <cellStyle name="Total 2 10 5 3" xfId="34539"/>
    <cellStyle name="Total 2 10 5 4" xfId="34540"/>
    <cellStyle name="Total 2 10 6" xfId="34541"/>
    <cellStyle name="Total 2 10 6 2" xfId="34542"/>
    <cellStyle name="Total 2 10 6 3" xfId="34543"/>
    <cellStyle name="Total 2 10 6 4" xfId="34544"/>
    <cellStyle name="Total 2 10 7" xfId="34545"/>
    <cellStyle name="Total 2 10 7 2" xfId="34546"/>
    <cellStyle name="Total 2 10 7 3" xfId="34547"/>
    <cellStyle name="Total 2 10 7 4" xfId="34548"/>
    <cellStyle name="Total 2 10 8" xfId="34549"/>
    <cellStyle name="Total 2 10 8 2" xfId="34550"/>
    <cellStyle name="Total 2 10 8 3" xfId="34551"/>
    <cellStyle name="Total 2 10 8 4" xfId="34552"/>
    <cellStyle name="Total 2 10 9" xfId="34553"/>
    <cellStyle name="Total 2 10 9 2" xfId="34554"/>
    <cellStyle name="Total 2 11" xfId="960"/>
    <cellStyle name="Total 2 11 10" xfId="34555"/>
    <cellStyle name="Total 2 11 10 2" xfId="34556"/>
    <cellStyle name="Total 2 11 11" xfId="34557"/>
    <cellStyle name="Total 2 11 12" xfId="34558"/>
    <cellStyle name="Total 2 11 13" xfId="34559"/>
    <cellStyle name="Total 2 11 14" xfId="34560"/>
    <cellStyle name="Total 2 11 15" xfId="34561"/>
    <cellStyle name="Total 2 11 16" xfId="34562"/>
    <cellStyle name="Total 2 11 17" xfId="34563"/>
    <cellStyle name="Total 2 11 18" xfId="34564"/>
    <cellStyle name="Total 2 11 19" xfId="34565"/>
    <cellStyle name="Total 2 11 2" xfId="961"/>
    <cellStyle name="Total 2 11 2 2" xfId="34566"/>
    <cellStyle name="Total 2 11 2 2 2" xfId="34567"/>
    <cellStyle name="Total 2 11 2 2 3" xfId="34568"/>
    <cellStyle name="Total 2 11 2 2 4" xfId="34569"/>
    <cellStyle name="Total 2 11 2 3" xfId="34570"/>
    <cellStyle name="Total 2 11 2 4" xfId="34571"/>
    <cellStyle name="Total 2 11 2 5" xfId="34572"/>
    <cellStyle name="Total 2 11 2 6" xfId="34573"/>
    <cellStyle name="Total 2 11 20" xfId="34574"/>
    <cellStyle name="Total 2 11 21" xfId="34575"/>
    <cellStyle name="Total 2 11 22" xfId="34576"/>
    <cellStyle name="Total 2 11 23" xfId="34577"/>
    <cellStyle name="Total 2 11 3" xfId="962"/>
    <cellStyle name="Total 2 11 3 2" xfId="34578"/>
    <cellStyle name="Total 2 11 3 3" xfId="34579"/>
    <cellStyle name="Total 2 11 3 4" xfId="34580"/>
    <cellStyle name="Total 2 11 3 5" xfId="34581"/>
    <cellStyle name="Total 2 11 4" xfId="34582"/>
    <cellStyle name="Total 2 11 4 2" xfId="34583"/>
    <cellStyle name="Total 2 11 4 3" xfId="34584"/>
    <cellStyle name="Total 2 11 4 4" xfId="34585"/>
    <cellStyle name="Total 2 11 5" xfId="34586"/>
    <cellStyle name="Total 2 11 5 2" xfId="34587"/>
    <cellStyle name="Total 2 11 5 3" xfId="34588"/>
    <cellStyle name="Total 2 11 5 4" xfId="34589"/>
    <cellStyle name="Total 2 11 6" xfId="34590"/>
    <cellStyle name="Total 2 11 6 2" xfId="34591"/>
    <cellStyle name="Total 2 11 6 3" xfId="34592"/>
    <cellStyle name="Total 2 11 6 4" xfId="34593"/>
    <cellStyle name="Total 2 11 7" xfId="34594"/>
    <cellStyle name="Total 2 11 7 2" xfId="34595"/>
    <cellStyle name="Total 2 11 7 3" xfId="34596"/>
    <cellStyle name="Total 2 11 7 4" xfId="34597"/>
    <cellStyle name="Total 2 11 8" xfId="34598"/>
    <cellStyle name="Total 2 11 8 2" xfId="34599"/>
    <cellStyle name="Total 2 11 9" xfId="34600"/>
    <cellStyle name="Total 2 12" xfId="963"/>
    <cellStyle name="Total 2 12 10" xfId="34601"/>
    <cellStyle name="Total 2 12 11" xfId="34602"/>
    <cellStyle name="Total 2 12 12" xfId="34603"/>
    <cellStyle name="Total 2 12 13" xfId="34604"/>
    <cellStyle name="Total 2 12 14" xfId="34605"/>
    <cellStyle name="Total 2 12 15" xfId="34606"/>
    <cellStyle name="Total 2 12 16" xfId="34607"/>
    <cellStyle name="Total 2 12 17" xfId="34608"/>
    <cellStyle name="Total 2 12 18" xfId="34609"/>
    <cellStyle name="Total 2 12 19" xfId="34610"/>
    <cellStyle name="Total 2 12 2" xfId="964"/>
    <cellStyle name="Total 2 12 2 2" xfId="34611"/>
    <cellStyle name="Total 2 12 2 3" xfId="34612"/>
    <cellStyle name="Total 2 12 2 4" xfId="34613"/>
    <cellStyle name="Total 2 12 20" xfId="34614"/>
    <cellStyle name="Total 2 12 3" xfId="965"/>
    <cellStyle name="Total 2 12 3 2" xfId="34615"/>
    <cellStyle name="Total 2 12 3 3" xfId="34616"/>
    <cellStyle name="Total 2 12 3 4" xfId="34617"/>
    <cellStyle name="Total 2 12 4" xfId="34618"/>
    <cellStyle name="Total 2 12 4 2" xfId="34619"/>
    <cellStyle name="Total 2 12 4 3" xfId="34620"/>
    <cellStyle name="Total 2 12 4 4" xfId="34621"/>
    <cellStyle name="Total 2 12 5" xfId="34622"/>
    <cellStyle name="Total 2 12 5 2" xfId="34623"/>
    <cellStyle name="Total 2 12 6" xfId="34624"/>
    <cellStyle name="Total 2 12 7" xfId="34625"/>
    <cellStyle name="Total 2 12 7 2" xfId="34626"/>
    <cellStyle name="Total 2 12 8" xfId="34627"/>
    <cellStyle name="Total 2 12 9" xfId="34628"/>
    <cellStyle name="Total 2 13" xfId="966"/>
    <cellStyle name="Total 2 13 10" xfId="34629"/>
    <cellStyle name="Total 2 13 11" xfId="34630"/>
    <cellStyle name="Total 2 13 12" xfId="34631"/>
    <cellStyle name="Total 2 13 13" xfId="34632"/>
    <cellStyle name="Total 2 13 14" xfId="34633"/>
    <cellStyle name="Total 2 13 15" xfId="34634"/>
    <cellStyle name="Total 2 13 16" xfId="34635"/>
    <cellStyle name="Total 2 13 17" xfId="34636"/>
    <cellStyle name="Total 2 13 18" xfId="34637"/>
    <cellStyle name="Total 2 13 19" xfId="34638"/>
    <cellStyle name="Total 2 13 2" xfId="967"/>
    <cellStyle name="Total 2 13 2 2" xfId="34639"/>
    <cellStyle name="Total 2 13 2 3" xfId="34640"/>
    <cellStyle name="Total 2 13 2 4" xfId="34641"/>
    <cellStyle name="Total 2 13 20" xfId="34642"/>
    <cellStyle name="Total 2 13 3" xfId="968"/>
    <cellStyle name="Total 2 13 3 2" xfId="34643"/>
    <cellStyle name="Total 2 13 3 3" xfId="34644"/>
    <cellStyle name="Total 2 13 3 4" xfId="34645"/>
    <cellStyle name="Total 2 13 4" xfId="34646"/>
    <cellStyle name="Total 2 13 4 2" xfId="34647"/>
    <cellStyle name="Total 2 13 4 3" xfId="34648"/>
    <cellStyle name="Total 2 13 4 4" xfId="34649"/>
    <cellStyle name="Total 2 13 5" xfId="34650"/>
    <cellStyle name="Total 2 13 5 2" xfId="34651"/>
    <cellStyle name="Total 2 13 6" xfId="34652"/>
    <cellStyle name="Total 2 13 7" xfId="34653"/>
    <cellStyle name="Total 2 13 7 2" xfId="34654"/>
    <cellStyle name="Total 2 13 8" xfId="34655"/>
    <cellStyle name="Total 2 13 9" xfId="34656"/>
    <cellStyle name="Total 2 14" xfId="969"/>
    <cellStyle name="Total 2 14 10" xfId="34657"/>
    <cellStyle name="Total 2 14 11" xfId="34658"/>
    <cellStyle name="Total 2 14 12" xfId="34659"/>
    <cellStyle name="Total 2 14 13" xfId="34660"/>
    <cellStyle name="Total 2 14 14" xfId="34661"/>
    <cellStyle name="Total 2 14 15" xfId="34662"/>
    <cellStyle name="Total 2 14 16" xfId="34663"/>
    <cellStyle name="Total 2 14 17" xfId="34664"/>
    <cellStyle name="Total 2 14 18" xfId="34665"/>
    <cellStyle name="Total 2 14 19" xfId="34666"/>
    <cellStyle name="Total 2 14 2" xfId="970"/>
    <cellStyle name="Total 2 14 2 2" xfId="34667"/>
    <cellStyle name="Total 2 14 2 3" xfId="34668"/>
    <cellStyle name="Total 2 14 2 4" xfId="34669"/>
    <cellStyle name="Total 2 14 3" xfId="971"/>
    <cellStyle name="Total 2 14 3 2" xfId="34670"/>
    <cellStyle name="Total 2 14 3 3" xfId="34671"/>
    <cellStyle name="Total 2 14 3 4" xfId="34672"/>
    <cellStyle name="Total 2 14 4" xfId="34673"/>
    <cellStyle name="Total 2 14 4 2" xfId="34674"/>
    <cellStyle name="Total 2 14 4 3" xfId="34675"/>
    <cellStyle name="Total 2 14 4 4" xfId="34676"/>
    <cellStyle name="Total 2 14 5" xfId="34677"/>
    <cellStyle name="Total 2 14 5 2" xfId="34678"/>
    <cellStyle name="Total 2 14 6" xfId="34679"/>
    <cellStyle name="Total 2 14 7" xfId="34680"/>
    <cellStyle name="Total 2 14 7 2" xfId="34681"/>
    <cellStyle name="Total 2 14 8" xfId="34682"/>
    <cellStyle name="Total 2 14 9" xfId="34683"/>
    <cellStyle name="Total 2 15" xfId="972"/>
    <cellStyle name="Total 2 15 10" xfId="34684"/>
    <cellStyle name="Total 2 15 11" xfId="34685"/>
    <cellStyle name="Total 2 15 12" xfId="34686"/>
    <cellStyle name="Total 2 15 13" xfId="34687"/>
    <cellStyle name="Total 2 15 14" xfId="34688"/>
    <cellStyle name="Total 2 15 15" xfId="34689"/>
    <cellStyle name="Total 2 15 16" xfId="34690"/>
    <cellStyle name="Total 2 15 17" xfId="34691"/>
    <cellStyle name="Total 2 15 18" xfId="34692"/>
    <cellStyle name="Total 2 15 2" xfId="973"/>
    <cellStyle name="Total 2 15 2 2" xfId="34693"/>
    <cellStyle name="Total 2 15 2 3" xfId="34694"/>
    <cellStyle name="Total 2 15 2 4" xfId="34695"/>
    <cellStyle name="Total 2 15 3" xfId="974"/>
    <cellStyle name="Total 2 15 3 2" xfId="34696"/>
    <cellStyle name="Total 2 15 3 3" xfId="34697"/>
    <cellStyle name="Total 2 15 3 4" xfId="34698"/>
    <cellStyle name="Total 2 15 4" xfId="34699"/>
    <cellStyle name="Total 2 15 5" xfId="34700"/>
    <cellStyle name="Total 2 15 6" xfId="34701"/>
    <cellStyle name="Total 2 15 7" xfId="34702"/>
    <cellStyle name="Total 2 15 8" xfId="34703"/>
    <cellStyle name="Total 2 15 9" xfId="34704"/>
    <cellStyle name="Total 2 16" xfId="975"/>
    <cellStyle name="Total 2 16 10" xfId="34705"/>
    <cellStyle name="Total 2 16 11" xfId="34706"/>
    <cellStyle name="Total 2 16 12" xfId="34707"/>
    <cellStyle name="Total 2 16 13" xfId="34708"/>
    <cellStyle name="Total 2 16 14" xfId="34709"/>
    <cellStyle name="Total 2 16 15" xfId="34710"/>
    <cellStyle name="Total 2 16 16" xfId="34711"/>
    <cellStyle name="Total 2 16 17" xfId="34712"/>
    <cellStyle name="Total 2 16 2" xfId="34713"/>
    <cellStyle name="Total 2 16 2 2" xfId="34714"/>
    <cellStyle name="Total 2 16 2 3" xfId="34715"/>
    <cellStyle name="Total 2 16 2 4" xfId="34716"/>
    <cellStyle name="Total 2 16 3" xfId="34717"/>
    <cellStyle name="Total 2 16 4" xfId="34718"/>
    <cellStyle name="Total 2 16 5" xfId="34719"/>
    <cellStyle name="Total 2 16 6" xfId="34720"/>
    <cellStyle name="Total 2 16 7" xfId="34721"/>
    <cellStyle name="Total 2 16 8" xfId="34722"/>
    <cellStyle name="Total 2 16 9" xfId="34723"/>
    <cellStyle name="Total 2 17" xfId="34724"/>
    <cellStyle name="Total 2 17 10" xfId="34725"/>
    <cellStyle name="Total 2 17 11" xfId="34726"/>
    <cellStyle name="Total 2 17 12" xfId="34727"/>
    <cellStyle name="Total 2 17 13" xfId="34728"/>
    <cellStyle name="Total 2 17 14" xfId="34729"/>
    <cellStyle name="Total 2 17 15" xfId="34730"/>
    <cellStyle name="Total 2 17 16" xfId="34731"/>
    <cellStyle name="Total 2 17 2" xfId="34732"/>
    <cellStyle name="Total 2 17 3" xfId="34733"/>
    <cellStyle name="Total 2 17 4" xfId="34734"/>
    <cellStyle name="Total 2 17 5" xfId="34735"/>
    <cellStyle name="Total 2 17 6" xfId="34736"/>
    <cellStyle name="Total 2 17 7" xfId="34737"/>
    <cellStyle name="Total 2 17 8" xfId="34738"/>
    <cellStyle name="Total 2 17 9" xfId="34739"/>
    <cellStyle name="Total 2 18" xfId="34740"/>
    <cellStyle name="Total 2 18 10" xfId="34741"/>
    <cellStyle name="Total 2 18 11" xfId="34742"/>
    <cellStyle name="Total 2 18 12" xfId="34743"/>
    <cellStyle name="Total 2 18 13" xfId="34744"/>
    <cellStyle name="Total 2 18 14" xfId="34745"/>
    <cellStyle name="Total 2 18 15" xfId="34746"/>
    <cellStyle name="Total 2 18 2" xfId="34747"/>
    <cellStyle name="Total 2 18 3" xfId="34748"/>
    <cellStyle name="Total 2 18 4" xfId="34749"/>
    <cellStyle name="Total 2 18 5" xfId="34750"/>
    <cellStyle name="Total 2 18 6" xfId="34751"/>
    <cellStyle name="Total 2 18 7" xfId="34752"/>
    <cellStyle name="Total 2 18 8" xfId="34753"/>
    <cellStyle name="Total 2 18 9" xfId="34754"/>
    <cellStyle name="Total 2 19" xfId="34755"/>
    <cellStyle name="Total 2 19 10" xfId="34756"/>
    <cellStyle name="Total 2 19 11" xfId="34757"/>
    <cellStyle name="Total 2 19 12" xfId="34758"/>
    <cellStyle name="Total 2 19 13" xfId="34759"/>
    <cellStyle name="Total 2 19 14" xfId="34760"/>
    <cellStyle name="Total 2 19 15" xfId="34761"/>
    <cellStyle name="Total 2 19 2" xfId="34762"/>
    <cellStyle name="Total 2 19 3" xfId="34763"/>
    <cellStyle name="Total 2 19 4" xfId="34764"/>
    <cellStyle name="Total 2 19 5" xfId="34765"/>
    <cellStyle name="Total 2 19 6" xfId="34766"/>
    <cellStyle name="Total 2 19 7" xfId="34767"/>
    <cellStyle name="Total 2 19 8" xfId="34768"/>
    <cellStyle name="Total 2 19 9" xfId="34769"/>
    <cellStyle name="Total 2 2" xfId="243"/>
    <cellStyle name="Total 2 2 10" xfId="976"/>
    <cellStyle name="Total 2 2 10 10" xfId="34770"/>
    <cellStyle name="Total 2 2 10 10 2" xfId="34771"/>
    <cellStyle name="Total 2 2 10 11" xfId="34772"/>
    <cellStyle name="Total 2 2 10 2" xfId="977"/>
    <cellStyle name="Total 2 2 10 2 2" xfId="34773"/>
    <cellStyle name="Total 2 2 10 2 2 2" xfId="34774"/>
    <cellStyle name="Total 2 2 10 2 2 3" xfId="34775"/>
    <cellStyle name="Total 2 2 10 2 2 4" xfId="34776"/>
    <cellStyle name="Total 2 2 10 2 3" xfId="34777"/>
    <cellStyle name="Total 2 2 10 2 4" xfId="34778"/>
    <cellStyle name="Total 2 2 10 2 5" xfId="34779"/>
    <cellStyle name="Total 2 2 10 2 6" xfId="34780"/>
    <cellStyle name="Total 2 2 10 3" xfId="978"/>
    <cellStyle name="Total 2 2 10 3 2" xfId="34781"/>
    <cellStyle name="Total 2 2 10 3 3" xfId="34782"/>
    <cellStyle name="Total 2 2 10 3 4" xfId="34783"/>
    <cellStyle name="Total 2 2 10 4" xfId="34784"/>
    <cellStyle name="Total 2 2 10 4 2" xfId="34785"/>
    <cellStyle name="Total 2 2 10 4 3" xfId="34786"/>
    <cellStyle name="Total 2 2 10 4 4" xfId="34787"/>
    <cellStyle name="Total 2 2 10 5" xfId="34788"/>
    <cellStyle name="Total 2 2 10 5 2" xfId="34789"/>
    <cellStyle name="Total 2 2 10 5 3" xfId="34790"/>
    <cellStyle name="Total 2 2 10 5 4" xfId="34791"/>
    <cellStyle name="Total 2 2 10 6" xfId="34792"/>
    <cellStyle name="Total 2 2 10 6 2" xfId="34793"/>
    <cellStyle name="Total 2 2 10 6 3" xfId="34794"/>
    <cellStyle name="Total 2 2 10 6 4" xfId="34795"/>
    <cellStyle name="Total 2 2 10 7" xfId="34796"/>
    <cellStyle name="Total 2 2 10 7 2" xfId="34797"/>
    <cellStyle name="Total 2 2 10 7 3" xfId="34798"/>
    <cellStyle name="Total 2 2 10 7 4" xfId="34799"/>
    <cellStyle name="Total 2 2 10 8" xfId="34800"/>
    <cellStyle name="Total 2 2 10 8 2" xfId="34801"/>
    <cellStyle name="Total 2 2 10 9" xfId="34802"/>
    <cellStyle name="Total 2 2 11" xfId="979"/>
    <cellStyle name="Total 2 2 11 2" xfId="980"/>
    <cellStyle name="Total 2 2 11 2 2" xfId="34803"/>
    <cellStyle name="Total 2 2 11 2 3" xfId="34804"/>
    <cellStyle name="Total 2 2 11 2 4" xfId="34805"/>
    <cellStyle name="Total 2 2 11 3" xfId="981"/>
    <cellStyle name="Total 2 2 11 3 2" xfId="34806"/>
    <cellStyle name="Total 2 2 11 3 3" xfId="34807"/>
    <cellStyle name="Total 2 2 11 3 4" xfId="34808"/>
    <cellStyle name="Total 2 2 11 4" xfId="34809"/>
    <cellStyle name="Total 2 2 11 4 2" xfId="34810"/>
    <cellStyle name="Total 2 2 11 4 3" xfId="34811"/>
    <cellStyle name="Total 2 2 11 4 4" xfId="34812"/>
    <cellStyle name="Total 2 2 11 5" xfId="34813"/>
    <cellStyle name="Total 2 2 11 5 2" xfId="34814"/>
    <cellStyle name="Total 2 2 11 6" xfId="34815"/>
    <cellStyle name="Total 2 2 11 7" xfId="34816"/>
    <cellStyle name="Total 2 2 11 7 2" xfId="34817"/>
    <cellStyle name="Total 2 2 11 8" xfId="34818"/>
    <cellStyle name="Total 2 2 12" xfId="982"/>
    <cellStyle name="Total 2 2 12 2" xfId="983"/>
    <cellStyle name="Total 2 2 12 2 2" xfId="34819"/>
    <cellStyle name="Total 2 2 12 2 3" xfId="34820"/>
    <cellStyle name="Total 2 2 12 2 4" xfId="34821"/>
    <cellStyle name="Total 2 2 12 3" xfId="984"/>
    <cellStyle name="Total 2 2 12 3 2" xfId="34822"/>
    <cellStyle name="Total 2 2 12 3 3" xfId="34823"/>
    <cellStyle name="Total 2 2 12 3 4" xfId="34824"/>
    <cellStyle name="Total 2 2 12 4" xfId="34825"/>
    <cellStyle name="Total 2 2 12 4 2" xfId="34826"/>
    <cellStyle name="Total 2 2 12 4 3" xfId="34827"/>
    <cellStyle name="Total 2 2 12 4 4" xfId="34828"/>
    <cellStyle name="Total 2 2 12 5" xfId="34829"/>
    <cellStyle name="Total 2 2 12 5 2" xfId="34830"/>
    <cellStyle name="Total 2 2 12 6" xfId="34831"/>
    <cellStyle name="Total 2 2 12 7" xfId="34832"/>
    <cellStyle name="Total 2 2 12 7 2" xfId="34833"/>
    <cellStyle name="Total 2 2 12 8" xfId="34834"/>
    <cellStyle name="Total 2 2 13" xfId="985"/>
    <cellStyle name="Total 2 2 13 2" xfId="986"/>
    <cellStyle name="Total 2 2 13 2 2" xfId="34835"/>
    <cellStyle name="Total 2 2 13 2 3" xfId="34836"/>
    <cellStyle name="Total 2 2 13 2 4" xfId="34837"/>
    <cellStyle name="Total 2 2 13 3" xfId="987"/>
    <cellStyle name="Total 2 2 13 3 2" xfId="34838"/>
    <cellStyle name="Total 2 2 13 3 3" xfId="34839"/>
    <cellStyle name="Total 2 2 13 3 4" xfId="34840"/>
    <cellStyle name="Total 2 2 13 4" xfId="34841"/>
    <cellStyle name="Total 2 2 13 5" xfId="34842"/>
    <cellStyle name="Total 2 2 13 6" xfId="34843"/>
    <cellStyle name="Total 2 2 13 7" xfId="34844"/>
    <cellStyle name="Total 2 2 14" xfId="988"/>
    <cellStyle name="Total 2 2 14 2" xfId="34845"/>
    <cellStyle name="Total 2 2 14 2 2" xfId="34846"/>
    <cellStyle name="Total 2 2 14 2 3" xfId="34847"/>
    <cellStyle name="Total 2 2 14 2 4" xfId="34848"/>
    <cellStyle name="Total 2 2 14 3" xfId="34849"/>
    <cellStyle name="Total 2 2 14 3 2" xfId="34850"/>
    <cellStyle name="Total 2 2 14 3 3" xfId="34851"/>
    <cellStyle name="Total 2 2 14 3 4" xfId="34852"/>
    <cellStyle name="Total 2 2 14 4" xfId="34853"/>
    <cellStyle name="Total 2 2 14 5" xfId="34854"/>
    <cellStyle name="Total 2 2 14 6" xfId="34855"/>
    <cellStyle name="Total 2 2 14 7" xfId="34856"/>
    <cellStyle name="Total 2 2 15" xfId="989"/>
    <cellStyle name="Total 2 2 15 2" xfId="34857"/>
    <cellStyle name="Total 2 2 15 2 2" xfId="34858"/>
    <cellStyle name="Total 2 2 15 2 3" xfId="34859"/>
    <cellStyle name="Total 2 2 15 2 4" xfId="34860"/>
    <cellStyle name="Total 2 2 15 3" xfId="34861"/>
    <cellStyle name="Total 2 2 15 4" xfId="34862"/>
    <cellStyle name="Total 2 2 15 5" xfId="34863"/>
    <cellStyle name="Total 2 2 15 6" xfId="34864"/>
    <cellStyle name="Total 2 2 16" xfId="34865"/>
    <cellStyle name="Total 2 2 16 2" xfId="34866"/>
    <cellStyle name="Total 2 2 16 3" xfId="34867"/>
    <cellStyle name="Total 2 2 16 4" xfId="34868"/>
    <cellStyle name="Total 2 2 16 5" xfId="34869"/>
    <cellStyle name="Total 2 2 16 6" xfId="34870"/>
    <cellStyle name="Total 2 2 17" xfId="34871"/>
    <cellStyle name="Total 2 2 17 2" xfId="34872"/>
    <cellStyle name="Total 2 2 17 3" xfId="34873"/>
    <cellStyle name="Total 2 2 17 4" xfId="34874"/>
    <cellStyle name="Total 2 2 18" xfId="34875"/>
    <cellStyle name="Total 2 2 18 2" xfId="34876"/>
    <cellStyle name="Total 2 2 18 3" xfId="34877"/>
    <cellStyle name="Total 2 2 18 4" xfId="34878"/>
    <cellStyle name="Total 2 2 19" xfId="34879"/>
    <cellStyle name="Total 2 2 19 2" xfId="34880"/>
    <cellStyle name="Total 2 2 19 3" xfId="34881"/>
    <cellStyle name="Total 2 2 19 4" xfId="34882"/>
    <cellStyle name="Total 2 2 2" xfId="244"/>
    <cellStyle name="Total 2 2 2 10" xfId="34883"/>
    <cellStyle name="Total 2 2 2 10 2" xfId="34884"/>
    <cellStyle name="Total 2 2 2 10 2 2" xfId="34885"/>
    <cellStyle name="Total 2 2 2 10 2 3" xfId="34886"/>
    <cellStyle name="Total 2 2 2 10 2 4" xfId="34887"/>
    <cellStyle name="Total 2 2 2 10 3" xfId="34888"/>
    <cellStyle name="Total 2 2 2 10 3 2" xfId="34889"/>
    <cellStyle name="Total 2 2 2 10 3 3" xfId="34890"/>
    <cellStyle name="Total 2 2 2 10 3 4" xfId="34891"/>
    <cellStyle name="Total 2 2 2 10 4" xfId="34892"/>
    <cellStyle name="Total 2 2 2 10 5" xfId="34893"/>
    <cellStyle name="Total 2 2 2 10 6" xfId="34894"/>
    <cellStyle name="Total 2 2 2 10 7" xfId="34895"/>
    <cellStyle name="Total 2 2 2 11" xfId="34896"/>
    <cellStyle name="Total 2 2 2 11 2" xfId="34897"/>
    <cellStyle name="Total 2 2 2 11 2 2" xfId="34898"/>
    <cellStyle name="Total 2 2 2 11 2 3" xfId="34899"/>
    <cellStyle name="Total 2 2 2 11 2 4" xfId="34900"/>
    <cellStyle name="Total 2 2 2 11 3" xfId="34901"/>
    <cellStyle name="Total 2 2 2 11 3 2" xfId="34902"/>
    <cellStyle name="Total 2 2 2 11 3 3" xfId="34903"/>
    <cellStyle name="Total 2 2 2 11 3 4" xfId="34904"/>
    <cellStyle name="Total 2 2 2 11 4" xfId="34905"/>
    <cellStyle name="Total 2 2 2 11 5" xfId="34906"/>
    <cellStyle name="Total 2 2 2 11 6" xfId="34907"/>
    <cellStyle name="Total 2 2 2 11 7" xfId="34908"/>
    <cellStyle name="Total 2 2 2 12" xfId="34909"/>
    <cellStyle name="Total 2 2 2 12 2" xfId="34910"/>
    <cellStyle name="Total 2 2 2 12 2 2" xfId="34911"/>
    <cellStyle name="Total 2 2 2 12 2 3" xfId="34912"/>
    <cellStyle name="Total 2 2 2 12 2 4" xfId="34913"/>
    <cellStyle name="Total 2 2 2 12 3" xfId="34914"/>
    <cellStyle name="Total 2 2 2 12 3 2" xfId="34915"/>
    <cellStyle name="Total 2 2 2 12 3 3" xfId="34916"/>
    <cellStyle name="Total 2 2 2 12 3 4" xfId="34917"/>
    <cellStyle name="Total 2 2 2 12 4" xfId="34918"/>
    <cellStyle name="Total 2 2 2 12 5" xfId="34919"/>
    <cellStyle name="Total 2 2 2 12 6" xfId="34920"/>
    <cellStyle name="Total 2 2 2 12 7" xfId="34921"/>
    <cellStyle name="Total 2 2 2 13" xfId="34922"/>
    <cellStyle name="Total 2 2 2 13 2" xfId="34923"/>
    <cellStyle name="Total 2 2 2 13 2 2" xfId="34924"/>
    <cellStyle name="Total 2 2 2 13 2 3" xfId="34925"/>
    <cellStyle name="Total 2 2 2 13 2 4" xfId="34926"/>
    <cellStyle name="Total 2 2 2 13 3" xfId="34927"/>
    <cellStyle name="Total 2 2 2 13 3 2" xfId="34928"/>
    <cellStyle name="Total 2 2 2 13 3 3" xfId="34929"/>
    <cellStyle name="Total 2 2 2 13 3 4" xfId="34930"/>
    <cellStyle name="Total 2 2 2 13 4" xfId="34931"/>
    <cellStyle name="Total 2 2 2 13 5" xfId="34932"/>
    <cellStyle name="Total 2 2 2 13 6" xfId="34933"/>
    <cellStyle name="Total 2 2 2 13 7" xfId="34934"/>
    <cellStyle name="Total 2 2 2 14" xfId="34935"/>
    <cellStyle name="Total 2 2 2 14 2" xfId="34936"/>
    <cellStyle name="Total 2 2 2 14 2 2" xfId="34937"/>
    <cellStyle name="Total 2 2 2 14 2 3" xfId="34938"/>
    <cellStyle name="Total 2 2 2 14 2 4" xfId="34939"/>
    <cellStyle name="Total 2 2 2 14 3" xfId="34940"/>
    <cellStyle name="Total 2 2 2 14 4" xfId="34941"/>
    <cellStyle name="Total 2 2 2 14 5" xfId="34942"/>
    <cellStyle name="Total 2 2 2 14 6" xfId="34943"/>
    <cellStyle name="Total 2 2 2 15" xfId="34944"/>
    <cellStyle name="Total 2 2 2 15 2" xfId="34945"/>
    <cellStyle name="Total 2 2 2 15 3" xfId="34946"/>
    <cellStyle name="Total 2 2 2 15 4" xfId="34947"/>
    <cellStyle name="Total 2 2 2 15 5" xfId="34948"/>
    <cellStyle name="Total 2 2 2 15 6" xfId="34949"/>
    <cellStyle name="Total 2 2 2 16" xfId="34950"/>
    <cellStyle name="Total 2 2 2 16 2" xfId="34951"/>
    <cellStyle name="Total 2 2 2 16 3" xfId="34952"/>
    <cellStyle name="Total 2 2 2 16 4" xfId="34953"/>
    <cellStyle name="Total 2 2 2 17" xfId="34954"/>
    <cellStyle name="Total 2 2 2 17 2" xfId="34955"/>
    <cellStyle name="Total 2 2 2 17 3" xfId="34956"/>
    <cellStyle name="Total 2 2 2 17 4" xfId="34957"/>
    <cellStyle name="Total 2 2 2 18" xfId="34958"/>
    <cellStyle name="Total 2 2 2 18 2" xfId="34959"/>
    <cellStyle name="Total 2 2 2 18 3" xfId="34960"/>
    <cellStyle name="Total 2 2 2 18 4" xfId="34961"/>
    <cellStyle name="Total 2 2 2 19" xfId="34962"/>
    <cellStyle name="Total 2 2 2 19 2" xfId="34963"/>
    <cellStyle name="Total 2 2 2 2" xfId="990"/>
    <cellStyle name="Total 2 2 2 2 10" xfId="34964"/>
    <cellStyle name="Total 2 2 2 2 10 2" xfId="34965"/>
    <cellStyle name="Total 2 2 2 2 10 3" xfId="34966"/>
    <cellStyle name="Total 2 2 2 2 10 4" xfId="34967"/>
    <cellStyle name="Total 2 2 2 2 11" xfId="34968"/>
    <cellStyle name="Total 2 2 2 2 11 2" xfId="34969"/>
    <cellStyle name="Total 2 2 2 2 11 3" xfId="34970"/>
    <cellStyle name="Total 2 2 2 2 11 4" xfId="34971"/>
    <cellStyle name="Total 2 2 2 2 12" xfId="34972"/>
    <cellStyle name="Total 2 2 2 2 13" xfId="34973"/>
    <cellStyle name="Total 2 2 2 2 14" xfId="34974"/>
    <cellStyle name="Total 2 2 2 2 15" xfId="34975"/>
    <cellStyle name="Total 2 2 2 2 2" xfId="34976"/>
    <cellStyle name="Total 2 2 2 2 2 10" xfId="34977"/>
    <cellStyle name="Total 2 2 2 2 2 11" xfId="34978"/>
    <cellStyle name="Total 2 2 2 2 2 12" xfId="34979"/>
    <cellStyle name="Total 2 2 2 2 2 2" xfId="34980"/>
    <cellStyle name="Total 2 2 2 2 2 2 10" xfId="34981"/>
    <cellStyle name="Total 2 2 2 2 2 2 11" xfId="34982"/>
    <cellStyle name="Total 2 2 2 2 2 2 2" xfId="34983"/>
    <cellStyle name="Total 2 2 2 2 2 2 2 2" xfId="34984"/>
    <cellStyle name="Total 2 2 2 2 2 2 2 2 2" xfId="34985"/>
    <cellStyle name="Total 2 2 2 2 2 2 2 2 2 2" xfId="34986"/>
    <cellStyle name="Total 2 2 2 2 2 2 2 2 2 3" xfId="34987"/>
    <cellStyle name="Total 2 2 2 2 2 2 2 2 2 4" xfId="34988"/>
    <cellStyle name="Total 2 2 2 2 2 2 2 2 3" xfId="34989"/>
    <cellStyle name="Total 2 2 2 2 2 2 2 2 4" xfId="34990"/>
    <cellStyle name="Total 2 2 2 2 2 2 2 2 5" xfId="34991"/>
    <cellStyle name="Total 2 2 2 2 2 2 2 2 6" xfId="34992"/>
    <cellStyle name="Total 2 2 2 2 2 2 2 3" xfId="34993"/>
    <cellStyle name="Total 2 2 2 2 2 2 2 3 2" xfId="34994"/>
    <cellStyle name="Total 2 2 2 2 2 2 2 3 3" xfId="34995"/>
    <cellStyle name="Total 2 2 2 2 2 2 2 3 4" xfId="34996"/>
    <cellStyle name="Total 2 2 2 2 2 2 2 4" xfId="34997"/>
    <cellStyle name="Total 2 2 2 2 2 2 2 5" xfId="34998"/>
    <cellStyle name="Total 2 2 2 2 2 2 2 6" xfId="34999"/>
    <cellStyle name="Total 2 2 2 2 2 2 2 7" xfId="35000"/>
    <cellStyle name="Total 2 2 2 2 2 2 3" xfId="35001"/>
    <cellStyle name="Total 2 2 2 2 2 2 3 2" xfId="35002"/>
    <cellStyle name="Total 2 2 2 2 2 2 3 2 2" xfId="35003"/>
    <cellStyle name="Total 2 2 2 2 2 2 3 2 3" xfId="35004"/>
    <cellStyle name="Total 2 2 2 2 2 2 3 2 4" xfId="35005"/>
    <cellStyle name="Total 2 2 2 2 2 2 3 3" xfId="35006"/>
    <cellStyle name="Total 2 2 2 2 2 2 3 4" xfId="35007"/>
    <cellStyle name="Total 2 2 2 2 2 2 3 5" xfId="35008"/>
    <cellStyle name="Total 2 2 2 2 2 2 3 6" xfId="35009"/>
    <cellStyle name="Total 2 2 2 2 2 2 4" xfId="35010"/>
    <cellStyle name="Total 2 2 2 2 2 2 4 2" xfId="35011"/>
    <cellStyle name="Total 2 2 2 2 2 2 4 3" xfId="35012"/>
    <cellStyle name="Total 2 2 2 2 2 2 4 4" xfId="35013"/>
    <cellStyle name="Total 2 2 2 2 2 2 4 5" xfId="35014"/>
    <cellStyle name="Total 2 2 2 2 2 2 5" xfId="35015"/>
    <cellStyle name="Total 2 2 2 2 2 2 5 2" xfId="35016"/>
    <cellStyle name="Total 2 2 2 2 2 2 5 3" xfId="35017"/>
    <cellStyle name="Total 2 2 2 2 2 2 5 4" xfId="35018"/>
    <cellStyle name="Total 2 2 2 2 2 2 6" xfId="35019"/>
    <cellStyle name="Total 2 2 2 2 2 2 6 2" xfId="35020"/>
    <cellStyle name="Total 2 2 2 2 2 2 6 3" xfId="35021"/>
    <cellStyle name="Total 2 2 2 2 2 2 6 4" xfId="35022"/>
    <cellStyle name="Total 2 2 2 2 2 2 7" xfId="35023"/>
    <cellStyle name="Total 2 2 2 2 2 2 7 2" xfId="35024"/>
    <cellStyle name="Total 2 2 2 2 2 2 7 3" xfId="35025"/>
    <cellStyle name="Total 2 2 2 2 2 2 7 4" xfId="35026"/>
    <cellStyle name="Total 2 2 2 2 2 2 8" xfId="35027"/>
    <cellStyle name="Total 2 2 2 2 2 2 9" xfId="35028"/>
    <cellStyle name="Total 2 2 2 2 2 3" xfId="35029"/>
    <cellStyle name="Total 2 2 2 2 2 3 2" xfId="35030"/>
    <cellStyle name="Total 2 2 2 2 2 3 2 2" xfId="35031"/>
    <cellStyle name="Total 2 2 2 2 2 3 2 2 2" xfId="35032"/>
    <cellStyle name="Total 2 2 2 2 2 3 2 2 3" xfId="35033"/>
    <cellStyle name="Total 2 2 2 2 2 3 2 2 4" xfId="35034"/>
    <cellStyle name="Total 2 2 2 2 2 3 2 3" xfId="35035"/>
    <cellStyle name="Total 2 2 2 2 2 3 2 4" xfId="35036"/>
    <cellStyle name="Total 2 2 2 2 2 3 2 5" xfId="35037"/>
    <cellStyle name="Total 2 2 2 2 2 3 2 6" xfId="35038"/>
    <cellStyle name="Total 2 2 2 2 2 3 3" xfId="35039"/>
    <cellStyle name="Total 2 2 2 2 2 3 3 2" xfId="35040"/>
    <cellStyle name="Total 2 2 2 2 2 3 3 3" xfId="35041"/>
    <cellStyle name="Total 2 2 2 2 2 3 3 4" xfId="35042"/>
    <cellStyle name="Total 2 2 2 2 2 3 4" xfId="35043"/>
    <cellStyle name="Total 2 2 2 2 2 3 5" xfId="35044"/>
    <cellStyle name="Total 2 2 2 2 2 3 6" xfId="35045"/>
    <cellStyle name="Total 2 2 2 2 2 3 7" xfId="35046"/>
    <cellStyle name="Total 2 2 2 2 2 4" xfId="35047"/>
    <cellStyle name="Total 2 2 2 2 2 4 2" xfId="35048"/>
    <cellStyle name="Total 2 2 2 2 2 4 2 2" xfId="35049"/>
    <cellStyle name="Total 2 2 2 2 2 4 2 3" xfId="35050"/>
    <cellStyle name="Total 2 2 2 2 2 4 2 4" xfId="35051"/>
    <cellStyle name="Total 2 2 2 2 2 4 3" xfId="35052"/>
    <cellStyle name="Total 2 2 2 2 2 4 4" xfId="35053"/>
    <cellStyle name="Total 2 2 2 2 2 4 5" xfId="35054"/>
    <cellStyle name="Total 2 2 2 2 2 4 6" xfId="35055"/>
    <cellStyle name="Total 2 2 2 2 2 5" xfId="35056"/>
    <cellStyle name="Total 2 2 2 2 2 5 2" xfId="35057"/>
    <cellStyle name="Total 2 2 2 2 2 5 3" xfId="35058"/>
    <cellStyle name="Total 2 2 2 2 2 5 4" xfId="35059"/>
    <cellStyle name="Total 2 2 2 2 2 5 5" xfId="35060"/>
    <cellStyle name="Total 2 2 2 2 2 6" xfId="35061"/>
    <cellStyle name="Total 2 2 2 2 2 6 2" xfId="35062"/>
    <cellStyle name="Total 2 2 2 2 2 6 3" xfId="35063"/>
    <cellStyle name="Total 2 2 2 2 2 6 4" xfId="35064"/>
    <cellStyle name="Total 2 2 2 2 2 7" xfId="35065"/>
    <cellStyle name="Total 2 2 2 2 2 7 2" xfId="35066"/>
    <cellStyle name="Total 2 2 2 2 2 7 3" xfId="35067"/>
    <cellStyle name="Total 2 2 2 2 2 7 4" xfId="35068"/>
    <cellStyle name="Total 2 2 2 2 2 8" xfId="35069"/>
    <cellStyle name="Total 2 2 2 2 2 8 2" xfId="35070"/>
    <cellStyle name="Total 2 2 2 2 2 8 3" xfId="35071"/>
    <cellStyle name="Total 2 2 2 2 2 8 4" xfId="35072"/>
    <cellStyle name="Total 2 2 2 2 2 9" xfId="35073"/>
    <cellStyle name="Total 2 2 2 2 3" xfId="35074"/>
    <cellStyle name="Total 2 2 2 2 3 10" xfId="35075"/>
    <cellStyle name="Total 2 2 2 2 3 11" xfId="35076"/>
    <cellStyle name="Total 2 2 2 2 3 2" xfId="35077"/>
    <cellStyle name="Total 2 2 2 2 3 2 2" xfId="35078"/>
    <cellStyle name="Total 2 2 2 2 3 2 2 2" xfId="35079"/>
    <cellStyle name="Total 2 2 2 2 3 2 2 2 2" xfId="35080"/>
    <cellStyle name="Total 2 2 2 2 3 2 2 2 3" xfId="35081"/>
    <cellStyle name="Total 2 2 2 2 3 2 2 2 4" xfId="35082"/>
    <cellStyle name="Total 2 2 2 2 3 2 2 3" xfId="35083"/>
    <cellStyle name="Total 2 2 2 2 3 2 2 4" xfId="35084"/>
    <cellStyle name="Total 2 2 2 2 3 2 2 5" xfId="35085"/>
    <cellStyle name="Total 2 2 2 2 3 2 2 6" xfId="35086"/>
    <cellStyle name="Total 2 2 2 2 3 2 3" xfId="35087"/>
    <cellStyle name="Total 2 2 2 2 3 2 3 2" xfId="35088"/>
    <cellStyle name="Total 2 2 2 2 3 2 3 3" xfId="35089"/>
    <cellStyle name="Total 2 2 2 2 3 2 3 4" xfId="35090"/>
    <cellStyle name="Total 2 2 2 2 3 2 4" xfId="35091"/>
    <cellStyle name="Total 2 2 2 2 3 2 5" xfId="35092"/>
    <cellStyle name="Total 2 2 2 2 3 2 6" xfId="35093"/>
    <cellStyle name="Total 2 2 2 2 3 2 7" xfId="35094"/>
    <cellStyle name="Total 2 2 2 2 3 3" xfId="35095"/>
    <cellStyle name="Total 2 2 2 2 3 3 2" xfId="35096"/>
    <cellStyle name="Total 2 2 2 2 3 3 2 2" xfId="35097"/>
    <cellStyle name="Total 2 2 2 2 3 3 2 3" xfId="35098"/>
    <cellStyle name="Total 2 2 2 2 3 3 2 4" xfId="35099"/>
    <cellStyle name="Total 2 2 2 2 3 3 3" xfId="35100"/>
    <cellStyle name="Total 2 2 2 2 3 3 4" xfId="35101"/>
    <cellStyle name="Total 2 2 2 2 3 3 5" xfId="35102"/>
    <cellStyle name="Total 2 2 2 2 3 3 6" xfId="35103"/>
    <cellStyle name="Total 2 2 2 2 3 4" xfId="35104"/>
    <cellStyle name="Total 2 2 2 2 3 4 2" xfId="35105"/>
    <cellStyle name="Total 2 2 2 2 3 4 3" xfId="35106"/>
    <cellStyle name="Total 2 2 2 2 3 4 4" xfId="35107"/>
    <cellStyle name="Total 2 2 2 2 3 4 5" xfId="35108"/>
    <cellStyle name="Total 2 2 2 2 3 5" xfId="35109"/>
    <cellStyle name="Total 2 2 2 2 3 5 2" xfId="35110"/>
    <cellStyle name="Total 2 2 2 2 3 5 3" xfId="35111"/>
    <cellStyle name="Total 2 2 2 2 3 5 4" xfId="35112"/>
    <cellStyle name="Total 2 2 2 2 3 6" xfId="35113"/>
    <cellStyle name="Total 2 2 2 2 3 6 2" xfId="35114"/>
    <cellStyle name="Total 2 2 2 2 3 6 3" xfId="35115"/>
    <cellStyle name="Total 2 2 2 2 3 6 4" xfId="35116"/>
    <cellStyle name="Total 2 2 2 2 3 7" xfId="35117"/>
    <cellStyle name="Total 2 2 2 2 3 7 2" xfId="35118"/>
    <cellStyle name="Total 2 2 2 2 3 7 3" xfId="35119"/>
    <cellStyle name="Total 2 2 2 2 3 7 4" xfId="35120"/>
    <cellStyle name="Total 2 2 2 2 3 8" xfId="35121"/>
    <cellStyle name="Total 2 2 2 2 3 9" xfId="35122"/>
    <cellStyle name="Total 2 2 2 2 4" xfId="35123"/>
    <cellStyle name="Total 2 2 2 2 4 2" xfId="35124"/>
    <cellStyle name="Total 2 2 2 2 4 2 2" xfId="35125"/>
    <cellStyle name="Total 2 2 2 2 4 2 2 2" xfId="35126"/>
    <cellStyle name="Total 2 2 2 2 4 2 2 3" xfId="35127"/>
    <cellStyle name="Total 2 2 2 2 4 2 2 4" xfId="35128"/>
    <cellStyle name="Total 2 2 2 2 4 2 3" xfId="35129"/>
    <cellStyle name="Total 2 2 2 2 4 2 4" xfId="35130"/>
    <cellStyle name="Total 2 2 2 2 4 2 5" xfId="35131"/>
    <cellStyle name="Total 2 2 2 2 4 2 6" xfId="35132"/>
    <cellStyle name="Total 2 2 2 2 4 3" xfId="35133"/>
    <cellStyle name="Total 2 2 2 2 4 3 2" xfId="35134"/>
    <cellStyle name="Total 2 2 2 2 4 3 3" xfId="35135"/>
    <cellStyle name="Total 2 2 2 2 4 3 4" xfId="35136"/>
    <cellStyle name="Total 2 2 2 2 4 4" xfId="35137"/>
    <cellStyle name="Total 2 2 2 2 4 5" xfId="35138"/>
    <cellStyle name="Total 2 2 2 2 4 6" xfId="35139"/>
    <cellStyle name="Total 2 2 2 2 4 7" xfId="35140"/>
    <cellStyle name="Total 2 2 2 2 5" xfId="35141"/>
    <cellStyle name="Total 2 2 2 2 5 2" xfId="35142"/>
    <cellStyle name="Total 2 2 2 2 5 2 2" xfId="35143"/>
    <cellStyle name="Total 2 2 2 2 5 2 3" xfId="35144"/>
    <cellStyle name="Total 2 2 2 2 5 2 4" xfId="35145"/>
    <cellStyle name="Total 2 2 2 2 5 3" xfId="35146"/>
    <cellStyle name="Total 2 2 2 2 5 3 2" xfId="35147"/>
    <cellStyle name="Total 2 2 2 2 5 3 3" xfId="35148"/>
    <cellStyle name="Total 2 2 2 2 5 3 4" xfId="35149"/>
    <cellStyle name="Total 2 2 2 2 5 4" xfId="35150"/>
    <cellStyle name="Total 2 2 2 2 5 5" xfId="35151"/>
    <cellStyle name="Total 2 2 2 2 5 6" xfId="35152"/>
    <cellStyle name="Total 2 2 2 2 5 7" xfId="35153"/>
    <cellStyle name="Total 2 2 2 2 6" xfId="35154"/>
    <cellStyle name="Total 2 2 2 2 6 2" xfId="35155"/>
    <cellStyle name="Total 2 2 2 2 6 2 2" xfId="35156"/>
    <cellStyle name="Total 2 2 2 2 6 2 3" xfId="35157"/>
    <cellStyle name="Total 2 2 2 2 6 2 4" xfId="35158"/>
    <cellStyle name="Total 2 2 2 2 6 3" xfId="35159"/>
    <cellStyle name="Total 2 2 2 2 6 3 2" xfId="35160"/>
    <cellStyle name="Total 2 2 2 2 6 3 3" xfId="35161"/>
    <cellStyle name="Total 2 2 2 2 6 3 4" xfId="35162"/>
    <cellStyle name="Total 2 2 2 2 6 4" xfId="35163"/>
    <cellStyle name="Total 2 2 2 2 6 5" xfId="35164"/>
    <cellStyle name="Total 2 2 2 2 6 6" xfId="35165"/>
    <cellStyle name="Total 2 2 2 2 6 7" xfId="35166"/>
    <cellStyle name="Total 2 2 2 2 7" xfId="35167"/>
    <cellStyle name="Total 2 2 2 2 7 2" xfId="35168"/>
    <cellStyle name="Total 2 2 2 2 7 2 2" xfId="35169"/>
    <cellStyle name="Total 2 2 2 2 7 2 3" xfId="35170"/>
    <cellStyle name="Total 2 2 2 2 7 2 4" xfId="35171"/>
    <cellStyle name="Total 2 2 2 2 7 3" xfId="35172"/>
    <cellStyle name="Total 2 2 2 2 7 3 2" xfId="35173"/>
    <cellStyle name="Total 2 2 2 2 7 3 3" xfId="35174"/>
    <cellStyle name="Total 2 2 2 2 7 3 4" xfId="35175"/>
    <cellStyle name="Total 2 2 2 2 7 4" xfId="35176"/>
    <cellStyle name="Total 2 2 2 2 7 5" xfId="35177"/>
    <cellStyle name="Total 2 2 2 2 7 6" xfId="35178"/>
    <cellStyle name="Total 2 2 2 2 7 7" xfId="35179"/>
    <cellStyle name="Total 2 2 2 2 8" xfId="35180"/>
    <cellStyle name="Total 2 2 2 2 8 2" xfId="35181"/>
    <cellStyle name="Total 2 2 2 2 8 2 2" xfId="35182"/>
    <cellStyle name="Total 2 2 2 2 8 2 3" xfId="35183"/>
    <cellStyle name="Total 2 2 2 2 8 2 4" xfId="35184"/>
    <cellStyle name="Total 2 2 2 2 8 3" xfId="35185"/>
    <cellStyle name="Total 2 2 2 2 8 4" xfId="35186"/>
    <cellStyle name="Total 2 2 2 2 8 5" xfId="35187"/>
    <cellStyle name="Total 2 2 2 2 8 6" xfId="35188"/>
    <cellStyle name="Total 2 2 2 2 9" xfId="35189"/>
    <cellStyle name="Total 2 2 2 2 9 2" xfId="35190"/>
    <cellStyle name="Total 2 2 2 2 9 3" xfId="35191"/>
    <cellStyle name="Total 2 2 2 2 9 4" xfId="35192"/>
    <cellStyle name="Total 2 2 2 2 9 5" xfId="35193"/>
    <cellStyle name="Total 2 2 2 20" xfId="35194"/>
    <cellStyle name="Total 2 2 2 21" xfId="35195"/>
    <cellStyle name="Total 2 2 2 21 2" xfId="35196"/>
    <cellStyle name="Total 2 2 2 22" xfId="35197"/>
    <cellStyle name="Total 2 2 2 23" xfId="35198"/>
    <cellStyle name="Total 2 2 2 3" xfId="35199"/>
    <cellStyle name="Total 2 2 2 3 10" xfId="35200"/>
    <cellStyle name="Total 2 2 2 3 10 2" xfId="35201"/>
    <cellStyle name="Total 2 2 2 3 10 3" xfId="35202"/>
    <cellStyle name="Total 2 2 2 3 10 4" xfId="35203"/>
    <cellStyle name="Total 2 2 2 3 11" xfId="35204"/>
    <cellStyle name="Total 2 2 2 3 11 2" xfId="35205"/>
    <cellStyle name="Total 2 2 2 3 11 3" xfId="35206"/>
    <cellStyle name="Total 2 2 2 3 11 4" xfId="35207"/>
    <cellStyle name="Total 2 2 2 3 12" xfId="35208"/>
    <cellStyle name="Total 2 2 2 3 13" xfId="35209"/>
    <cellStyle name="Total 2 2 2 3 14" xfId="35210"/>
    <cellStyle name="Total 2 2 2 3 15" xfId="35211"/>
    <cellStyle name="Total 2 2 2 3 2" xfId="35212"/>
    <cellStyle name="Total 2 2 2 3 2 10" xfId="35213"/>
    <cellStyle name="Total 2 2 2 3 2 11" xfId="35214"/>
    <cellStyle name="Total 2 2 2 3 2 12" xfId="35215"/>
    <cellStyle name="Total 2 2 2 3 2 2" xfId="35216"/>
    <cellStyle name="Total 2 2 2 3 2 2 10" xfId="35217"/>
    <cellStyle name="Total 2 2 2 3 2 2 11" xfId="35218"/>
    <cellStyle name="Total 2 2 2 3 2 2 2" xfId="35219"/>
    <cellStyle name="Total 2 2 2 3 2 2 2 2" xfId="35220"/>
    <cellStyle name="Total 2 2 2 3 2 2 2 2 2" xfId="35221"/>
    <cellStyle name="Total 2 2 2 3 2 2 2 2 2 2" xfId="35222"/>
    <cellStyle name="Total 2 2 2 3 2 2 2 2 2 3" xfId="35223"/>
    <cellStyle name="Total 2 2 2 3 2 2 2 2 2 4" xfId="35224"/>
    <cellStyle name="Total 2 2 2 3 2 2 2 2 3" xfId="35225"/>
    <cellStyle name="Total 2 2 2 3 2 2 2 2 4" xfId="35226"/>
    <cellStyle name="Total 2 2 2 3 2 2 2 2 5" xfId="35227"/>
    <cellStyle name="Total 2 2 2 3 2 2 2 2 6" xfId="35228"/>
    <cellStyle name="Total 2 2 2 3 2 2 2 3" xfId="35229"/>
    <cellStyle name="Total 2 2 2 3 2 2 2 3 2" xfId="35230"/>
    <cellStyle name="Total 2 2 2 3 2 2 2 3 3" xfId="35231"/>
    <cellStyle name="Total 2 2 2 3 2 2 2 3 4" xfId="35232"/>
    <cellStyle name="Total 2 2 2 3 2 2 2 4" xfId="35233"/>
    <cellStyle name="Total 2 2 2 3 2 2 2 5" xfId="35234"/>
    <cellStyle name="Total 2 2 2 3 2 2 2 6" xfId="35235"/>
    <cellStyle name="Total 2 2 2 3 2 2 2 7" xfId="35236"/>
    <cellStyle name="Total 2 2 2 3 2 2 3" xfId="35237"/>
    <cellStyle name="Total 2 2 2 3 2 2 3 2" xfId="35238"/>
    <cellStyle name="Total 2 2 2 3 2 2 3 2 2" xfId="35239"/>
    <cellStyle name="Total 2 2 2 3 2 2 3 2 3" xfId="35240"/>
    <cellStyle name="Total 2 2 2 3 2 2 3 2 4" xfId="35241"/>
    <cellStyle name="Total 2 2 2 3 2 2 3 3" xfId="35242"/>
    <cellStyle name="Total 2 2 2 3 2 2 3 4" xfId="35243"/>
    <cellStyle name="Total 2 2 2 3 2 2 3 5" xfId="35244"/>
    <cellStyle name="Total 2 2 2 3 2 2 3 6" xfId="35245"/>
    <cellStyle name="Total 2 2 2 3 2 2 4" xfId="35246"/>
    <cellStyle name="Total 2 2 2 3 2 2 4 2" xfId="35247"/>
    <cellStyle name="Total 2 2 2 3 2 2 4 3" xfId="35248"/>
    <cellStyle name="Total 2 2 2 3 2 2 4 4" xfId="35249"/>
    <cellStyle name="Total 2 2 2 3 2 2 4 5" xfId="35250"/>
    <cellStyle name="Total 2 2 2 3 2 2 5" xfId="35251"/>
    <cellStyle name="Total 2 2 2 3 2 2 5 2" xfId="35252"/>
    <cellStyle name="Total 2 2 2 3 2 2 5 3" xfId="35253"/>
    <cellStyle name="Total 2 2 2 3 2 2 5 4" xfId="35254"/>
    <cellStyle name="Total 2 2 2 3 2 2 6" xfId="35255"/>
    <cellStyle name="Total 2 2 2 3 2 2 6 2" xfId="35256"/>
    <cellStyle name="Total 2 2 2 3 2 2 6 3" xfId="35257"/>
    <cellStyle name="Total 2 2 2 3 2 2 6 4" xfId="35258"/>
    <cellStyle name="Total 2 2 2 3 2 2 7" xfId="35259"/>
    <cellStyle name="Total 2 2 2 3 2 2 7 2" xfId="35260"/>
    <cellStyle name="Total 2 2 2 3 2 2 7 3" xfId="35261"/>
    <cellStyle name="Total 2 2 2 3 2 2 7 4" xfId="35262"/>
    <cellStyle name="Total 2 2 2 3 2 2 8" xfId="35263"/>
    <cellStyle name="Total 2 2 2 3 2 2 9" xfId="35264"/>
    <cellStyle name="Total 2 2 2 3 2 3" xfId="35265"/>
    <cellStyle name="Total 2 2 2 3 2 3 2" xfId="35266"/>
    <cellStyle name="Total 2 2 2 3 2 3 2 2" xfId="35267"/>
    <cellStyle name="Total 2 2 2 3 2 3 2 2 2" xfId="35268"/>
    <cellStyle name="Total 2 2 2 3 2 3 2 2 3" xfId="35269"/>
    <cellStyle name="Total 2 2 2 3 2 3 2 2 4" xfId="35270"/>
    <cellStyle name="Total 2 2 2 3 2 3 2 3" xfId="35271"/>
    <cellStyle name="Total 2 2 2 3 2 3 2 4" xfId="35272"/>
    <cellStyle name="Total 2 2 2 3 2 3 2 5" xfId="35273"/>
    <cellStyle name="Total 2 2 2 3 2 3 2 6" xfId="35274"/>
    <cellStyle name="Total 2 2 2 3 2 3 3" xfId="35275"/>
    <cellStyle name="Total 2 2 2 3 2 3 3 2" xfId="35276"/>
    <cellStyle name="Total 2 2 2 3 2 3 3 3" xfId="35277"/>
    <cellStyle name="Total 2 2 2 3 2 3 3 4" xfId="35278"/>
    <cellStyle name="Total 2 2 2 3 2 3 4" xfId="35279"/>
    <cellStyle name="Total 2 2 2 3 2 3 5" xfId="35280"/>
    <cellStyle name="Total 2 2 2 3 2 3 6" xfId="35281"/>
    <cellStyle name="Total 2 2 2 3 2 3 7" xfId="35282"/>
    <cellStyle name="Total 2 2 2 3 2 4" xfId="35283"/>
    <cellStyle name="Total 2 2 2 3 2 4 2" xfId="35284"/>
    <cellStyle name="Total 2 2 2 3 2 4 2 2" xfId="35285"/>
    <cellStyle name="Total 2 2 2 3 2 4 2 3" xfId="35286"/>
    <cellStyle name="Total 2 2 2 3 2 4 2 4" xfId="35287"/>
    <cellStyle name="Total 2 2 2 3 2 4 3" xfId="35288"/>
    <cellStyle name="Total 2 2 2 3 2 4 4" xfId="35289"/>
    <cellStyle name="Total 2 2 2 3 2 4 5" xfId="35290"/>
    <cellStyle name="Total 2 2 2 3 2 4 6" xfId="35291"/>
    <cellStyle name="Total 2 2 2 3 2 5" xfId="35292"/>
    <cellStyle name="Total 2 2 2 3 2 5 2" xfId="35293"/>
    <cellStyle name="Total 2 2 2 3 2 5 3" xfId="35294"/>
    <cellStyle name="Total 2 2 2 3 2 5 4" xfId="35295"/>
    <cellStyle name="Total 2 2 2 3 2 5 5" xfId="35296"/>
    <cellStyle name="Total 2 2 2 3 2 6" xfId="35297"/>
    <cellStyle name="Total 2 2 2 3 2 6 2" xfId="35298"/>
    <cellStyle name="Total 2 2 2 3 2 6 3" xfId="35299"/>
    <cellStyle name="Total 2 2 2 3 2 6 4" xfId="35300"/>
    <cellStyle name="Total 2 2 2 3 2 7" xfId="35301"/>
    <cellStyle name="Total 2 2 2 3 2 7 2" xfId="35302"/>
    <cellStyle name="Total 2 2 2 3 2 7 3" xfId="35303"/>
    <cellStyle name="Total 2 2 2 3 2 7 4" xfId="35304"/>
    <cellStyle name="Total 2 2 2 3 2 8" xfId="35305"/>
    <cellStyle name="Total 2 2 2 3 2 8 2" xfId="35306"/>
    <cellStyle name="Total 2 2 2 3 2 8 3" xfId="35307"/>
    <cellStyle name="Total 2 2 2 3 2 8 4" xfId="35308"/>
    <cellStyle name="Total 2 2 2 3 2 9" xfId="35309"/>
    <cellStyle name="Total 2 2 2 3 3" xfId="35310"/>
    <cellStyle name="Total 2 2 2 3 3 10" xfId="35311"/>
    <cellStyle name="Total 2 2 2 3 3 11" xfId="35312"/>
    <cellStyle name="Total 2 2 2 3 3 2" xfId="35313"/>
    <cellStyle name="Total 2 2 2 3 3 2 2" xfId="35314"/>
    <cellStyle name="Total 2 2 2 3 3 2 2 2" xfId="35315"/>
    <cellStyle name="Total 2 2 2 3 3 2 2 2 2" xfId="35316"/>
    <cellStyle name="Total 2 2 2 3 3 2 2 2 3" xfId="35317"/>
    <cellStyle name="Total 2 2 2 3 3 2 2 2 4" xfId="35318"/>
    <cellStyle name="Total 2 2 2 3 3 2 2 3" xfId="35319"/>
    <cellStyle name="Total 2 2 2 3 3 2 2 4" xfId="35320"/>
    <cellStyle name="Total 2 2 2 3 3 2 2 5" xfId="35321"/>
    <cellStyle name="Total 2 2 2 3 3 2 2 6" xfId="35322"/>
    <cellStyle name="Total 2 2 2 3 3 2 3" xfId="35323"/>
    <cellStyle name="Total 2 2 2 3 3 2 3 2" xfId="35324"/>
    <cellStyle name="Total 2 2 2 3 3 2 3 3" xfId="35325"/>
    <cellStyle name="Total 2 2 2 3 3 2 3 4" xfId="35326"/>
    <cellStyle name="Total 2 2 2 3 3 2 4" xfId="35327"/>
    <cellStyle name="Total 2 2 2 3 3 2 5" xfId="35328"/>
    <cellStyle name="Total 2 2 2 3 3 2 6" xfId="35329"/>
    <cellStyle name="Total 2 2 2 3 3 2 7" xfId="35330"/>
    <cellStyle name="Total 2 2 2 3 3 3" xfId="35331"/>
    <cellStyle name="Total 2 2 2 3 3 3 2" xfId="35332"/>
    <cellStyle name="Total 2 2 2 3 3 3 2 2" xfId="35333"/>
    <cellStyle name="Total 2 2 2 3 3 3 2 3" xfId="35334"/>
    <cellStyle name="Total 2 2 2 3 3 3 2 4" xfId="35335"/>
    <cellStyle name="Total 2 2 2 3 3 3 3" xfId="35336"/>
    <cellStyle name="Total 2 2 2 3 3 3 4" xfId="35337"/>
    <cellStyle name="Total 2 2 2 3 3 3 5" xfId="35338"/>
    <cellStyle name="Total 2 2 2 3 3 3 6" xfId="35339"/>
    <cellStyle name="Total 2 2 2 3 3 4" xfId="35340"/>
    <cellStyle name="Total 2 2 2 3 3 4 2" xfId="35341"/>
    <cellStyle name="Total 2 2 2 3 3 4 3" xfId="35342"/>
    <cellStyle name="Total 2 2 2 3 3 4 4" xfId="35343"/>
    <cellStyle name="Total 2 2 2 3 3 4 5" xfId="35344"/>
    <cellStyle name="Total 2 2 2 3 3 5" xfId="35345"/>
    <cellStyle name="Total 2 2 2 3 3 5 2" xfId="35346"/>
    <cellStyle name="Total 2 2 2 3 3 5 3" xfId="35347"/>
    <cellStyle name="Total 2 2 2 3 3 5 4" xfId="35348"/>
    <cellStyle name="Total 2 2 2 3 3 6" xfId="35349"/>
    <cellStyle name="Total 2 2 2 3 3 6 2" xfId="35350"/>
    <cellStyle name="Total 2 2 2 3 3 6 3" xfId="35351"/>
    <cellStyle name="Total 2 2 2 3 3 6 4" xfId="35352"/>
    <cellStyle name="Total 2 2 2 3 3 7" xfId="35353"/>
    <cellStyle name="Total 2 2 2 3 3 7 2" xfId="35354"/>
    <cellStyle name="Total 2 2 2 3 3 7 3" xfId="35355"/>
    <cellStyle name="Total 2 2 2 3 3 7 4" xfId="35356"/>
    <cellStyle name="Total 2 2 2 3 3 8" xfId="35357"/>
    <cellStyle name="Total 2 2 2 3 3 9" xfId="35358"/>
    <cellStyle name="Total 2 2 2 3 4" xfId="35359"/>
    <cellStyle name="Total 2 2 2 3 4 2" xfId="35360"/>
    <cellStyle name="Total 2 2 2 3 4 2 2" xfId="35361"/>
    <cellStyle name="Total 2 2 2 3 4 2 2 2" xfId="35362"/>
    <cellStyle name="Total 2 2 2 3 4 2 2 3" xfId="35363"/>
    <cellStyle name="Total 2 2 2 3 4 2 2 4" xfId="35364"/>
    <cellStyle name="Total 2 2 2 3 4 2 3" xfId="35365"/>
    <cellStyle name="Total 2 2 2 3 4 2 4" xfId="35366"/>
    <cellStyle name="Total 2 2 2 3 4 2 5" xfId="35367"/>
    <cellStyle name="Total 2 2 2 3 4 2 6" xfId="35368"/>
    <cellStyle name="Total 2 2 2 3 4 3" xfId="35369"/>
    <cellStyle name="Total 2 2 2 3 4 3 2" xfId="35370"/>
    <cellStyle name="Total 2 2 2 3 4 3 3" xfId="35371"/>
    <cellStyle name="Total 2 2 2 3 4 3 4" xfId="35372"/>
    <cellStyle name="Total 2 2 2 3 4 4" xfId="35373"/>
    <cellStyle name="Total 2 2 2 3 4 5" xfId="35374"/>
    <cellStyle name="Total 2 2 2 3 4 6" xfId="35375"/>
    <cellStyle name="Total 2 2 2 3 4 7" xfId="35376"/>
    <cellStyle name="Total 2 2 2 3 5" xfId="35377"/>
    <cellStyle name="Total 2 2 2 3 5 2" xfId="35378"/>
    <cellStyle name="Total 2 2 2 3 5 2 2" xfId="35379"/>
    <cellStyle name="Total 2 2 2 3 5 2 3" xfId="35380"/>
    <cellStyle name="Total 2 2 2 3 5 2 4" xfId="35381"/>
    <cellStyle name="Total 2 2 2 3 5 3" xfId="35382"/>
    <cellStyle name="Total 2 2 2 3 5 3 2" xfId="35383"/>
    <cellStyle name="Total 2 2 2 3 5 3 3" xfId="35384"/>
    <cellStyle name="Total 2 2 2 3 5 3 4" xfId="35385"/>
    <cellStyle name="Total 2 2 2 3 5 4" xfId="35386"/>
    <cellStyle name="Total 2 2 2 3 5 5" xfId="35387"/>
    <cellStyle name="Total 2 2 2 3 5 6" xfId="35388"/>
    <cellStyle name="Total 2 2 2 3 5 7" xfId="35389"/>
    <cellStyle name="Total 2 2 2 3 6" xfId="35390"/>
    <cellStyle name="Total 2 2 2 3 6 2" xfId="35391"/>
    <cellStyle name="Total 2 2 2 3 6 2 2" xfId="35392"/>
    <cellStyle name="Total 2 2 2 3 6 2 3" xfId="35393"/>
    <cellStyle name="Total 2 2 2 3 6 2 4" xfId="35394"/>
    <cellStyle name="Total 2 2 2 3 6 3" xfId="35395"/>
    <cellStyle name="Total 2 2 2 3 6 3 2" xfId="35396"/>
    <cellStyle name="Total 2 2 2 3 6 3 3" xfId="35397"/>
    <cellStyle name="Total 2 2 2 3 6 3 4" xfId="35398"/>
    <cellStyle name="Total 2 2 2 3 6 4" xfId="35399"/>
    <cellStyle name="Total 2 2 2 3 6 5" xfId="35400"/>
    <cellStyle name="Total 2 2 2 3 6 6" xfId="35401"/>
    <cellStyle name="Total 2 2 2 3 6 7" xfId="35402"/>
    <cellStyle name="Total 2 2 2 3 7" xfId="35403"/>
    <cellStyle name="Total 2 2 2 3 7 2" xfId="35404"/>
    <cellStyle name="Total 2 2 2 3 7 2 2" xfId="35405"/>
    <cellStyle name="Total 2 2 2 3 7 2 3" xfId="35406"/>
    <cellStyle name="Total 2 2 2 3 7 2 4" xfId="35407"/>
    <cellStyle name="Total 2 2 2 3 7 3" xfId="35408"/>
    <cellStyle name="Total 2 2 2 3 7 3 2" xfId="35409"/>
    <cellStyle name="Total 2 2 2 3 7 3 3" xfId="35410"/>
    <cellStyle name="Total 2 2 2 3 7 3 4" xfId="35411"/>
    <cellStyle name="Total 2 2 2 3 7 4" xfId="35412"/>
    <cellStyle name="Total 2 2 2 3 7 5" xfId="35413"/>
    <cellStyle name="Total 2 2 2 3 7 6" xfId="35414"/>
    <cellStyle name="Total 2 2 2 3 7 7" xfId="35415"/>
    <cellStyle name="Total 2 2 2 3 8" xfId="35416"/>
    <cellStyle name="Total 2 2 2 3 8 2" xfId="35417"/>
    <cellStyle name="Total 2 2 2 3 8 2 2" xfId="35418"/>
    <cellStyle name="Total 2 2 2 3 8 2 3" xfId="35419"/>
    <cellStyle name="Total 2 2 2 3 8 2 4" xfId="35420"/>
    <cellStyle name="Total 2 2 2 3 8 3" xfId="35421"/>
    <cellStyle name="Total 2 2 2 3 8 4" xfId="35422"/>
    <cellStyle name="Total 2 2 2 3 8 5" xfId="35423"/>
    <cellStyle name="Total 2 2 2 3 8 6" xfId="35424"/>
    <cellStyle name="Total 2 2 2 3 9" xfId="35425"/>
    <cellStyle name="Total 2 2 2 3 9 2" xfId="35426"/>
    <cellStyle name="Total 2 2 2 3 9 3" xfId="35427"/>
    <cellStyle name="Total 2 2 2 3 9 4" xfId="35428"/>
    <cellStyle name="Total 2 2 2 3 9 5" xfId="35429"/>
    <cellStyle name="Total 2 2 2 4" xfId="35430"/>
    <cellStyle name="Total 2 2 2 4 10" xfId="35431"/>
    <cellStyle name="Total 2 2 2 4 10 2" xfId="35432"/>
    <cellStyle name="Total 2 2 2 4 10 3" xfId="35433"/>
    <cellStyle name="Total 2 2 2 4 10 4" xfId="35434"/>
    <cellStyle name="Total 2 2 2 4 11" xfId="35435"/>
    <cellStyle name="Total 2 2 2 4 11 2" xfId="35436"/>
    <cellStyle name="Total 2 2 2 4 11 3" xfId="35437"/>
    <cellStyle name="Total 2 2 2 4 11 4" xfId="35438"/>
    <cellStyle name="Total 2 2 2 4 12" xfId="35439"/>
    <cellStyle name="Total 2 2 2 4 12 2" xfId="35440"/>
    <cellStyle name="Total 2 2 2 4 12 3" xfId="35441"/>
    <cellStyle name="Total 2 2 2 4 12 4" xfId="35442"/>
    <cellStyle name="Total 2 2 2 4 13" xfId="35443"/>
    <cellStyle name="Total 2 2 2 4 14" xfId="35444"/>
    <cellStyle name="Total 2 2 2 4 15" xfId="35445"/>
    <cellStyle name="Total 2 2 2 4 16" xfId="35446"/>
    <cellStyle name="Total 2 2 2 4 2" xfId="35447"/>
    <cellStyle name="Total 2 2 2 4 2 10" xfId="35448"/>
    <cellStyle name="Total 2 2 2 4 2 11" xfId="35449"/>
    <cellStyle name="Total 2 2 2 4 2 12" xfId="35450"/>
    <cellStyle name="Total 2 2 2 4 2 2" xfId="35451"/>
    <cellStyle name="Total 2 2 2 4 2 2 10" xfId="35452"/>
    <cellStyle name="Total 2 2 2 4 2 2 11" xfId="35453"/>
    <cellStyle name="Total 2 2 2 4 2 2 2" xfId="35454"/>
    <cellStyle name="Total 2 2 2 4 2 2 2 2" xfId="35455"/>
    <cellStyle name="Total 2 2 2 4 2 2 2 2 2" xfId="35456"/>
    <cellStyle name="Total 2 2 2 4 2 2 2 2 2 2" xfId="35457"/>
    <cellStyle name="Total 2 2 2 4 2 2 2 2 2 3" xfId="35458"/>
    <cellStyle name="Total 2 2 2 4 2 2 2 2 2 4" xfId="35459"/>
    <cellStyle name="Total 2 2 2 4 2 2 2 2 3" xfId="35460"/>
    <cellStyle name="Total 2 2 2 4 2 2 2 2 4" xfId="35461"/>
    <cellStyle name="Total 2 2 2 4 2 2 2 2 5" xfId="35462"/>
    <cellStyle name="Total 2 2 2 4 2 2 2 2 6" xfId="35463"/>
    <cellStyle name="Total 2 2 2 4 2 2 2 3" xfId="35464"/>
    <cellStyle name="Total 2 2 2 4 2 2 2 3 2" xfId="35465"/>
    <cellStyle name="Total 2 2 2 4 2 2 2 3 3" xfId="35466"/>
    <cellStyle name="Total 2 2 2 4 2 2 2 3 4" xfId="35467"/>
    <cellStyle name="Total 2 2 2 4 2 2 2 4" xfId="35468"/>
    <cellStyle name="Total 2 2 2 4 2 2 2 5" xfId="35469"/>
    <cellStyle name="Total 2 2 2 4 2 2 2 6" xfId="35470"/>
    <cellStyle name="Total 2 2 2 4 2 2 2 7" xfId="35471"/>
    <cellStyle name="Total 2 2 2 4 2 2 3" xfId="35472"/>
    <cellStyle name="Total 2 2 2 4 2 2 3 2" xfId="35473"/>
    <cellStyle name="Total 2 2 2 4 2 2 3 2 2" xfId="35474"/>
    <cellStyle name="Total 2 2 2 4 2 2 3 2 3" xfId="35475"/>
    <cellStyle name="Total 2 2 2 4 2 2 3 2 4" xfId="35476"/>
    <cellStyle name="Total 2 2 2 4 2 2 3 3" xfId="35477"/>
    <cellStyle name="Total 2 2 2 4 2 2 3 4" xfId="35478"/>
    <cellStyle name="Total 2 2 2 4 2 2 3 5" xfId="35479"/>
    <cellStyle name="Total 2 2 2 4 2 2 3 6" xfId="35480"/>
    <cellStyle name="Total 2 2 2 4 2 2 4" xfId="35481"/>
    <cellStyle name="Total 2 2 2 4 2 2 4 2" xfId="35482"/>
    <cellStyle name="Total 2 2 2 4 2 2 4 3" xfId="35483"/>
    <cellStyle name="Total 2 2 2 4 2 2 4 4" xfId="35484"/>
    <cellStyle name="Total 2 2 2 4 2 2 4 5" xfId="35485"/>
    <cellStyle name="Total 2 2 2 4 2 2 5" xfId="35486"/>
    <cellStyle name="Total 2 2 2 4 2 2 5 2" xfId="35487"/>
    <cellStyle name="Total 2 2 2 4 2 2 5 3" xfId="35488"/>
    <cellStyle name="Total 2 2 2 4 2 2 5 4" xfId="35489"/>
    <cellStyle name="Total 2 2 2 4 2 2 6" xfId="35490"/>
    <cellStyle name="Total 2 2 2 4 2 2 6 2" xfId="35491"/>
    <cellStyle name="Total 2 2 2 4 2 2 6 3" xfId="35492"/>
    <cellStyle name="Total 2 2 2 4 2 2 6 4" xfId="35493"/>
    <cellStyle name="Total 2 2 2 4 2 2 7" xfId="35494"/>
    <cellStyle name="Total 2 2 2 4 2 2 7 2" xfId="35495"/>
    <cellStyle name="Total 2 2 2 4 2 2 7 3" xfId="35496"/>
    <cellStyle name="Total 2 2 2 4 2 2 7 4" xfId="35497"/>
    <cellStyle name="Total 2 2 2 4 2 2 8" xfId="35498"/>
    <cellStyle name="Total 2 2 2 4 2 2 9" xfId="35499"/>
    <cellStyle name="Total 2 2 2 4 2 3" xfId="35500"/>
    <cellStyle name="Total 2 2 2 4 2 3 2" xfId="35501"/>
    <cellStyle name="Total 2 2 2 4 2 3 2 2" xfId="35502"/>
    <cellStyle name="Total 2 2 2 4 2 3 2 2 2" xfId="35503"/>
    <cellStyle name="Total 2 2 2 4 2 3 2 2 3" xfId="35504"/>
    <cellStyle name="Total 2 2 2 4 2 3 2 2 4" xfId="35505"/>
    <cellStyle name="Total 2 2 2 4 2 3 2 3" xfId="35506"/>
    <cellStyle name="Total 2 2 2 4 2 3 2 4" xfId="35507"/>
    <cellStyle name="Total 2 2 2 4 2 3 2 5" xfId="35508"/>
    <cellStyle name="Total 2 2 2 4 2 3 2 6" xfId="35509"/>
    <cellStyle name="Total 2 2 2 4 2 3 3" xfId="35510"/>
    <cellStyle name="Total 2 2 2 4 2 3 3 2" xfId="35511"/>
    <cellStyle name="Total 2 2 2 4 2 3 3 3" xfId="35512"/>
    <cellStyle name="Total 2 2 2 4 2 3 3 4" xfId="35513"/>
    <cellStyle name="Total 2 2 2 4 2 3 4" xfId="35514"/>
    <cellStyle name="Total 2 2 2 4 2 3 5" xfId="35515"/>
    <cellStyle name="Total 2 2 2 4 2 3 6" xfId="35516"/>
    <cellStyle name="Total 2 2 2 4 2 3 7" xfId="35517"/>
    <cellStyle name="Total 2 2 2 4 2 4" xfId="35518"/>
    <cellStyle name="Total 2 2 2 4 2 4 2" xfId="35519"/>
    <cellStyle name="Total 2 2 2 4 2 4 2 2" xfId="35520"/>
    <cellStyle name="Total 2 2 2 4 2 4 2 3" xfId="35521"/>
    <cellStyle name="Total 2 2 2 4 2 4 2 4" xfId="35522"/>
    <cellStyle name="Total 2 2 2 4 2 4 3" xfId="35523"/>
    <cellStyle name="Total 2 2 2 4 2 4 4" xfId="35524"/>
    <cellStyle name="Total 2 2 2 4 2 4 5" xfId="35525"/>
    <cellStyle name="Total 2 2 2 4 2 4 6" xfId="35526"/>
    <cellStyle name="Total 2 2 2 4 2 5" xfId="35527"/>
    <cellStyle name="Total 2 2 2 4 2 5 2" xfId="35528"/>
    <cellStyle name="Total 2 2 2 4 2 5 3" xfId="35529"/>
    <cellStyle name="Total 2 2 2 4 2 5 4" xfId="35530"/>
    <cellStyle name="Total 2 2 2 4 2 5 5" xfId="35531"/>
    <cellStyle name="Total 2 2 2 4 2 6" xfId="35532"/>
    <cellStyle name="Total 2 2 2 4 2 6 2" xfId="35533"/>
    <cellStyle name="Total 2 2 2 4 2 6 3" xfId="35534"/>
    <cellStyle name="Total 2 2 2 4 2 6 4" xfId="35535"/>
    <cellStyle name="Total 2 2 2 4 2 7" xfId="35536"/>
    <cellStyle name="Total 2 2 2 4 2 7 2" xfId="35537"/>
    <cellStyle name="Total 2 2 2 4 2 7 3" xfId="35538"/>
    <cellStyle name="Total 2 2 2 4 2 7 4" xfId="35539"/>
    <cellStyle name="Total 2 2 2 4 2 8" xfId="35540"/>
    <cellStyle name="Total 2 2 2 4 2 8 2" xfId="35541"/>
    <cellStyle name="Total 2 2 2 4 2 8 3" xfId="35542"/>
    <cellStyle name="Total 2 2 2 4 2 8 4" xfId="35543"/>
    <cellStyle name="Total 2 2 2 4 2 9" xfId="35544"/>
    <cellStyle name="Total 2 2 2 4 3" xfId="35545"/>
    <cellStyle name="Total 2 2 2 4 3 10" xfId="35546"/>
    <cellStyle name="Total 2 2 2 4 3 11" xfId="35547"/>
    <cellStyle name="Total 2 2 2 4 3 2" xfId="35548"/>
    <cellStyle name="Total 2 2 2 4 3 2 2" xfId="35549"/>
    <cellStyle name="Total 2 2 2 4 3 2 2 2" xfId="35550"/>
    <cellStyle name="Total 2 2 2 4 3 2 2 2 2" xfId="35551"/>
    <cellStyle name="Total 2 2 2 4 3 2 2 2 3" xfId="35552"/>
    <cellStyle name="Total 2 2 2 4 3 2 2 2 4" xfId="35553"/>
    <cellStyle name="Total 2 2 2 4 3 2 2 3" xfId="35554"/>
    <cellStyle name="Total 2 2 2 4 3 2 2 4" xfId="35555"/>
    <cellStyle name="Total 2 2 2 4 3 2 2 5" xfId="35556"/>
    <cellStyle name="Total 2 2 2 4 3 2 2 6" xfId="35557"/>
    <cellStyle name="Total 2 2 2 4 3 2 3" xfId="35558"/>
    <cellStyle name="Total 2 2 2 4 3 2 3 2" xfId="35559"/>
    <cellStyle name="Total 2 2 2 4 3 2 3 3" xfId="35560"/>
    <cellStyle name="Total 2 2 2 4 3 2 3 4" xfId="35561"/>
    <cellStyle name="Total 2 2 2 4 3 2 4" xfId="35562"/>
    <cellStyle name="Total 2 2 2 4 3 2 5" xfId="35563"/>
    <cellStyle name="Total 2 2 2 4 3 2 6" xfId="35564"/>
    <cellStyle name="Total 2 2 2 4 3 2 7" xfId="35565"/>
    <cellStyle name="Total 2 2 2 4 3 3" xfId="35566"/>
    <cellStyle name="Total 2 2 2 4 3 3 2" xfId="35567"/>
    <cellStyle name="Total 2 2 2 4 3 3 2 2" xfId="35568"/>
    <cellStyle name="Total 2 2 2 4 3 3 2 3" xfId="35569"/>
    <cellStyle name="Total 2 2 2 4 3 3 2 4" xfId="35570"/>
    <cellStyle name="Total 2 2 2 4 3 3 3" xfId="35571"/>
    <cellStyle name="Total 2 2 2 4 3 3 4" xfId="35572"/>
    <cellStyle name="Total 2 2 2 4 3 3 5" xfId="35573"/>
    <cellStyle name="Total 2 2 2 4 3 3 6" xfId="35574"/>
    <cellStyle name="Total 2 2 2 4 3 4" xfId="35575"/>
    <cellStyle name="Total 2 2 2 4 3 4 2" xfId="35576"/>
    <cellStyle name="Total 2 2 2 4 3 4 3" xfId="35577"/>
    <cellStyle name="Total 2 2 2 4 3 4 4" xfId="35578"/>
    <cellStyle name="Total 2 2 2 4 3 4 5" xfId="35579"/>
    <cellStyle name="Total 2 2 2 4 3 5" xfId="35580"/>
    <cellStyle name="Total 2 2 2 4 3 5 2" xfId="35581"/>
    <cellStyle name="Total 2 2 2 4 3 5 3" xfId="35582"/>
    <cellStyle name="Total 2 2 2 4 3 5 4" xfId="35583"/>
    <cellStyle name="Total 2 2 2 4 3 6" xfId="35584"/>
    <cellStyle name="Total 2 2 2 4 3 6 2" xfId="35585"/>
    <cellStyle name="Total 2 2 2 4 3 6 3" xfId="35586"/>
    <cellStyle name="Total 2 2 2 4 3 6 4" xfId="35587"/>
    <cellStyle name="Total 2 2 2 4 3 7" xfId="35588"/>
    <cellStyle name="Total 2 2 2 4 3 7 2" xfId="35589"/>
    <cellStyle name="Total 2 2 2 4 3 7 3" xfId="35590"/>
    <cellStyle name="Total 2 2 2 4 3 7 4" xfId="35591"/>
    <cellStyle name="Total 2 2 2 4 3 8" xfId="35592"/>
    <cellStyle name="Total 2 2 2 4 3 9" xfId="35593"/>
    <cellStyle name="Total 2 2 2 4 4" xfId="35594"/>
    <cellStyle name="Total 2 2 2 4 4 2" xfId="35595"/>
    <cellStyle name="Total 2 2 2 4 4 2 2" xfId="35596"/>
    <cellStyle name="Total 2 2 2 4 4 2 2 2" xfId="35597"/>
    <cellStyle name="Total 2 2 2 4 4 2 2 3" xfId="35598"/>
    <cellStyle name="Total 2 2 2 4 4 2 2 4" xfId="35599"/>
    <cellStyle name="Total 2 2 2 4 4 2 3" xfId="35600"/>
    <cellStyle name="Total 2 2 2 4 4 2 4" xfId="35601"/>
    <cellStyle name="Total 2 2 2 4 4 2 5" xfId="35602"/>
    <cellStyle name="Total 2 2 2 4 4 2 6" xfId="35603"/>
    <cellStyle name="Total 2 2 2 4 4 3" xfId="35604"/>
    <cellStyle name="Total 2 2 2 4 4 3 2" xfId="35605"/>
    <cellStyle name="Total 2 2 2 4 4 3 3" xfId="35606"/>
    <cellStyle name="Total 2 2 2 4 4 3 4" xfId="35607"/>
    <cellStyle name="Total 2 2 2 4 4 4" xfId="35608"/>
    <cellStyle name="Total 2 2 2 4 4 5" xfId="35609"/>
    <cellStyle name="Total 2 2 2 4 4 6" xfId="35610"/>
    <cellStyle name="Total 2 2 2 4 4 7" xfId="35611"/>
    <cellStyle name="Total 2 2 2 4 5" xfId="35612"/>
    <cellStyle name="Total 2 2 2 4 5 2" xfId="35613"/>
    <cellStyle name="Total 2 2 2 4 5 2 2" xfId="35614"/>
    <cellStyle name="Total 2 2 2 4 5 2 3" xfId="35615"/>
    <cellStyle name="Total 2 2 2 4 5 2 4" xfId="35616"/>
    <cellStyle name="Total 2 2 2 4 5 3" xfId="35617"/>
    <cellStyle name="Total 2 2 2 4 5 3 2" xfId="35618"/>
    <cellStyle name="Total 2 2 2 4 5 3 3" xfId="35619"/>
    <cellStyle name="Total 2 2 2 4 5 3 4" xfId="35620"/>
    <cellStyle name="Total 2 2 2 4 5 4" xfId="35621"/>
    <cellStyle name="Total 2 2 2 4 5 5" xfId="35622"/>
    <cellStyle name="Total 2 2 2 4 5 6" xfId="35623"/>
    <cellStyle name="Total 2 2 2 4 5 7" xfId="35624"/>
    <cellStyle name="Total 2 2 2 4 6" xfId="35625"/>
    <cellStyle name="Total 2 2 2 4 6 2" xfId="35626"/>
    <cellStyle name="Total 2 2 2 4 6 2 2" xfId="35627"/>
    <cellStyle name="Total 2 2 2 4 6 2 3" xfId="35628"/>
    <cellStyle name="Total 2 2 2 4 6 2 4" xfId="35629"/>
    <cellStyle name="Total 2 2 2 4 6 3" xfId="35630"/>
    <cellStyle name="Total 2 2 2 4 6 3 2" xfId="35631"/>
    <cellStyle name="Total 2 2 2 4 6 3 3" xfId="35632"/>
    <cellStyle name="Total 2 2 2 4 6 3 4" xfId="35633"/>
    <cellStyle name="Total 2 2 2 4 6 4" xfId="35634"/>
    <cellStyle name="Total 2 2 2 4 6 5" xfId="35635"/>
    <cellStyle name="Total 2 2 2 4 6 6" xfId="35636"/>
    <cellStyle name="Total 2 2 2 4 6 7" xfId="35637"/>
    <cellStyle name="Total 2 2 2 4 7" xfId="35638"/>
    <cellStyle name="Total 2 2 2 4 7 2" xfId="35639"/>
    <cellStyle name="Total 2 2 2 4 7 2 2" xfId="35640"/>
    <cellStyle name="Total 2 2 2 4 7 2 3" xfId="35641"/>
    <cellStyle name="Total 2 2 2 4 7 2 4" xfId="35642"/>
    <cellStyle name="Total 2 2 2 4 7 3" xfId="35643"/>
    <cellStyle name="Total 2 2 2 4 7 3 2" xfId="35644"/>
    <cellStyle name="Total 2 2 2 4 7 3 3" xfId="35645"/>
    <cellStyle name="Total 2 2 2 4 7 3 4" xfId="35646"/>
    <cellStyle name="Total 2 2 2 4 7 4" xfId="35647"/>
    <cellStyle name="Total 2 2 2 4 7 5" xfId="35648"/>
    <cellStyle name="Total 2 2 2 4 7 6" xfId="35649"/>
    <cellStyle name="Total 2 2 2 4 7 7" xfId="35650"/>
    <cellStyle name="Total 2 2 2 4 8" xfId="35651"/>
    <cellStyle name="Total 2 2 2 4 8 2" xfId="35652"/>
    <cellStyle name="Total 2 2 2 4 8 2 2" xfId="35653"/>
    <cellStyle name="Total 2 2 2 4 8 2 3" xfId="35654"/>
    <cellStyle name="Total 2 2 2 4 8 2 4" xfId="35655"/>
    <cellStyle name="Total 2 2 2 4 8 3" xfId="35656"/>
    <cellStyle name="Total 2 2 2 4 8 4" xfId="35657"/>
    <cellStyle name="Total 2 2 2 4 8 5" xfId="35658"/>
    <cellStyle name="Total 2 2 2 4 8 6" xfId="35659"/>
    <cellStyle name="Total 2 2 2 4 9" xfId="35660"/>
    <cellStyle name="Total 2 2 2 4 9 2" xfId="35661"/>
    <cellStyle name="Total 2 2 2 4 9 3" xfId="35662"/>
    <cellStyle name="Total 2 2 2 4 9 4" xfId="35663"/>
    <cellStyle name="Total 2 2 2 4 9 5" xfId="35664"/>
    <cellStyle name="Total 2 2 2 5" xfId="35665"/>
    <cellStyle name="Total 2 2 2 5 10" xfId="35666"/>
    <cellStyle name="Total 2 2 2 5 11" xfId="35667"/>
    <cellStyle name="Total 2 2 2 5 12" xfId="35668"/>
    <cellStyle name="Total 2 2 2 5 13" xfId="35669"/>
    <cellStyle name="Total 2 2 2 5 2" xfId="35670"/>
    <cellStyle name="Total 2 2 2 5 2 10" xfId="35671"/>
    <cellStyle name="Total 2 2 2 5 2 11" xfId="35672"/>
    <cellStyle name="Total 2 2 2 5 2 12" xfId="35673"/>
    <cellStyle name="Total 2 2 2 5 2 2" xfId="35674"/>
    <cellStyle name="Total 2 2 2 5 2 2 10" xfId="35675"/>
    <cellStyle name="Total 2 2 2 5 2 2 11" xfId="35676"/>
    <cellStyle name="Total 2 2 2 5 2 2 2" xfId="35677"/>
    <cellStyle name="Total 2 2 2 5 2 2 2 2" xfId="35678"/>
    <cellStyle name="Total 2 2 2 5 2 2 2 2 2" xfId="35679"/>
    <cellStyle name="Total 2 2 2 5 2 2 2 2 2 2" xfId="35680"/>
    <cellStyle name="Total 2 2 2 5 2 2 2 2 2 3" xfId="35681"/>
    <cellStyle name="Total 2 2 2 5 2 2 2 2 2 4" xfId="35682"/>
    <cellStyle name="Total 2 2 2 5 2 2 2 2 3" xfId="35683"/>
    <cellStyle name="Total 2 2 2 5 2 2 2 2 4" xfId="35684"/>
    <cellStyle name="Total 2 2 2 5 2 2 2 2 5" xfId="35685"/>
    <cellStyle name="Total 2 2 2 5 2 2 2 2 6" xfId="35686"/>
    <cellStyle name="Total 2 2 2 5 2 2 2 3" xfId="35687"/>
    <cellStyle name="Total 2 2 2 5 2 2 2 3 2" xfId="35688"/>
    <cellStyle name="Total 2 2 2 5 2 2 2 3 3" xfId="35689"/>
    <cellStyle name="Total 2 2 2 5 2 2 2 3 4" xfId="35690"/>
    <cellStyle name="Total 2 2 2 5 2 2 2 4" xfId="35691"/>
    <cellStyle name="Total 2 2 2 5 2 2 2 5" xfId="35692"/>
    <cellStyle name="Total 2 2 2 5 2 2 2 6" xfId="35693"/>
    <cellStyle name="Total 2 2 2 5 2 2 2 7" xfId="35694"/>
    <cellStyle name="Total 2 2 2 5 2 2 3" xfId="35695"/>
    <cellStyle name="Total 2 2 2 5 2 2 3 2" xfId="35696"/>
    <cellStyle name="Total 2 2 2 5 2 2 3 2 2" xfId="35697"/>
    <cellStyle name="Total 2 2 2 5 2 2 3 2 3" xfId="35698"/>
    <cellStyle name="Total 2 2 2 5 2 2 3 2 4" xfId="35699"/>
    <cellStyle name="Total 2 2 2 5 2 2 3 3" xfId="35700"/>
    <cellStyle name="Total 2 2 2 5 2 2 3 4" xfId="35701"/>
    <cellStyle name="Total 2 2 2 5 2 2 3 5" xfId="35702"/>
    <cellStyle name="Total 2 2 2 5 2 2 3 6" xfId="35703"/>
    <cellStyle name="Total 2 2 2 5 2 2 4" xfId="35704"/>
    <cellStyle name="Total 2 2 2 5 2 2 4 2" xfId="35705"/>
    <cellStyle name="Total 2 2 2 5 2 2 4 3" xfId="35706"/>
    <cellStyle name="Total 2 2 2 5 2 2 4 4" xfId="35707"/>
    <cellStyle name="Total 2 2 2 5 2 2 4 5" xfId="35708"/>
    <cellStyle name="Total 2 2 2 5 2 2 5" xfId="35709"/>
    <cellStyle name="Total 2 2 2 5 2 2 5 2" xfId="35710"/>
    <cellStyle name="Total 2 2 2 5 2 2 5 3" xfId="35711"/>
    <cellStyle name="Total 2 2 2 5 2 2 5 4" xfId="35712"/>
    <cellStyle name="Total 2 2 2 5 2 2 6" xfId="35713"/>
    <cellStyle name="Total 2 2 2 5 2 2 6 2" xfId="35714"/>
    <cellStyle name="Total 2 2 2 5 2 2 6 3" xfId="35715"/>
    <cellStyle name="Total 2 2 2 5 2 2 6 4" xfId="35716"/>
    <cellStyle name="Total 2 2 2 5 2 2 7" xfId="35717"/>
    <cellStyle name="Total 2 2 2 5 2 2 7 2" xfId="35718"/>
    <cellStyle name="Total 2 2 2 5 2 2 7 3" xfId="35719"/>
    <cellStyle name="Total 2 2 2 5 2 2 7 4" xfId="35720"/>
    <cellStyle name="Total 2 2 2 5 2 2 8" xfId="35721"/>
    <cellStyle name="Total 2 2 2 5 2 2 9" xfId="35722"/>
    <cellStyle name="Total 2 2 2 5 2 3" xfId="35723"/>
    <cellStyle name="Total 2 2 2 5 2 3 2" xfId="35724"/>
    <cellStyle name="Total 2 2 2 5 2 3 2 2" xfId="35725"/>
    <cellStyle name="Total 2 2 2 5 2 3 2 2 2" xfId="35726"/>
    <cellStyle name="Total 2 2 2 5 2 3 2 2 3" xfId="35727"/>
    <cellStyle name="Total 2 2 2 5 2 3 2 2 4" xfId="35728"/>
    <cellStyle name="Total 2 2 2 5 2 3 2 3" xfId="35729"/>
    <cellStyle name="Total 2 2 2 5 2 3 2 4" xfId="35730"/>
    <cellStyle name="Total 2 2 2 5 2 3 2 5" xfId="35731"/>
    <cellStyle name="Total 2 2 2 5 2 3 2 6" xfId="35732"/>
    <cellStyle name="Total 2 2 2 5 2 3 3" xfId="35733"/>
    <cellStyle name="Total 2 2 2 5 2 3 3 2" xfId="35734"/>
    <cellStyle name="Total 2 2 2 5 2 3 3 3" xfId="35735"/>
    <cellStyle name="Total 2 2 2 5 2 3 3 4" xfId="35736"/>
    <cellStyle name="Total 2 2 2 5 2 3 4" xfId="35737"/>
    <cellStyle name="Total 2 2 2 5 2 3 5" xfId="35738"/>
    <cellStyle name="Total 2 2 2 5 2 3 6" xfId="35739"/>
    <cellStyle name="Total 2 2 2 5 2 3 7" xfId="35740"/>
    <cellStyle name="Total 2 2 2 5 2 4" xfId="35741"/>
    <cellStyle name="Total 2 2 2 5 2 4 2" xfId="35742"/>
    <cellStyle name="Total 2 2 2 5 2 4 2 2" xfId="35743"/>
    <cellStyle name="Total 2 2 2 5 2 4 2 3" xfId="35744"/>
    <cellStyle name="Total 2 2 2 5 2 4 2 4" xfId="35745"/>
    <cellStyle name="Total 2 2 2 5 2 4 3" xfId="35746"/>
    <cellStyle name="Total 2 2 2 5 2 4 4" xfId="35747"/>
    <cellStyle name="Total 2 2 2 5 2 4 5" xfId="35748"/>
    <cellStyle name="Total 2 2 2 5 2 4 6" xfId="35749"/>
    <cellStyle name="Total 2 2 2 5 2 5" xfId="35750"/>
    <cellStyle name="Total 2 2 2 5 2 5 2" xfId="35751"/>
    <cellStyle name="Total 2 2 2 5 2 5 3" xfId="35752"/>
    <cellStyle name="Total 2 2 2 5 2 5 4" xfId="35753"/>
    <cellStyle name="Total 2 2 2 5 2 5 5" xfId="35754"/>
    <cellStyle name="Total 2 2 2 5 2 6" xfId="35755"/>
    <cellStyle name="Total 2 2 2 5 2 6 2" xfId="35756"/>
    <cellStyle name="Total 2 2 2 5 2 6 3" xfId="35757"/>
    <cellStyle name="Total 2 2 2 5 2 6 4" xfId="35758"/>
    <cellStyle name="Total 2 2 2 5 2 7" xfId="35759"/>
    <cellStyle name="Total 2 2 2 5 2 7 2" xfId="35760"/>
    <cellStyle name="Total 2 2 2 5 2 7 3" xfId="35761"/>
    <cellStyle name="Total 2 2 2 5 2 7 4" xfId="35762"/>
    <cellStyle name="Total 2 2 2 5 2 8" xfId="35763"/>
    <cellStyle name="Total 2 2 2 5 2 8 2" xfId="35764"/>
    <cellStyle name="Total 2 2 2 5 2 8 3" xfId="35765"/>
    <cellStyle name="Total 2 2 2 5 2 8 4" xfId="35766"/>
    <cellStyle name="Total 2 2 2 5 2 9" xfId="35767"/>
    <cellStyle name="Total 2 2 2 5 3" xfId="35768"/>
    <cellStyle name="Total 2 2 2 5 3 10" xfId="35769"/>
    <cellStyle name="Total 2 2 2 5 3 11" xfId="35770"/>
    <cellStyle name="Total 2 2 2 5 3 2" xfId="35771"/>
    <cellStyle name="Total 2 2 2 5 3 2 2" xfId="35772"/>
    <cellStyle name="Total 2 2 2 5 3 2 2 2" xfId="35773"/>
    <cellStyle name="Total 2 2 2 5 3 2 2 2 2" xfId="35774"/>
    <cellStyle name="Total 2 2 2 5 3 2 2 2 3" xfId="35775"/>
    <cellStyle name="Total 2 2 2 5 3 2 2 2 4" xfId="35776"/>
    <cellStyle name="Total 2 2 2 5 3 2 2 3" xfId="35777"/>
    <cellStyle name="Total 2 2 2 5 3 2 2 4" xfId="35778"/>
    <cellStyle name="Total 2 2 2 5 3 2 2 5" xfId="35779"/>
    <cellStyle name="Total 2 2 2 5 3 2 2 6" xfId="35780"/>
    <cellStyle name="Total 2 2 2 5 3 2 3" xfId="35781"/>
    <cellStyle name="Total 2 2 2 5 3 2 3 2" xfId="35782"/>
    <cellStyle name="Total 2 2 2 5 3 2 3 3" xfId="35783"/>
    <cellStyle name="Total 2 2 2 5 3 2 3 4" xfId="35784"/>
    <cellStyle name="Total 2 2 2 5 3 2 4" xfId="35785"/>
    <cellStyle name="Total 2 2 2 5 3 2 5" xfId="35786"/>
    <cellStyle name="Total 2 2 2 5 3 2 6" xfId="35787"/>
    <cellStyle name="Total 2 2 2 5 3 2 7" xfId="35788"/>
    <cellStyle name="Total 2 2 2 5 3 3" xfId="35789"/>
    <cellStyle name="Total 2 2 2 5 3 3 2" xfId="35790"/>
    <cellStyle name="Total 2 2 2 5 3 3 2 2" xfId="35791"/>
    <cellStyle name="Total 2 2 2 5 3 3 2 3" xfId="35792"/>
    <cellStyle name="Total 2 2 2 5 3 3 2 4" xfId="35793"/>
    <cellStyle name="Total 2 2 2 5 3 3 3" xfId="35794"/>
    <cellStyle name="Total 2 2 2 5 3 3 4" xfId="35795"/>
    <cellStyle name="Total 2 2 2 5 3 3 5" xfId="35796"/>
    <cellStyle name="Total 2 2 2 5 3 3 6" xfId="35797"/>
    <cellStyle name="Total 2 2 2 5 3 4" xfId="35798"/>
    <cellStyle name="Total 2 2 2 5 3 4 2" xfId="35799"/>
    <cellStyle name="Total 2 2 2 5 3 4 3" xfId="35800"/>
    <cellStyle name="Total 2 2 2 5 3 4 4" xfId="35801"/>
    <cellStyle name="Total 2 2 2 5 3 4 5" xfId="35802"/>
    <cellStyle name="Total 2 2 2 5 3 5" xfId="35803"/>
    <cellStyle name="Total 2 2 2 5 3 5 2" xfId="35804"/>
    <cellStyle name="Total 2 2 2 5 3 5 3" xfId="35805"/>
    <cellStyle name="Total 2 2 2 5 3 5 4" xfId="35806"/>
    <cellStyle name="Total 2 2 2 5 3 6" xfId="35807"/>
    <cellStyle name="Total 2 2 2 5 3 6 2" xfId="35808"/>
    <cellStyle name="Total 2 2 2 5 3 6 3" xfId="35809"/>
    <cellStyle name="Total 2 2 2 5 3 6 4" xfId="35810"/>
    <cellStyle name="Total 2 2 2 5 3 7" xfId="35811"/>
    <cellStyle name="Total 2 2 2 5 3 7 2" xfId="35812"/>
    <cellStyle name="Total 2 2 2 5 3 7 3" xfId="35813"/>
    <cellStyle name="Total 2 2 2 5 3 7 4" xfId="35814"/>
    <cellStyle name="Total 2 2 2 5 3 8" xfId="35815"/>
    <cellStyle name="Total 2 2 2 5 3 9" xfId="35816"/>
    <cellStyle name="Total 2 2 2 5 4" xfId="35817"/>
    <cellStyle name="Total 2 2 2 5 4 2" xfId="35818"/>
    <cellStyle name="Total 2 2 2 5 4 2 2" xfId="35819"/>
    <cellStyle name="Total 2 2 2 5 4 2 2 2" xfId="35820"/>
    <cellStyle name="Total 2 2 2 5 4 2 2 3" xfId="35821"/>
    <cellStyle name="Total 2 2 2 5 4 2 2 4" xfId="35822"/>
    <cellStyle name="Total 2 2 2 5 4 2 3" xfId="35823"/>
    <cellStyle name="Total 2 2 2 5 4 2 4" xfId="35824"/>
    <cellStyle name="Total 2 2 2 5 4 2 5" xfId="35825"/>
    <cellStyle name="Total 2 2 2 5 4 2 6" xfId="35826"/>
    <cellStyle name="Total 2 2 2 5 4 3" xfId="35827"/>
    <cellStyle name="Total 2 2 2 5 4 3 2" xfId="35828"/>
    <cellStyle name="Total 2 2 2 5 4 3 3" xfId="35829"/>
    <cellStyle name="Total 2 2 2 5 4 3 4" xfId="35830"/>
    <cellStyle name="Total 2 2 2 5 4 4" xfId="35831"/>
    <cellStyle name="Total 2 2 2 5 4 5" xfId="35832"/>
    <cellStyle name="Total 2 2 2 5 4 6" xfId="35833"/>
    <cellStyle name="Total 2 2 2 5 4 7" xfId="35834"/>
    <cellStyle name="Total 2 2 2 5 5" xfId="35835"/>
    <cellStyle name="Total 2 2 2 5 5 2" xfId="35836"/>
    <cellStyle name="Total 2 2 2 5 5 2 2" xfId="35837"/>
    <cellStyle name="Total 2 2 2 5 5 2 3" xfId="35838"/>
    <cellStyle name="Total 2 2 2 5 5 2 4" xfId="35839"/>
    <cellStyle name="Total 2 2 2 5 5 3" xfId="35840"/>
    <cellStyle name="Total 2 2 2 5 5 4" xfId="35841"/>
    <cellStyle name="Total 2 2 2 5 5 5" xfId="35842"/>
    <cellStyle name="Total 2 2 2 5 5 6" xfId="35843"/>
    <cellStyle name="Total 2 2 2 5 6" xfId="35844"/>
    <cellStyle name="Total 2 2 2 5 6 2" xfId="35845"/>
    <cellStyle name="Total 2 2 2 5 6 3" xfId="35846"/>
    <cellStyle name="Total 2 2 2 5 6 4" xfId="35847"/>
    <cellStyle name="Total 2 2 2 5 6 5" xfId="35848"/>
    <cellStyle name="Total 2 2 2 5 7" xfId="35849"/>
    <cellStyle name="Total 2 2 2 5 7 2" xfId="35850"/>
    <cellStyle name="Total 2 2 2 5 7 3" xfId="35851"/>
    <cellStyle name="Total 2 2 2 5 7 4" xfId="35852"/>
    <cellStyle name="Total 2 2 2 5 8" xfId="35853"/>
    <cellStyle name="Total 2 2 2 5 8 2" xfId="35854"/>
    <cellStyle name="Total 2 2 2 5 8 3" xfId="35855"/>
    <cellStyle name="Total 2 2 2 5 8 4" xfId="35856"/>
    <cellStyle name="Total 2 2 2 5 9" xfId="35857"/>
    <cellStyle name="Total 2 2 2 5 9 2" xfId="35858"/>
    <cellStyle name="Total 2 2 2 5 9 3" xfId="35859"/>
    <cellStyle name="Total 2 2 2 5 9 4" xfId="35860"/>
    <cellStyle name="Total 2 2 2 6" xfId="35861"/>
    <cellStyle name="Total 2 2 2 6 10" xfId="35862"/>
    <cellStyle name="Total 2 2 2 6 11" xfId="35863"/>
    <cellStyle name="Total 2 2 2 6 12" xfId="35864"/>
    <cellStyle name="Total 2 2 2 6 13" xfId="35865"/>
    <cellStyle name="Total 2 2 2 6 2" xfId="35866"/>
    <cellStyle name="Total 2 2 2 6 2 10" xfId="35867"/>
    <cellStyle name="Total 2 2 2 6 2 11" xfId="35868"/>
    <cellStyle name="Total 2 2 2 6 2 2" xfId="35869"/>
    <cellStyle name="Total 2 2 2 6 2 2 2" xfId="35870"/>
    <cellStyle name="Total 2 2 2 6 2 2 2 2" xfId="35871"/>
    <cellStyle name="Total 2 2 2 6 2 2 2 2 2" xfId="35872"/>
    <cellStyle name="Total 2 2 2 6 2 2 2 2 3" xfId="35873"/>
    <cellStyle name="Total 2 2 2 6 2 2 2 2 4" xfId="35874"/>
    <cellStyle name="Total 2 2 2 6 2 2 2 3" xfId="35875"/>
    <cellStyle name="Total 2 2 2 6 2 2 2 4" xfId="35876"/>
    <cellStyle name="Total 2 2 2 6 2 2 2 5" xfId="35877"/>
    <cellStyle name="Total 2 2 2 6 2 2 2 6" xfId="35878"/>
    <cellStyle name="Total 2 2 2 6 2 2 3" xfId="35879"/>
    <cellStyle name="Total 2 2 2 6 2 2 3 2" xfId="35880"/>
    <cellStyle name="Total 2 2 2 6 2 2 3 3" xfId="35881"/>
    <cellStyle name="Total 2 2 2 6 2 2 3 4" xfId="35882"/>
    <cellStyle name="Total 2 2 2 6 2 2 4" xfId="35883"/>
    <cellStyle name="Total 2 2 2 6 2 2 5" xfId="35884"/>
    <cellStyle name="Total 2 2 2 6 2 2 6" xfId="35885"/>
    <cellStyle name="Total 2 2 2 6 2 2 7" xfId="35886"/>
    <cellStyle name="Total 2 2 2 6 2 3" xfId="35887"/>
    <cellStyle name="Total 2 2 2 6 2 3 2" xfId="35888"/>
    <cellStyle name="Total 2 2 2 6 2 3 2 2" xfId="35889"/>
    <cellStyle name="Total 2 2 2 6 2 3 2 3" xfId="35890"/>
    <cellStyle name="Total 2 2 2 6 2 3 2 4" xfId="35891"/>
    <cellStyle name="Total 2 2 2 6 2 3 3" xfId="35892"/>
    <cellStyle name="Total 2 2 2 6 2 3 4" xfId="35893"/>
    <cellStyle name="Total 2 2 2 6 2 3 5" xfId="35894"/>
    <cellStyle name="Total 2 2 2 6 2 3 6" xfId="35895"/>
    <cellStyle name="Total 2 2 2 6 2 4" xfId="35896"/>
    <cellStyle name="Total 2 2 2 6 2 4 2" xfId="35897"/>
    <cellStyle name="Total 2 2 2 6 2 4 3" xfId="35898"/>
    <cellStyle name="Total 2 2 2 6 2 4 4" xfId="35899"/>
    <cellStyle name="Total 2 2 2 6 2 4 5" xfId="35900"/>
    <cellStyle name="Total 2 2 2 6 2 5" xfId="35901"/>
    <cellStyle name="Total 2 2 2 6 2 5 2" xfId="35902"/>
    <cellStyle name="Total 2 2 2 6 2 5 3" xfId="35903"/>
    <cellStyle name="Total 2 2 2 6 2 5 4" xfId="35904"/>
    <cellStyle name="Total 2 2 2 6 2 6" xfId="35905"/>
    <cellStyle name="Total 2 2 2 6 2 6 2" xfId="35906"/>
    <cellStyle name="Total 2 2 2 6 2 6 3" xfId="35907"/>
    <cellStyle name="Total 2 2 2 6 2 6 4" xfId="35908"/>
    <cellStyle name="Total 2 2 2 6 2 7" xfId="35909"/>
    <cellStyle name="Total 2 2 2 6 2 7 2" xfId="35910"/>
    <cellStyle name="Total 2 2 2 6 2 7 3" xfId="35911"/>
    <cellStyle name="Total 2 2 2 6 2 7 4" xfId="35912"/>
    <cellStyle name="Total 2 2 2 6 2 8" xfId="35913"/>
    <cellStyle name="Total 2 2 2 6 2 9" xfId="35914"/>
    <cellStyle name="Total 2 2 2 6 3" xfId="35915"/>
    <cellStyle name="Total 2 2 2 6 3 10" xfId="35916"/>
    <cellStyle name="Total 2 2 2 6 3 11" xfId="35917"/>
    <cellStyle name="Total 2 2 2 6 3 2" xfId="35918"/>
    <cellStyle name="Total 2 2 2 6 3 2 2" xfId="35919"/>
    <cellStyle name="Total 2 2 2 6 3 2 2 2" xfId="35920"/>
    <cellStyle name="Total 2 2 2 6 3 2 2 3" xfId="35921"/>
    <cellStyle name="Total 2 2 2 6 3 2 2 4" xfId="35922"/>
    <cellStyle name="Total 2 2 2 6 3 2 3" xfId="35923"/>
    <cellStyle name="Total 2 2 2 6 3 2 3 2" xfId="35924"/>
    <cellStyle name="Total 2 2 2 6 3 2 3 3" xfId="35925"/>
    <cellStyle name="Total 2 2 2 6 3 2 3 4" xfId="35926"/>
    <cellStyle name="Total 2 2 2 6 3 2 4" xfId="35927"/>
    <cellStyle name="Total 2 2 2 6 3 2 5" xfId="35928"/>
    <cellStyle name="Total 2 2 2 6 3 2 6" xfId="35929"/>
    <cellStyle name="Total 2 2 2 6 3 2 7" xfId="35930"/>
    <cellStyle name="Total 2 2 2 6 3 3" xfId="35931"/>
    <cellStyle name="Total 2 2 2 6 3 3 2" xfId="35932"/>
    <cellStyle name="Total 2 2 2 6 3 3 2 2" xfId="35933"/>
    <cellStyle name="Total 2 2 2 6 3 3 2 3" xfId="35934"/>
    <cellStyle name="Total 2 2 2 6 3 3 2 4" xfId="35935"/>
    <cellStyle name="Total 2 2 2 6 3 3 3" xfId="35936"/>
    <cellStyle name="Total 2 2 2 6 3 3 4" xfId="35937"/>
    <cellStyle name="Total 2 2 2 6 3 3 5" xfId="35938"/>
    <cellStyle name="Total 2 2 2 6 3 3 6" xfId="35939"/>
    <cellStyle name="Total 2 2 2 6 3 4" xfId="35940"/>
    <cellStyle name="Total 2 2 2 6 3 4 2" xfId="35941"/>
    <cellStyle name="Total 2 2 2 6 3 4 3" xfId="35942"/>
    <cellStyle name="Total 2 2 2 6 3 4 4" xfId="35943"/>
    <cellStyle name="Total 2 2 2 6 3 4 5" xfId="35944"/>
    <cellStyle name="Total 2 2 2 6 3 5" xfId="35945"/>
    <cellStyle name="Total 2 2 2 6 3 5 2" xfId="35946"/>
    <cellStyle name="Total 2 2 2 6 3 5 3" xfId="35947"/>
    <cellStyle name="Total 2 2 2 6 3 5 4" xfId="35948"/>
    <cellStyle name="Total 2 2 2 6 3 6" xfId="35949"/>
    <cellStyle name="Total 2 2 2 6 3 6 2" xfId="35950"/>
    <cellStyle name="Total 2 2 2 6 3 6 3" xfId="35951"/>
    <cellStyle name="Total 2 2 2 6 3 6 4" xfId="35952"/>
    <cellStyle name="Total 2 2 2 6 3 7" xfId="35953"/>
    <cellStyle name="Total 2 2 2 6 3 7 2" xfId="35954"/>
    <cellStyle name="Total 2 2 2 6 3 7 3" xfId="35955"/>
    <cellStyle name="Total 2 2 2 6 3 7 4" xfId="35956"/>
    <cellStyle name="Total 2 2 2 6 3 8" xfId="35957"/>
    <cellStyle name="Total 2 2 2 6 3 9" xfId="35958"/>
    <cellStyle name="Total 2 2 2 6 4" xfId="35959"/>
    <cellStyle name="Total 2 2 2 6 4 2" xfId="35960"/>
    <cellStyle name="Total 2 2 2 6 4 2 2" xfId="35961"/>
    <cellStyle name="Total 2 2 2 6 4 2 2 2" xfId="35962"/>
    <cellStyle name="Total 2 2 2 6 4 2 2 3" xfId="35963"/>
    <cellStyle name="Total 2 2 2 6 4 2 2 4" xfId="35964"/>
    <cellStyle name="Total 2 2 2 6 4 2 3" xfId="35965"/>
    <cellStyle name="Total 2 2 2 6 4 2 4" xfId="35966"/>
    <cellStyle name="Total 2 2 2 6 4 2 5" xfId="35967"/>
    <cellStyle name="Total 2 2 2 6 4 2 6" xfId="35968"/>
    <cellStyle name="Total 2 2 2 6 4 3" xfId="35969"/>
    <cellStyle name="Total 2 2 2 6 4 3 2" xfId="35970"/>
    <cellStyle name="Total 2 2 2 6 4 3 3" xfId="35971"/>
    <cellStyle name="Total 2 2 2 6 4 3 4" xfId="35972"/>
    <cellStyle name="Total 2 2 2 6 4 4" xfId="35973"/>
    <cellStyle name="Total 2 2 2 6 4 5" xfId="35974"/>
    <cellStyle name="Total 2 2 2 6 4 6" xfId="35975"/>
    <cellStyle name="Total 2 2 2 6 4 7" xfId="35976"/>
    <cellStyle name="Total 2 2 2 6 5" xfId="35977"/>
    <cellStyle name="Total 2 2 2 6 5 2" xfId="35978"/>
    <cellStyle name="Total 2 2 2 6 5 2 2" xfId="35979"/>
    <cellStyle name="Total 2 2 2 6 5 2 3" xfId="35980"/>
    <cellStyle name="Total 2 2 2 6 5 2 4" xfId="35981"/>
    <cellStyle name="Total 2 2 2 6 5 3" xfId="35982"/>
    <cellStyle name="Total 2 2 2 6 5 4" xfId="35983"/>
    <cellStyle name="Total 2 2 2 6 5 5" xfId="35984"/>
    <cellStyle name="Total 2 2 2 6 5 6" xfId="35985"/>
    <cellStyle name="Total 2 2 2 6 6" xfId="35986"/>
    <cellStyle name="Total 2 2 2 6 6 2" xfId="35987"/>
    <cellStyle name="Total 2 2 2 6 6 3" xfId="35988"/>
    <cellStyle name="Total 2 2 2 6 6 4" xfId="35989"/>
    <cellStyle name="Total 2 2 2 6 6 5" xfId="35990"/>
    <cellStyle name="Total 2 2 2 6 7" xfId="35991"/>
    <cellStyle name="Total 2 2 2 6 7 2" xfId="35992"/>
    <cellStyle name="Total 2 2 2 6 7 3" xfId="35993"/>
    <cellStyle name="Total 2 2 2 6 7 4" xfId="35994"/>
    <cellStyle name="Total 2 2 2 6 8" xfId="35995"/>
    <cellStyle name="Total 2 2 2 6 8 2" xfId="35996"/>
    <cellStyle name="Total 2 2 2 6 8 3" xfId="35997"/>
    <cellStyle name="Total 2 2 2 6 8 4" xfId="35998"/>
    <cellStyle name="Total 2 2 2 6 9" xfId="35999"/>
    <cellStyle name="Total 2 2 2 6 9 2" xfId="36000"/>
    <cellStyle name="Total 2 2 2 6 9 3" xfId="36001"/>
    <cellStyle name="Total 2 2 2 6 9 4" xfId="36002"/>
    <cellStyle name="Total 2 2 2 7" xfId="36003"/>
    <cellStyle name="Total 2 2 2 7 10" xfId="36004"/>
    <cellStyle name="Total 2 2 2 7 11" xfId="36005"/>
    <cellStyle name="Total 2 2 2 7 12" xfId="36006"/>
    <cellStyle name="Total 2 2 2 7 2" xfId="36007"/>
    <cellStyle name="Total 2 2 2 7 2 10" xfId="36008"/>
    <cellStyle name="Total 2 2 2 7 2 11" xfId="36009"/>
    <cellStyle name="Total 2 2 2 7 2 2" xfId="36010"/>
    <cellStyle name="Total 2 2 2 7 2 2 2" xfId="36011"/>
    <cellStyle name="Total 2 2 2 7 2 2 2 2" xfId="36012"/>
    <cellStyle name="Total 2 2 2 7 2 2 2 2 2" xfId="36013"/>
    <cellStyle name="Total 2 2 2 7 2 2 2 2 3" xfId="36014"/>
    <cellStyle name="Total 2 2 2 7 2 2 2 2 4" xfId="36015"/>
    <cellStyle name="Total 2 2 2 7 2 2 2 3" xfId="36016"/>
    <cellStyle name="Total 2 2 2 7 2 2 2 4" xfId="36017"/>
    <cellStyle name="Total 2 2 2 7 2 2 2 5" xfId="36018"/>
    <cellStyle name="Total 2 2 2 7 2 2 2 6" xfId="36019"/>
    <cellStyle name="Total 2 2 2 7 2 2 3" xfId="36020"/>
    <cellStyle name="Total 2 2 2 7 2 2 3 2" xfId="36021"/>
    <cellStyle name="Total 2 2 2 7 2 2 3 3" xfId="36022"/>
    <cellStyle name="Total 2 2 2 7 2 2 3 4" xfId="36023"/>
    <cellStyle name="Total 2 2 2 7 2 2 4" xfId="36024"/>
    <cellStyle name="Total 2 2 2 7 2 2 5" xfId="36025"/>
    <cellStyle name="Total 2 2 2 7 2 2 6" xfId="36026"/>
    <cellStyle name="Total 2 2 2 7 2 2 7" xfId="36027"/>
    <cellStyle name="Total 2 2 2 7 2 3" xfId="36028"/>
    <cellStyle name="Total 2 2 2 7 2 3 2" xfId="36029"/>
    <cellStyle name="Total 2 2 2 7 2 3 2 2" xfId="36030"/>
    <cellStyle name="Total 2 2 2 7 2 3 2 3" xfId="36031"/>
    <cellStyle name="Total 2 2 2 7 2 3 2 4" xfId="36032"/>
    <cellStyle name="Total 2 2 2 7 2 3 3" xfId="36033"/>
    <cellStyle name="Total 2 2 2 7 2 3 4" xfId="36034"/>
    <cellStyle name="Total 2 2 2 7 2 3 5" xfId="36035"/>
    <cellStyle name="Total 2 2 2 7 2 3 6" xfId="36036"/>
    <cellStyle name="Total 2 2 2 7 2 4" xfId="36037"/>
    <cellStyle name="Total 2 2 2 7 2 4 2" xfId="36038"/>
    <cellStyle name="Total 2 2 2 7 2 4 3" xfId="36039"/>
    <cellStyle name="Total 2 2 2 7 2 4 4" xfId="36040"/>
    <cellStyle name="Total 2 2 2 7 2 4 5" xfId="36041"/>
    <cellStyle name="Total 2 2 2 7 2 5" xfId="36042"/>
    <cellStyle name="Total 2 2 2 7 2 5 2" xfId="36043"/>
    <cellStyle name="Total 2 2 2 7 2 5 3" xfId="36044"/>
    <cellStyle name="Total 2 2 2 7 2 5 4" xfId="36045"/>
    <cellStyle name="Total 2 2 2 7 2 6" xfId="36046"/>
    <cellStyle name="Total 2 2 2 7 2 6 2" xfId="36047"/>
    <cellStyle name="Total 2 2 2 7 2 6 3" xfId="36048"/>
    <cellStyle name="Total 2 2 2 7 2 6 4" xfId="36049"/>
    <cellStyle name="Total 2 2 2 7 2 7" xfId="36050"/>
    <cellStyle name="Total 2 2 2 7 2 7 2" xfId="36051"/>
    <cellStyle name="Total 2 2 2 7 2 7 3" xfId="36052"/>
    <cellStyle name="Total 2 2 2 7 2 7 4" xfId="36053"/>
    <cellStyle name="Total 2 2 2 7 2 8" xfId="36054"/>
    <cellStyle name="Total 2 2 2 7 2 9" xfId="36055"/>
    <cellStyle name="Total 2 2 2 7 3" xfId="36056"/>
    <cellStyle name="Total 2 2 2 7 3 2" xfId="36057"/>
    <cellStyle name="Total 2 2 2 7 3 2 2" xfId="36058"/>
    <cellStyle name="Total 2 2 2 7 3 2 2 2" xfId="36059"/>
    <cellStyle name="Total 2 2 2 7 3 2 2 3" xfId="36060"/>
    <cellStyle name="Total 2 2 2 7 3 2 2 4" xfId="36061"/>
    <cellStyle name="Total 2 2 2 7 3 2 3" xfId="36062"/>
    <cellStyle name="Total 2 2 2 7 3 2 4" xfId="36063"/>
    <cellStyle name="Total 2 2 2 7 3 2 5" xfId="36064"/>
    <cellStyle name="Total 2 2 2 7 3 2 6" xfId="36065"/>
    <cellStyle name="Total 2 2 2 7 3 3" xfId="36066"/>
    <cellStyle name="Total 2 2 2 7 3 3 2" xfId="36067"/>
    <cellStyle name="Total 2 2 2 7 3 3 3" xfId="36068"/>
    <cellStyle name="Total 2 2 2 7 3 3 4" xfId="36069"/>
    <cellStyle name="Total 2 2 2 7 3 4" xfId="36070"/>
    <cellStyle name="Total 2 2 2 7 3 5" xfId="36071"/>
    <cellStyle name="Total 2 2 2 7 3 6" xfId="36072"/>
    <cellStyle name="Total 2 2 2 7 3 7" xfId="36073"/>
    <cellStyle name="Total 2 2 2 7 4" xfId="36074"/>
    <cellStyle name="Total 2 2 2 7 4 2" xfId="36075"/>
    <cellStyle name="Total 2 2 2 7 4 2 2" xfId="36076"/>
    <cellStyle name="Total 2 2 2 7 4 2 3" xfId="36077"/>
    <cellStyle name="Total 2 2 2 7 4 2 4" xfId="36078"/>
    <cellStyle name="Total 2 2 2 7 4 3" xfId="36079"/>
    <cellStyle name="Total 2 2 2 7 4 4" xfId="36080"/>
    <cellStyle name="Total 2 2 2 7 4 5" xfId="36081"/>
    <cellStyle name="Total 2 2 2 7 4 6" xfId="36082"/>
    <cellStyle name="Total 2 2 2 7 5" xfId="36083"/>
    <cellStyle name="Total 2 2 2 7 5 2" xfId="36084"/>
    <cellStyle name="Total 2 2 2 7 5 3" xfId="36085"/>
    <cellStyle name="Total 2 2 2 7 5 4" xfId="36086"/>
    <cellStyle name="Total 2 2 2 7 5 5" xfId="36087"/>
    <cellStyle name="Total 2 2 2 7 6" xfId="36088"/>
    <cellStyle name="Total 2 2 2 7 6 2" xfId="36089"/>
    <cellStyle name="Total 2 2 2 7 6 3" xfId="36090"/>
    <cellStyle name="Total 2 2 2 7 6 4" xfId="36091"/>
    <cellStyle name="Total 2 2 2 7 7" xfId="36092"/>
    <cellStyle name="Total 2 2 2 7 7 2" xfId="36093"/>
    <cellStyle name="Total 2 2 2 7 7 3" xfId="36094"/>
    <cellStyle name="Total 2 2 2 7 7 4" xfId="36095"/>
    <cellStyle name="Total 2 2 2 7 8" xfId="36096"/>
    <cellStyle name="Total 2 2 2 7 8 2" xfId="36097"/>
    <cellStyle name="Total 2 2 2 7 8 3" xfId="36098"/>
    <cellStyle name="Total 2 2 2 7 8 4" xfId="36099"/>
    <cellStyle name="Total 2 2 2 7 9" xfId="36100"/>
    <cellStyle name="Total 2 2 2 8" xfId="36101"/>
    <cellStyle name="Total 2 2 2 8 10" xfId="36102"/>
    <cellStyle name="Total 2 2 2 8 11" xfId="36103"/>
    <cellStyle name="Total 2 2 2 8 2" xfId="36104"/>
    <cellStyle name="Total 2 2 2 8 2 2" xfId="36105"/>
    <cellStyle name="Total 2 2 2 8 2 2 2" xfId="36106"/>
    <cellStyle name="Total 2 2 2 8 2 2 2 2" xfId="36107"/>
    <cellStyle name="Total 2 2 2 8 2 2 2 3" xfId="36108"/>
    <cellStyle name="Total 2 2 2 8 2 2 2 4" xfId="36109"/>
    <cellStyle name="Total 2 2 2 8 2 2 3" xfId="36110"/>
    <cellStyle name="Total 2 2 2 8 2 2 4" xfId="36111"/>
    <cellStyle name="Total 2 2 2 8 2 2 5" xfId="36112"/>
    <cellStyle name="Total 2 2 2 8 2 2 6" xfId="36113"/>
    <cellStyle name="Total 2 2 2 8 2 3" xfId="36114"/>
    <cellStyle name="Total 2 2 2 8 2 3 2" xfId="36115"/>
    <cellStyle name="Total 2 2 2 8 2 3 3" xfId="36116"/>
    <cellStyle name="Total 2 2 2 8 2 3 4" xfId="36117"/>
    <cellStyle name="Total 2 2 2 8 2 4" xfId="36118"/>
    <cellStyle name="Total 2 2 2 8 2 5" xfId="36119"/>
    <cellStyle name="Total 2 2 2 8 2 6" xfId="36120"/>
    <cellStyle name="Total 2 2 2 8 2 7" xfId="36121"/>
    <cellStyle name="Total 2 2 2 8 3" xfId="36122"/>
    <cellStyle name="Total 2 2 2 8 3 2" xfId="36123"/>
    <cellStyle name="Total 2 2 2 8 3 2 2" xfId="36124"/>
    <cellStyle name="Total 2 2 2 8 3 2 3" xfId="36125"/>
    <cellStyle name="Total 2 2 2 8 3 2 4" xfId="36126"/>
    <cellStyle name="Total 2 2 2 8 3 3" xfId="36127"/>
    <cellStyle name="Total 2 2 2 8 3 4" xfId="36128"/>
    <cellStyle name="Total 2 2 2 8 3 5" xfId="36129"/>
    <cellStyle name="Total 2 2 2 8 3 6" xfId="36130"/>
    <cellStyle name="Total 2 2 2 8 4" xfId="36131"/>
    <cellStyle name="Total 2 2 2 8 4 2" xfId="36132"/>
    <cellStyle name="Total 2 2 2 8 4 3" xfId="36133"/>
    <cellStyle name="Total 2 2 2 8 4 4" xfId="36134"/>
    <cellStyle name="Total 2 2 2 8 4 5" xfId="36135"/>
    <cellStyle name="Total 2 2 2 8 5" xfId="36136"/>
    <cellStyle name="Total 2 2 2 8 5 2" xfId="36137"/>
    <cellStyle name="Total 2 2 2 8 5 3" xfId="36138"/>
    <cellStyle name="Total 2 2 2 8 5 4" xfId="36139"/>
    <cellStyle name="Total 2 2 2 8 6" xfId="36140"/>
    <cellStyle name="Total 2 2 2 8 6 2" xfId="36141"/>
    <cellStyle name="Total 2 2 2 8 6 3" xfId="36142"/>
    <cellStyle name="Total 2 2 2 8 6 4" xfId="36143"/>
    <cellStyle name="Total 2 2 2 8 7" xfId="36144"/>
    <cellStyle name="Total 2 2 2 8 7 2" xfId="36145"/>
    <cellStyle name="Total 2 2 2 8 7 3" xfId="36146"/>
    <cellStyle name="Total 2 2 2 8 7 4" xfId="36147"/>
    <cellStyle name="Total 2 2 2 8 8" xfId="36148"/>
    <cellStyle name="Total 2 2 2 8 9" xfId="36149"/>
    <cellStyle name="Total 2 2 2 9" xfId="36150"/>
    <cellStyle name="Total 2 2 2 9 10" xfId="36151"/>
    <cellStyle name="Total 2 2 2 9 2" xfId="36152"/>
    <cellStyle name="Total 2 2 2 9 2 2" xfId="36153"/>
    <cellStyle name="Total 2 2 2 9 2 2 2" xfId="36154"/>
    <cellStyle name="Total 2 2 2 9 2 2 3" xfId="36155"/>
    <cellStyle name="Total 2 2 2 9 2 2 4" xfId="36156"/>
    <cellStyle name="Total 2 2 2 9 2 3" xfId="36157"/>
    <cellStyle name="Total 2 2 2 9 2 4" xfId="36158"/>
    <cellStyle name="Total 2 2 2 9 2 5" xfId="36159"/>
    <cellStyle name="Total 2 2 2 9 2 6" xfId="36160"/>
    <cellStyle name="Total 2 2 2 9 3" xfId="36161"/>
    <cellStyle name="Total 2 2 2 9 3 2" xfId="36162"/>
    <cellStyle name="Total 2 2 2 9 3 3" xfId="36163"/>
    <cellStyle name="Total 2 2 2 9 3 4" xfId="36164"/>
    <cellStyle name="Total 2 2 2 9 4" xfId="36165"/>
    <cellStyle name="Total 2 2 2 9 4 2" xfId="36166"/>
    <cellStyle name="Total 2 2 2 9 4 3" xfId="36167"/>
    <cellStyle name="Total 2 2 2 9 4 4" xfId="36168"/>
    <cellStyle name="Total 2 2 2 9 5" xfId="36169"/>
    <cellStyle name="Total 2 2 2 9 5 2" xfId="36170"/>
    <cellStyle name="Total 2 2 2 9 5 3" xfId="36171"/>
    <cellStyle name="Total 2 2 2 9 5 4" xfId="36172"/>
    <cellStyle name="Total 2 2 2 9 6" xfId="36173"/>
    <cellStyle name="Total 2 2 2 9 6 2" xfId="36174"/>
    <cellStyle name="Total 2 2 2 9 6 3" xfId="36175"/>
    <cellStyle name="Total 2 2 2 9 6 4" xfId="36176"/>
    <cellStyle name="Total 2 2 2 9 7" xfId="36177"/>
    <cellStyle name="Total 2 2 2 9 8" xfId="36178"/>
    <cellStyle name="Total 2 2 2 9 9" xfId="36179"/>
    <cellStyle name="Total 2 2 20" xfId="36180"/>
    <cellStyle name="Total 2 2 20 2" xfId="36181"/>
    <cellStyle name="Total 2 2 21" xfId="36182"/>
    <cellStyle name="Total 2 2 22" xfId="36183"/>
    <cellStyle name="Total 2 2 22 2" xfId="36184"/>
    <cellStyle name="Total 2 2 23" xfId="36185"/>
    <cellStyle name="Total 2 2 24" xfId="36186"/>
    <cellStyle name="Total 2 2 25" xfId="36187"/>
    <cellStyle name="Total 2 2 26" xfId="36188"/>
    <cellStyle name="Total 2 2 27" xfId="36189"/>
    <cellStyle name="Total 2 2 28" xfId="36190"/>
    <cellStyle name="Total 2 2 29" xfId="36191"/>
    <cellStyle name="Total 2 2 3" xfId="991"/>
    <cellStyle name="Total 2 2 3 10" xfId="36192"/>
    <cellStyle name="Total 2 2 3 10 2" xfId="36193"/>
    <cellStyle name="Total 2 2 3 10 3" xfId="36194"/>
    <cellStyle name="Total 2 2 3 10 4" xfId="36195"/>
    <cellStyle name="Total 2 2 3 11" xfId="36196"/>
    <cellStyle name="Total 2 2 3 11 2" xfId="36197"/>
    <cellStyle name="Total 2 2 3 11 3" xfId="36198"/>
    <cellStyle name="Total 2 2 3 11 4" xfId="36199"/>
    <cellStyle name="Total 2 2 3 12" xfId="36200"/>
    <cellStyle name="Total 2 2 3 12 2" xfId="36201"/>
    <cellStyle name="Total 2 2 3 12 3" xfId="36202"/>
    <cellStyle name="Total 2 2 3 12 4" xfId="36203"/>
    <cellStyle name="Total 2 2 3 13" xfId="36204"/>
    <cellStyle name="Total 2 2 3 13 2" xfId="36205"/>
    <cellStyle name="Total 2 2 3 14" xfId="36206"/>
    <cellStyle name="Total 2 2 3 15" xfId="36207"/>
    <cellStyle name="Total 2 2 3 15 2" xfId="36208"/>
    <cellStyle name="Total 2 2 3 16" xfId="36209"/>
    <cellStyle name="Total 2 2 3 17" xfId="36210"/>
    <cellStyle name="Total 2 2 3 2" xfId="992"/>
    <cellStyle name="Total 2 2 3 2 10" xfId="36211"/>
    <cellStyle name="Total 2 2 3 2 11" xfId="36212"/>
    <cellStyle name="Total 2 2 3 2 12" xfId="36213"/>
    <cellStyle name="Total 2 2 3 2 2" xfId="36214"/>
    <cellStyle name="Total 2 2 3 2 2 10" xfId="36215"/>
    <cellStyle name="Total 2 2 3 2 2 11" xfId="36216"/>
    <cellStyle name="Total 2 2 3 2 2 2" xfId="36217"/>
    <cellStyle name="Total 2 2 3 2 2 2 2" xfId="36218"/>
    <cellStyle name="Total 2 2 3 2 2 2 2 2" xfId="36219"/>
    <cellStyle name="Total 2 2 3 2 2 2 2 2 2" xfId="36220"/>
    <cellStyle name="Total 2 2 3 2 2 2 2 2 3" xfId="36221"/>
    <cellStyle name="Total 2 2 3 2 2 2 2 2 4" xfId="36222"/>
    <cellStyle name="Total 2 2 3 2 2 2 2 3" xfId="36223"/>
    <cellStyle name="Total 2 2 3 2 2 2 2 4" xfId="36224"/>
    <cellStyle name="Total 2 2 3 2 2 2 2 5" xfId="36225"/>
    <cellStyle name="Total 2 2 3 2 2 2 2 6" xfId="36226"/>
    <cellStyle name="Total 2 2 3 2 2 2 3" xfId="36227"/>
    <cellStyle name="Total 2 2 3 2 2 2 3 2" xfId="36228"/>
    <cellStyle name="Total 2 2 3 2 2 2 3 3" xfId="36229"/>
    <cellStyle name="Total 2 2 3 2 2 2 3 4" xfId="36230"/>
    <cellStyle name="Total 2 2 3 2 2 2 4" xfId="36231"/>
    <cellStyle name="Total 2 2 3 2 2 2 5" xfId="36232"/>
    <cellStyle name="Total 2 2 3 2 2 2 6" xfId="36233"/>
    <cellStyle name="Total 2 2 3 2 2 2 7" xfId="36234"/>
    <cellStyle name="Total 2 2 3 2 2 3" xfId="36235"/>
    <cellStyle name="Total 2 2 3 2 2 3 2" xfId="36236"/>
    <cellStyle name="Total 2 2 3 2 2 3 2 2" xfId="36237"/>
    <cellStyle name="Total 2 2 3 2 2 3 2 3" xfId="36238"/>
    <cellStyle name="Total 2 2 3 2 2 3 2 4" xfId="36239"/>
    <cellStyle name="Total 2 2 3 2 2 3 3" xfId="36240"/>
    <cellStyle name="Total 2 2 3 2 2 3 4" xfId="36241"/>
    <cellStyle name="Total 2 2 3 2 2 3 5" xfId="36242"/>
    <cellStyle name="Total 2 2 3 2 2 3 6" xfId="36243"/>
    <cellStyle name="Total 2 2 3 2 2 4" xfId="36244"/>
    <cellStyle name="Total 2 2 3 2 2 4 2" xfId="36245"/>
    <cellStyle name="Total 2 2 3 2 2 4 3" xfId="36246"/>
    <cellStyle name="Total 2 2 3 2 2 4 4" xfId="36247"/>
    <cellStyle name="Total 2 2 3 2 2 4 5" xfId="36248"/>
    <cellStyle name="Total 2 2 3 2 2 5" xfId="36249"/>
    <cellStyle name="Total 2 2 3 2 2 5 2" xfId="36250"/>
    <cellStyle name="Total 2 2 3 2 2 5 3" xfId="36251"/>
    <cellStyle name="Total 2 2 3 2 2 5 4" xfId="36252"/>
    <cellStyle name="Total 2 2 3 2 2 6" xfId="36253"/>
    <cellStyle name="Total 2 2 3 2 2 6 2" xfId="36254"/>
    <cellStyle name="Total 2 2 3 2 2 6 3" xfId="36255"/>
    <cellStyle name="Total 2 2 3 2 2 6 4" xfId="36256"/>
    <cellStyle name="Total 2 2 3 2 2 7" xfId="36257"/>
    <cellStyle name="Total 2 2 3 2 2 7 2" xfId="36258"/>
    <cellStyle name="Total 2 2 3 2 2 7 3" xfId="36259"/>
    <cellStyle name="Total 2 2 3 2 2 7 4" xfId="36260"/>
    <cellStyle name="Total 2 2 3 2 2 8" xfId="36261"/>
    <cellStyle name="Total 2 2 3 2 2 9" xfId="36262"/>
    <cellStyle name="Total 2 2 3 2 3" xfId="36263"/>
    <cellStyle name="Total 2 2 3 2 3 2" xfId="36264"/>
    <cellStyle name="Total 2 2 3 2 3 2 2" xfId="36265"/>
    <cellStyle name="Total 2 2 3 2 3 2 2 2" xfId="36266"/>
    <cellStyle name="Total 2 2 3 2 3 2 2 3" xfId="36267"/>
    <cellStyle name="Total 2 2 3 2 3 2 2 4" xfId="36268"/>
    <cellStyle name="Total 2 2 3 2 3 2 3" xfId="36269"/>
    <cellStyle name="Total 2 2 3 2 3 2 4" xfId="36270"/>
    <cellStyle name="Total 2 2 3 2 3 2 5" xfId="36271"/>
    <cellStyle name="Total 2 2 3 2 3 2 6" xfId="36272"/>
    <cellStyle name="Total 2 2 3 2 3 3" xfId="36273"/>
    <cellStyle name="Total 2 2 3 2 3 3 2" xfId="36274"/>
    <cellStyle name="Total 2 2 3 2 3 3 3" xfId="36275"/>
    <cellStyle name="Total 2 2 3 2 3 3 4" xfId="36276"/>
    <cellStyle name="Total 2 2 3 2 3 4" xfId="36277"/>
    <cellStyle name="Total 2 2 3 2 3 5" xfId="36278"/>
    <cellStyle name="Total 2 2 3 2 3 6" xfId="36279"/>
    <cellStyle name="Total 2 2 3 2 3 7" xfId="36280"/>
    <cellStyle name="Total 2 2 3 2 4" xfId="36281"/>
    <cellStyle name="Total 2 2 3 2 4 2" xfId="36282"/>
    <cellStyle name="Total 2 2 3 2 4 2 2" xfId="36283"/>
    <cellStyle name="Total 2 2 3 2 4 2 3" xfId="36284"/>
    <cellStyle name="Total 2 2 3 2 4 2 4" xfId="36285"/>
    <cellStyle name="Total 2 2 3 2 4 3" xfId="36286"/>
    <cellStyle name="Total 2 2 3 2 4 4" xfId="36287"/>
    <cellStyle name="Total 2 2 3 2 4 5" xfId="36288"/>
    <cellStyle name="Total 2 2 3 2 4 6" xfId="36289"/>
    <cellStyle name="Total 2 2 3 2 5" xfId="36290"/>
    <cellStyle name="Total 2 2 3 2 5 2" xfId="36291"/>
    <cellStyle name="Total 2 2 3 2 5 3" xfId="36292"/>
    <cellStyle name="Total 2 2 3 2 5 4" xfId="36293"/>
    <cellStyle name="Total 2 2 3 2 5 5" xfId="36294"/>
    <cellStyle name="Total 2 2 3 2 6" xfId="36295"/>
    <cellStyle name="Total 2 2 3 2 6 2" xfId="36296"/>
    <cellStyle name="Total 2 2 3 2 6 3" xfId="36297"/>
    <cellStyle name="Total 2 2 3 2 6 4" xfId="36298"/>
    <cellStyle name="Total 2 2 3 2 7" xfId="36299"/>
    <cellStyle name="Total 2 2 3 2 7 2" xfId="36300"/>
    <cellStyle name="Total 2 2 3 2 7 3" xfId="36301"/>
    <cellStyle name="Total 2 2 3 2 7 4" xfId="36302"/>
    <cellStyle name="Total 2 2 3 2 8" xfId="36303"/>
    <cellStyle name="Total 2 2 3 2 8 2" xfId="36304"/>
    <cellStyle name="Total 2 2 3 2 8 3" xfId="36305"/>
    <cellStyle name="Total 2 2 3 2 8 4" xfId="36306"/>
    <cellStyle name="Total 2 2 3 2 9" xfId="36307"/>
    <cellStyle name="Total 2 2 3 3" xfId="36308"/>
    <cellStyle name="Total 2 2 3 3 10" xfId="36309"/>
    <cellStyle name="Total 2 2 3 3 11" xfId="36310"/>
    <cellStyle name="Total 2 2 3 3 2" xfId="36311"/>
    <cellStyle name="Total 2 2 3 3 2 2" xfId="36312"/>
    <cellStyle name="Total 2 2 3 3 2 2 2" xfId="36313"/>
    <cellStyle name="Total 2 2 3 3 2 2 2 2" xfId="36314"/>
    <cellStyle name="Total 2 2 3 3 2 2 2 3" xfId="36315"/>
    <cellStyle name="Total 2 2 3 3 2 2 2 4" xfId="36316"/>
    <cellStyle name="Total 2 2 3 3 2 2 3" xfId="36317"/>
    <cellStyle name="Total 2 2 3 3 2 2 4" xfId="36318"/>
    <cellStyle name="Total 2 2 3 3 2 2 5" xfId="36319"/>
    <cellStyle name="Total 2 2 3 3 2 2 6" xfId="36320"/>
    <cellStyle name="Total 2 2 3 3 2 3" xfId="36321"/>
    <cellStyle name="Total 2 2 3 3 2 3 2" xfId="36322"/>
    <cellStyle name="Total 2 2 3 3 2 3 3" xfId="36323"/>
    <cellStyle name="Total 2 2 3 3 2 3 4" xfId="36324"/>
    <cellStyle name="Total 2 2 3 3 2 4" xfId="36325"/>
    <cellStyle name="Total 2 2 3 3 2 5" xfId="36326"/>
    <cellStyle name="Total 2 2 3 3 2 6" xfId="36327"/>
    <cellStyle name="Total 2 2 3 3 2 7" xfId="36328"/>
    <cellStyle name="Total 2 2 3 3 3" xfId="36329"/>
    <cellStyle name="Total 2 2 3 3 3 2" xfId="36330"/>
    <cellStyle name="Total 2 2 3 3 3 2 2" xfId="36331"/>
    <cellStyle name="Total 2 2 3 3 3 2 3" xfId="36332"/>
    <cellStyle name="Total 2 2 3 3 3 2 4" xfId="36333"/>
    <cellStyle name="Total 2 2 3 3 3 3" xfId="36334"/>
    <cellStyle name="Total 2 2 3 3 3 4" xfId="36335"/>
    <cellStyle name="Total 2 2 3 3 3 5" xfId="36336"/>
    <cellStyle name="Total 2 2 3 3 3 6" xfId="36337"/>
    <cellStyle name="Total 2 2 3 3 4" xfId="36338"/>
    <cellStyle name="Total 2 2 3 3 4 2" xfId="36339"/>
    <cellStyle name="Total 2 2 3 3 4 3" xfId="36340"/>
    <cellStyle name="Total 2 2 3 3 4 4" xfId="36341"/>
    <cellStyle name="Total 2 2 3 3 4 5" xfId="36342"/>
    <cellStyle name="Total 2 2 3 3 5" xfId="36343"/>
    <cellStyle name="Total 2 2 3 3 5 2" xfId="36344"/>
    <cellStyle name="Total 2 2 3 3 5 3" xfId="36345"/>
    <cellStyle name="Total 2 2 3 3 5 4" xfId="36346"/>
    <cellStyle name="Total 2 2 3 3 6" xfId="36347"/>
    <cellStyle name="Total 2 2 3 3 6 2" xfId="36348"/>
    <cellStyle name="Total 2 2 3 3 6 3" xfId="36349"/>
    <cellStyle name="Total 2 2 3 3 6 4" xfId="36350"/>
    <cellStyle name="Total 2 2 3 3 7" xfId="36351"/>
    <cellStyle name="Total 2 2 3 3 7 2" xfId="36352"/>
    <cellStyle name="Total 2 2 3 3 7 3" xfId="36353"/>
    <cellStyle name="Total 2 2 3 3 7 4" xfId="36354"/>
    <cellStyle name="Total 2 2 3 3 8" xfId="36355"/>
    <cellStyle name="Total 2 2 3 3 9" xfId="36356"/>
    <cellStyle name="Total 2 2 3 4" xfId="36357"/>
    <cellStyle name="Total 2 2 3 4 2" xfId="36358"/>
    <cellStyle name="Total 2 2 3 4 2 2" xfId="36359"/>
    <cellStyle name="Total 2 2 3 4 2 2 2" xfId="36360"/>
    <cellStyle name="Total 2 2 3 4 2 2 3" xfId="36361"/>
    <cellStyle name="Total 2 2 3 4 2 2 4" xfId="36362"/>
    <cellStyle name="Total 2 2 3 4 2 3" xfId="36363"/>
    <cellStyle name="Total 2 2 3 4 2 4" xfId="36364"/>
    <cellStyle name="Total 2 2 3 4 2 5" xfId="36365"/>
    <cellStyle name="Total 2 2 3 4 2 6" xfId="36366"/>
    <cellStyle name="Total 2 2 3 4 3" xfId="36367"/>
    <cellStyle name="Total 2 2 3 4 3 2" xfId="36368"/>
    <cellStyle name="Total 2 2 3 4 3 3" xfId="36369"/>
    <cellStyle name="Total 2 2 3 4 3 4" xfId="36370"/>
    <cellStyle name="Total 2 2 3 4 4" xfId="36371"/>
    <cellStyle name="Total 2 2 3 4 5" xfId="36372"/>
    <cellStyle name="Total 2 2 3 4 6" xfId="36373"/>
    <cellStyle name="Total 2 2 3 4 7" xfId="36374"/>
    <cellStyle name="Total 2 2 3 5" xfId="36375"/>
    <cellStyle name="Total 2 2 3 5 2" xfId="36376"/>
    <cellStyle name="Total 2 2 3 5 2 2" xfId="36377"/>
    <cellStyle name="Total 2 2 3 5 2 3" xfId="36378"/>
    <cellStyle name="Total 2 2 3 5 2 4" xfId="36379"/>
    <cellStyle name="Total 2 2 3 5 3" xfId="36380"/>
    <cellStyle name="Total 2 2 3 5 3 2" xfId="36381"/>
    <cellStyle name="Total 2 2 3 5 3 3" xfId="36382"/>
    <cellStyle name="Total 2 2 3 5 3 4" xfId="36383"/>
    <cellStyle name="Total 2 2 3 5 4" xfId="36384"/>
    <cellStyle name="Total 2 2 3 5 5" xfId="36385"/>
    <cellStyle name="Total 2 2 3 5 6" xfId="36386"/>
    <cellStyle name="Total 2 2 3 5 7" xfId="36387"/>
    <cellStyle name="Total 2 2 3 6" xfId="36388"/>
    <cellStyle name="Total 2 2 3 6 2" xfId="36389"/>
    <cellStyle name="Total 2 2 3 6 2 2" xfId="36390"/>
    <cellStyle name="Total 2 2 3 6 2 3" xfId="36391"/>
    <cellStyle name="Total 2 2 3 6 2 4" xfId="36392"/>
    <cellStyle name="Total 2 2 3 6 3" xfId="36393"/>
    <cellStyle name="Total 2 2 3 6 3 2" xfId="36394"/>
    <cellStyle name="Total 2 2 3 6 3 3" xfId="36395"/>
    <cellStyle name="Total 2 2 3 6 3 4" xfId="36396"/>
    <cellStyle name="Total 2 2 3 6 4" xfId="36397"/>
    <cellStyle name="Total 2 2 3 6 5" xfId="36398"/>
    <cellStyle name="Total 2 2 3 6 6" xfId="36399"/>
    <cellStyle name="Total 2 2 3 6 7" xfId="36400"/>
    <cellStyle name="Total 2 2 3 7" xfId="36401"/>
    <cellStyle name="Total 2 2 3 7 2" xfId="36402"/>
    <cellStyle name="Total 2 2 3 7 2 2" xfId="36403"/>
    <cellStyle name="Total 2 2 3 7 2 3" xfId="36404"/>
    <cellStyle name="Total 2 2 3 7 2 4" xfId="36405"/>
    <cellStyle name="Total 2 2 3 7 3" xfId="36406"/>
    <cellStyle name="Total 2 2 3 7 3 2" xfId="36407"/>
    <cellStyle name="Total 2 2 3 7 3 3" xfId="36408"/>
    <cellStyle name="Total 2 2 3 7 3 4" xfId="36409"/>
    <cellStyle name="Total 2 2 3 7 4" xfId="36410"/>
    <cellStyle name="Total 2 2 3 7 5" xfId="36411"/>
    <cellStyle name="Total 2 2 3 7 6" xfId="36412"/>
    <cellStyle name="Total 2 2 3 7 7" xfId="36413"/>
    <cellStyle name="Total 2 2 3 8" xfId="36414"/>
    <cellStyle name="Total 2 2 3 8 2" xfId="36415"/>
    <cellStyle name="Total 2 2 3 8 2 2" xfId="36416"/>
    <cellStyle name="Total 2 2 3 8 2 3" xfId="36417"/>
    <cellStyle name="Total 2 2 3 8 2 4" xfId="36418"/>
    <cellStyle name="Total 2 2 3 8 3" xfId="36419"/>
    <cellStyle name="Total 2 2 3 8 4" xfId="36420"/>
    <cellStyle name="Total 2 2 3 8 5" xfId="36421"/>
    <cellStyle name="Total 2 2 3 8 6" xfId="36422"/>
    <cellStyle name="Total 2 2 3 9" xfId="36423"/>
    <cellStyle name="Total 2 2 3 9 2" xfId="36424"/>
    <cellStyle name="Total 2 2 3 9 3" xfId="36425"/>
    <cellStyle name="Total 2 2 3 9 4" xfId="36426"/>
    <cellStyle name="Total 2 2 3 9 5" xfId="36427"/>
    <cellStyle name="Total 2 2 3 9 6" xfId="36428"/>
    <cellStyle name="Total 2 2 30" xfId="36429"/>
    <cellStyle name="Total 2 2 31" xfId="36430"/>
    <cellStyle name="Total 2 2 32" xfId="36431"/>
    <cellStyle name="Total 2 2 33" xfId="36432"/>
    <cellStyle name="Total 2 2 34" xfId="36433"/>
    <cellStyle name="Total 2 2 35" xfId="36434"/>
    <cellStyle name="Total 2 2 36" xfId="36435"/>
    <cellStyle name="Total 2 2 37" xfId="58495"/>
    <cellStyle name="Total 2 2 38" xfId="58496"/>
    <cellStyle name="Total 2 2 39" xfId="58497"/>
    <cellStyle name="Total 2 2 4" xfId="993"/>
    <cellStyle name="Total 2 2 4 10" xfId="36436"/>
    <cellStyle name="Total 2 2 4 10 2" xfId="36437"/>
    <cellStyle name="Total 2 2 4 10 3" xfId="36438"/>
    <cellStyle name="Total 2 2 4 10 4" xfId="36439"/>
    <cellStyle name="Total 2 2 4 11" xfId="36440"/>
    <cellStyle name="Total 2 2 4 11 2" xfId="36441"/>
    <cellStyle name="Total 2 2 4 11 3" xfId="36442"/>
    <cellStyle name="Total 2 2 4 11 4" xfId="36443"/>
    <cellStyle name="Total 2 2 4 12" xfId="36444"/>
    <cellStyle name="Total 2 2 4 12 2" xfId="36445"/>
    <cellStyle name="Total 2 2 4 12 3" xfId="36446"/>
    <cellStyle name="Total 2 2 4 12 4" xfId="36447"/>
    <cellStyle name="Total 2 2 4 13" xfId="36448"/>
    <cellStyle name="Total 2 2 4 13 2" xfId="36449"/>
    <cellStyle name="Total 2 2 4 13 3" xfId="36450"/>
    <cellStyle name="Total 2 2 4 13 4" xfId="36451"/>
    <cellStyle name="Total 2 2 4 14" xfId="36452"/>
    <cellStyle name="Total 2 2 4 14 2" xfId="36453"/>
    <cellStyle name="Total 2 2 4 15" xfId="36454"/>
    <cellStyle name="Total 2 2 4 16" xfId="36455"/>
    <cellStyle name="Total 2 2 4 16 2" xfId="36456"/>
    <cellStyle name="Total 2 2 4 17" xfId="36457"/>
    <cellStyle name="Total 2 2 4 2" xfId="994"/>
    <cellStyle name="Total 2 2 4 2 10" xfId="36458"/>
    <cellStyle name="Total 2 2 4 2 11" xfId="36459"/>
    <cellStyle name="Total 2 2 4 2 12" xfId="36460"/>
    <cellStyle name="Total 2 2 4 2 2" xfId="36461"/>
    <cellStyle name="Total 2 2 4 2 2 10" xfId="36462"/>
    <cellStyle name="Total 2 2 4 2 2 11" xfId="36463"/>
    <cellStyle name="Total 2 2 4 2 2 2" xfId="36464"/>
    <cellStyle name="Total 2 2 4 2 2 2 2" xfId="36465"/>
    <cellStyle name="Total 2 2 4 2 2 2 2 2" xfId="36466"/>
    <cellStyle name="Total 2 2 4 2 2 2 2 2 2" xfId="36467"/>
    <cellStyle name="Total 2 2 4 2 2 2 2 2 3" xfId="36468"/>
    <cellStyle name="Total 2 2 4 2 2 2 2 2 4" xfId="36469"/>
    <cellStyle name="Total 2 2 4 2 2 2 2 3" xfId="36470"/>
    <cellStyle name="Total 2 2 4 2 2 2 2 4" xfId="36471"/>
    <cellStyle name="Total 2 2 4 2 2 2 2 5" xfId="36472"/>
    <cellStyle name="Total 2 2 4 2 2 2 2 6" xfId="36473"/>
    <cellStyle name="Total 2 2 4 2 2 2 3" xfId="36474"/>
    <cellStyle name="Total 2 2 4 2 2 2 3 2" xfId="36475"/>
    <cellStyle name="Total 2 2 4 2 2 2 3 3" xfId="36476"/>
    <cellStyle name="Total 2 2 4 2 2 2 3 4" xfId="36477"/>
    <cellStyle name="Total 2 2 4 2 2 2 4" xfId="36478"/>
    <cellStyle name="Total 2 2 4 2 2 2 5" xfId="36479"/>
    <cellStyle name="Total 2 2 4 2 2 2 6" xfId="36480"/>
    <cellStyle name="Total 2 2 4 2 2 2 7" xfId="36481"/>
    <cellStyle name="Total 2 2 4 2 2 3" xfId="36482"/>
    <cellStyle name="Total 2 2 4 2 2 3 2" xfId="36483"/>
    <cellStyle name="Total 2 2 4 2 2 3 2 2" xfId="36484"/>
    <cellStyle name="Total 2 2 4 2 2 3 2 3" xfId="36485"/>
    <cellStyle name="Total 2 2 4 2 2 3 2 4" xfId="36486"/>
    <cellStyle name="Total 2 2 4 2 2 3 3" xfId="36487"/>
    <cellStyle name="Total 2 2 4 2 2 3 4" xfId="36488"/>
    <cellStyle name="Total 2 2 4 2 2 3 5" xfId="36489"/>
    <cellStyle name="Total 2 2 4 2 2 3 6" xfId="36490"/>
    <cellStyle name="Total 2 2 4 2 2 4" xfId="36491"/>
    <cellStyle name="Total 2 2 4 2 2 4 2" xfId="36492"/>
    <cellStyle name="Total 2 2 4 2 2 4 3" xfId="36493"/>
    <cellStyle name="Total 2 2 4 2 2 4 4" xfId="36494"/>
    <cellStyle name="Total 2 2 4 2 2 4 5" xfId="36495"/>
    <cellStyle name="Total 2 2 4 2 2 5" xfId="36496"/>
    <cellStyle name="Total 2 2 4 2 2 5 2" xfId="36497"/>
    <cellStyle name="Total 2 2 4 2 2 5 3" xfId="36498"/>
    <cellStyle name="Total 2 2 4 2 2 5 4" xfId="36499"/>
    <cellStyle name="Total 2 2 4 2 2 6" xfId="36500"/>
    <cellStyle name="Total 2 2 4 2 2 6 2" xfId="36501"/>
    <cellStyle name="Total 2 2 4 2 2 6 3" xfId="36502"/>
    <cellStyle name="Total 2 2 4 2 2 6 4" xfId="36503"/>
    <cellStyle name="Total 2 2 4 2 2 7" xfId="36504"/>
    <cellStyle name="Total 2 2 4 2 2 7 2" xfId="36505"/>
    <cellStyle name="Total 2 2 4 2 2 7 3" xfId="36506"/>
    <cellStyle name="Total 2 2 4 2 2 7 4" xfId="36507"/>
    <cellStyle name="Total 2 2 4 2 2 8" xfId="36508"/>
    <cellStyle name="Total 2 2 4 2 2 9" xfId="36509"/>
    <cellStyle name="Total 2 2 4 2 3" xfId="36510"/>
    <cellStyle name="Total 2 2 4 2 3 2" xfId="36511"/>
    <cellStyle name="Total 2 2 4 2 3 2 2" xfId="36512"/>
    <cellStyle name="Total 2 2 4 2 3 2 2 2" xfId="36513"/>
    <cellStyle name="Total 2 2 4 2 3 2 2 3" xfId="36514"/>
    <cellStyle name="Total 2 2 4 2 3 2 2 4" xfId="36515"/>
    <cellStyle name="Total 2 2 4 2 3 2 3" xfId="36516"/>
    <cellStyle name="Total 2 2 4 2 3 2 4" xfId="36517"/>
    <cellStyle name="Total 2 2 4 2 3 2 5" xfId="36518"/>
    <cellStyle name="Total 2 2 4 2 3 2 6" xfId="36519"/>
    <cellStyle name="Total 2 2 4 2 3 3" xfId="36520"/>
    <cellStyle name="Total 2 2 4 2 3 3 2" xfId="36521"/>
    <cellStyle name="Total 2 2 4 2 3 3 3" xfId="36522"/>
    <cellStyle name="Total 2 2 4 2 3 3 4" xfId="36523"/>
    <cellStyle name="Total 2 2 4 2 3 4" xfId="36524"/>
    <cellStyle name="Total 2 2 4 2 3 5" xfId="36525"/>
    <cellStyle name="Total 2 2 4 2 3 6" xfId="36526"/>
    <cellStyle name="Total 2 2 4 2 3 7" xfId="36527"/>
    <cellStyle name="Total 2 2 4 2 4" xfId="36528"/>
    <cellStyle name="Total 2 2 4 2 4 2" xfId="36529"/>
    <cellStyle name="Total 2 2 4 2 4 2 2" xfId="36530"/>
    <cellStyle name="Total 2 2 4 2 4 2 3" xfId="36531"/>
    <cellStyle name="Total 2 2 4 2 4 2 4" xfId="36532"/>
    <cellStyle name="Total 2 2 4 2 4 3" xfId="36533"/>
    <cellStyle name="Total 2 2 4 2 4 4" xfId="36534"/>
    <cellStyle name="Total 2 2 4 2 4 5" xfId="36535"/>
    <cellStyle name="Total 2 2 4 2 4 6" xfId="36536"/>
    <cellStyle name="Total 2 2 4 2 5" xfId="36537"/>
    <cellStyle name="Total 2 2 4 2 5 2" xfId="36538"/>
    <cellStyle name="Total 2 2 4 2 5 3" xfId="36539"/>
    <cellStyle name="Total 2 2 4 2 5 4" xfId="36540"/>
    <cellStyle name="Total 2 2 4 2 5 5" xfId="36541"/>
    <cellStyle name="Total 2 2 4 2 6" xfId="36542"/>
    <cellStyle name="Total 2 2 4 2 6 2" xfId="36543"/>
    <cellStyle name="Total 2 2 4 2 6 3" xfId="36544"/>
    <cellStyle name="Total 2 2 4 2 6 4" xfId="36545"/>
    <cellStyle name="Total 2 2 4 2 7" xfId="36546"/>
    <cellStyle name="Total 2 2 4 2 7 2" xfId="36547"/>
    <cellStyle name="Total 2 2 4 2 7 3" xfId="36548"/>
    <cellStyle name="Total 2 2 4 2 7 4" xfId="36549"/>
    <cellStyle name="Total 2 2 4 2 8" xfId="36550"/>
    <cellStyle name="Total 2 2 4 2 8 2" xfId="36551"/>
    <cellStyle name="Total 2 2 4 2 8 3" xfId="36552"/>
    <cellStyle name="Total 2 2 4 2 8 4" xfId="36553"/>
    <cellStyle name="Total 2 2 4 2 9" xfId="36554"/>
    <cellStyle name="Total 2 2 4 3" xfId="995"/>
    <cellStyle name="Total 2 2 4 3 10" xfId="36555"/>
    <cellStyle name="Total 2 2 4 3 11" xfId="36556"/>
    <cellStyle name="Total 2 2 4 3 2" xfId="36557"/>
    <cellStyle name="Total 2 2 4 3 2 2" xfId="36558"/>
    <cellStyle name="Total 2 2 4 3 2 2 2" xfId="36559"/>
    <cellStyle name="Total 2 2 4 3 2 2 2 2" xfId="36560"/>
    <cellStyle name="Total 2 2 4 3 2 2 2 3" xfId="36561"/>
    <cellStyle name="Total 2 2 4 3 2 2 2 4" xfId="36562"/>
    <cellStyle name="Total 2 2 4 3 2 2 3" xfId="36563"/>
    <cellStyle name="Total 2 2 4 3 2 2 4" xfId="36564"/>
    <cellStyle name="Total 2 2 4 3 2 2 5" xfId="36565"/>
    <cellStyle name="Total 2 2 4 3 2 2 6" xfId="36566"/>
    <cellStyle name="Total 2 2 4 3 2 3" xfId="36567"/>
    <cellStyle name="Total 2 2 4 3 2 3 2" xfId="36568"/>
    <cellStyle name="Total 2 2 4 3 2 3 3" xfId="36569"/>
    <cellStyle name="Total 2 2 4 3 2 3 4" xfId="36570"/>
    <cellStyle name="Total 2 2 4 3 2 4" xfId="36571"/>
    <cellStyle name="Total 2 2 4 3 2 5" xfId="36572"/>
    <cellStyle name="Total 2 2 4 3 2 6" xfId="36573"/>
    <cellStyle name="Total 2 2 4 3 2 7" xfId="36574"/>
    <cellStyle name="Total 2 2 4 3 3" xfId="36575"/>
    <cellStyle name="Total 2 2 4 3 3 2" xfId="36576"/>
    <cellStyle name="Total 2 2 4 3 3 2 2" xfId="36577"/>
    <cellStyle name="Total 2 2 4 3 3 2 3" xfId="36578"/>
    <cellStyle name="Total 2 2 4 3 3 2 4" xfId="36579"/>
    <cellStyle name="Total 2 2 4 3 3 3" xfId="36580"/>
    <cellStyle name="Total 2 2 4 3 3 4" xfId="36581"/>
    <cellStyle name="Total 2 2 4 3 3 5" xfId="36582"/>
    <cellStyle name="Total 2 2 4 3 3 6" xfId="36583"/>
    <cellStyle name="Total 2 2 4 3 4" xfId="36584"/>
    <cellStyle name="Total 2 2 4 3 4 2" xfId="36585"/>
    <cellStyle name="Total 2 2 4 3 4 3" xfId="36586"/>
    <cellStyle name="Total 2 2 4 3 4 4" xfId="36587"/>
    <cellStyle name="Total 2 2 4 3 4 5" xfId="36588"/>
    <cellStyle name="Total 2 2 4 3 5" xfId="36589"/>
    <cellStyle name="Total 2 2 4 3 5 2" xfId="36590"/>
    <cellStyle name="Total 2 2 4 3 5 3" xfId="36591"/>
    <cellStyle name="Total 2 2 4 3 5 4" xfId="36592"/>
    <cellStyle name="Total 2 2 4 3 6" xfId="36593"/>
    <cellStyle name="Total 2 2 4 3 6 2" xfId="36594"/>
    <cellStyle name="Total 2 2 4 3 6 3" xfId="36595"/>
    <cellStyle name="Total 2 2 4 3 6 4" xfId="36596"/>
    <cellStyle name="Total 2 2 4 3 7" xfId="36597"/>
    <cellStyle name="Total 2 2 4 3 7 2" xfId="36598"/>
    <cellStyle name="Total 2 2 4 3 7 3" xfId="36599"/>
    <cellStyle name="Total 2 2 4 3 7 4" xfId="36600"/>
    <cellStyle name="Total 2 2 4 3 8" xfId="36601"/>
    <cellStyle name="Total 2 2 4 3 9" xfId="36602"/>
    <cellStyle name="Total 2 2 4 4" xfId="36603"/>
    <cellStyle name="Total 2 2 4 4 2" xfId="36604"/>
    <cellStyle name="Total 2 2 4 4 2 2" xfId="36605"/>
    <cellStyle name="Total 2 2 4 4 2 2 2" xfId="36606"/>
    <cellStyle name="Total 2 2 4 4 2 2 3" xfId="36607"/>
    <cellStyle name="Total 2 2 4 4 2 2 4" xfId="36608"/>
    <cellStyle name="Total 2 2 4 4 2 3" xfId="36609"/>
    <cellStyle name="Total 2 2 4 4 2 4" xfId="36610"/>
    <cellStyle name="Total 2 2 4 4 2 5" xfId="36611"/>
    <cellStyle name="Total 2 2 4 4 2 6" xfId="36612"/>
    <cellStyle name="Total 2 2 4 4 3" xfId="36613"/>
    <cellStyle name="Total 2 2 4 4 3 2" xfId="36614"/>
    <cellStyle name="Total 2 2 4 4 3 3" xfId="36615"/>
    <cellStyle name="Total 2 2 4 4 3 4" xfId="36616"/>
    <cellStyle name="Total 2 2 4 4 4" xfId="36617"/>
    <cellStyle name="Total 2 2 4 4 5" xfId="36618"/>
    <cellStyle name="Total 2 2 4 4 6" xfId="36619"/>
    <cellStyle name="Total 2 2 4 4 7" xfId="36620"/>
    <cellStyle name="Total 2 2 4 5" xfId="36621"/>
    <cellStyle name="Total 2 2 4 5 2" xfId="36622"/>
    <cellStyle name="Total 2 2 4 5 2 2" xfId="36623"/>
    <cellStyle name="Total 2 2 4 5 2 3" xfId="36624"/>
    <cellStyle name="Total 2 2 4 5 2 4" xfId="36625"/>
    <cellStyle name="Total 2 2 4 5 3" xfId="36626"/>
    <cellStyle name="Total 2 2 4 5 3 2" xfId="36627"/>
    <cellStyle name="Total 2 2 4 5 3 3" xfId="36628"/>
    <cellStyle name="Total 2 2 4 5 3 4" xfId="36629"/>
    <cellStyle name="Total 2 2 4 5 4" xfId="36630"/>
    <cellStyle name="Total 2 2 4 5 5" xfId="36631"/>
    <cellStyle name="Total 2 2 4 5 6" xfId="36632"/>
    <cellStyle name="Total 2 2 4 5 7" xfId="36633"/>
    <cellStyle name="Total 2 2 4 6" xfId="36634"/>
    <cellStyle name="Total 2 2 4 6 2" xfId="36635"/>
    <cellStyle name="Total 2 2 4 6 2 2" xfId="36636"/>
    <cellStyle name="Total 2 2 4 6 2 3" xfId="36637"/>
    <cellStyle name="Total 2 2 4 6 2 4" xfId="36638"/>
    <cellStyle name="Total 2 2 4 6 3" xfId="36639"/>
    <cellStyle name="Total 2 2 4 6 3 2" xfId="36640"/>
    <cellStyle name="Total 2 2 4 6 3 3" xfId="36641"/>
    <cellStyle name="Total 2 2 4 6 3 4" xfId="36642"/>
    <cellStyle name="Total 2 2 4 6 4" xfId="36643"/>
    <cellStyle name="Total 2 2 4 6 5" xfId="36644"/>
    <cellStyle name="Total 2 2 4 6 6" xfId="36645"/>
    <cellStyle name="Total 2 2 4 6 7" xfId="36646"/>
    <cellStyle name="Total 2 2 4 7" xfId="36647"/>
    <cellStyle name="Total 2 2 4 7 2" xfId="36648"/>
    <cellStyle name="Total 2 2 4 7 2 2" xfId="36649"/>
    <cellStyle name="Total 2 2 4 7 2 3" xfId="36650"/>
    <cellStyle name="Total 2 2 4 7 2 4" xfId="36651"/>
    <cellStyle name="Total 2 2 4 7 3" xfId="36652"/>
    <cellStyle name="Total 2 2 4 7 3 2" xfId="36653"/>
    <cellStyle name="Total 2 2 4 7 3 3" xfId="36654"/>
    <cellStyle name="Total 2 2 4 7 3 4" xfId="36655"/>
    <cellStyle name="Total 2 2 4 7 4" xfId="36656"/>
    <cellStyle name="Total 2 2 4 7 5" xfId="36657"/>
    <cellStyle name="Total 2 2 4 7 6" xfId="36658"/>
    <cellStyle name="Total 2 2 4 7 7" xfId="36659"/>
    <cellStyle name="Total 2 2 4 8" xfId="36660"/>
    <cellStyle name="Total 2 2 4 8 2" xfId="36661"/>
    <cellStyle name="Total 2 2 4 8 2 2" xfId="36662"/>
    <cellStyle name="Total 2 2 4 8 2 3" xfId="36663"/>
    <cellStyle name="Total 2 2 4 8 2 4" xfId="36664"/>
    <cellStyle name="Total 2 2 4 8 3" xfId="36665"/>
    <cellStyle name="Total 2 2 4 8 4" xfId="36666"/>
    <cellStyle name="Total 2 2 4 8 5" xfId="36667"/>
    <cellStyle name="Total 2 2 4 8 6" xfId="36668"/>
    <cellStyle name="Total 2 2 4 9" xfId="36669"/>
    <cellStyle name="Total 2 2 4 9 2" xfId="36670"/>
    <cellStyle name="Total 2 2 4 9 3" xfId="36671"/>
    <cellStyle name="Total 2 2 4 9 4" xfId="36672"/>
    <cellStyle name="Total 2 2 4 9 5" xfId="36673"/>
    <cellStyle name="Total 2 2 40" xfId="58498"/>
    <cellStyle name="Total 2 2 5" xfId="996"/>
    <cellStyle name="Total 2 2 5 10" xfId="36674"/>
    <cellStyle name="Total 2 2 5 10 2" xfId="36675"/>
    <cellStyle name="Total 2 2 5 10 3" xfId="36676"/>
    <cellStyle name="Total 2 2 5 10 4" xfId="36677"/>
    <cellStyle name="Total 2 2 5 11" xfId="36678"/>
    <cellStyle name="Total 2 2 5 11 2" xfId="36679"/>
    <cellStyle name="Total 2 2 5 11 3" xfId="36680"/>
    <cellStyle name="Total 2 2 5 11 4" xfId="36681"/>
    <cellStyle name="Total 2 2 5 12" xfId="36682"/>
    <cellStyle name="Total 2 2 5 12 2" xfId="36683"/>
    <cellStyle name="Total 2 2 5 12 3" xfId="36684"/>
    <cellStyle name="Total 2 2 5 12 4" xfId="36685"/>
    <cellStyle name="Total 2 2 5 13" xfId="36686"/>
    <cellStyle name="Total 2 2 5 13 2" xfId="36687"/>
    <cellStyle name="Total 2 2 5 13 3" xfId="36688"/>
    <cellStyle name="Total 2 2 5 13 4" xfId="36689"/>
    <cellStyle name="Total 2 2 5 14" xfId="36690"/>
    <cellStyle name="Total 2 2 5 14 2" xfId="36691"/>
    <cellStyle name="Total 2 2 5 15" xfId="36692"/>
    <cellStyle name="Total 2 2 5 16" xfId="36693"/>
    <cellStyle name="Total 2 2 5 16 2" xfId="36694"/>
    <cellStyle name="Total 2 2 5 17" xfId="36695"/>
    <cellStyle name="Total 2 2 5 2" xfId="997"/>
    <cellStyle name="Total 2 2 5 2 10" xfId="36696"/>
    <cellStyle name="Total 2 2 5 2 11" xfId="36697"/>
    <cellStyle name="Total 2 2 5 2 12" xfId="36698"/>
    <cellStyle name="Total 2 2 5 2 2" xfId="36699"/>
    <cellStyle name="Total 2 2 5 2 2 10" xfId="36700"/>
    <cellStyle name="Total 2 2 5 2 2 11" xfId="36701"/>
    <cellStyle name="Total 2 2 5 2 2 2" xfId="36702"/>
    <cellStyle name="Total 2 2 5 2 2 2 2" xfId="36703"/>
    <cellStyle name="Total 2 2 5 2 2 2 2 2" xfId="36704"/>
    <cellStyle name="Total 2 2 5 2 2 2 2 2 2" xfId="36705"/>
    <cellStyle name="Total 2 2 5 2 2 2 2 2 3" xfId="36706"/>
    <cellStyle name="Total 2 2 5 2 2 2 2 2 4" xfId="36707"/>
    <cellStyle name="Total 2 2 5 2 2 2 2 3" xfId="36708"/>
    <cellStyle name="Total 2 2 5 2 2 2 2 4" xfId="36709"/>
    <cellStyle name="Total 2 2 5 2 2 2 2 5" xfId="36710"/>
    <cellStyle name="Total 2 2 5 2 2 2 2 6" xfId="36711"/>
    <cellStyle name="Total 2 2 5 2 2 2 3" xfId="36712"/>
    <cellStyle name="Total 2 2 5 2 2 2 3 2" xfId="36713"/>
    <cellStyle name="Total 2 2 5 2 2 2 3 3" xfId="36714"/>
    <cellStyle name="Total 2 2 5 2 2 2 3 4" xfId="36715"/>
    <cellStyle name="Total 2 2 5 2 2 2 4" xfId="36716"/>
    <cellStyle name="Total 2 2 5 2 2 2 5" xfId="36717"/>
    <cellStyle name="Total 2 2 5 2 2 2 6" xfId="36718"/>
    <cellStyle name="Total 2 2 5 2 2 2 7" xfId="36719"/>
    <cellStyle name="Total 2 2 5 2 2 3" xfId="36720"/>
    <cellStyle name="Total 2 2 5 2 2 3 2" xfId="36721"/>
    <cellStyle name="Total 2 2 5 2 2 3 2 2" xfId="36722"/>
    <cellStyle name="Total 2 2 5 2 2 3 2 3" xfId="36723"/>
    <cellStyle name="Total 2 2 5 2 2 3 2 4" xfId="36724"/>
    <cellStyle name="Total 2 2 5 2 2 3 3" xfId="36725"/>
    <cellStyle name="Total 2 2 5 2 2 3 4" xfId="36726"/>
    <cellStyle name="Total 2 2 5 2 2 3 5" xfId="36727"/>
    <cellStyle name="Total 2 2 5 2 2 3 6" xfId="36728"/>
    <cellStyle name="Total 2 2 5 2 2 4" xfId="36729"/>
    <cellStyle name="Total 2 2 5 2 2 4 2" xfId="36730"/>
    <cellStyle name="Total 2 2 5 2 2 4 3" xfId="36731"/>
    <cellStyle name="Total 2 2 5 2 2 4 4" xfId="36732"/>
    <cellStyle name="Total 2 2 5 2 2 4 5" xfId="36733"/>
    <cellStyle name="Total 2 2 5 2 2 5" xfId="36734"/>
    <cellStyle name="Total 2 2 5 2 2 5 2" xfId="36735"/>
    <cellStyle name="Total 2 2 5 2 2 5 3" xfId="36736"/>
    <cellStyle name="Total 2 2 5 2 2 5 4" xfId="36737"/>
    <cellStyle name="Total 2 2 5 2 2 6" xfId="36738"/>
    <cellStyle name="Total 2 2 5 2 2 6 2" xfId="36739"/>
    <cellStyle name="Total 2 2 5 2 2 6 3" xfId="36740"/>
    <cellStyle name="Total 2 2 5 2 2 6 4" xfId="36741"/>
    <cellStyle name="Total 2 2 5 2 2 7" xfId="36742"/>
    <cellStyle name="Total 2 2 5 2 2 7 2" xfId="36743"/>
    <cellStyle name="Total 2 2 5 2 2 7 3" xfId="36744"/>
    <cellStyle name="Total 2 2 5 2 2 7 4" xfId="36745"/>
    <cellStyle name="Total 2 2 5 2 2 8" xfId="36746"/>
    <cellStyle name="Total 2 2 5 2 2 9" xfId="36747"/>
    <cellStyle name="Total 2 2 5 2 3" xfId="36748"/>
    <cellStyle name="Total 2 2 5 2 3 2" xfId="36749"/>
    <cellStyle name="Total 2 2 5 2 3 2 2" xfId="36750"/>
    <cellStyle name="Total 2 2 5 2 3 2 2 2" xfId="36751"/>
    <cellStyle name="Total 2 2 5 2 3 2 2 3" xfId="36752"/>
    <cellStyle name="Total 2 2 5 2 3 2 2 4" xfId="36753"/>
    <cellStyle name="Total 2 2 5 2 3 2 3" xfId="36754"/>
    <cellStyle name="Total 2 2 5 2 3 2 4" xfId="36755"/>
    <cellStyle name="Total 2 2 5 2 3 2 5" xfId="36756"/>
    <cellStyle name="Total 2 2 5 2 3 2 6" xfId="36757"/>
    <cellStyle name="Total 2 2 5 2 3 3" xfId="36758"/>
    <cellStyle name="Total 2 2 5 2 3 3 2" xfId="36759"/>
    <cellStyle name="Total 2 2 5 2 3 3 3" xfId="36760"/>
    <cellStyle name="Total 2 2 5 2 3 3 4" xfId="36761"/>
    <cellStyle name="Total 2 2 5 2 3 4" xfId="36762"/>
    <cellStyle name="Total 2 2 5 2 3 5" xfId="36763"/>
    <cellStyle name="Total 2 2 5 2 3 6" xfId="36764"/>
    <cellStyle name="Total 2 2 5 2 3 7" xfId="36765"/>
    <cellStyle name="Total 2 2 5 2 4" xfId="36766"/>
    <cellStyle name="Total 2 2 5 2 4 2" xfId="36767"/>
    <cellStyle name="Total 2 2 5 2 4 2 2" xfId="36768"/>
    <cellStyle name="Total 2 2 5 2 4 2 3" xfId="36769"/>
    <cellStyle name="Total 2 2 5 2 4 2 4" xfId="36770"/>
    <cellStyle name="Total 2 2 5 2 4 3" xfId="36771"/>
    <cellStyle name="Total 2 2 5 2 4 4" xfId="36772"/>
    <cellStyle name="Total 2 2 5 2 4 5" xfId="36773"/>
    <cellStyle name="Total 2 2 5 2 4 6" xfId="36774"/>
    <cellStyle name="Total 2 2 5 2 5" xfId="36775"/>
    <cellStyle name="Total 2 2 5 2 5 2" xfId="36776"/>
    <cellStyle name="Total 2 2 5 2 5 3" xfId="36777"/>
    <cellStyle name="Total 2 2 5 2 5 4" xfId="36778"/>
    <cellStyle name="Total 2 2 5 2 5 5" xfId="36779"/>
    <cellStyle name="Total 2 2 5 2 6" xfId="36780"/>
    <cellStyle name="Total 2 2 5 2 6 2" xfId="36781"/>
    <cellStyle name="Total 2 2 5 2 6 3" xfId="36782"/>
    <cellStyle name="Total 2 2 5 2 6 4" xfId="36783"/>
    <cellStyle name="Total 2 2 5 2 7" xfId="36784"/>
    <cellStyle name="Total 2 2 5 2 7 2" xfId="36785"/>
    <cellStyle name="Total 2 2 5 2 7 3" xfId="36786"/>
    <cellStyle name="Total 2 2 5 2 7 4" xfId="36787"/>
    <cellStyle name="Total 2 2 5 2 8" xfId="36788"/>
    <cellStyle name="Total 2 2 5 2 8 2" xfId="36789"/>
    <cellStyle name="Total 2 2 5 2 8 3" xfId="36790"/>
    <cellStyle name="Total 2 2 5 2 8 4" xfId="36791"/>
    <cellStyle name="Total 2 2 5 2 9" xfId="36792"/>
    <cellStyle name="Total 2 2 5 3" xfId="998"/>
    <cellStyle name="Total 2 2 5 3 10" xfId="36793"/>
    <cellStyle name="Total 2 2 5 3 11" xfId="36794"/>
    <cellStyle name="Total 2 2 5 3 2" xfId="36795"/>
    <cellStyle name="Total 2 2 5 3 2 2" xfId="36796"/>
    <cellStyle name="Total 2 2 5 3 2 2 2" xfId="36797"/>
    <cellStyle name="Total 2 2 5 3 2 2 2 2" xfId="36798"/>
    <cellStyle name="Total 2 2 5 3 2 2 2 3" xfId="36799"/>
    <cellStyle name="Total 2 2 5 3 2 2 2 4" xfId="36800"/>
    <cellStyle name="Total 2 2 5 3 2 2 3" xfId="36801"/>
    <cellStyle name="Total 2 2 5 3 2 2 4" xfId="36802"/>
    <cellStyle name="Total 2 2 5 3 2 2 5" xfId="36803"/>
    <cellStyle name="Total 2 2 5 3 2 2 6" xfId="36804"/>
    <cellStyle name="Total 2 2 5 3 2 3" xfId="36805"/>
    <cellStyle name="Total 2 2 5 3 2 3 2" xfId="36806"/>
    <cellStyle name="Total 2 2 5 3 2 3 3" xfId="36807"/>
    <cellStyle name="Total 2 2 5 3 2 3 4" xfId="36808"/>
    <cellStyle name="Total 2 2 5 3 2 4" xfId="36809"/>
    <cellStyle name="Total 2 2 5 3 2 5" xfId="36810"/>
    <cellStyle name="Total 2 2 5 3 2 6" xfId="36811"/>
    <cellStyle name="Total 2 2 5 3 2 7" xfId="36812"/>
    <cellStyle name="Total 2 2 5 3 3" xfId="36813"/>
    <cellStyle name="Total 2 2 5 3 3 2" xfId="36814"/>
    <cellStyle name="Total 2 2 5 3 3 2 2" xfId="36815"/>
    <cellStyle name="Total 2 2 5 3 3 2 3" xfId="36816"/>
    <cellStyle name="Total 2 2 5 3 3 2 4" xfId="36817"/>
    <cellStyle name="Total 2 2 5 3 3 3" xfId="36818"/>
    <cellStyle name="Total 2 2 5 3 3 4" xfId="36819"/>
    <cellStyle name="Total 2 2 5 3 3 5" xfId="36820"/>
    <cellStyle name="Total 2 2 5 3 3 6" xfId="36821"/>
    <cellStyle name="Total 2 2 5 3 4" xfId="36822"/>
    <cellStyle name="Total 2 2 5 3 4 2" xfId="36823"/>
    <cellStyle name="Total 2 2 5 3 4 3" xfId="36824"/>
    <cellStyle name="Total 2 2 5 3 4 4" xfId="36825"/>
    <cellStyle name="Total 2 2 5 3 4 5" xfId="36826"/>
    <cellStyle name="Total 2 2 5 3 5" xfId="36827"/>
    <cellStyle name="Total 2 2 5 3 5 2" xfId="36828"/>
    <cellStyle name="Total 2 2 5 3 5 3" xfId="36829"/>
    <cellStyle name="Total 2 2 5 3 5 4" xfId="36830"/>
    <cellStyle name="Total 2 2 5 3 6" xfId="36831"/>
    <cellStyle name="Total 2 2 5 3 6 2" xfId="36832"/>
    <cellStyle name="Total 2 2 5 3 6 3" xfId="36833"/>
    <cellStyle name="Total 2 2 5 3 6 4" xfId="36834"/>
    <cellStyle name="Total 2 2 5 3 7" xfId="36835"/>
    <cellStyle name="Total 2 2 5 3 7 2" xfId="36836"/>
    <cellStyle name="Total 2 2 5 3 7 3" xfId="36837"/>
    <cellStyle name="Total 2 2 5 3 7 4" xfId="36838"/>
    <cellStyle name="Total 2 2 5 3 8" xfId="36839"/>
    <cellStyle name="Total 2 2 5 3 9" xfId="36840"/>
    <cellStyle name="Total 2 2 5 4" xfId="36841"/>
    <cellStyle name="Total 2 2 5 4 2" xfId="36842"/>
    <cellStyle name="Total 2 2 5 4 2 2" xfId="36843"/>
    <cellStyle name="Total 2 2 5 4 2 2 2" xfId="36844"/>
    <cellStyle name="Total 2 2 5 4 2 2 3" xfId="36845"/>
    <cellStyle name="Total 2 2 5 4 2 2 4" xfId="36846"/>
    <cellStyle name="Total 2 2 5 4 2 3" xfId="36847"/>
    <cellStyle name="Total 2 2 5 4 2 4" xfId="36848"/>
    <cellStyle name="Total 2 2 5 4 2 5" xfId="36849"/>
    <cellStyle name="Total 2 2 5 4 2 6" xfId="36850"/>
    <cellStyle name="Total 2 2 5 4 3" xfId="36851"/>
    <cellStyle name="Total 2 2 5 4 3 2" xfId="36852"/>
    <cellStyle name="Total 2 2 5 4 3 3" xfId="36853"/>
    <cellStyle name="Total 2 2 5 4 3 4" xfId="36854"/>
    <cellStyle name="Total 2 2 5 4 4" xfId="36855"/>
    <cellStyle name="Total 2 2 5 4 5" xfId="36856"/>
    <cellStyle name="Total 2 2 5 4 6" xfId="36857"/>
    <cellStyle name="Total 2 2 5 4 7" xfId="36858"/>
    <cellStyle name="Total 2 2 5 5" xfId="36859"/>
    <cellStyle name="Total 2 2 5 5 2" xfId="36860"/>
    <cellStyle name="Total 2 2 5 5 2 2" xfId="36861"/>
    <cellStyle name="Total 2 2 5 5 2 3" xfId="36862"/>
    <cellStyle name="Total 2 2 5 5 2 4" xfId="36863"/>
    <cellStyle name="Total 2 2 5 5 3" xfId="36864"/>
    <cellStyle name="Total 2 2 5 5 3 2" xfId="36865"/>
    <cellStyle name="Total 2 2 5 5 3 3" xfId="36866"/>
    <cellStyle name="Total 2 2 5 5 3 4" xfId="36867"/>
    <cellStyle name="Total 2 2 5 5 4" xfId="36868"/>
    <cellStyle name="Total 2 2 5 5 5" xfId="36869"/>
    <cellStyle name="Total 2 2 5 5 6" xfId="36870"/>
    <cellStyle name="Total 2 2 5 5 7" xfId="36871"/>
    <cellStyle name="Total 2 2 5 6" xfId="36872"/>
    <cellStyle name="Total 2 2 5 6 2" xfId="36873"/>
    <cellStyle name="Total 2 2 5 6 2 2" xfId="36874"/>
    <cellStyle name="Total 2 2 5 6 2 3" xfId="36875"/>
    <cellStyle name="Total 2 2 5 6 2 4" xfId="36876"/>
    <cellStyle name="Total 2 2 5 6 3" xfId="36877"/>
    <cellStyle name="Total 2 2 5 6 3 2" xfId="36878"/>
    <cellStyle name="Total 2 2 5 6 3 3" xfId="36879"/>
    <cellStyle name="Total 2 2 5 6 3 4" xfId="36880"/>
    <cellStyle name="Total 2 2 5 6 4" xfId="36881"/>
    <cellStyle name="Total 2 2 5 6 5" xfId="36882"/>
    <cellStyle name="Total 2 2 5 6 6" xfId="36883"/>
    <cellStyle name="Total 2 2 5 6 7" xfId="36884"/>
    <cellStyle name="Total 2 2 5 7" xfId="36885"/>
    <cellStyle name="Total 2 2 5 7 2" xfId="36886"/>
    <cellStyle name="Total 2 2 5 7 2 2" xfId="36887"/>
    <cellStyle name="Total 2 2 5 7 2 3" xfId="36888"/>
    <cellStyle name="Total 2 2 5 7 2 4" xfId="36889"/>
    <cellStyle name="Total 2 2 5 7 3" xfId="36890"/>
    <cellStyle name="Total 2 2 5 7 3 2" xfId="36891"/>
    <cellStyle name="Total 2 2 5 7 3 3" xfId="36892"/>
    <cellStyle name="Total 2 2 5 7 3 4" xfId="36893"/>
    <cellStyle name="Total 2 2 5 7 4" xfId="36894"/>
    <cellStyle name="Total 2 2 5 7 5" xfId="36895"/>
    <cellStyle name="Total 2 2 5 7 6" xfId="36896"/>
    <cellStyle name="Total 2 2 5 7 7" xfId="36897"/>
    <cellStyle name="Total 2 2 5 8" xfId="36898"/>
    <cellStyle name="Total 2 2 5 8 2" xfId="36899"/>
    <cellStyle name="Total 2 2 5 8 2 2" xfId="36900"/>
    <cellStyle name="Total 2 2 5 8 2 3" xfId="36901"/>
    <cellStyle name="Total 2 2 5 8 2 4" xfId="36902"/>
    <cellStyle name="Total 2 2 5 8 3" xfId="36903"/>
    <cellStyle name="Total 2 2 5 8 4" xfId="36904"/>
    <cellStyle name="Total 2 2 5 8 5" xfId="36905"/>
    <cellStyle name="Total 2 2 5 8 6" xfId="36906"/>
    <cellStyle name="Total 2 2 5 9" xfId="36907"/>
    <cellStyle name="Total 2 2 5 9 2" xfId="36908"/>
    <cellStyle name="Total 2 2 5 9 3" xfId="36909"/>
    <cellStyle name="Total 2 2 5 9 4" xfId="36910"/>
    <cellStyle name="Total 2 2 5 9 5" xfId="36911"/>
    <cellStyle name="Total 2 2 6" xfId="999"/>
    <cellStyle name="Total 2 2 6 10" xfId="36912"/>
    <cellStyle name="Total 2 2 6 10 2" xfId="36913"/>
    <cellStyle name="Total 2 2 6 10 3" xfId="36914"/>
    <cellStyle name="Total 2 2 6 10 4" xfId="36915"/>
    <cellStyle name="Total 2 2 6 11" xfId="36916"/>
    <cellStyle name="Total 2 2 6 11 2" xfId="36917"/>
    <cellStyle name="Total 2 2 6 11 3" xfId="36918"/>
    <cellStyle name="Total 2 2 6 11 4" xfId="36919"/>
    <cellStyle name="Total 2 2 6 12" xfId="36920"/>
    <cellStyle name="Total 2 2 6 12 2" xfId="36921"/>
    <cellStyle name="Total 2 2 6 12 3" xfId="36922"/>
    <cellStyle name="Total 2 2 6 12 4" xfId="36923"/>
    <cellStyle name="Total 2 2 6 13" xfId="36924"/>
    <cellStyle name="Total 2 2 6 13 2" xfId="36925"/>
    <cellStyle name="Total 2 2 6 14" xfId="36926"/>
    <cellStyle name="Total 2 2 6 15" xfId="36927"/>
    <cellStyle name="Total 2 2 6 15 2" xfId="36928"/>
    <cellStyle name="Total 2 2 6 16" xfId="36929"/>
    <cellStyle name="Total 2 2 6 2" xfId="1000"/>
    <cellStyle name="Total 2 2 6 2 10" xfId="36930"/>
    <cellStyle name="Total 2 2 6 2 11" xfId="36931"/>
    <cellStyle name="Total 2 2 6 2 12" xfId="36932"/>
    <cellStyle name="Total 2 2 6 2 2" xfId="36933"/>
    <cellStyle name="Total 2 2 6 2 2 10" xfId="36934"/>
    <cellStyle name="Total 2 2 6 2 2 11" xfId="36935"/>
    <cellStyle name="Total 2 2 6 2 2 2" xfId="36936"/>
    <cellStyle name="Total 2 2 6 2 2 2 2" xfId="36937"/>
    <cellStyle name="Total 2 2 6 2 2 2 2 2" xfId="36938"/>
    <cellStyle name="Total 2 2 6 2 2 2 2 2 2" xfId="36939"/>
    <cellStyle name="Total 2 2 6 2 2 2 2 2 3" xfId="36940"/>
    <cellStyle name="Total 2 2 6 2 2 2 2 2 4" xfId="36941"/>
    <cellStyle name="Total 2 2 6 2 2 2 2 3" xfId="36942"/>
    <cellStyle name="Total 2 2 6 2 2 2 2 4" xfId="36943"/>
    <cellStyle name="Total 2 2 6 2 2 2 2 5" xfId="36944"/>
    <cellStyle name="Total 2 2 6 2 2 2 2 6" xfId="36945"/>
    <cellStyle name="Total 2 2 6 2 2 2 3" xfId="36946"/>
    <cellStyle name="Total 2 2 6 2 2 2 3 2" xfId="36947"/>
    <cellStyle name="Total 2 2 6 2 2 2 3 3" xfId="36948"/>
    <cellStyle name="Total 2 2 6 2 2 2 3 4" xfId="36949"/>
    <cellStyle name="Total 2 2 6 2 2 2 4" xfId="36950"/>
    <cellStyle name="Total 2 2 6 2 2 2 5" xfId="36951"/>
    <cellStyle name="Total 2 2 6 2 2 2 6" xfId="36952"/>
    <cellStyle name="Total 2 2 6 2 2 2 7" xfId="36953"/>
    <cellStyle name="Total 2 2 6 2 2 3" xfId="36954"/>
    <cellStyle name="Total 2 2 6 2 2 3 2" xfId="36955"/>
    <cellStyle name="Total 2 2 6 2 2 3 2 2" xfId="36956"/>
    <cellStyle name="Total 2 2 6 2 2 3 2 3" xfId="36957"/>
    <cellStyle name="Total 2 2 6 2 2 3 2 4" xfId="36958"/>
    <cellStyle name="Total 2 2 6 2 2 3 3" xfId="36959"/>
    <cellStyle name="Total 2 2 6 2 2 3 4" xfId="36960"/>
    <cellStyle name="Total 2 2 6 2 2 3 5" xfId="36961"/>
    <cellStyle name="Total 2 2 6 2 2 3 6" xfId="36962"/>
    <cellStyle name="Total 2 2 6 2 2 4" xfId="36963"/>
    <cellStyle name="Total 2 2 6 2 2 4 2" xfId="36964"/>
    <cellStyle name="Total 2 2 6 2 2 4 3" xfId="36965"/>
    <cellStyle name="Total 2 2 6 2 2 4 4" xfId="36966"/>
    <cellStyle name="Total 2 2 6 2 2 4 5" xfId="36967"/>
    <cellStyle name="Total 2 2 6 2 2 5" xfId="36968"/>
    <cellStyle name="Total 2 2 6 2 2 5 2" xfId="36969"/>
    <cellStyle name="Total 2 2 6 2 2 5 3" xfId="36970"/>
    <cellStyle name="Total 2 2 6 2 2 5 4" xfId="36971"/>
    <cellStyle name="Total 2 2 6 2 2 6" xfId="36972"/>
    <cellStyle name="Total 2 2 6 2 2 6 2" xfId="36973"/>
    <cellStyle name="Total 2 2 6 2 2 6 3" xfId="36974"/>
    <cellStyle name="Total 2 2 6 2 2 6 4" xfId="36975"/>
    <cellStyle name="Total 2 2 6 2 2 7" xfId="36976"/>
    <cellStyle name="Total 2 2 6 2 2 7 2" xfId="36977"/>
    <cellStyle name="Total 2 2 6 2 2 7 3" xfId="36978"/>
    <cellStyle name="Total 2 2 6 2 2 7 4" xfId="36979"/>
    <cellStyle name="Total 2 2 6 2 2 8" xfId="36980"/>
    <cellStyle name="Total 2 2 6 2 2 9" xfId="36981"/>
    <cellStyle name="Total 2 2 6 2 3" xfId="36982"/>
    <cellStyle name="Total 2 2 6 2 3 2" xfId="36983"/>
    <cellStyle name="Total 2 2 6 2 3 2 2" xfId="36984"/>
    <cellStyle name="Total 2 2 6 2 3 2 2 2" xfId="36985"/>
    <cellStyle name="Total 2 2 6 2 3 2 2 3" xfId="36986"/>
    <cellStyle name="Total 2 2 6 2 3 2 2 4" xfId="36987"/>
    <cellStyle name="Total 2 2 6 2 3 2 3" xfId="36988"/>
    <cellStyle name="Total 2 2 6 2 3 2 4" xfId="36989"/>
    <cellStyle name="Total 2 2 6 2 3 2 5" xfId="36990"/>
    <cellStyle name="Total 2 2 6 2 3 2 6" xfId="36991"/>
    <cellStyle name="Total 2 2 6 2 3 3" xfId="36992"/>
    <cellStyle name="Total 2 2 6 2 3 3 2" xfId="36993"/>
    <cellStyle name="Total 2 2 6 2 3 3 3" xfId="36994"/>
    <cellStyle name="Total 2 2 6 2 3 3 4" xfId="36995"/>
    <cellStyle name="Total 2 2 6 2 3 4" xfId="36996"/>
    <cellStyle name="Total 2 2 6 2 3 5" xfId="36997"/>
    <cellStyle name="Total 2 2 6 2 3 6" xfId="36998"/>
    <cellStyle name="Total 2 2 6 2 3 7" xfId="36999"/>
    <cellStyle name="Total 2 2 6 2 4" xfId="37000"/>
    <cellStyle name="Total 2 2 6 2 4 2" xfId="37001"/>
    <cellStyle name="Total 2 2 6 2 4 2 2" xfId="37002"/>
    <cellStyle name="Total 2 2 6 2 4 2 3" xfId="37003"/>
    <cellStyle name="Total 2 2 6 2 4 2 4" xfId="37004"/>
    <cellStyle name="Total 2 2 6 2 4 3" xfId="37005"/>
    <cellStyle name="Total 2 2 6 2 4 4" xfId="37006"/>
    <cellStyle name="Total 2 2 6 2 4 5" xfId="37007"/>
    <cellStyle name="Total 2 2 6 2 4 6" xfId="37008"/>
    <cellStyle name="Total 2 2 6 2 5" xfId="37009"/>
    <cellStyle name="Total 2 2 6 2 5 2" xfId="37010"/>
    <cellStyle name="Total 2 2 6 2 5 3" xfId="37011"/>
    <cellStyle name="Total 2 2 6 2 5 4" xfId="37012"/>
    <cellStyle name="Total 2 2 6 2 5 5" xfId="37013"/>
    <cellStyle name="Total 2 2 6 2 6" xfId="37014"/>
    <cellStyle name="Total 2 2 6 2 6 2" xfId="37015"/>
    <cellStyle name="Total 2 2 6 2 6 3" xfId="37016"/>
    <cellStyle name="Total 2 2 6 2 6 4" xfId="37017"/>
    <cellStyle name="Total 2 2 6 2 7" xfId="37018"/>
    <cellStyle name="Total 2 2 6 2 7 2" xfId="37019"/>
    <cellStyle name="Total 2 2 6 2 7 3" xfId="37020"/>
    <cellStyle name="Total 2 2 6 2 7 4" xfId="37021"/>
    <cellStyle name="Total 2 2 6 2 8" xfId="37022"/>
    <cellStyle name="Total 2 2 6 2 8 2" xfId="37023"/>
    <cellStyle name="Total 2 2 6 2 8 3" xfId="37024"/>
    <cellStyle name="Total 2 2 6 2 8 4" xfId="37025"/>
    <cellStyle name="Total 2 2 6 2 9" xfId="37026"/>
    <cellStyle name="Total 2 2 6 3" xfId="1001"/>
    <cellStyle name="Total 2 2 6 3 10" xfId="37027"/>
    <cellStyle name="Total 2 2 6 3 11" xfId="37028"/>
    <cellStyle name="Total 2 2 6 3 2" xfId="37029"/>
    <cellStyle name="Total 2 2 6 3 2 2" xfId="37030"/>
    <cellStyle name="Total 2 2 6 3 2 2 2" xfId="37031"/>
    <cellStyle name="Total 2 2 6 3 2 2 2 2" xfId="37032"/>
    <cellStyle name="Total 2 2 6 3 2 2 2 3" xfId="37033"/>
    <cellStyle name="Total 2 2 6 3 2 2 2 4" xfId="37034"/>
    <cellStyle name="Total 2 2 6 3 2 2 3" xfId="37035"/>
    <cellStyle name="Total 2 2 6 3 2 2 4" xfId="37036"/>
    <cellStyle name="Total 2 2 6 3 2 2 5" xfId="37037"/>
    <cellStyle name="Total 2 2 6 3 2 2 6" xfId="37038"/>
    <cellStyle name="Total 2 2 6 3 2 3" xfId="37039"/>
    <cellStyle name="Total 2 2 6 3 2 3 2" xfId="37040"/>
    <cellStyle name="Total 2 2 6 3 2 3 3" xfId="37041"/>
    <cellStyle name="Total 2 2 6 3 2 3 4" xfId="37042"/>
    <cellStyle name="Total 2 2 6 3 2 4" xfId="37043"/>
    <cellStyle name="Total 2 2 6 3 2 5" xfId="37044"/>
    <cellStyle name="Total 2 2 6 3 2 6" xfId="37045"/>
    <cellStyle name="Total 2 2 6 3 2 7" xfId="37046"/>
    <cellStyle name="Total 2 2 6 3 3" xfId="37047"/>
    <cellStyle name="Total 2 2 6 3 3 2" xfId="37048"/>
    <cellStyle name="Total 2 2 6 3 3 2 2" xfId="37049"/>
    <cellStyle name="Total 2 2 6 3 3 2 3" xfId="37050"/>
    <cellStyle name="Total 2 2 6 3 3 2 4" xfId="37051"/>
    <cellStyle name="Total 2 2 6 3 3 3" xfId="37052"/>
    <cellStyle name="Total 2 2 6 3 3 4" xfId="37053"/>
    <cellStyle name="Total 2 2 6 3 3 5" xfId="37054"/>
    <cellStyle name="Total 2 2 6 3 3 6" xfId="37055"/>
    <cellStyle name="Total 2 2 6 3 4" xfId="37056"/>
    <cellStyle name="Total 2 2 6 3 4 2" xfId="37057"/>
    <cellStyle name="Total 2 2 6 3 4 3" xfId="37058"/>
    <cellStyle name="Total 2 2 6 3 4 4" xfId="37059"/>
    <cellStyle name="Total 2 2 6 3 4 5" xfId="37060"/>
    <cellStyle name="Total 2 2 6 3 5" xfId="37061"/>
    <cellStyle name="Total 2 2 6 3 5 2" xfId="37062"/>
    <cellStyle name="Total 2 2 6 3 5 3" xfId="37063"/>
    <cellStyle name="Total 2 2 6 3 5 4" xfId="37064"/>
    <cellStyle name="Total 2 2 6 3 6" xfId="37065"/>
    <cellStyle name="Total 2 2 6 3 6 2" xfId="37066"/>
    <cellStyle name="Total 2 2 6 3 6 3" xfId="37067"/>
    <cellStyle name="Total 2 2 6 3 6 4" xfId="37068"/>
    <cellStyle name="Total 2 2 6 3 7" xfId="37069"/>
    <cellStyle name="Total 2 2 6 3 7 2" xfId="37070"/>
    <cellStyle name="Total 2 2 6 3 7 3" xfId="37071"/>
    <cellStyle name="Total 2 2 6 3 7 4" xfId="37072"/>
    <cellStyle name="Total 2 2 6 3 8" xfId="37073"/>
    <cellStyle name="Total 2 2 6 3 9" xfId="37074"/>
    <cellStyle name="Total 2 2 6 4" xfId="37075"/>
    <cellStyle name="Total 2 2 6 4 2" xfId="37076"/>
    <cellStyle name="Total 2 2 6 4 2 2" xfId="37077"/>
    <cellStyle name="Total 2 2 6 4 2 2 2" xfId="37078"/>
    <cellStyle name="Total 2 2 6 4 2 2 3" xfId="37079"/>
    <cellStyle name="Total 2 2 6 4 2 2 4" xfId="37080"/>
    <cellStyle name="Total 2 2 6 4 2 3" xfId="37081"/>
    <cellStyle name="Total 2 2 6 4 2 4" xfId="37082"/>
    <cellStyle name="Total 2 2 6 4 2 5" xfId="37083"/>
    <cellStyle name="Total 2 2 6 4 2 6" xfId="37084"/>
    <cellStyle name="Total 2 2 6 4 3" xfId="37085"/>
    <cellStyle name="Total 2 2 6 4 3 2" xfId="37086"/>
    <cellStyle name="Total 2 2 6 4 3 3" xfId="37087"/>
    <cellStyle name="Total 2 2 6 4 3 4" xfId="37088"/>
    <cellStyle name="Total 2 2 6 4 4" xfId="37089"/>
    <cellStyle name="Total 2 2 6 4 5" xfId="37090"/>
    <cellStyle name="Total 2 2 6 4 6" xfId="37091"/>
    <cellStyle name="Total 2 2 6 4 7" xfId="37092"/>
    <cellStyle name="Total 2 2 6 5" xfId="37093"/>
    <cellStyle name="Total 2 2 6 5 2" xfId="37094"/>
    <cellStyle name="Total 2 2 6 5 2 2" xfId="37095"/>
    <cellStyle name="Total 2 2 6 5 2 3" xfId="37096"/>
    <cellStyle name="Total 2 2 6 5 2 4" xfId="37097"/>
    <cellStyle name="Total 2 2 6 5 3" xfId="37098"/>
    <cellStyle name="Total 2 2 6 5 3 2" xfId="37099"/>
    <cellStyle name="Total 2 2 6 5 3 3" xfId="37100"/>
    <cellStyle name="Total 2 2 6 5 3 4" xfId="37101"/>
    <cellStyle name="Total 2 2 6 5 4" xfId="37102"/>
    <cellStyle name="Total 2 2 6 5 5" xfId="37103"/>
    <cellStyle name="Total 2 2 6 5 6" xfId="37104"/>
    <cellStyle name="Total 2 2 6 5 7" xfId="37105"/>
    <cellStyle name="Total 2 2 6 6" xfId="37106"/>
    <cellStyle name="Total 2 2 6 6 2" xfId="37107"/>
    <cellStyle name="Total 2 2 6 6 2 2" xfId="37108"/>
    <cellStyle name="Total 2 2 6 6 2 3" xfId="37109"/>
    <cellStyle name="Total 2 2 6 6 2 4" xfId="37110"/>
    <cellStyle name="Total 2 2 6 6 3" xfId="37111"/>
    <cellStyle name="Total 2 2 6 6 3 2" xfId="37112"/>
    <cellStyle name="Total 2 2 6 6 3 3" xfId="37113"/>
    <cellStyle name="Total 2 2 6 6 3 4" xfId="37114"/>
    <cellStyle name="Total 2 2 6 6 4" xfId="37115"/>
    <cellStyle name="Total 2 2 6 6 5" xfId="37116"/>
    <cellStyle name="Total 2 2 6 6 6" xfId="37117"/>
    <cellStyle name="Total 2 2 6 6 7" xfId="37118"/>
    <cellStyle name="Total 2 2 6 7" xfId="37119"/>
    <cellStyle name="Total 2 2 6 7 2" xfId="37120"/>
    <cellStyle name="Total 2 2 6 7 2 2" xfId="37121"/>
    <cellStyle name="Total 2 2 6 7 2 3" xfId="37122"/>
    <cellStyle name="Total 2 2 6 7 2 4" xfId="37123"/>
    <cellStyle name="Total 2 2 6 7 3" xfId="37124"/>
    <cellStyle name="Total 2 2 6 7 3 2" xfId="37125"/>
    <cellStyle name="Total 2 2 6 7 3 3" xfId="37126"/>
    <cellStyle name="Total 2 2 6 7 3 4" xfId="37127"/>
    <cellStyle name="Total 2 2 6 7 4" xfId="37128"/>
    <cellStyle name="Total 2 2 6 7 5" xfId="37129"/>
    <cellStyle name="Total 2 2 6 7 6" xfId="37130"/>
    <cellStyle name="Total 2 2 6 7 7" xfId="37131"/>
    <cellStyle name="Total 2 2 6 8" xfId="37132"/>
    <cellStyle name="Total 2 2 6 8 2" xfId="37133"/>
    <cellStyle name="Total 2 2 6 8 2 2" xfId="37134"/>
    <cellStyle name="Total 2 2 6 8 2 3" xfId="37135"/>
    <cellStyle name="Total 2 2 6 8 2 4" xfId="37136"/>
    <cellStyle name="Total 2 2 6 8 3" xfId="37137"/>
    <cellStyle name="Total 2 2 6 8 4" xfId="37138"/>
    <cellStyle name="Total 2 2 6 8 5" xfId="37139"/>
    <cellStyle name="Total 2 2 6 8 6" xfId="37140"/>
    <cellStyle name="Total 2 2 6 9" xfId="37141"/>
    <cellStyle name="Total 2 2 6 9 2" xfId="37142"/>
    <cellStyle name="Total 2 2 6 9 3" xfId="37143"/>
    <cellStyle name="Total 2 2 6 9 4" xfId="37144"/>
    <cellStyle name="Total 2 2 6 9 5" xfId="37145"/>
    <cellStyle name="Total 2 2 6 9 6" xfId="37146"/>
    <cellStyle name="Total 2 2 7" xfId="1002"/>
    <cellStyle name="Total 2 2 7 10" xfId="37147"/>
    <cellStyle name="Total 2 2 7 10 2" xfId="37148"/>
    <cellStyle name="Total 2 2 7 10 3" xfId="37149"/>
    <cellStyle name="Total 2 2 7 10 4" xfId="37150"/>
    <cellStyle name="Total 2 2 7 11" xfId="37151"/>
    <cellStyle name="Total 2 2 7 11 2" xfId="37152"/>
    <cellStyle name="Total 2 2 7 11 3" xfId="37153"/>
    <cellStyle name="Total 2 2 7 11 4" xfId="37154"/>
    <cellStyle name="Total 2 2 7 12" xfId="37155"/>
    <cellStyle name="Total 2 2 7 12 2" xfId="37156"/>
    <cellStyle name="Total 2 2 7 12 3" xfId="37157"/>
    <cellStyle name="Total 2 2 7 12 4" xfId="37158"/>
    <cellStyle name="Total 2 2 7 13" xfId="37159"/>
    <cellStyle name="Total 2 2 7 13 2" xfId="37160"/>
    <cellStyle name="Total 2 2 7 13 3" xfId="37161"/>
    <cellStyle name="Total 2 2 7 13 4" xfId="37162"/>
    <cellStyle name="Total 2 2 7 14" xfId="37163"/>
    <cellStyle name="Total 2 2 7 14 2" xfId="37164"/>
    <cellStyle name="Total 2 2 7 15" xfId="37165"/>
    <cellStyle name="Total 2 2 7 16" xfId="37166"/>
    <cellStyle name="Total 2 2 7 16 2" xfId="37167"/>
    <cellStyle name="Total 2 2 7 17" xfId="37168"/>
    <cellStyle name="Total 2 2 7 2" xfId="1003"/>
    <cellStyle name="Total 2 2 7 2 10" xfId="37169"/>
    <cellStyle name="Total 2 2 7 2 11" xfId="37170"/>
    <cellStyle name="Total 2 2 7 2 2" xfId="37171"/>
    <cellStyle name="Total 2 2 7 2 2 2" xfId="37172"/>
    <cellStyle name="Total 2 2 7 2 2 2 2" xfId="37173"/>
    <cellStyle name="Total 2 2 7 2 2 2 2 2" xfId="37174"/>
    <cellStyle name="Total 2 2 7 2 2 2 2 3" xfId="37175"/>
    <cellStyle name="Total 2 2 7 2 2 2 2 4" xfId="37176"/>
    <cellStyle name="Total 2 2 7 2 2 2 3" xfId="37177"/>
    <cellStyle name="Total 2 2 7 2 2 2 4" xfId="37178"/>
    <cellStyle name="Total 2 2 7 2 2 2 5" xfId="37179"/>
    <cellStyle name="Total 2 2 7 2 2 2 6" xfId="37180"/>
    <cellStyle name="Total 2 2 7 2 2 3" xfId="37181"/>
    <cellStyle name="Total 2 2 7 2 2 3 2" xfId="37182"/>
    <cellStyle name="Total 2 2 7 2 2 3 3" xfId="37183"/>
    <cellStyle name="Total 2 2 7 2 2 3 4" xfId="37184"/>
    <cellStyle name="Total 2 2 7 2 2 4" xfId="37185"/>
    <cellStyle name="Total 2 2 7 2 2 5" xfId="37186"/>
    <cellStyle name="Total 2 2 7 2 2 6" xfId="37187"/>
    <cellStyle name="Total 2 2 7 2 2 7" xfId="37188"/>
    <cellStyle name="Total 2 2 7 2 3" xfId="37189"/>
    <cellStyle name="Total 2 2 7 2 3 2" xfId="37190"/>
    <cellStyle name="Total 2 2 7 2 3 2 2" xfId="37191"/>
    <cellStyle name="Total 2 2 7 2 3 2 3" xfId="37192"/>
    <cellStyle name="Total 2 2 7 2 3 2 4" xfId="37193"/>
    <cellStyle name="Total 2 2 7 2 3 3" xfId="37194"/>
    <cellStyle name="Total 2 2 7 2 3 4" xfId="37195"/>
    <cellStyle name="Total 2 2 7 2 3 5" xfId="37196"/>
    <cellStyle name="Total 2 2 7 2 3 6" xfId="37197"/>
    <cellStyle name="Total 2 2 7 2 4" xfId="37198"/>
    <cellStyle name="Total 2 2 7 2 4 2" xfId="37199"/>
    <cellStyle name="Total 2 2 7 2 4 3" xfId="37200"/>
    <cellStyle name="Total 2 2 7 2 4 4" xfId="37201"/>
    <cellStyle name="Total 2 2 7 2 4 5" xfId="37202"/>
    <cellStyle name="Total 2 2 7 2 5" xfId="37203"/>
    <cellStyle name="Total 2 2 7 2 5 2" xfId="37204"/>
    <cellStyle name="Total 2 2 7 2 5 3" xfId="37205"/>
    <cellStyle name="Total 2 2 7 2 5 4" xfId="37206"/>
    <cellStyle name="Total 2 2 7 2 6" xfId="37207"/>
    <cellStyle name="Total 2 2 7 2 6 2" xfId="37208"/>
    <cellStyle name="Total 2 2 7 2 6 3" xfId="37209"/>
    <cellStyle name="Total 2 2 7 2 6 4" xfId="37210"/>
    <cellStyle name="Total 2 2 7 2 7" xfId="37211"/>
    <cellStyle name="Total 2 2 7 2 7 2" xfId="37212"/>
    <cellStyle name="Total 2 2 7 2 7 3" xfId="37213"/>
    <cellStyle name="Total 2 2 7 2 7 4" xfId="37214"/>
    <cellStyle name="Total 2 2 7 2 8" xfId="37215"/>
    <cellStyle name="Total 2 2 7 2 9" xfId="37216"/>
    <cellStyle name="Total 2 2 7 3" xfId="1004"/>
    <cellStyle name="Total 2 2 7 3 10" xfId="37217"/>
    <cellStyle name="Total 2 2 7 3 11" xfId="37218"/>
    <cellStyle name="Total 2 2 7 3 2" xfId="37219"/>
    <cellStyle name="Total 2 2 7 3 2 2" xfId="37220"/>
    <cellStyle name="Total 2 2 7 3 2 2 2" xfId="37221"/>
    <cellStyle name="Total 2 2 7 3 2 2 3" xfId="37222"/>
    <cellStyle name="Total 2 2 7 3 2 2 4" xfId="37223"/>
    <cellStyle name="Total 2 2 7 3 2 3" xfId="37224"/>
    <cellStyle name="Total 2 2 7 3 2 3 2" xfId="37225"/>
    <cellStyle name="Total 2 2 7 3 2 3 3" xfId="37226"/>
    <cellStyle name="Total 2 2 7 3 2 3 4" xfId="37227"/>
    <cellStyle name="Total 2 2 7 3 2 4" xfId="37228"/>
    <cellStyle name="Total 2 2 7 3 2 5" xfId="37229"/>
    <cellStyle name="Total 2 2 7 3 2 6" xfId="37230"/>
    <cellStyle name="Total 2 2 7 3 2 7" xfId="37231"/>
    <cellStyle name="Total 2 2 7 3 3" xfId="37232"/>
    <cellStyle name="Total 2 2 7 3 3 2" xfId="37233"/>
    <cellStyle name="Total 2 2 7 3 3 2 2" xfId="37234"/>
    <cellStyle name="Total 2 2 7 3 3 2 3" xfId="37235"/>
    <cellStyle name="Total 2 2 7 3 3 2 4" xfId="37236"/>
    <cellStyle name="Total 2 2 7 3 3 3" xfId="37237"/>
    <cellStyle name="Total 2 2 7 3 3 4" xfId="37238"/>
    <cellStyle name="Total 2 2 7 3 3 5" xfId="37239"/>
    <cellStyle name="Total 2 2 7 3 3 6" xfId="37240"/>
    <cellStyle name="Total 2 2 7 3 4" xfId="37241"/>
    <cellStyle name="Total 2 2 7 3 4 2" xfId="37242"/>
    <cellStyle name="Total 2 2 7 3 4 3" xfId="37243"/>
    <cellStyle name="Total 2 2 7 3 4 4" xfId="37244"/>
    <cellStyle name="Total 2 2 7 3 4 5" xfId="37245"/>
    <cellStyle name="Total 2 2 7 3 5" xfId="37246"/>
    <cellStyle name="Total 2 2 7 3 5 2" xfId="37247"/>
    <cellStyle name="Total 2 2 7 3 5 3" xfId="37248"/>
    <cellStyle name="Total 2 2 7 3 5 4" xfId="37249"/>
    <cellStyle name="Total 2 2 7 3 6" xfId="37250"/>
    <cellStyle name="Total 2 2 7 3 6 2" xfId="37251"/>
    <cellStyle name="Total 2 2 7 3 6 3" xfId="37252"/>
    <cellStyle name="Total 2 2 7 3 6 4" xfId="37253"/>
    <cellStyle name="Total 2 2 7 3 7" xfId="37254"/>
    <cellStyle name="Total 2 2 7 3 7 2" xfId="37255"/>
    <cellStyle name="Total 2 2 7 3 7 3" xfId="37256"/>
    <cellStyle name="Total 2 2 7 3 7 4" xfId="37257"/>
    <cellStyle name="Total 2 2 7 3 8" xfId="37258"/>
    <cellStyle name="Total 2 2 7 3 9" xfId="37259"/>
    <cellStyle name="Total 2 2 7 4" xfId="37260"/>
    <cellStyle name="Total 2 2 7 4 2" xfId="37261"/>
    <cellStyle name="Total 2 2 7 4 2 2" xfId="37262"/>
    <cellStyle name="Total 2 2 7 4 2 2 2" xfId="37263"/>
    <cellStyle name="Total 2 2 7 4 2 2 3" xfId="37264"/>
    <cellStyle name="Total 2 2 7 4 2 2 4" xfId="37265"/>
    <cellStyle name="Total 2 2 7 4 2 3" xfId="37266"/>
    <cellStyle name="Total 2 2 7 4 2 4" xfId="37267"/>
    <cellStyle name="Total 2 2 7 4 2 5" xfId="37268"/>
    <cellStyle name="Total 2 2 7 4 2 6" xfId="37269"/>
    <cellStyle name="Total 2 2 7 4 3" xfId="37270"/>
    <cellStyle name="Total 2 2 7 4 3 2" xfId="37271"/>
    <cellStyle name="Total 2 2 7 4 3 3" xfId="37272"/>
    <cellStyle name="Total 2 2 7 4 3 4" xfId="37273"/>
    <cellStyle name="Total 2 2 7 4 4" xfId="37274"/>
    <cellStyle name="Total 2 2 7 4 5" xfId="37275"/>
    <cellStyle name="Total 2 2 7 4 6" xfId="37276"/>
    <cellStyle name="Total 2 2 7 4 7" xfId="37277"/>
    <cellStyle name="Total 2 2 7 5" xfId="37278"/>
    <cellStyle name="Total 2 2 7 5 2" xfId="37279"/>
    <cellStyle name="Total 2 2 7 5 2 2" xfId="37280"/>
    <cellStyle name="Total 2 2 7 5 2 3" xfId="37281"/>
    <cellStyle name="Total 2 2 7 5 2 4" xfId="37282"/>
    <cellStyle name="Total 2 2 7 5 3" xfId="37283"/>
    <cellStyle name="Total 2 2 7 5 3 2" xfId="37284"/>
    <cellStyle name="Total 2 2 7 5 3 3" xfId="37285"/>
    <cellStyle name="Total 2 2 7 5 3 4" xfId="37286"/>
    <cellStyle name="Total 2 2 7 5 4" xfId="37287"/>
    <cellStyle name="Total 2 2 7 5 5" xfId="37288"/>
    <cellStyle name="Total 2 2 7 5 6" xfId="37289"/>
    <cellStyle name="Total 2 2 7 5 7" xfId="37290"/>
    <cellStyle name="Total 2 2 7 6" xfId="37291"/>
    <cellStyle name="Total 2 2 7 6 2" xfId="37292"/>
    <cellStyle name="Total 2 2 7 6 2 2" xfId="37293"/>
    <cellStyle name="Total 2 2 7 6 2 3" xfId="37294"/>
    <cellStyle name="Total 2 2 7 6 2 4" xfId="37295"/>
    <cellStyle name="Total 2 2 7 6 3" xfId="37296"/>
    <cellStyle name="Total 2 2 7 6 3 2" xfId="37297"/>
    <cellStyle name="Total 2 2 7 6 3 3" xfId="37298"/>
    <cellStyle name="Total 2 2 7 6 3 4" xfId="37299"/>
    <cellStyle name="Total 2 2 7 6 4" xfId="37300"/>
    <cellStyle name="Total 2 2 7 6 5" xfId="37301"/>
    <cellStyle name="Total 2 2 7 6 6" xfId="37302"/>
    <cellStyle name="Total 2 2 7 6 7" xfId="37303"/>
    <cellStyle name="Total 2 2 7 7" xfId="37304"/>
    <cellStyle name="Total 2 2 7 7 2" xfId="37305"/>
    <cellStyle name="Total 2 2 7 7 2 2" xfId="37306"/>
    <cellStyle name="Total 2 2 7 7 2 3" xfId="37307"/>
    <cellStyle name="Total 2 2 7 7 2 4" xfId="37308"/>
    <cellStyle name="Total 2 2 7 7 3" xfId="37309"/>
    <cellStyle name="Total 2 2 7 7 3 2" xfId="37310"/>
    <cellStyle name="Total 2 2 7 7 3 3" xfId="37311"/>
    <cellStyle name="Total 2 2 7 7 3 4" xfId="37312"/>
    <cellStyle name="Total 2 2 7 7 4" xfId="37313"/>
    <cellStyle name="Total 2 2 7 7 5" xfId="37314"/>
    <cellStyle name="Total 2 2 7 7 6" xfId="37315"/>
    <cellStyle name="Total 2 2 7 7 7" xfId="37316"/>
    <cellStyle name="Total 2 2 7 8" xfId="37317"/>
    <cellStyle name="Total 2 2 7 8 2" xfId="37318"/>
    <cellStyle name="Total 2 2 7 8 2 2" xfId="37319"/>
    <cellStyle name="Total 2 2 7 8 2 3" xfId="37320"/>
    <cellStyle name="Total 2 2 7 8 2 4" xfId="37321"/>
    <cellStyle name="Total 2 2 7 8 3" xfId="37322"/>
    <cellStyle name="Total 2 2 7 8 4" xfId="37323"/>
    <cellStyle name="Total 2 2 7 8 5" xfId="37324"/>
    <cellStyle name="Total 2 2 7 8 6" xfId="37325"/>
    <cellStyle name="Total 2 2 7 9" xfId="37326"/>
    <cellStyle name="Total 2 2 7 9 2" xfId="37327"/>
    <cellStyle name="Total 2 2 7 9 3" xfId="37328"/>
    <cellStyle name="Total 2 2 7 9 4" xfId="37329"/>
    <cellStyle name="Total 2 2 7 9 5" xfId="37330"/>
    <cellStyle name="Total 2 2 8" xfId="1005"/>
    <cellStyle name="Total 2 2 8 10" xfId="37331"/>
    <cellStyle name="Total 2 2 8 10 2" xfId="37332"/>
    <cellStyle name="Total 2 2 8 11" xfId="37333"/>
    <cellStyle name="Total 2 2 8 12" xfId="37334"/>
    <cellStyle name="Total 2 2 8 12 2" xfId="37335"/>
    <cellStyle name="Total 2 2 8 13" xfId="37336"/>
    <cellStyle name="Total 2 2 8 2" xfId="1006"/>
    <cellStyle name="Total 2 2 8 2 10" xfId="37337"/>
    <cellStyle name="Total 2 2 8 2 11" xfId="37338"/>
    <cellStyle name="Total 2 2 8 2 2" xfId="37339"/>
    <cellStyle name="Total 2 2 8 2 2 2" xfId="37340"/>
    <cellStyle name="Total 2 2 8 2 2 2 2" xfId="37341"/>
    <cellStyle name="Total 2 2 8 2 2 2 2 2" xfId="37342"/>
    <cellStyle name="Total 2 2 8 2 2 2 2 3" xfId="37343"/>
    <cellStyle name="Total 2 2 8 2 2 2 2 4" xfId="37344"/>
    <cellStyle name="Total 2 2 8 2 2 2 3" xfId="37345"/>
    <cellStyle name="Total 2 2 8 2 2 2 4" xfId="37346"/>
    <cellStyle name="Total 2 2 8 2 2 2 5" xfId="37347"/>
    <cellStyle name="Total 2 2 8 2 2 2 6" xfId="37348"/>
    <cellStyle name="Total 2 2 8 2 2 3" xfId="37349"/>
    <cellStyle name="Total 2 2 8 2 2 3 2" xfId="37350"/>
    <cellStyle name="Total 2 2 8 2 2 3 3" xfId="37351"/>
    <cellStyle name="Total 2 2 8 2 2 3 4" xfId="37352"/>
    <cellStyle name="Total 2 2 8 2 2 4" xfId="37353"/>
    <cellStyle name="Total 2 2 8 2 2 5" xfId="37354"/>
    <cellStyle name="Total 2 2 8 2 2 6" xfId="37355"/>
    <cellStyle name="Total 2 2 8 2 2 7" xfId="37356"/>
    <cellStyle name="Total 2 2 8 2 3" xfId="37357"/>
    <cellStyle name="Total 2 2 8 2 3 2" xfId="37358"/>
    <cellStyle name="Total 2 2 8 2 3 2 2" xfId="37359"/>
    <cellStyle name="Total 2 2 8 2 3 2 3" xfId="37360"/>
    <cellStyle name="Total 2 2 8 2 3 2 4" xfId="37361"/>
    <cellStyle name="Total 2 2 8 2 3 3" xfId="37362"/>
    <cellStyle name="Total 2 2 8 2 3 4" xfId="37363"/>
    <cellStyle name="Total 2 2 8 2 3 5" xfId="37364"/>
    <cellStyle name="Total 2 2 8 2 3 6" xfId="37365"/>
    <cellStyle name="Total 2 2 8 2 4" xfId="37366"/>
    <cellStyle name="Total 2 2 8 2 4 2" xfId="37367"/>
    <cellStyle name="Total 2 2 8 2 4 3" xfId="37368"/>
    <cellStyle name="Total 2 2 8 2 4 4" xfId="37369"/>
    <cellStyle name="Total 2 2 8 2 4 5" xfId="37370"/>
    <cellStyle name="Total 2 2 8 2 5" xfId="37371"/>
    <cellStyle name="Total 2 2 8 2 5 2" xfId="37372"/>
    <cellStyle name="Total 2 2 8 2 5 3" xfId="37373"/>
    <cellStyle name="Total 2 2 8 2 5 4" xfId="37374"/>
    <cellStyle name="Total 2 2 8 2 6" xfId="37375"/>
    <cellStyle name="Total 2 2 8 2 6 2" xfId="37376"/>
    <cellStyle name="Total 2 2 8 2 6 3" xfId="37377"/>
    <cellStyle name="Total 2 2 8 2 6 4" xfId="37378"/>
    <cellStyle name="Total 2 2 8 2 7" xfId="37379"/>
    <cellStyle name="Total 2 2 8 2 7 2" xfId="37380"/>
    <cellStyle name="Total 2 2 8 2 7 3" xfId="37381"/>
    <cellStyle name="Total 2 2 8 2 7 4" xfId="37382"/>
    <cellStyle name="Total 2 2 8 2 8" xfId="37383"/>
    <cellStyle name="Total 2 2 8 2 9" xfId="37384"/>
    <cellStyle name="Total 2 2 8 3" xfId="1007"/>
    <cellStyle name="Total 2 2 8 3 2" xfId="37385"/>
    <cellStyle name="Total 2 2 8 3 2 2" xfId="37386"/>
    <cellStyle name="Total 2 2 8 3 2 2 2" xfId="37387"/>
    <cellStyle name="Total 2 2 8 3 2 2 3" xfId="37388"/>
    <cellStyle name="Total 2 2 8 3 2 2 4" xfId="37389"/>
    <cellStyle name="Total 2 2 8 3 2 3" xfId="37390"/>
    <cellStyle name="Total 2 2 8 3 2 4" xfId="37391"/>
    <cellStyle name="Total 2 2 8 3 2 5" xfId="37392"/>
    <cellStyle name="Total 2 2 8 3 2 6" xfId="37393"/>
    <cellStyle name="Total 2 2 8 3 3" xfId="37394"/>
    <cellStyle name="Total 2 2 8 3 3 2" xfId="37395"/>
    <cellStyle name="Total 2 2 8 3 3 3" xfId="37396"/>
    <cellStyle name="Total 2 2 8 3 3 4" xfId="37397"/>
    <cellStyle name="Total 2 2 8 3 4" xfId="37398"/>
    <cellStyle name="Total 2 2 8 3 5" xfId="37399"/>
    <cellStyle name="Total 2 2 8 3 6" xfId="37400"/>
    <cellStyle name="Total 2 2 8 3 7" xfId="37401"/>
    <cellStyle name="Total 2 2 8 4" xfId="37402"/>
    <cellStyle name="Total 2 2 8 4 2" xfId="37403"/>
    <cellStyle name="Total 2 2 8 4 2 2" xfId="37404"/>
    <cellStyle name="Total 2 2 8 4 2 3" xfId="37405"/>
    <cellStyle name="Total 2 2 8 4 2 4" xfId="37406"/>
    <cellStyle name="Total 2 2 8 4 3" xfId="37407"/>
    <cellStyle name="Total 2 2 8 4 4" xfId="37408"/>
    <cellStyle name="Total 2 2 8 4 5" xfId="37409"/>
    <cellStyle name="Total 2 2 8 4 6" xfId="37410"/>
    <cellStyle name="Total 2 2 8 5" xfId="37411"/>
    <cellStyle name="Total 2 2 8 5 2" xfId="37412"/>
    <cellStyle name="Total 2 2 8 5 3" xfId="37413"/>
    <cellStyle name="Total 2 2 8 5 4" xfId="37414"/>
    <cellStyle name="Total 2 2 8 5 5" xfId="37415"/>
    <cellStyle name="Total 2 2 8 6" xfId="37416"/>
    <cellStyle name="Total 2 2 8 6 2" xfId="37417"/>
    <cellStyle name="Total 2 2 8 6 3" xfId="37418"/>
    <cellStyle name="Total 2 2 8 6 4" xfId="37419"/>
    <cellStyle name="Total 2 2 8 7" xfId="37420"/>
    <cellStyle name="Total 2 2 8 7 2" xfId="37421"/>
    <cellStyle name="Total 2 2 8 7 3" xfId="37422"/>
    <cellStyle name="Total 2 2 8 7 4" xfId="37423"/>
    <cellStyle name="Total 2 2 8 8" xfId="37424"/>
    <cellStyle name="Total 2 2 8 8 2" xfId="37425"/>
    <cellStyle name="Total 2 2 8 8 3" xfId="37426"/>
    <cellStyle name="Total 2 2 8 8 4" xfId="37427"/>
    <cellStyle name="Total 2 2 8 9" xfId="37428"/>
    <cellStyle name="Total 2 2 8 9 2" xfId="37429"/>
    <cellStyle name="Total 2 2 8 9 3" xfId="37430"/>
    <cellStyle name="Total 2 2 8 9 4" xfId="37431"/>
    <cellStyle name="Total 2 2 9" xfId="1008"/>
    <cellStyle name="Total 2 2 9 10" xfId="37432"/>
    <cellStyle name="Total 2 2 9 11" xfId="37433"/>
    <cellStyle name="Total 2 2 9 11 2" xfId="37434"/>
    <cellStyle name="Total 2 2 9 12" xfId="37435"/>
    <cellStyle name="Total 2 2 9 2" xfId="1009"/>
    <cellStyle name="Total 2 2 9 2 2" xfId="37436"/>
    <cellStyle name="Total 2 2 9 2 2 2" xfId="37437"/>
    <cellStyle name="Total 2 2 9 2 2 2 2" xfId="37438"/>
    <cellStyle name="Total 2 2 9 2 2 2 3" xfId="37439"/>
    <cellStyle name="Total 2 2 9 2 2 2 4" xfId="37440"/>
    <cellStyle name="Total 2 2 9 2 2 3" xfId="37441"/>
    <cellStyle name="Total 2 2 9 2 2 4" xfId="37442"/>
    <cellStyle name="Total 2 2 9 2 2 5" xfId="37443"/>
    <cellStyle name="Total 2 2 9 2 2 6" xfId="37444"/>
    <cellStyle name="Total 2 2 9 2 3" xfId="37445"/>
    <cellStyle name="Total 2 2 9 2 3 2" xfId="37446"/>
    <cellStyle name="Total 2 2 9 2 3 3" xfId="37447"/>
    <cellStyle name="Total 2 2 9 2 3 4" xfId="37448"/>
    <cellStyle name="Total 2 2 9 2 4" xfId="37449"/>
    <cellStyle name="Total 2 2 9 2 5" xfId="37450"/>
    <cellStyle name="Total 2 2 9 2 6" xfId="37451"/>
    <cellStyle name="Total 2 2 9 2 7" xfId="37452"/>
    <cellStyle name="Total 2 2 9 3" xfId="1010"/>
    <cellStyle name="Total 2 2 9 3 2" xfId="37453"/>
    <cellStyle name="Total 2 2 9 3 2 2" xfId="37454"/>
    <cellStyle name="Total 2 2 9 3 2 3" xfId="37455"/>
    <cellStyle name="Total 2 2 9 3 2 4" xfId="37456"/>
    <cellStyle name="Total 2 2 9 3 3" xfId="37457"/>
    <cellStyle name="Total 2 2 9 3 4" xfId="37458"/>
    <cellStyle name="Total 2 2 9 3 5" xfId="37459"/>
    <cellStyle name="Total 2 2 9 3 6" xfId="37460"/>
    <cellStyle name="Total 2 2 9 4" xfId="37461"/>
    <cellStyle name="Total 2 2 9 4 2" xfId="37462"/>
    <cellStyle name="Total 2 2 9 4 3" xfId="37463"/>
    <cellStyle name="Total 2 2 9 4 4" xfId="37464"/>
    <cellStyle name="Total 2 2 9 4 5" xfId="37465"/>
    <cellStyle name="Total 2 2 9 5" xfId="37466"/>
    <cellStyle name="Total 2 2 9 5 2" xfId="37467"/>
    <cellStyle name="Total 2 2 9 5 3" xfId="37468"/>
    <cellStyle name="Total 2 2 9 5 4" xfId="37469"/>
    <cellStyle name="Total 2 2 9 6" xfId="37470"/>
    <cellStyle name="Total 2 2 9 6 2" xfId="37471"/>
    <cellStyle name="Total 2 2 9 6 3" xfId="37472"/>
    <cellStyle name="Total 2 2 9 6 4" xfId="37473"/>
    <cellStyle name="Total 2 2 9 7" xfId="37474"/>
    <cellStyle name="Total 2 2 9 7 2" xfId="37475"/>
    <cellStyle name="Total 2 2 9 7 3" xfId="37476"/>
    <cellStyle name="Total 2 2 9 7 4" xfId="37477"/>
    <cellStyle name="Total 2 2 9 8" xfId="37478"/>
    <cellStyle name="Total 2 2 9 8 2" xfId="37479"/>
    <cellStyle name="Total 2 2 9 8 3" xfId="37480"/>
    <cellStyle name="Total 2 2 9 8 4" xfId="37481"/>
    <cellStyle name="Total 2 2 9 9" xfId="37482"/>
    <cellStyle name="Total 2 2 9 9 2" xfId="37483"/>
    <cellStyle name="Total 2 20" xfId="37484"/>
    <cellStyle name="Total 2 20 10" xfId="37485"/>
    <cellStyle name="Total 2 20 11" xfId="37486"/>
    <cellStyle name="Total 2 20 12" xfId="37487"/>
    <cellStyle name="Total 2 20 13" xfId="37488"/>
    <cellStyle name="Total 2 20 14" xfId="37489"/>
    <cellStyle name="Total 2 20 15" xfId="37490"/>
    <cellStyle name="Total 2 20 2" xfId="37491"/>
    <cellStyle name="Total 2 20 3" xfId="37492"/>
    <cellStyle name="Total 2 20 4" xfId="37493"/>
    <cellStyle name="Total 2 20 5" xfId="37494"/>
    <cellStyle name="Total 2 20 6" xfId="37495"/>
    <cellStyle name="Total 2 20 7" xfId="37496"/>
    <cellStyle name="Total 2 20 8" xfId="37497"/>
    <cellStyle name="Total 2 20 9" xfId="37498"/>
    <cellStyle name="Total 2 21" xfId="37499"/>
    <cellStyle name="Total 2 21 10" xfId="37500"/>
    <cellStyle name="Total 2 21 11" xfId="37501"/>
    <cellStyle name="Total 2 21 12" xfId="37502"/>
    <cellStyle name="Total 2 21 2" xfId="37503"/>
    <cellStyle name="Total 2 21 3" xfId="37504"/>
    <cellStyle name="Total 2 21 4" xfId="37505"/>
    <cellStyle name="Total 2 21 5" xfId="37506"/>
    <cellStyle name="Total 2 21 6" xfId="37507"/>
    <cellStyle name="Total 2 21 7" xfId="37508"/>
    <cellStyle name="Total 2 21 8" xfId="37509"/>
    <cellStyle name="Total 2 21 9" xfId="37510"/>
    <cellStyle name="Total 2 22" xfId="37511"/>
    <cellStyle name="Total 2 22 10" xfId="37512"/>
    <cellStyle name="Total 2 22 11" xfId="37513"/>
    <cellStyle name="Total 2 22 12" xfId="37514"/>
    <cellStyle name="Total 2 22 2" xfId="37515"/>
    <cellStyle name="Total 2 22 3" xfId="37516"/>
    <cellStyle name="Total 2 22 4" xfId="37517"/>
    <cellStyle name="Total 2 22 5" xfId="37518"/>
    <cellStyle name="Total 2 22 6" xfId="37519"/>
    <cellStyle name="Total 2 22 7" xfId="37520"/>
    <cellStyle name="Total 2 22 8" xfId="37521"/>
    <cellStyle name="Total 2 22 9" xfId="37522"/>
    <cellStyle name="Total 2 23" xfId="37523"/>
    <cellStyle name="Total 2 23 10" xfId="37524"/>
    <cellStyle name="Total 2 23 11" xfId="37525"/>
    <cellStyle name="Total 2 23 12" xfId="37526"/>
    <cellStyle name="Total 2 23 2" xfId="37527"/>
    <cellStyle name="Total 2 23 3" xfId="37528"/>
    <cellStyle name="Total 2 23 4" xfId="37529"/>
    <cellStyle name="Total 2 23 5" xfId="37530"/>
    <cellStyle name="Total 2 23 6" xfId="37531"/>
    <cellStyle name="Total 2 23 7" xfId="37532"/>
    <cellStyle name="Total 2 23 8" xfId="37533"/>
    <cellStyle name="Total 2 23 9" xfId="37534"/>
    <cellStyle name="Total 2 24" xfId="37535"/>
    <cellStyle name="Total 2 24 10" xfId="37536"/>
    <cellStyle name="Total 2 24 11" xfId="37537"/>
    <cellStyle name="Total 2 24 12" xfId="37538"/>
    <cellStyle name="Total 2 24 2" xfId="37539"/>
    <cellStyle name="Total 2 24 3" xfId="37540"/>
    <cellStyle name="Total 2 24 4" xfId="37541"/>
    <cellStyle name="Total 2 24 5" xfId="37542"/>
    <cellStyle name="Total 2 24 6" xfId="37543"/>
    <cellStyle name="Total 2 24 7" xfId="37544"/>
    <cellStyle name="Total 2 24 8" xfId="37545"/>
    <cellStyle name="Total 2 24 9" xfId="37546"/>
    <cellStyle name="Total 2 25" xfId="37547"/>
    <cellStyle name="Total 2 25 10" xfId="37548"/>
    <cellStyle name="Total 2 25 11" xfId="37549"/>
    <cellStyle name="Total 2 25 12" xfId="37550"/>
    <cellStyle name="Total 2 25 2" xfId="37551"/>
    <cellStyle name="Total 2 25 3" xfId="37552"/>
    <cellStyle name="Total 2 25 4" xfId="37553"/>
    <cellStyle name="Total 2 25 5" xfId="37554"/>
    <cellStyle name="Total 2 25 6" xfId="37555"/>
    <cellStyle name="Total 2 25 7" xfId="37556"/>
    <cellStyle name="Total 2 25 8" xfId="37557"/>
    <cellStyle name="Total 2 25 9" xfId="37558"/>
    <cellStyle name="Total 2 26" xfId="37559"/>
    <cellStyle name="Total 2 26 10" xfId="37560"/>
    <cellStyle name="Total 2 26 11" xfId="37561"/>
    <cellStyle name="Total 2 26 12" xfId="37562"/>
    <cellStyle name="Total 2 26 2" xfId="37563"/>
    <cellStyle name="Total 2 26 3" xfId="37564"/>
    <cellStyle name="Total 2 26 4" xfId="37565"/>
    <cellStyle name="Total 2 26 5" xfId="37566"/>
    <cellStyle name="Total 2 26 6" xfId="37567"/>
    <cellStyle name="Total 2 26 7" xfId="37568"/>
    <cellStyle name="Total 2 26 8" xfId="37569"/>
    <cellStyle name="Total 2 26 9" xfId="37570"/>
    <cellStyle name="Total 2 27" xfId="37571"/>
    <cellStyle name="Total 2 27 10" xfId="37572"/>
    <cellStyle name="Total 2 27 11" xfId="37573"/>
    <cellStyle name="Total 2 27 12" xfId="37574"/>
    <cellStyle name="Total 2 27 2" xfId="37575"/>
    <cellStyle name="Total 2 27 3" xfId="37576"/>
    <cellStyle name="Total 2 27 4" xfId="37577"/>
    <cellStyle name="Total 2 27 5" xfId="37578"/>
    <cellStyle name="Total 2 27 6" xfId="37579"/>
    <cellStyle name="Total 2 27 7" xfId="37580"/>
    <cellStyle name="Total 2 27 8" xfId="37581"/>
    <cellStyle name="Total 2 27 9" xfId="37582"/>
    <cellStyle name="Total 2 28" xfId="37583"/>
    <cellStyle name="Total 2 28 10" xfId="37584"/>
    <cellStyle name="Total 2 28 11" xfId="37585"/>
    <cellStyle name="Total 2 28 12" xfId="37586"/>
    <cellStyle name="Total 2 28 2" xfId="37587"/>
    <cellStyle name="Total 2 28 3" xfId="37588"/>
    <cellStyle name="Total 2 28 4" xfId="37589"/>
    <cellStyle name="Total 2 28 5" xfId="37590"/>
    <cellStyle name="Total 2 28 6" xfId="37591"/>
    <cellStyle name="Total 2 28 7" xfId="37592"/>
    <cellStyle name="Total 2 28 8" xfId="37593"/>
    <cellStyle name="Total 2 28 9" xfId="37594"/>
    <cellStyle name="Total 2 29" xfId="37595"/>
    <cellStyle name="Total 2 29 10" xfId="37596"/>
    <cellStyle name="Total 2 29 11" xfId="37597"/>
    <cellStyle name="Total 2 29 12" xfId="37598"/>
    <cellStyle name="Total 2 29 2" xfId="37599"/>
    <cellStyle name="Total 2 29 3" xfId="37600"/>
    <cellStyle name="Total 2 29 4" xfId="37601"/>
    <cellStyle name="Total 2 29 5" xfId="37602"/>
    <cellStyle name="Total 2 29 6" xfId="37603"/>
    <cellStyle name="Total 2 29 7" xfId="37604"/>
    <cellStyle name="Total 2 29 8" xfId="37605"/>
    <cellStyle name="Total 2 29 9" xfId="37606"/>
    <cellStyle name="Total 2 3" xfId="245"/>
    <cellStyle name="Total 2 3 10" xfId="1011"/>
    <cellStyle name="Total 2 3 10 2" xfId="1012"/>
    <cellStyle name="Total 2 3 10 2 2" xfId="37607"/>
    <cellStyle name="Total 2 3 10 2 3" xfId="37608"/>
    <cellStyle name="Total 2 3 10 2 4" xfId="37609"/>
    <cellStyle name="Total 2 3 10 3" xfId="1013"/>
    <cellStyle name="Total 2 3 10 3 2" xfId="37610"/>
    <cellStyle name="Total 2 3 10 3 3" xfId="37611"/>
    <cellStyle name="Total 2 3 10 3 4" xfId="37612"/>
    <cellStyle name="Total 2 3 10 4" xfId="37613"/>
    <cellStyle name="Total 2 3 10 4 2" xfId="37614"/>
    <cellStyle name="Total 2 3 10 4 3" xfId="37615"/>
    <cellStyle name="Total 2 3 10 4 4" xfId="37616"/>
    <cellStyle name="Total 2 3 10 5" xfId="37617"/>
    <cellStyle name="Total 2 3 10 6" xfId="37618"/>
    <cellStyle name="Total 2 3 10 7" xfId="37619"/>
    <cellStyle name="Total 2 3 10 8" xfId="37620"/>
    <cellStyle name="Total 2 3 11" xfId="1014"/>
    <cellStyle name="Total 2 3 11 2" xfId="1015"/>
    <cellStyle name="Total 2 3 11 2 2" xfId="37621"/>
    <cellStyle name="Total 2 3 11 2 3" xfId="37622"/>
    <cellStyle name="Total 2 3 11 2 4" xfId="37623"/>
    <cellStyle name="Total 2 3 11 3" xfId="1016"/>
    <cellStyle name="Total 2 3 11 3 2" xfId="37624"/>
    <cellStyle name="Total 2 3 11 3 3" xfId="37625"/>
    <cellStyle name="Total 2 3 11 3 4" xfId="37626"/>
    <cellStyle name="Total 2 3 11 4" xfId="37627"/>
    <cellStyle name="Total 2 3 11 4 2" xfId="37628"/>
    <cellStyle name="Total 2 3 11 4 3" xfId="37629"/>
    <cellStyle name="Total 2 3 11 4 4" xfId="37630"/>
    <cellStyle name="Total 2 3 11 5" xfId="37631"/>
    <cellStyle name="Total 2 3 11 6" xfId="37632"/>
    <cellStyle name="Total 2 3 11 7" xfId="37633"/>
    <cellStyle name="Total 2 3 11 8" xfId="37634"/>
    <cellStyle name="Total 2 3 12" xfId="1017"/>
    <cellStyle name="Total 2 3 12 2" xfId="1018"/>
    <cellStyle name="Total 2 3 12 2 2" xfId="37635"/>
    <cellStyle name="Total 2 3 12 2 3" xfId="37636"/>
    <cellStyle name="Total 2 3 12 2 4" xfId="37637"/>
    <cellStyle name="Total 2 3 12 3" xfId="1019"/>
    <cellStyle name="Total 2 3 12 3 2" xfId="37638"/>
    <cellStyle name="Total 2 3 12 3 3" xfId="37639"/>
    <cellStyle name="Total 2 3 12 3 4" xfId="37640"/>
    <cellStyle name="Total 2 3 12 4" xfId="37641"/>
    <cellStyle name="Total 2 3 12 4 2" xfId="37642"/>
    <cellStyle name="Total 2 3 12 4 3" xfId="37643"/>
    <cellStyle name="Total 2 3 12 4 4" xfId="37644"/>
    <cellStyle name="Total 2 3 12 5" xfId="37645"/>
    <cellStyle name="Total 2 3 12 6" xfId="37646"/>
    <cellStyle name="Total 2 3 12 7" xfId="37647"/>
    <cellStyle name="Total 2 3 12 8" xfId="37648"/>
    <cellStyle name="Total 2 3 13" xfId="1020"/>
    <cellStyle name="Total 2 3 13 2" xfId="1021"/>
    <cellStyle name="Total 2 3 13 2 2" xfId="37649"/>
    <cellStyle name="Total 2 3 13 2 3" xfId="37650"/>
    <cellStyle name="Total 2 3 13 2 4" xfId="37651"/>
    <cellStyle name="Total 2 3 13 3" xfId="1022"/>
    <cellStyle name="Total 2 3 13 3 2" xfId="37652"/>
    <cellStyle name="Total 2 3 13 3 3" xfId="37653"/>
    <cellStyle name="Total 2 3 13 3 4" xfId="37654"/>
    <cellStyle name="Total 2 3 13 4" xfId="37655"/>
    <cellStyle name="Total 2 3 13 5" xfId="37656"/>
    <cellStyle name="Total 2 3 13 6" xfId="37657"/>
    <cellStyle name="Total 2 3 13 7" xfId="37658"/>
    <cellStyle name="Total 2 3 14" xfId="1023"/>
    <cellStyle name="Total 2 3 14 2" xfId="37659"/>
    <cellStyle name="Total 2 3 14 2 2" xfId="37660"/>
    <cellStyle name="Total 2 3 14 2 3" xfId="37661"/>
    <cellStyle name="Total 2 3 14 2 4" xfId="37662"/>
    <cellStyle name="Total 2 3 14 3" xfId="37663"/>
    <cellStyle name="Total 2 3 14 4" xfId="37664"/>
    <cellStyle name="Total 2 3 14 5" xfId="37665"/>
    <cellStyle name="Total 2 3 14 6" xfId="37666"/>
    <cellStyle name="Total 2 3 15" xfId="1024"/>
    <cellStyle name="Total 2 3 15 2" xfId="37667"/>
    <cellStyle name="Total 2 3 15 3" xfId="37668"/>
    <cellStyle name="Total 2 3 15 4" xfId="37669"/>
    <cellStyle name="Total 2 3 15 5" xfId="37670"/>
    <cellStyle name="Total 2 3 16" xfId="37671"/>
    <cellStyle name="Total 2 3 16 2" xfId="37672"/>
    <cellStyle name="Total 2 3 16 3" xfId="37673"/>
    <cellStyle name="Total 2 3 16 4" xfId="37674"/>
    <cellStyle name="Total 2 3 17" xfId="37675"/>
    <cellStyle name="Total 2 3 17 2" xfId="37676"/>
    <cellStyle name="Total 2 3 17 3" xfId="37677"/>
    <cellStyle name="Total 2 3 17 4" xfId="37678"/>
    <cellStyle name="Total 2 3 18" xfId="37679"/>
    <cellStyle name="Total 2 3 18 2" xfId="37680"/>
    <cellStyle name="Total 2 3 18 3" xfId="37681"/>
    <cellStyle name="Total 2 3 18 4" xfId="37682"/>
    <cellStyle name="Total 2 3 19" xfId="37683"/>
    <cellStyle name="Total 2 3 2" xfId="246"/>
    <cellStyle name="Total 2 3 2 10" xfId="37684"/>
    <cellStyle name="Total 2 3 2 10 2" xfId="37685"/>
    <cellStyle name="Total 2 3 2 10 3" xfId="37686"/>
    <cellStyle name="Total 2 3 2 10 4" xfId="37687"/>
    <cellStyle name="Total 2 3 2 11" xfId="37688"/>
    <cellStyle name="Total 2 3 2 11 2" xfId="37689"/>
    <cellStyle name="Total 2 3 2 11 3" xfId="37690"/>
    <cellStyle name="Total 2 3 2 11 4" xfId="37691"/>
    <cellStyle name="Total 2 3 2 12" xfId="37692"/>
    <cellStyle name="Total 2 3 2 12 2" xfId="37693"/>
    <cellStyle name="Total 2 3 2 12 3" xfId="37694"/>
    <cellStyle name="Total 2 3 2 12 4" xfId="37695"/>
    <cellStyle name="Total 2 3 2 13" xfId="37696"/>
    <cellStyle name="Total 2 3 2 14" xfId="37697"/>
    <cellStyle name="Total 2 3 2 15" xfId="37698"/>
    <cellStyle name="Total 2 3 2 16" xfId="37699"/>
    <cellStyle name="Total 2 3 2 2" xfId="1025"/>
    <cellStyle name="Total 2 3 2 2 10" xfId="37700"/>
    <cellStyle name="Total 2 3 2 2 11" xfId="37701"/>
    <cellStyle name="Total 2 3 2 2 12" xfId="37702"/>
    <cellStyle name="Total 2 3 2 2 2" xfId="37703"/>
    <cellStyle name="Total 2 3 2 2 2 10" xfId="37704"/>
    <cellStyle name="Total 2 3 2 2 2 11" xfId="37705"/>
    <cellStyle name="Total 2 3 2 2 2 2" xfId="37706"/>
    <cellStyle name="Total 2 3 2 2 2 2 2" xfId="37707"/>
    <cellStyle name="Total 2 3 2 2 2 2 2 2" xfId="37708"/>
    <cellStyle name="Total 2 3 2 2 2 2 2 2 2" xfId="37709"/>
    <cellStyle name="Total 2 3 2 2 2 2 2 2 3" xfId="37710"/>
    <cellStyle name="Total 2 3 2 2 2 2 2 2 4" xfId="37711"/>
    <cellStyle name="Total 2 3 2 2 2 2 2 3" xfId="37712"/>
    <cellStyle name="Total 2 3 2 2 2 2 2 4" xfId="37713"/>
    <cellStyle name="Total 2 3 2 2 2 2 2 5" xfId="37714"/>
    <cellStyle name="Total 2 3 2 2 2 2 2 6" xfId="37715"/>
    <cellStyle name="Total 2 3 2 2 2 2 3" xfId="37716"/>
    <cellStyle name="Total 2 3 2 2 2 2 3 2" xfId="37717"/>
    <cellStyle name="Total 2 3 2 2 2 2 3 3" xfId="37718"/>
    <cellStyle name="Total 2 3 2 2 2 2 3 4" xfId="37719"/>
    <cellStyle name="Total 2 3 2 2 2 2 4" xfId="37720"/>
    <cellStyle name="Total 2 3 2 2 2 2 5" xfId="37721"/>
    <cellStyle name="Total 2 3 2 2 2 2 6" xfId="37722"/>
    <cellStyle name="Total 2 3 2 2 2 2 7" xfId="37723"/>
    <cellStyle name="Total 2 3 2 2 2 3" xfId="37724"/>
    <cellStyle name="Total 2 3 2 2 2 3 2" xfId="37725"/>
    <cellStyle name="Total 2 3 2 2 2 3 2 2" xfId="37726"/>
    <cellStyle name="Total 2 3 2 2 2 3 2 3" xfId="37727"/>
    <cellStyle name="Total 2 3 2 2 2 3 2 4" xfId="37728"/>
    <cellStyle name="Total 2 3 2 2 2 3 3" xfId="37729"/>
    <cellStyle name="Total 2 3 2 2 2 3 4" xfId="37730"/>
    <cellStyle name="Total 2 3 2 2 2 3 5" xfId="37731"/>
    <cellStyle name="Total 2 3 2 2 2 3 6" xfId="37732"/>
    <cellStyle name="Total 2 3 2 2 2 4" xfId="37733"/>
    <cellStyle name="Total 2 3 2 2 2 4 2" xfId="37734"/>
    <cellStyle name="Total 2 3 2 2 2 4 3" xfId="37735"/>
    <cellStyle name="Total 2 3 2 2 2 4 4" xfId="37736"/>
    <cellStyle name="Total 2 3 2 2 2 4 5" xfId="37737"/>
    <cellStyle name="Total 2 3 2 2 2 5" xfId="37738"/>
    <cellStyle name="Total 2 3 2 2 2 5 2" xfId="37739"/>
    <cellStyle name="Total 2 3 2 2 2 5 3" xfId="37740"/>
    <cellStyle name="Total 2 3 2 2 2 5 4" xfId="37741"/>
    <cellStyle name="Total 2 3 2 2 2 6" xfId="37742"/>
    <cellStyle name="Total 2 3 2 2 2 6 2" xfId="37743"/>
    <cellStyle name="Total 2 3 2 2 2 6 3" xfId="37744"/>
    <cellStyle name="Total 2 3 2 2 2 6 4" xfId="37745"/>
    <cellStyle name="Total 2 3 2 2 2 7" xfId="37746"/>
    <cellStyle name="Total 2 3 2 2 2 7 2" xfId="37747"/>
    <cellStyle name="Total 2 3 2 2 2 7 3" xfId="37748"/>
    <cellStyle name="Total 2 3 2 2 2 7 4" xfId="37749"/>
    <cellStyle name="Total 2 3 2 2 2 8" xfId="37750"/>
    <cellStyle name="Total 2 3 2 2 2 9" xfId="37751"/>
    <cellStyle name="Total 2 3 2 2 3" xfId="37752"/>
    <cellStyle name="Total 2 3 2 2 3 2" xfId="37753"/>
    <cellStyle name="Total 2 3 2 2 3 2 2" xfId="37754"/>
    <cellStyle name="Total 2 3 2 2 3 2 2 2" xfId="37755"/>
    <cellStyle name="Total 2 3 2 2 3 2 2 3" xfId="37756"/>
    <cellStyle name="Total 2 3 2 2 3 2 2 4" xfId="37757"/>
    <cellStyle name="Total 2 3 2 2 3 2 3" xfId="37758"/>
    <cellStyle name="Total 2 3 2 2 3 2 4" xfId="37759"/>
    <cellStyle name="Total 2 3 2 2 3 2 5" xfId="37760"/>
    <cellStyle name="Total 2 3 2 2 3 2 6" xfId="37761"/>
    <cellStyle name="Total 2 3 2 2 3 3" xfId="37762"/>
    <cellStyle name="Total 2 3 2 2 3 3 2" xfId="37763"/>
    <cellStyle name="Total 2 3 2 2 3 3 3" xfId="37764"/>
    <cellStyle name="Total 2 3 2 2 3 3 4" xfId="37765"/>
    <cellStyle name="Total 2 3 2 2 3 4" xfId="37766"/>
    <cellStyle name="Total 2 3 2 2 3 5" xfId="37767"/>
    <cellStyle name="Total 2 3 2 2 3 6" xfId="37768"/>
    <cellStyle name="Total 2 3 2 2 3 7" xfId="37769"/>
    <cellStyle name="Total 2 3 2 2 4" xfId="37770"/>
    <cellStyle name="Total 2 3 2 2 4 2" xfId="37771"/>
    <cellStyle name="Total 2 3 2 2 4 2 2" xfId="37772"/>
    <cellStyle name="Total 2 3 2 2 4 2 3" xfId="37773"/>
    <cellStyle name="Total 2 3 2 2 4 2 4" xfId="37774"/>
    <cellStyle name="Total 2 3 2 2 4 3" xfId="37775"/>
    <cellStyle name="Total 2 3 2 2 4 4" xfId="37776"/>
    <cellStyle name="Total 2 3 2 2 4 5" xfId="37777"/>
    <cellStyle name="Total 2 3 2 2 4 6" xfId="37778"/>
    <cellStyle name="Total 2 3 2 2 5" xfId="37779"/>
    <cellStyle name="Total 2 3 2 2 5 2" xfId="37780"/>
    <cellStyle name="Total 2 3 2 2 5 3" xfId="37781"/>
    <cellStyle name="Total 2 3 2 2 5 4" xfId="37782"/>
    <cellStyle name="Total 2 3 2 2 5 5" xfId="37783"/>
    <cellStyle name="Total 2 3 2 2 6" xfId="37784"/>
    <cellStyle name="Total 2 3 2 2 6 2" xfId="37785"/>
    <cellStyle name="Total 2 3 2 2 6 3" xfId="37786"/>
    <cellStyle name="Total 2 3 2 2 6 4" xfId="37787"/>
    <cellStyle name="Total 2 3 2 2 7" xfId="37788"/>
    <cellStyle name="Total 2 3 2 2 7 2" xfId="37789"/>
    <cellStyle name="Total 2 3 2 2 7 3" xfId="37790"/>
    <cellStyle name="Total 2 3 2 2 7 4" xfId="37791"/>
    <cellStyle name="Total 2 3 2 2 8" xfId="37792"/>
    <cellStyle name="Total 2 3 2 2 8 2" xfId="37793"/>
    <cellStyle name="Total 2 3 2 2 8 3" xfId="37794"/>
    <cellStyle name="Total 2 3 2 2 8 4" xfId="37795"/>
    <cellStyle name="Total 2 3 2 2 9" xfId="37796"/>
    <cellStyle name="Total 2 3 2 3" xfId="37797"/>
    <cellStyle name="Total 2 3 2 3 10" xfId="37798"/>
    <cellStyle name="Total 2 3 2 3 11" xfId="37799"/>
    <cellStyle name="Total 2 3 2 3 2" xfId="37800"/>
    <cellStyle name="Total 2 3 2 3 2 2" xfId="37801"/>
    <cellStyle name="Total 2 3 2 3 2 2 2" xfId="37802"/>
    <cellStyle name="Total 2 3 2 3 2 2 2 2" xfId="37803"/>
    <cellStyle name="Total 2 3 2 3 2 2 2 3" xfId="37804"/>
    <cellStyle name="Total 2 3 2 3 2 2 2 4" xfId="37805"/>
    <cellStyle name="Total 2 3 2 3 2 2 3" xfId="37806"/>
    <cellStyle name="Total 2 3 2 3 2 2 4" xfId="37807"/>
    <cellStyle name="Total 2 3 2 3 2 2 5" xfId="37808"/>
    <cellStyle name="Total 2 3 2 3 2 2 6" xfId="37809"/>
    <cellStyle name="Total 2 3 2 3 2 3" xfId="37810"/>
    <cellStyle name="Total 2 3 2 3 2 3 2" xfId="37811"/>
    <cellStyle name="Total 2 3 2 3 2 3 3" xfId="37812"/>
    <cellStyle name="Total 2 3 2 3 2 3 4" xfId="37813"/>
    <cellStyle name="Total 2 3 2 3 2 4" xfId="37814"/>
    <cellStyle name="Total 2 3 2 3 2 5" xfId="37815"/>
    <cellStyle name="Total 2 3 2 3 2 6" xfId="37816"/>
    <cellStyle name="Total 2 3 2 3 2 7" xfId="37817"/>
    <cellStyle name="Total 2 3 2 3 3" xfId="37818"/>
    <cellStyle name="Total 2 3 2 3 3 2" xfId="37819"/>
    <cellStyle name="Total 2 3 2 3 3 2 2" xfId="37820"/>
    <cellStyle name="Total 2 3 2 3 3 2 3" xfId="37821"/>
    <cellStyle name="Total 2 3 2 3 3 2 4" xfId="37822"/>
    <cellStyle name="Total 2 3 2 3 3 3" xfId="37823"/>
    <cellStyle name="Total 2 3 2 3 3 4" xfId="37824"/>
    <cellStyle name="Total 2 3 2 3 3 5" xfId="37825"/>
    <cellStyle name="Total 2 3 2 3 3 6" xfId="37826"/>
    <cellStyle name="Total 2 3 2 3 4" xfId="37827"/>
    <cellStyle name="Total 2 3 2 3 4 2" xfId="37828"/>
    <cellStyle name="Total 2 3 2 3 4 3" xfId="37829"/>
    <cellStyle name="Total 2 3 2 3 4 4" xfId="37830"/>
    <cellStyle name="Total 2 3 2 3 4 5" xfId="37831"/>
    <cellStyle name="Total 2 3 2 3 5" xfId="37832"/>
    <cellStyle name="Total 2 3 2 3 5 2" xfId="37833"/>
    <cellStyle name="Total 2 3 2 3 5 3" xfId="37834"/>
    <cellStyle name="Total 2 3 2 3 5 4" xfId="37835"/>
    <cellStyle name="Total 2 3 2 3 6" xfId="37836"/>
    <cellStyle name="Total 2 3 2 3 6 2" xfId="37837"/>
    <cellStyle name="Total 2 3 2 3 6 3" xfId="37838"/>
    <cellStyle name="Total 2 3 2 3 6 4" xfId="37839"/>
    <cellStyle name="Total 2 3 2 3 7" xfId="37840"/>
    <cellStyle name="Total 2 3 2 3 7 2" xfId="37841"/>
    <cellStyle name="Total 2 3 2 3 7 3" xfId="37842"/>
    <cellStyle name="Total 2 3 2 3 7 4" xfId="37843"/>
    <cellStyle name="Total 2 3 2 3 8" xfId="37844"/>
    <cellStyle name="Total 2 3 2 3 9" xfId="37845"/>
    <cellStyle name="Total 2 3 2 4" xfId="37846"/>
    <cellStyle name="Total 2 3 2 4 2" xfId="37847"/>
    <cellStyle name="Total 2 3 2 4 2 2" xfId="37848"/>
    <cellStyle name="Total 2 3 2 4 2 2 2" xfId="37849"/>
    <cellStyle name="Total 2 3 2 4 2 2 3" xfId="37850"/>
    <cellStyle name="Total 2 3 2 4 2 2 4" xfId="37851"/>
    <cellStyle name="Total 2 3 2 4 2 3" xfId="37852"/>
    <cellStyle name="Total 2 3 2 4 2 4" xfId="37853"/>
    <cellStyle name="Total 2 3 2 4 2 5" xfId="37854"/>
    <cellStyle name="Total 2 3 2 4 2 6" xfId="37855"/>
    <cellStyle name="Total 2 3 2 4 3" xfId="37856"/>
    <cellStyle name="Total 2 3 2 4 3 2" xfId="37857"/>
    <cellStyle name="Total 2 3 2 4 3 3" xfId="37858"/>
    <cellStyle name="Total 2 3 2 4 3 4" xfId="37859"/>
    <cellStyle name="Total 2 3 2 4 4" xfId="37860"/>
    <cellStyle name="Total 2 3 2 4 5" xfId="37861"/>
    <cellStyle name="Total 2 3 2 4 6" xfId="37862"/>
    <cellStyle name="Total 2 3 2 4 7" xfId="37863"/>
    <cellStyle name="Total 2 3 2 5" xfId="37864"/>
    <cellStyle name="Total 2 3 2 5 2" xfId="37865"/>
    <cellStyle name="Total 2 3 2 5 2 2" xfId="37866"/>
    <cellStyle name="Total 2 3 2 5 2 3" xfId="37867"/>
    <cellStyle name="Total 2 3 2 5 2 4" xfId="37868"/>
    <cellStyle name="Total 2 3 2 5 3" xfId="37869"/>
    <cellStyle name="Total 2 3 2 5 3 2" xfId="37870"/>
    <cellStyle name="Total 2 3 2 5 3 3" xfId="37871"/>
    <cellStyle name="Total 2 3 2 5 3 4" xfId="37872"/>
    <cellStyle name="Total 2 3 2 5 4" xfId="37873"/>
    <cellStyle name="Total 2 3 2 5 5" xfId="37874"/>
    <cellStyle name="Total 2 3 2 5 6" xfId="37875"/>
    <cellStyle name="Total 2 3 2 5 7" xfId="37876"/>
    <cellStyle name="Total 2 3 2 6" xfId="37877"/>
    <cellStyle name="Total 2 3 2 6 2" xfId="37878"/>
    <cellStyle name="Total 2 3 2 6 2 2" xfId="37879"/>
    <cellStyle name="Total 2 3 2 6 2 3" xfId="37880"/>
    <cellStyle name="Total 2 3 2 6 2 4" xfId="37881"/>
    <cellStyle name="Total 2 3 2 6 3" xfId="37882"/>
    <cellStyle name="Total 2 3 2 6 3 2" xfId="37883"/>
    <cellStyle name="Total 2 3 2 6 3 3" xfId="37884"/>
    <cellStyle name="Total 2 3 2 6 3 4" xfId="37885"/>
    <cellStyle name="Total 2 3 2 6 4" xfId="37886"/>
    <cellStyle name="Total 2 3 2 6 5" xfId="37887"/>
    <cellStyle name="Total 2 3 2 6 6" xfId="37888"/>
    <cellStyle name="Total 2 3 2 6 7" xfId="37889"/>
    <cellStyle name="Total 2 3 2 7" xfId="37890"/>
    <cellStyle name="Total 2 3 2 7 2" xfId="37891"/>
    <cellStyle name="Total 2 3 2 7 2 2" xfId="37892"/>
    <cellStyle name="Total 2 3 2 7 2 3" xfId="37893"/>
    <cellStyle name="Total 2 3 2 7 2 4" xfId="37894"/>
    <cellStyle name="Total 2 3 2 7 3" xfId="37895"/>
    <cellStyle name="Total 2 3 2 7 3 2" xfId="37896"/>
    <cellStyle name="Total 2 3 2 7 3 3" xfId="37897"/>
    <cellStyle name="Total 2 3 2 7 3 4" xfId="37898"/>
    <cellStyle name="Total 2 3 2 7 4" xfId="37899"/>
    <cellStyle name="Total 2 3 2 7 5" xfId="37900"/>
    <cellStyle name="Total 2 3 2 7 6" xfId="37901"/>
    <cellStyle name="Total 2 3 2 7 7" xfId="37902"/>
    <cellStyle name="Total 2 3 2 8" xfId="37903"/>
    <cellStyle name="Total 2 3 2 8 2" xfId="37904"/>
    <cellStyle name="Total 2 3 2 8 2 2" xfId="37905"/>
    <cellStyle name="Total 2 3 2 8 2 3" xfId="37906"/>
    <cellStyle name="Total 2 3 2 8 2 4" xfId="37907"/>
    <cellStyle name="Total 2 3 2 8 3" xfId="37908"/>
    <cellStyle name="Total 2 3 2 8 4" xfId="37909"/>
    <cellStyle name="Total 2 3 2 8 5" xfId="37910"/>
    <cellStyle name="Total 2 3 2 8 6" xfId="37911"/>
    <cellStyle name="Total 2 3 2 9" xfId="37912"/>
    <cellStyle name="Total 2 3 2 9 2" xfId="37913"/>
    <cellStyle name="Total 2 3 2 9 3" xfId="37914"/>
    <cellStyle name="Total 2 3 2 9 4" xfId="37915"/>
    <cellStyle name="Total 2 3 2 9 5" xfId="37916"/>
    <cellStyle name="Total 2 3 20" xfId="37917"/>
    <cellStyle name="Total 2 3 21" xfId="37918"/>
    <cellStyle name="Total 2 3 22" xfId="37919"/>
    <cellStyle name="Total 2 3 23" xfId="37920"/>
    <cellStyle name="Total 2 3 24" xfId="37921"/>
    <cellStyle name="Total 2 3 25" xfId="37922"/>
    <cellStyle name="Total 2 3 26" xfId="37923"/>
    <cellStyle name="Total 2 3 27" xfId="37924"/>
    <cellStyle name="Total 2 3 28" xfId="37925"/>
    <cellStyle name="Total 2 3 29" xfId="37926"/>
    <cellStyle name="Total 2 3 3" xfId="1026"/>
    <cellStyle name="Total 2 3 3 10" xfId="37927"/>
    <cellStyle name="Total 2 3 3 10 2" xfId="37928"/>
    <cellStyle name="Total 2 3 3 10 3" xfId="37929"/>
    <cellStyle name="Total 2 3 3 10 4" xfId="37930"/>
    <cellStyle name="Total 2 3 3 11" xfId="37931"/>
    <cellStyle name="Total 2 3 3 11 2" xfId="37932"/>
    <cellStyle name="Total 2 3 3 11 3" xfId="37933"/>
    <cellStyle name="Total 2 3 3 11 4" xfId="37934"/>
    <cellStyle name="Total 2 3 3 12" xfId="37935"/>
    <cellStyle name="Total 2 3 3 12 2" xfId="37936"/>
    <cellStyle name="Total 2 3 3 12 3" xfId="37937"/>
    <cellStyle name="Total 2 3 3 12 4" xfId="37938"/>
    <cellStyle name="Total 2 3 3 13" xfId="37939"/>
    <cellStyle name="Total 2 3 3 14" xfId="37940"/>
    <cellStyle name="Total 2 3 3 15" xfId="37941"/>
    <cellStyle name="Total 2 3 3 16" xfId="37942"/>
    <cellStyle name="Total 2 3 3 2" xfId="1027"/>
    <cellStyle name="Total 2 3 3 2 10" xfId="37943"/>
    <cellStyle name="Total 2 3 3 2 11" xfId="37944"/>
    <cellStyle name="Total 2 3 3 2 12" xfId="37945"/>
    <cellStyle name="Total 2 3 3 2 2" xfId="37946"/>
    <cellStyle name="Total 2 3 3 2 2 10" xfId="37947"/>
    <cellStyle name="Total 2 3 3 2 2 11" xfId="37948"/>
    <cellStyle name="Total 2 3 3 2 2 2" xfId="37949"/>
    <cellStyle name="Total 2 3 3 2 2 2 2" xfId="37950"/>
    <cellStyle name="Total 2 3 3 2 2 2 2 2" xfId="37951"/>
    <cellStyle name="Total 2 3 3 2 2 2 2 2 2" xfId="37952"/>
    <cellStyle name="Total 2 3 3 2 2 2 2 2 3" xfId="37953"/>
    <cellStyle name="Total 2 3 3 2 2 2 2 2 4" xfId="37954"/>
    <cellStyle name="Total 2 3 3 2 2 2 2 3" xfId="37955"/>
    <cellStyle name="Total 2 3 3 2 2 2 2 4" xfId="37956"/>
    <cellStyle name="Total 2 3 3 2 2 2 2 5" xfId="37957"/>
    <cellStyle name="Total 2 3 3 2 2 2 2 6" xfId="37958"/>
    <cellStyle name="Total 2 3 3 2 2 2 3" xfId="37959"/>
    <cellStyle name="Total 2 3 3 2 2 2 3 2" xfId="37960"/>
    <cellStyle name="Total 2 3 3 2 2 2 3 3" xfId="37961"/>
    <cellStyle name="Total 2 3 3 2 2 2 3 4" xfId="37962"/>
    <cellStyle name="Total 2 3 3 2 2 2 4" xfId="37963"/>
    <cellStyle name="Total 2 3 3 2 2 2 5" xfId="37964"/>
    <cellStyle name="Total 2 3 3 2 2 2 6" xfId="37965"/>
    <cellStyle name="Total 2 3 3 2 2 2 7" xfId="37966"/>
    <cellStyle name="Total 2 3 3 2 2 3" xfId="37967"/>
    <cellStyle name="Total 2 3 3 2 2 3 2" xfId="37968"/>
    <cellStyle name="Total 2 3 3 2 2 3 2 2" xfId="37969"/>
    <cellStyle name="Total 2 3 3 2 2 3 2 3" xfId="37970"/>
    <cellStyle name="Total 2 3 3 2 2 3 2 4" xfId="37971"/>
    <cellStyle name="Total 2 3 3 2 2 3 3" xfId="37972"/>
    <cellStyle name="Total 2 3 3 2 2 3 4" xfId="37973"/>
    <cellStyle name="Total 2 3 3 2 2 3 5" xfId="37974"/>
    <cellStyle name="Total 2 3 3 2 2 3 6" xfId="37975"/>
    <cellStyle name="Total 2 3 3 2 2 4" xfId="37976"/>
    <cellStyle name="Total 2 3 3 2 2 4 2" xfId="37977"/>
    <cellStyle name="Total 2 3 3 2 2 4 3" xfId="37978"/>
    <cellStyle name="Total 2 3 3 2 2 4 4" xfId="37979"/>
    <cellStyle name="Total 2 3 3 2 2 4 5" xfId="37980"/>
    <cellStyle name="Total 2 3 3 2 2 5" xfId="37981"/>
    <cellStyle name="Total 2 3 3 2 2 5 2" xfId="37982"/>
    <cellStyle name="Total 2 3 3 2 2 5 3" xfId="37983"/>
    <cellStyle name="Total 2 3 3 2 2 5 4" xfId="37984"/>
    <cellStyle name="Total 2 3 3 2 2 6" xfId="37985"/>
    <cellStyle name="Total 2 3 3 2 2 6 2" xfId="37986"/>
    <cellStyle name="Total 2 3 3 2 2 6 3" xfId="37987"/>
    <cellStyle name="Total 2 3 3 2 2 6 4" xfId="37988"/>
    <cellStyle name="Total 2 3 3 2 2 7" xfId="37989"/>
    <cellStyle name="Total 2 3 3 2 2 7 2" xfId="37990"/>
    <cellStyle name="Total 2 3 3 2 2 7 3" xfId="37991"/>
    <cellStyle name="Total 2 3 3 2 2 7 4" xfId="37992"/>
    <cellStyle name="Total 2 3 3 2 2 8" xfId="37993"/>
    <cellStyle name="Total 2 3 3 2 2 9" xfId="37994"/>
    <cellStyle name="Total 2 3 3 2 3" xfId="37995"/>
    <cellStyle name="Total 2 3 3 2 3 2" xfId="37996"/>
    <cellStyle name="Total 2 3 3 2 3 2 2" xfId="37997"/>
    <cellStyle name="Total 2 3 3 2 3 2 2 2" xfId="37998"/>
    <cellStyle name="Total 2 3 3 2 3 2 2 3" xfId="37999"/>
    <cellStyle name="Total 2 3 3 2 3 2 2 4" xfId="38000"/>
    <cellStyle name="Total 2 3 3 2 3 2 3" xfId="38001"/>
    <cellStyle name="Total 2 3 3 2 3 2 4" xfId="38002"/>
    <cellStyle name="Total 2 3 3 2 3 2 5" xfId="38003"/>
    <cellStyle name="Total 2 3 3 2 3 2 6" xfId="38004"/>
    <cellStyle name="Total 2 3 3 2 3 3" xfId="38005"/>
    <cellStyle name="Total 2 3 3 2 3 3 2" xfId="38006"/>
    <cellStyle name="Total 2 3 3 2 3 3 3" xfId="38007"/>
    <cellStyle name="Total 2 3 3 2 3 3 4" xfId="38008"/>
    <cellStyle name="Total 2 3 3 2 3 4" xfId="38009"/>
    <cellStyle name="Total 2 3 3 2 3 5" xfId="38010"/>
    <cellStyle name="Total 2 3 3 2 3 6" xfId="38011"/>
    <cellStyle name="Total 2 3 3 2 3 7" xfId="38012"/>
    <cellStyle name="Total 2 3 3 2 4" xfId="38013"/>
    <cellStyle name="Total 2 3 3 2 4 2" xfId="38014"/>
    <cellStyle name="Total 2 3 3 2 4 2 2" xfId="38015"/>
    <cellStyle name="Total 2 3 3 2 4 2 3" xfId="38016"/>
    <cellStyle name="Total 2 3 3 2 4 2 4" xfId="38017"/>
    <cellStyle name="Total 2 3 3 2 4 3" xfId="38018"/>
    <cellStyle name="Total 2 3 3 2 4 4" xfId="38019"/>
    <cellStyle name="Total 2 3 3 2 4 5" xfId="38020"/>
    <cellStyle name="Total 2 3 3 2 4 6" xfId="38021"/>
    <cellStyle name="Total 2 3 3 2 5" xfId="38022"/>
    <cellStyle name="Total 2 3 3 2 5 2" xfId="38023"/>
    <cellStyle name="Total 2 3 3 2 5 3" xfId="38024"/>
    <cellStyle name="Total 2 3 3 2 5 4" xfId="38025"/>
    <cellStyle name="Total 2 3 3 2 5 5" xfId="38026"/>
    <cellStyle name="Total 2 3 3 2 6" xfId="38027"/>
    <cellStyle name="Total 2 3 3 2 6 2" xfId="38028"/>
    <cellStyle name="Total 2 3 3 2 6 3" xfId="38029"/>
    <cellStyle name="Total 2 3 3 2 6 4" xfId="38030"/>
    <cellStyle name="Total 2 3 3 2 7" xfId="38031"/>
    <cellStyle name="Total 2 3 3 2 7 2" xfId="38032"/>
    <cellStyle name="Total 2 3 3 2 7 3" xfId="38033"/>
    <cellStyle name="Total 2 3 3 2 7 4" xfId="38034"/>
    <cellStyle name="Total 2 3 3 2 8" xfId="38035"/>
    <cellStyle name="Total 2 3 3 2 8 2" xfId="38036"/>
    <cellStyle name="Total 2 3 3 2 8 3" xfId="38037"/>
    <cellStyle name="Total 2 3 3 2 8 4" xfId="38038"/>
    <cellStyle name="Total 2 3 3 2 9" xfId="38039"/>
    <cellStyle name="Total 2 3 3 3" xfId="38040"/>
    <cellStyle name="Total 2 3 3 3 10" xfId="38041"/>
    <cellStyle name="Total 2 3 3 3 11" xfId="38042"/>
    <cellStyle name="Total 2 3 3 3 2" xfId="38043"/>
    <cellStyle name="Total 2 3 3 3 2 2" xfId="38044"/>
    <cellStyle name="Total 2 3 3 3 2 2 2" xfId="38045"/>
    <cellStyle name="Total 2 3 3 3 2 2 2 2" xfId="38046"/>
    <cellStyle name="Total 2 3 3 3 2 2 2 3" xfId="38047"/>
    <cellStyle name="Total 2 3 3 3 2 2 2 4" xfId="38048"/>
    <cellStyle name="Total 2 3 3 3 2 2 3" xfId="38049"/>
    <cellStyle name="Total 2 3 3 3 2 2 4" xfId="38050"/>
    <cellStyle name="Total 2 3 3 3 2 2 5" xfId="38051"/>
    <cellStyle name="Total 2 3 3 3 2 2 6" xfId="38052"/>
    <cellStyle name="Total 2 3 3 3 2 3" xfId="38053"/>
    <cellStyle name="Total 2 3 3 3 2 3 2" xfId="38054"/>
    <cellStyle name="Total 2 3 3 3 2 3 3" xfId="38055"/>
    <cellStyle name="Total 2 3 3 3 2 3 4" xfId="38056"/>
    <cellStyle name="Total 2 3 3 3 2 4" xfId="38057"/>
    <cellStyle name="Total 2 3 3 3 2 5" xfId="38058"/>
    <cellStyle name="Total 2 3 3 3 2 6" xfId="38059"/>
    <cellStyle name="Total 2 3 3 3 2 7" xfId="38060"/>
    <cellStyle name="Total 2 3 3 3 3" xfId="38061"/>
    <cellStyle name="Total 2 3 3 3 3 2" xfId="38062"/>
    <cellStyle name="Total 2 3 3 3 3 2 2" xfId="38063"/>
    <cellStyle name="Total 2 3 3 3 3 2 3" xfId="38064"/>
    <cellStyle name="Total 2 3 3 3 3 2 4" xfId="38065"/>
    <cellStyle name="Total 2 3 3 3 3 3" xfId="38066"/>
    <cellStyle name="Total 2 3 3 3 3 4" xfId="38067"/>
    <cellStyle name="Total 2 3 3 3 3 5" xfId="38068"/>
    <cellStyle name="Total 2 3 3 3 3 6" xfId="38069"/>
    <cellStyle name="Total 2 3 3 3 4" xfId="38070"/>
    <cellStyle name="Total 2 3 3 3 4 2" xfId="38071"/>
    <cellStyle name="Total 2 3 3 3 4 3" xfId="38072"/>
    <cellStyle name="Total 2 3 3 3 4 4" xfId="38073"/>
    <cellStyle name="Total 2 3 3 3 4 5" xfId="38074"/>
    <cellStyle name="Total 2 3 3 3 5" xfId="38075"/>
    <cellStyle name="Total 2 3 3 3 5 2" xfId="38076"/>
    <cellStyle name="Total 2 3 3 3 5 3" xfId="38077"/>
    <cellStyle name="Total 2 3 3 3 5 4" xfId="38078"/>
    <cellStyle name="Total 2 3 3 3 6" xfId="38079"/>
    <cellStyle name="Total 2 3 3 3 6 2" xfId="38080"/>
    <cellStyle name="Total 2 3 3 3 6 3" xfId="38081"/>
    <cellStyle name="Total 2 3 3 3 6 4" xfId="38082"/>
    <cellStyle name="Total 2 3 3 3 7" xfId="38083"/>
    <cellStyle name="Total 2 3 3 3 7 2" xfId="38084"/>
    <cellStyle name="Total 2 3 3 3 7 3" xfId="38085"/>
    <cellStyle name="Total 2 3 3 3 7 4" xfId="38086"/>
    <cellStyle name="Total 2 3 3 3 8" xfId="38087"/>
    <cellStyle name="Total 2 3 3 3 9" xfId="38088"/>
    <cellStyle name="Total 2 3 3 4" xfId="38089"/>
    <cellStyle name="Total 2 3 3 4 2" xfId="38090"/>
    <cellStyle name="Total 2 3 3 4 2 2" xfId="38091"/>
    <cellStyle name="Total 2 3 3 4 2 2 2" xfId="38092"/>
    <cellStyle name="Total 2 3 3 4 2 2 3" xfId="38093"/>
    <cellStyle name="Total 2 3 3 4 2 2 4" xfId="38094"/>
    <cellStyle name="Total 2 3 3 4 2 3" xfId="38095"/>
    <cellStyle name="Total 2 3 3 4 2 4" xfId="38096"/>
    <cellStyle name="Total 2 3 3 4 2 5" xfId="38097"/>
    <cellStyle name="Total 2 3 3 4 2 6" xfId="38098"/>
    <cellStyle name="Total 2 3 3 4 3" xfId="38099"/>
    <cellStyle name="Total 2 3 3 4 3 2" xfId="38100"/>
    <cellStyle name="Total 2 3 3 4 3 3" xfId="38101"/>
    <cellStyle name="Total 2 3 3 4 3 4" xfId="38102"/>
    <cellStyle name="Total 2 3 3 4 4" xfId="38103"/>
    <cellStyle name="Total 2 3 3 4 5" xfId="38104"/>
    <cellStyle name="Total 2 3 3 4 6" xfId="38105"/>
    <cellStyle name="Total 2 3 3 4 7" xfId="38106"/>
    <cellStyle name="Total 2 3 3 5" xfId="38107"/>
    <cellStyle name="Total 2 3 3 5 2" xfId="38108"/>
    <cellStyle name="Total 2 3 3 5 2 2" xfId="38109"/>
    <cellStyle name="Total 2 3 3 5 2 3" xfId="38110"/>
    <cellStyle name="Total 2 3 3 5 2 4" xfId="38111"/>
    <cellStyle name="Total 2 3 3 5 3" xfId="38112"/>
    <cellStyle name="Total 2 3 3 5 3 2" xfId="38113"/>
    <cellStyle name="Total 2 3 3 5 3 3" xfId="38114"/>
    <cellStyle name="Total 2 3 3 5 3 4" xfId="38115"/>
    <cellStyle name="Total 2 3 3 5 4" xfId="38116"/>
    <cellStyle name="Total 2 3 3 5 5" xfId="38117"/>
    <cellStyle name="Total 2 3 3 5 6" xfId="38118"/>
    <cellStyle name="Total 2 3 3 5 7" xfId="38119"/>
    <cellStyle name="Total 2 3 3 6" xfId="38120"/>
    <cellStyle name="Total 2 3 3 6 2" xfId="38121"/>
    <cellStyle name="Total 2 3 3 6 2 2" xfId="38122"/>
    <cellStyle name="Total 2 3 3 6 2 3" xfId="38123"/>
    <cellStyle name="Total 2 3 3 6 2 4" xfId="38124"/>
    <cellStyle name="Total 2 3 3 6 3" xfId="38125"/>
    <cellStyle name="Total 2 3 3 6 3 2" xfId="38126"/>
    <cellStyle name="Total 2 3 3 6 3 3" xfId="38127"/>
    <cellStyle name="Total 2 3 3 6 3 4" xfId="38128"/>
    <cellStyle name="Total 2 3 3 6 4" xfId="38129"/>
    <cellStyle name="Total 2 3 3 6 5" xfId="38130"/>
    <cellStyle name="Total 2 3 3 6 6" xfId="38131"/>
    <cellStyle name="Total 2 3 3 6 7" xfId="38132"/>
    <cellStyle name="Total 2 3 3 7" xfId="38133"/>
    <cellStyle name="Total 2 3 3 7 2" xfId="38134"/>
    <cellStyle name="Total 2 3 3 7 2 2" xfId="38135"/>
    <cellStyle name="Total 2 3 3 7 2 3" xfId="38136"/>
    <cellStyle name="Total 2 3 3 7 2 4" xfId="38137"/>
    <cellStyle name="Total 2 3 3 7 3" xfId="38138"/>
    <cellStyle name="Total 2 3 3 7 3 2" xfId="38139"/>
    <cellStyle name="Total 2 3 3 7 3 3" xfId="38140"/>
    <cellStyle name="Total 2 3 3 7 3 4" xfId="38141"/>
    <cellStyle name="Total 2 3 3 7 4" xfId="38142"/>
    <cellStyle name="Total 2 3 3 7 5" xfId="38143"/>
    <cellStyle name="Total 2 3 3 7 6" xfId="38144"/>
    <cellStyle name="Total 2 3 3 7 7" xfId="38145"/>
    <cellStyle name="Total 2 3 3 8" xfId="38146"/>
    <cellStyle name="Total 2 3 3 8 2" xfId="38147"/>
    <cellStyle name="Total 2 3 3 8 2 2" xfId="38148"/>
    <cellStyle name="Total 2 3 3 8 2 3" xfId="38149"/>
    <cellStyle name="Total 2 3 3 8 2 4" xfId="38150"/>
    <cellStyle name="Total 2 3 3 8 3" xfId="38151"/>
    <cellStyle name="Total 2 3 3 8 4" xfId="38152"/>
    <cellStyle name="Total 2 3 3 8 5" xfId="38153"/>
    <cellStyle name="Total 2 3 3 8 6" xfId="38154"/>
    <cellStyle name="Total 2 3 3 9" xfId="38155"/>
    <cellStyle name="Total 2 3 3 9 2" xfId="38156"/>
    <cellStyle name="Total 2 3 3 9 3" xfId="38157"/>
    <cellStyle name="Total 2 3 3 9 4" xfId="38158"/>
    <cellStyle name="Total 2 3 3 9 5" xfId="38159"/>
    <cellStyle name="Total 2 3 30" xfId="38160"/>
    <cellStyle name="Total 2 3 31" xfId="38161"/>
    <cellStyle name="Total 2 3 32" xfId="38162"/>
    <cellStyle name="Total 2 3 33" xfId="38163"/>
    <cellStyle name="Total 2 3 34" xfId="38164"/>
    <cellStyle name="Total 2 3 35" xfId="58499"/>
    <cellStyle name="Total 2 3 36" xfId="58500"/>
    <cellStyle name="Total 2 3 37" xfId="58501"/>
    <cellStyle name="Total 2 3 38" xfId="58502"/>
    <cellStyle name="Total 2 3 39" xfId="58503"/>
    <cellStyle name="Total 2 3 4" xfId="1028"/>
    <cellStyle name="Total 2 3 4 10" xfId="38165"/>
    <cellStyle name="Total 2 3 4 10 2" xfId="38166"/>
    <cellStyle name="Total 2 3 4 10 3" xfId="38167"/>
    <cellStyle name="Total 2 3 4 10 4" xfId="38168"/>
    <cellStyle name="Total 2 3 4 11" xfId="38169"/>
    <cellStyle name="Total 2 3 4 11 2" xfId="38170"/>
    <cellStyle name="Total 2 3 4 11 3" xfId="38171"/>
    <cellStyle name="Total 2 3 4 11 4" xfId="38172"/>
    <cellStyle name="Total 2 3 4 12" xfId="38173"/>
    <cellStyle name="Total 2 3 4 12 2" xfId="38174"/>
    <cellStyle name="Total 2 3 4 12 3" xfId="38175"/>
    <cellStyle name="Total 2 3 4 12 4" xfId="38176"/>
    <cellStyle name="Total 2 3 4 13" xfId="38177"/>
    <cellStyle name="Total 2 3 4 13 2" xfId="38178"/>
    <cellStyle name="Total 2 3 4 13 3" xfId="38179"/>
    <cellStyle name="Total 2 3 4 13 4" xfId="38180"/>
    <cellStyle name="Total 2 3 4 14" xfId="38181"/>
    <cellStyle name="Total 2 3 4 15" xfId="38182"/>
    <cellStyle name="Total 2 3 4 16" xfId="38183"/>
    <cellStyle name="Total 2 3 4 17" xfId="38184"/>
    <cellStyle name="Total 2 3 4 2" xfId="1029"/>
    <cellStyle name="Total 2 3 4 2 10" xfId="38185"/>
    <cellStyle name="Total 2 3 4 2 11" xfId="38186"/>
    <cellStyle name="Total 2 3 4 2 12" xfId="38187"/>
    <cellStyle name="Total 2 3 4 2 2" xfId="38188"/>
    <cellStyle name="Total 2 3 4 2 2 10" xfId="38189"/>
    <cellStyle name="Total 2 3 4 2 2 11" xfId="38190"/>
    <cellStyle name="Total 2 3 4 2 2 2" xfId="38191"/>
    <cellStyle name="Total 2 3 4 2 2 2 2" xfId="38192"/>
    <cellStyle name="Total 2 3 4 2 2 2 2 2" xfId="38193"/>
    <cellStyle name="Total 2 3 4 2 2 2 2 2 2" xfId="38194"/>
    <cellStyle name="Total 2 3 4 2 2 2 2 2 3" xfId="38195"/>
    <cellStyle name="Total 2 3 4 2 2 2 2 2 4" xfId="38196"/>
    <cellStyle name="Total 2 3 4 2 2 2 2 3" xfId="38197"/>
    <cellStyle name="Total 2 3 4 2 2 2 2 4" xfId="38198"/>
    <cellStyle name="Total 2 3 4 2 2 2 2 5" xfId="38199"/>
    <cellStyle name="Total 2 3 4 2 2 2 2 6" xfId="38200"/>
    <cellStyle name="Total 2 3 4 2 2 2 3" xfId="38201"/>
    <cellStyle name="Total 2 3 4 2 2 2 3 2" xfId="38202"/>
    <cellStyle name="Total 2 3 4 2 2 2 3 3" xfId="38203"/>
    <cellStyle name="Total 2 3 4 2 2 2 3 4" xfId="38204"/>
    <cellStyle name="Total 2 3 4 2 2 2 4" xfId="38205"/>
    <cellStyle name="Total 2 3 4 2 2 2 5" xfId="38206"/>
    <cellStyle name="Total 2 3 4 2 2 2 6" xfId="38207"/>
    <cellStyle name="Total 2 3 4 2 2 2 7" xfId="38208"/>
    <cellStyle name="Total 2 3 4 2 2 3" xfId="38209"/>
    <cellStyle name="Total 2 3 4 2 2 3 2" xfId="38210"/>
    <cellStyle name="Total 2 3 4 2 2 3 2 2" xfId="38211"/>
    <cellStyle name="Total 2 3 4 2 2 3 2 3" xfId="38212"/>
    <cellStyle name="Total 2 3 4 2 2 3 2 4" xfId="38213"/>
    <cellStyle name="Total 2 3 4 2 2 3 3" xfId="38214"/>
    <cellStyle name="Total 2 3 4 2 2 3 4" xfId="38215"/>
    <cellStyle name="Total 2 3 4 2 2 3 5" xfId="38216"/>
    <cellStyle name="Total 2 3 4 2 2 3 6" xfId="38217"/>
    <cellStyle name="Total 2 3 4 2 2 4" xfId="38218"/>
    <cellStyle name="Total 2 3 4 2 2 4 2" xfId="38219"/>
    <cellStyle name="Total 2 3 4 2 2 4 3" xfId="38220"/>
    <cellStyle name="Total 2 3 4 2 2 4 4" xfId="38221"/>
    <cellStyle name="Total 2 3 4 2 2 4 5" xfId="38222"/>
    <cellStyle name="Total 2 3 4 2 2 5" xfId="38223"/>
    <cellStyle name="Total 2 3 4 2 2 5 2" xfId="38224"/>
    <cellStyle name="Total 2 3 4 2 2 5 3" xfId="38225"/>
    <cellStyle name="Total 2 3 4 2 2 5 4" xfId="38226"/>
    <cellStyle name="Total 2 3 4 2 2 6" xfId="38227"/>
    <cellStyle name="Total 2 3 4 2 2 6 2" xfId="38228"/>
    <cellStyle name="Total 2 3 4 2 2 6 3" xfId="38229"/>
    <cellStyle name="Total 2 3 4 2 2 6 4" xfId="38230"/>
    <cellStyle name="Total 2 3 4 2 2 7" xfId="38231"/>
    <cellStyle name="Total 2 3 4 2 2 7 2" xfId="38232"/>
    <cellStyle name="Total 2 3 4 2 2 7 3" xfId="38233"/>
    <cellStyle name="Total 2 3 4 2 2 7 4" xfId="38234"/>
    <cellStyle name="Total 2 3 4 2 2 8" xfId="38235"/>
    <cellStyle name="Total 2 3 4 2 2 9" xfId="38236"/>
    <cellStyle name="Total 2 3 4 2 3" xfId="38237"/>
    <cellStyle name="Total 2 3 4 2 3 2" xfId="38238"/>
    <cellStyle name="Total 2 3 4 2 3 2 2" xfId="38239"/>
    <cellStyle name="Total 2 3 4 2 3 2 2 2" xfId="38240"/>
    <cellStyle name="Total 2 3 4 2 3 2 2 3" xfId="38241"/>
    <cellStyle name="Total 2 3 4 2 3 2 2 4" xfId="38242"/>
    <cellStyle name="Total 2 3 4 2 3 2 3" xfId="38243"/>
    <cellStyle name="Total 2 3 4 2 3 2 4" xfId="38244"/>
    <cellStyle name="Total 2 3 4 2 3 2 5" xfId="38245"/>
    <cellStyle name="Total 2 3 4 2 3 2 6" xfId="38246"/>
    <cellStyle name="Total 2 3 4 2 3 3" xfId="38247"/>
    <cellStyle name="Total 2 3 4 2 3 3 2" xfId="38248"/>
    <cellStyle name="Total 2 3 4 2 3 3 3" xfId="38249"/>
    <cellStyle name="Total 2 3 4 2 3 3 4" xfId="38250"/>
    <cellStyle name="Total 2 3 4 2 3 4" xfId="38251"/>
    <cellStyle name="Total 2 3 4 2 3 5" xfId="38252"/>
    <cellStyle name="Total 2 3 4 2 3 6" xfId="38253"/>
    <cellStyle name="Total 2 3 4 2 3 7" xfId="38254"/>
    <cellStyle name="Total 2 3 4 2 4" xfId="38255"/>
    <cellStyle name="Total 2 3 4 2 4 2" xfId="38256"/>
    <cellStyle name="Total 2 3 4 2 4 2 2" xfId="38257"/>
    <cellStyle name="Total 2 3 4 2 4 2 3" xfId="38258"/>
    <cellStyle name="Total 2 3 4 2 4 2 4" xfId="38259"/>
    <cellStyle name="Total 2 3 4 2 4 3" xfId="38260"/>
    <cellStyle name="Total 2 3 4 2 4 4" xfId="38261"/>
    <cellStyle name="Total 2 3 4 2 4 5" xfId="38262"/>
    <cellStyle name="Total 2 3 4 2 4 6" xfId="38263"/>
    <cellStyle name="Total 2 3 4 2 5" xfId="38264"/>
    <cellStyle name="Total 2 3 4 2 5 2" xfId="38265"/>
    <cellStyle name="Total 2 3 4 2 5 3" xfId="38266"/>
    <cellStyle name="Total 2 3 4 2 5 4" xfId="38267"/>
    <cellStyle name="Total 2 3 4 2 5 5" xfId="38268"/>
    <cellStyle name="Total 2 3 4 2 6" xfId="38269"/>
    <cellStyle name="Total 2 3 4 2 6 2" xfId="38270"/>
    <cellStyle name="Total 2 3 4 2 6 3" xfId="38271"/>
    <cellStyle name="Total 2 3 4 2 6 4" xfId="38272"/>
    <cellStyle name="Total 2 3 4 2 7" xfId="38273"/>
    <cellStyle name="Total 2 3 4 2 7 2" xfId="38274"/>
    <cellStyle name="Total 2 3 4 2 7 3" xfId="38275"/>
    <cellStyle name="Total 2 3 4 2 7 4" xfId="38276"/>
    <cellStyle name="Total 2 3 4 2 8" xfId="38277"/>
    <cellStyle name="Total 2 3 4 2 8 2" xfId="38278"/>
    <cellStyle name="Total 2 3 4 2 8 3" xfId="38279"/>
    <cellStyle name="Total 2 3 4 2 8 4" xfId="38280"/>
    <cellStyle name="Total 2 3 4 2 9" xfId="38281"/>
    <cellStyle name="Total 2 3 4 3" xfId="1030"/>
    <cellStyle name="Total 2 3 4 3 10" xfId="38282"/>
    <cellStyle name="Total 2 3 4 3 11" xfId="38283"/>
    <cellStyle name="Total 2 3 4 3 2" xfId="38284"/>
    <cellStyle name="Total 2 3 4 3 2 2" xfId="38285"/>
    <cellStyle name="Total 2 3 4 3 2 2 2" xfId="38286"/>
    <cellStyle name="Total 2 3 4 3 2 2 2 2" xfId="38287"/>
    <cellStyle name="Total 2 3 4 3 2 2 2 3" xfId="38288"/>
    <cellStyle name="Total 2 3 4 3 2 2 2 4" xfId="38289"/>
    <cellStyle name="Total 2 3 4 3 2 2 3" xfId="38290"/>
    <cellStyle name="Total 2 3 4 3 2 2 4" xfId="38291"/>
    <cellStyle name="Total 2 3 4 3 2 2 5" xfId="38292"/>
    <cellStyle name="Total 2 3 4 3 2 2 6" xfId="38293"/>
    <cellStyle name="Total 2 3 4 3 2 3" xfId="38294"/>
    <cellStyle name="Total 2 3 4 3 2 3 2" xfId="38295"/>
    <cellStyle name="Total 2 3 4 3 2 3 3" xfId="38296"/>
    <cellStyle name="Total 2 3 4 3 2 3 4" xfId="38297"/>
    <cellStyle name="Total 2 3 4 3 2 4" xfId="38298"/>
    <cellStyle name="Total 2 3 4 3 2 5" xfId="38299"/>
    <cellStyle name="Total 2 3 4 3 2 6" xfId="38300"/>
    <cellStyle name="Total 2 3 4 3 2 7" xfId="38301"/>
    <cellStyle name="Total 2 3 4 3 3" xfId="38302"/>
    <cellStyle name="Total 2 3 4 3 3 2" xfId="38303"/>
    <cellStyle name="Total 2 3 4 3 3 2 2" xfId="38304"/>
    <cellStyle name="Total 2 3 4 3 3 2 3" xfId="38305"/>
    <cellStyle name="Total 2 3 4 3 3 2 4" xfId="38306"/>
    <cellStyle name="Total 2 3 4 3 3 3" xfId="38307"/>
    <cellStyle name="Total 2 3 4 3 3 4" xfId="38308"/>
    <cellStyle name="Total 2 3 4 3 3 5" xfId="38309"/>
    <cellStyle name="Total 2 3 4 3 3 6" xfId="38310"/>
    <cellStyle name="Total 2 3 4 3 4" xfId="38311"/>
    <cellStyle name="Total 2 3 4 3 4 2" xfId="38312"/>
    <cellStyle name="Total 2 3 4 3 4 3" xfId="38313"/>
    <cellStyle name="Total 2 3 4 3 4 4" xfId="38314"/>
    <cellStyle name="Total 2 3 4 3 4 5" xfId="38315"/>
    <cellStyle name="Total 2 3 4 3 5" xfId="38316"/>
    <cellStyle name="Total 2 3 4 3 5 2" xfId="38317"/>
    <cellStyle name="Total 2 3 4 3 5 3" xfId="38318"/>
    <cellStyle name="Total 2 3 4 3 5 4" xfId="38319"/>
    <cellStyle name="Total 2 3 4 3 6" xfId="38320"/>
    <cellStyle name="Total 2 3 4 3 6 2" xfId="38321"/>
    <cellStyle name="Total 2 3 4 3 6 3" xfId="38322"/>
    <cellStyle name="Total 2 3 4 3 6 4" xfId="38323"/>
    <cellStyle name="Total 2 3 4 3 7" xfId="38324"/>
    <cellStyle name="Total 2 3 4 3 7 2" xfId="38325"/>
    <cellStyle name="Total 2 3 4 3 7 3" xfId="38326"/>
    <cellStyle name="Total 2 3 4 3 7 4" xfId="38327"/>
    <cellStyle name="Total 2 3 4 3 8" xfId="38328"/>
    <cellStyle name="Total 2 3 4 3 9" xfId="38329"/>
    <cellStyle name="Total 2 3 4 4" xfId="38330"/>
    <cellStyle name="Total 2 3 4 4 2" xfId="38331"/>
    <cellStyle name="Total 2 3 4 4 2 2" xfId="38332"/>
    <cellStyle name="Total 2 3 4 4 2 2 2" xfId="38333"/>
    <cellStyle name="Total 2 3 4 4 2 2 3" xfId="38334"/>
    <cellStyle name="Total 2 3 4 4 2 2 4" xfId="38335"/>
    <cellStyle name="Total 2 3 4 4 2 3" xfId="38336"/>
    <cellStyle name="Total 2 3 4 4 2 4" xfId="38337"/>
    <cellStyle name="Total 2 3 4 4 2 5" xfId="38338"/>
    <cellStyle name="Total 2 3 4 4 2 6" xfId="38339"/>
    <cellStyle name="Total 2 3 4 4 3" xfId="38340"/>
    <cellStyle name="Total 2 3 4 4 3 2" xfId="38341"/>
    <cellStyle name="Total 2 3 4 4 3 3" xfId="38342"/>
    <cellStyle name="Total 2 3 4 4 3 4" xfId="38343"/>
    <cellStyle name="Total 2 3 4 4 4" xfId="38344"/>
    <cellStyle name="Total 2 3 4 4 5" xfId="38345"/>
    <cellStyle name="Total 2 3 4 4 6" xfId="38346"/>
    <cellStyle name="Total 2 3 4 4 7" xfId="38347"/>
    <cellStyle name="Total 2 3 4 5" xfId="38348"/>
    <cellStyle name="Total 2 3 4 5 2" xfId="38349"/>
    <cellStyle name="Total 2 3 4 5 2 2" xfId="38350"/>
    <cellStyle name="Total 2 3 4 5 2 3" xfId="38351"/>
    <cellStyle name="Total 2 3 4 5 2 4" xfId="38352"/>
    <cellStyle name="Total 2 3 4 5 3" xfId="38353"/>
    <cellStyle name="Total 2 3 4 5 3 2" xfId="38354"/>
    <cellStyle name="Total 2 3 4 5 3 3" xfId="38355"/>
    <cellStyle name="Total 2 3 4 5 3 4" xfId="38356"/>
    <cellStyle name="Total 2 3 4 5 4" xfId="38357"/>
    <cellStyle name="Total 2 3 4 5 5" xfId="38358"/>
    <cellStyle name="Total 2 3 4 5 6" xfId="38359"/>
    <cellStyle name="Total 2 3 4 5 7" xfId="38360"/>
    <cellStyle name="Total 2 3 4 6" xfId="38361"/>
    <cellStyle name="Total 2 3 4 6 2" xfId="38362"/>
    <cellStyle name="Total 2 3 4 6 2 2" xfId="38363"/>
    <cellStyle name="Total 2 3 4 6 2 3" xfId="38364"/>
    <cellStyle name="Total 2 3 4 6 2 4" xfId="38365"/>
    <cellStyle name="Total 2 3 4 6 3" xfId="38366"/>
    <cellStyle name="Total 2 3 4 6 3 2" xfId="38367"/>
    <cellStyle name="Total 2 3 4 6 3 3" xfId="38368"/>
    <cellStyle name="Total 2 3 4 6 3 4" xfId="38369"/>
    <cellStyle name="Total 2 3 4 6 4" xfId="38370"/>
    <cellStyle name="Total 2 3 4 6 5" xfId="38371"/>
    <cellStyle name="Total 2 3 4 6 6" xfId="38372"/>
    <cellStyle name="Total 2 3 4 6 7" xfId="38373"/>
    <cellStyle name="Total 2 3 4 7" xfId="38374"/>
    <cellStyle name="Total 2 3 4 7 2" xfId="38375"/>
    <cellStyle name="Total 2 3 4 7 2 2" xfId="38376"/>
    <cellStyle name="Total 2 3 4 7 2 3" xfId="38377"/>
    <cellStyle name="Total 2 3 4 7 2 4" xfId="38378"/>
    <cellStyle name="Total 2 3 4 7 3" xfId="38379"/>
    <cellStyle name="Total 2 3 4 7 3 2" xfId="38380"/>
    <cellStyle name="Total 2 3 4 7 3 3" xfId="38381"/>
    <cellStyle name="Total 2 3 4 7 3 4" xfId="38382"/>
    <cellStyle name="Total 2 3 4 7 4" xfId="38383"/>
    <cellStyle name="Total 2 3 4 7 5" xfId="38384"/>
    <cellStyle name="Total 2 3 4 7 6" xfId="38385"/>
    <cellStyle name="Total 2 3 4 7 7" xfId="38386"/>
    <cellStyle name="Total 2 3 4 8" xfId="38387"/>
    <cellStyle name="Total 2 3 4 8 2" xfId="38388"/>
    <cellStyle name="Total 2 3 4 8 2 2" xfId="38389"/>
    <cellStyle name="Total 2 3 4 8 2 3" xfId="38390"/>
    <cellStyle name="Total 2 3 4 8 2 4" xfId="38391"/>
    <cellStyle name="Total 2 3 4 8 3" xfId="38392"/>
    <cellStyle name="Total 2 3 4 8 4" xfId="38393"/>
    <cellStyle name="Total 2 3 4 8 5" xfId="38394"/>
    <cellStyle name="Total 2 3 4 8 6" xfId="38395"/>
    <cellStyle name="Total 2 3 4 9" xfId="38396"/>
    <cellStyle name="Total 2 3 4 9 2" xfId="38397"/>
    <cellStyle name="Total 2 3 4 9 3" xfId="38398"/>
    <cellStyle name="Total 2 3 4 9 4" xfId="38399"/>
    <cellStyle name="Total 2 3 4 9 5" xfId="38400"/>
    <cellStyle name="Total 2 3 40" xfId="58504"/>
    <cellStyle name="Total 2 3 5" xfId="1031"/>
    <cellStyle name="Total 2 3 5 10" xfId="38401"/>
    <cellStyle name="Total 2 3 5 10 2" xfId="38402"/>
    <cellStyle name="Total 2 3 5 10 3" xfId="38403"/>
    <cellStyle name="Total 2 3 5 10 4" xfId="38404"/>
    <cellStyle name="Total 2 3 5 11" xfId="38405"/>
    <cellStyle name="Total 2 3 5 12" xfId="38406"/>
    <cellStyle name="Total 2 3 5 13" xfId="38407"/>
    <cellStyle name="Total 2 3 5 14" xfId="38408"/>
    <cellStyle name="Total 2 3 5 2" xfId="1032"/>
    <cellStyle name="Total 2 3 5 2 10" xfId="38409"/>
    <cellStyle name="Total 2 3 5 2 11" xfId="38410"/>
    <cellStyle name="Total 2 3 5 2 12" xfId="38411"/>
    <cellStyle name="Total 2 3 5 2 2" xfId="38412"/>
    <cellStyle name="Total 2 3 5 2 2 10" xfId="38413"/>
    <cellStyle name="Total 2 3 5 2 2 11" xfId="38414"/>
    <cellStyle name="Total 2 3 5 2 2 2" xfId="38415"/>
    <cellStyle name="Total 2 3 5 2 2 2 2" xfId="38416"/>
    <cellStyle name="Total 2 3 5 2 2 2 2 2" xfId="38417"/>
    <cellStyle name="Total 2 3 5 2 2 2 2 2 2" xfId="38418"/>
    <cellStyle name="Total 2 3 5 2 2 2 2 2 3" xfId="38419"/>
    <cellStyle name="Total 2 3 5 2 2 2 2 2 4" xfId="38420"/>
    <cellStyle name="Total 2 3 5 2 2 2 2 3" xfId="38421"/>
    <cellStyle name="Total 2 3 5 2 2 2 2 4" xfId="38422"/>
    <cellStyle name="Total 2 3 5 2 2 2 2 5" xfId="38423"/>
    <cellStyle name="Total 2 3 5 2 2 2 2 6" xfId="38424"/>
    <cellStyle name="Total 2 3 5 2 2 2 3" xfId="38425"/>
    <cellStyle name="Total 2 3 5 2 2 2 3 2" xfId="38426"/>
    <cellStyle name="Total 2 3 5 2 2 2 3 3" xfId="38427"/>
    <cellStyle name="Total 2 3 5 2 2 2 3 4" xfId="38428"/>
    <cellStyle name="Total 2 3 5 2 2 2 4" xfId="38429"/>
    <cellStyle name="Total 2 3 5 2 2 2 5" xfId="38430"/>
    <cellStyle name="Total 2 3 5 2 2 2 6" xfId="38431"/>
    <cellStyle name="Total 2 3 5 2 2 2 7" xfId="38432"/>
    <cellStyle name="Total 2 3 5 2 2 3" xfId="38433"/>
    <cellStyle name="Total 2 3 5 2 2 3 2" xfId="38434"/>
    <cellStyle name="Total 2 3 5 2 2 3 2 2" xfId="38435"/>
    <cellStyle name="Total 2 3 5 2 2 3 2 3" xfId="38436"/>
    <cellStyle name="Total 2 3 5 2 2 3 2 4" xfId="38437"/>
    <cellStyle name="Total 2 3 5 2 2 3 3" xfId="38438"/>
    <cellStyle name="Total 2 3 5 2 2 3 4" xfId="38439"/>
    <cellStyle name="Total 2 3 5 2 2 3 5" xfId="38440"/>
    <cellStyle name="Total 2 3 5 2 2 3 6" xfId="38441"/>
    <cellStyle name="Total 2 3 5 2 2 4" xfId="38442"/>
    <cellStyle name="Total 2 3 5 2 2 4 2" xfId="38443"/>
    <cellStyle name="Total 2 3 5 2 2 4 3" xfId="38444"/>
    <cellStyle name="Total 2 3 5 2 2 4 4" xfId="38445"/>
    <cellStyle name="Total 2 3 5 2 2 4 5" xfId="38446"/>
    <cellStyle name="Total 2 3 5 2 2 5" xfId="38447"/>
    <cellStyle name="Total 2 3 5 2 2 5 2" xfId="38448"/>
    <cellStyle name="Total 2 3 5 2 2 5 3" xfId="38449"/>
    <cellStyle name="Total 2 3 5 2 2 5 4" xfId="38450"/>
    <cellStyle name="Total 2 3 5 2 2 6" xfId="38451"/>
    <cellStyle name="Total 2 3 5 2 2 6 2" xfId="38452"/>
    <cellStyle name="Total 2 3 5 2 2 6 3" xfId="38453"/>
    <cellStyle name="Total 2 3 5 2 2 6 4" xfId="38454"/>
    <cellStyle name="Total 2 3 5 2 2 7" xfId="38455"/>
    <cellStyle name="Total 2 3 5 2 2 7 2" xfId="38456"/>
    <cellStyle name="Total 2 3 5 2 2 7 3" xfId="38457"/>
    <cellStyle name="Total 2 3 5 2 2 7 4" xfId="38458"/>
    <cellStyle name="Total 2 3 5 2 2 8" xfId="38459"/>
    <cellStyle name="Total 2 3 5 2 2 9" xfId="38460"/>
    <cellStyle name="Total 2 3 5 2 3" xfId="38461"/>
    <cellStyle name="Total 2 3 5 2 3 2" xfId="38462"/>
    <cellStyle name="Total 2 3 5 2 3 2 2" xfId="38463"/>
    <cellStyle name="Total 2 3 5 2 3 2 2 2" xfId="38464"/>
    <cellStyle name="Total 2 3 5 2 3 2 2 3" xfId="38465"/>
    <cellStyle name="Total 2 3 5 2 3 2 2 4" xfId="38466"/>
    <cellStyle name="Total 2 3 5 2 3 2 3" xfId="38467"/>
    <cellStyle name="Total 2 3 5 2 3 2 4" xfId="38468"/>
    <cellStyle name="Total 2 3 5 2 3 2 5" xfId="38469"/>
    <cellStyle name="Total 2 3 5 2 3 2 6" xfId="38470"/>
    <cellStyle name="Total 2 3 5 2 3 3" xfId="38471"/>
    <cellStyle name="Total 2 3 5 2 3 3 2" xfId="38472"/>
    <cellStyle name="Total 2 3 5 2 3 3 3" xfId="38473"/>
    <cellStyle name="Total 2 3 5 2 3 3 4" xfId="38474"/>
    <cellStyle name="Total 2 3 5 2 3 4" xfId="38475"/>
    <cellStyle name="Total 2 3 5 2 3 5" xfId="38476"/>
    <cellStyle name="Total 2 3 5 2 3 6" xfId="38477"/>
    <cellStyle name="Total 2 3 5 2 3 7" xfId="38478"/>
    <cellStyle name="Total 2 3 5 2 4" xfId="38479"/>
    <cellStyle name="Total 2 3 5 2 4 2" xfId="38480"/>
    <cellStyle name="Total 2 3 5 2 4 2 2" xfId="38481"/>
    <cellStyle name="Total 2 3 5 2 4 2 3" xfId="38482"/>
    <cellStyle name="Total 2 3 5 2 4 2 4" xfId="38483"/>
    <cellStyle name="Total 2 3 5 2 4 3" xfId="38484"/>
    <cellStyle name="Total 2 3 5 2 4 4" xfId="38485"/>
    <cellStyle name="Total 2 3 5 2 4 5" xfId="38486"/>
    <cellStyle name="Total 2 3 5 2 4 6" xfId="38487"/>
    <cellStyle name="Total 2 3 5 2 5" xfId="38488"/>
    <cellStyle name="Total 2 3 5 2 5 2" xfId="38489"/>
    <cellStyle name="Total 2 3 5 2 5 3" xfId="38490"/>
    <cellStyle name="Total 2 3 5 2 5 4" xfId="38491"/>
    <cellStyle name="Total 2 3 5 2 5 5" xfId="38492"/>
    <cellStyle name="Total 2 3 5 2 6" xfId="38493"/>
    <cellStyle name="Total 2 3 5 2 6 2" xfId="38494"/>
    <cellStyle name="Total 2 3 5 2 6 3" xfId="38495"/>
    <cellStyle name="Total 2 3 5 2 6 4" xfId="38496"/>
    <cellStyle name="Total 2 3 5 2 7" xfId="38497"/>
    <cellStyle name="Total 2 3 5 2 7 2" xfId="38498"/>
    <cellStyle name="Total 2 3 5 2 7 3" xfId="38499"/>
    <cellStyle name="Total 2 3 5 2 7 4" xfId="38500"/>
    <cellStyle name="Total 2 3 5 2 8" xfId="38501"/>
    <cellStyle name="Total 2 3 5 2 8 2" xfId="38502"/>
    <cellStyle name="Total 2 3 5 2 8 3" xfId="38503"/>
    <cellStyle name="Total 2 3 5 2 8 4" xfId="38504"/>
    <cellStyle name="Total 2 3 5 2 9" xfId="38505"/>
    <cellStyle name="Total 2 3 5 3" xfId="1033"/>
    <cellStyle name="Total 2 3 5 3 10" xfId="38506"/>
    <cellStyle name="Total 2 3 5 3 11" xfId="38507"/>
    <cellStyle name="Total 2 3 5 3 2" xfId="38508"/>
    <cellStyle name="Total 2 3 5 3 2 2" xfId="38509"/>
    <cellStyle name="Total 2 3 5 3 2 2 2" xfId="38510"/>
    <cellStyle name="Total 2 3 5 3 2 2 2 2" xfId="38511"/>
    <cellStyle name="Total 2 3 5 3 2 2 2 3" xfId="38512"/>
    <cellStyle name="Total 2 3 5 3 2 2 2 4" xfId="38513"/>
    <cellStyle name="Total 2 3 5 3 2 2 3" xfId="38514"/>
    <cellStyle name="Total 2 3 5 3 2 2 4" xfId="38515"/>
    <cellStyle name="Total 2 3 5 3 2 2 5" xfId="38516"/>
    <cellStyle name="Total 2 3 5 3 2 2 6" xfId="38517"/>
    <cellStyle name="Total 2 3 5 3 2 3" xfId="38518"/>
    <cellStyle name="Total 2 3 5 3 2 3 2" xfId="38519"/>
    <cellStyle name="Total 2 3 5 3 2 3 3" xfId="38520"/>
    <cellStyle name="Total 2 3 5 3 2 3 4" xfId="38521"/>
    <cellStyle name="Total 2 3 5 3 2 4" xfId="38522"/>
    <cellStyle name="Total 2 3 5 3 2 5" xfId="38523"/>
    <cellStyle name="Total 2 3 5 3 2 6" xfId="38524"/>
    <cellStyle name="Total 2 3 5 3 2 7" xfId="38525"/>
    <cellStyle name="Total 2 3 5 3 3" xfId="38526"/>
    <cellStyle name="Total 2 3 5 3 3 2" xfId="38527"/>
    <cellStyle name="Total 2 3 5 3 3 2 2" xfId="38528"/>
    <cellStyle name="Total 2 3 5 3 3 2 3" xfId="38529"/>
    <cellStyle name="Total 2 3 5 3 3 2 4" xfId="38530"/>
    <cellStyle name="Total 2 3 5 3 3 3" xfId="38531"/>
    <cellStyle name="Total 2 3 5 3 3 4" xfId="38532"/>
    <cellStyle name="Total 2 3 5 3 3 5" xfId="38533"/>
    <cellStyle name="Total 2 3 5 3 3 6" xfId="38534"/>
    <cellStyle name="Total 2 3 5 3 4" xfId="38535"/>
    <cellStyle name="Total 2 3 5 3 4 2" xfId="38536"/>
    <cellStyle name="Total 2 3 5 3 4 3" xfId="38537"/>
    <cellStyle name="Total 2 3 5 3 4 4" xfId="38538"/>
    <cellStyle name="Total 2 3 5 3 4 5" xfId="38539"/>
    <cellStyle name="Total 2 3 5 3 5" xfId="38540"/>
    <cellStyle name="Total 2 3 5 3 5 2" xfId="38541"/>
    <cellStyle name="Total 2 3 5 3 5 3" xfId="38542"/>
    <cellStyle name="Total 2 3 5 3 5 4" xfId="38543"/>
    <cellStyle name="Total 2 3 5 3 6" xfId="38544"/>
    <cellStyle name="Total 2 3 5 3 6 2" xfId="38545"/>
    <cellStyle name="Total 2 3 5 3 6 3" xfId="38546"/>
    <cellStyle name="Total 2 3 5 3 6 4" xfId="38547"/>
    <cellStyle name="Total 2 3 5 3 7" xfId="38548"/>
    <cellStyle name="Total 2 3 5 3 7 2" xfId="38549"/>
    <cellStyle name="Total 2 3 5 3 7 3" xfId="38550"/>
    <cellStyle name="Total 2 3 5 3 7 4" xfId="38551"/>
    <cellStyle name="Total 2 3 5 3 8" xfId="38552"/>
    <cellStyle name="Total 2 3 5 3 9" xfId="38553"/>
    <cellStyle name="Total 2 3 5 4" xfId="38554"/>
    <cellStyle name="Total 2 3 5 4 2" xfId="38555"/>
    <cellStyle name="Total 2 3 5 4 2 2" xfId="38556"/>
    <cellStyle name="Total 2 3 5 4 2 2 2" xfId="38557"/>
    <cellStyle name="Total 2 3 5 4 2 2 3" xfId="38558"/>
    <cellStyle name="Total 2 3 5 4 2 2 4" xfId="38559"/>
    <cellStyle name="Total 2 3 5 4 2 3" xfId="38560"/>
    <cellStyle name="Total 2 3 5 4 2 4" xfId="38561"/>
    <cellStyle name="Total 2 3 5 4 2 5" xfId="38562"/>
    <cellStyle name="Total 2 3 5 4 2 6" xfId="38563"/>
    <cellStyle name="Total 2 3 5 4 3" xfId="38564"/>
    <cellStyle name="Total 2 3 5 4 3 2" xfId="38565"/>
    <cellStyle name="Total 2 3 5 4 3 3" xfId="38566"/>
    <cellStyle name="Total 2 3 5 4 3 4" xfId="38567"/>
    <cellStyle name="Total 2 3 5 4 4" xfId="38568"/>
    <cellStyle name="Total 2 3 5 4 5" xfId="38569"/>
    <cellStyle name="Total 2 3 5 4 6" xfId="38570"/>
    <cellStyle name="Total 2 3 5 4 7" xfId="38571"/>
    <cellStyle name="Total 2 3 5 5" xfId="38572"/>
    <cellStyle name="Total 2 3 5 5 2" xfId="38573"/>
    <cellStyle name="Total 2 3 5 5 2 2" xfId="38574"/>
    <cellStyle name="Total 2 3 5 5 2 3" xfId="38575"/>
    <cellStyle name="Total 2 3 5 5 2 4" xfId="38576"/>
    <cellStyle name="Total 2 3 5 5 3" xfId="38577"/>
    <cellStyle name="Total 2 3 5 5 4" xfId="38578"/>
    <cellStyle name="Total 2 3 5 5 5" xfId="38579"/>
    <cellStyle name="Total 2 3 5 5 6" xfId="38580"/>
    <cellStyle name="Total 2 3 5 6" xfId="38581"/>
    <cellStyle name="Total 2 3 5 6 2" xfId="38582"/>
    <cellStyle name="Total 2 3 5 6 3" xfId="38583"/>
    <cellStyle name="Total 2 3 5 6 4" xfId="38584"/>
    <cellStyle name="Total 2 3 5 6 5" xfId="38585"/>
    <cellStyle name="Total 2 3 5 7" xfId="38586"/>
    <cellStyle name="Total 2 3 5 7 2" xfId="38587"/>
    <cellStyle name="Total 2 3 5 7 3" xfId="38588"/>
    <cellStyle name="Total 2 3 5 7 4" xfId="38589"/>
    <cellStyle name="Total 2 3 5 8" xfId="38590"/>
    <cellStyle name="Total 2 3 5 8 2" xfId="38591"/>
    <cellStyle name="Total 2 3 5 8 3" xfId="38592"/>
    <cellStyle name="Total 2 3 5 8 4" xfId="38593"/>
    <cellStyle name="Total 2 3 5 9" xfId="38594"/>
    <cellStyle name="Total 2 3 5 9 2" xfId="38595"/>
    <cellStyle name="Total 2 3 5 9 3" xfId="38596"/>
    <cellStyle name="Total 2 3 5 9 4" xfId="38597"/>
    <cellStyle name="Total 2 3 6" xfId="1034"/>
    <cellStyle name="Total 2 3 6 10" xfId="38598"/>
    <cellStyle name="Total 2 3 6 10 2" xfId="38599"/>
    <cellStyle name="Total 2 3 6 10 3" xfId="38600"/>
    <cellStyle name="Total 2 3 6 10 4" xfId="38601"/>
    <cellStyle name="Total 2 3 6 11" xfId="38602"/>
    <cellStyle name="Total 2 3 6 12" xfId="38603"/>
    <cellStyle name="Total 2 3 6 13" xfId="38604"/>
    <cellStyle name="Total 2 3 6 14" xfId="38605"/>
    <cellStyle name="Total 2 3 6 2" xfId="1035"/>
    <cellStyle name="Total 2 3 6 2 10" xfId="38606"/>
    <cellStyle name="Total 2 3 6 2 11" xfId="38607"/>
    <cellStyle name="Total 2 3 6 2 2" xfId="38608"/>
    <cellStyle name="Total 2 3 6 2 2 2" xfId="38609"/>
    <cellStyle name="Total 2 3 6 2 2 2 2" xfId="38610"/>
    <cellStyle name="Total 2 3 6 2 2 2 2 2" xfId="38611"/>
    <cellStyle name="Total 2 3 6 2 2 2 2 3" xfId="38612"/>
    <cellStyle name="Total 2 3 6 2 2 2 2 4" xfId="38613"/>
    <cellStyle name="Total 2 3 6 2 2 2 3" xfId="38614"/>
    <cellStyle name="Total 2 3 6 2 2 2 4" xfId="38615"/>
    <cellStyle name="Total 2 3 6 2 2 2 5" xfId="38616"/>
    <cellStyle name="Total 2 3 6 2 2 2 6" xfId="38617"/>
    <cellStyle name="Total 2 3 6 2 2 3" xfId="38618"/>
    <cellStyle name="Total 2 3 6 2 2 3 2" xfId="38619"/>
    <cellStyle name="Total 2 3 6 2 2 3 3" xfId="38620"/>
    <cellStyle name="Total 2 3 6 2 2 3 4" xfId="38621"/>
    <cellStyle name="Total 2 3 6 2 2 4" xfId="38622"/>
    <cellStyle name="Total 2 3 6 2 2 5" xfId="38623"/>
    <cellStyle name="Total 2 3 6 2 2 6" xfId="38624"/>
    <cellStyle name="Total 2 3 6 2 2 7" xfId="38625"/>
    <cellStyle name="Total 2 3 6 2 3" xfId="38626"/>
    <cellStyle name="Total 2 3 6 2 3 2" xfId="38627"/>
    <cellStyle name="Total 2 3 6 2 3 2 2" xfId="38628"/>
    <cellStyle name="Total 2 3 6 2 3 2 3" xfId="38629"/>
    <cellStyle name="Total 2 3 6 2 3 2 4" xfId="38630"/>
    <cellStyle name="Total 2 3 6 2 3 3" xfId="38631"/>
    <cellStyle name="Total 2 3 6 2 3 4" xfId="38632"/>
    <cellStyle name="Total 2 3 6 2 3 5" xfId="38633"/>
    <cellStyle name="Total 2 3 6 2 3 6" xfId="38634"/>
    <cellStyle name="Total 2 3 6 2 4" xfId="38635"/>
    <cellStyle name="Total 2 3 6 2 4 2" xfId="38636"/>
    <cellStyle name="Total 2 3 6 2 4 3" xfId="38637"/>
    <cellStyle name="Total 2 3 6 2 4 4" xfId="38638"/>
    <cellStyle name="Total 2 3 6 2 4 5" xfId="38639"/>
    <cellStyle name="Total 2 3 6 2 5" xfId="38640"/>
    <cellStyle name="Total 2 3 6 2 5 2" xfId="38641"/>
    <cellStyle name="Total 2 3 6 2 5 3" xfId="38642"/>
    <cellStyle name="Total 2 3 6 2 5 4" xfId="38643"/>
    <cellStyle name="Total 2 3 6 2 6" xfId="38644"/>
    <cellStyle name="Total 2 3 6 2 6 2" xfId="38645"/>
    <cellStyle name="Total 2 3 6 2 6 3" xfId="38646"/>
    <cellStyle name="Total 2 3 6 2 6 4" xfId="38647"/>
    <cellStyle name="Total 2 3 6 2 7" xfId="38648"/>
    <cellStyle name="Total 2 3 6 2 7 2" xfId="38649"/>
    <cellStyle name="Total 2 3 6 2 7 3" xfId="38650"/>
    <cellStyle name="Total 2 3 6 2 7 4" xfId="38651"/>
    <cellStyle name="Total 2 3 6 2 8" xfId="38652"/>
    <cellStyle name="Total 2 3 6 2 9" xfId="38653"/>
    <cellStyle name="Total 2 3 6 3" xfId="1036"/>
    <cellStyle name="Total 2 3 6 3 10" xfId="38654"/>
    <cellStyle name="Total 2 3 6 3 11" xfId="38655"/>
    <cellStyle name="Total 2 3 6 3 2" xfId="38656"/>
    <cellStyle name="Total 2 3 6 3 2 2" xfId="38657"/>
    <cellStyle name="Total 2 3 6 3 2 2 2" xfId="38658"/>
    <cellStyle name="Total 2 3 6 3 2 2 3" xfId="38659"/>
    <cellStyle name="Total 2 3 6 3 2 2 4" xfId="38660"/>
    <cellStyle name="Total 2 3 6 3 2 3" xfId="38661"/>
    <cellStyle name="Total 2 3 6 3 2 3 2" xfId="38662"/>
    <cellStyle name="Total 2 3 6 3 2 3 3" xfId="38663"/>
    <cellStyle name="Total 2 3 6 3 2 3 4" xfId="38664"/>
    <cellStyle name="Total 2 3 6 3 2 4" xfId="38665"/>
    <cellStyle name="Total 2 3 6 3 2 5" xfId="38666"/>
    <cellStyle name="Total 2 3 6 3 2 6" xfId="38667"/>
    <cellStyle name="Total 2 3 6 3 2 7" xfId="38668"/>
    <cellStyle name="Total 2 3 6 3 3" xfId="38669"/>
    <cellStyle name="Total 2 3 6 3 3 2" xfId="38670"/>
    <cellStyle name="Total 2 3 6 3 3 2 2" xfId="38671"/>
    <cellStyle name="Total 2 3 6 3 3 2 3" xfId="38672"/>
    <cellStyle name="Total 2 3 6 3 3 2 4" xfId="38673"/>
    <cellStyle name="Total 2 3 6 3 3 3" xfId="38674"/>
    <cellStyle name="Total 2 3 6 3 3 4" xfId="38675"/>
    <cellStyle name="Total 2 3 6 3 3 5" xfId="38676"/>
    <cellStyle name="Total 2 3 6 3 3 6" xfId="38677"/>
    <cellStyle name="Total 2 3 6 3 4" xfId="38678"/>
    <cellStyle name="Total 2 3 6 3 4 2" xfId="38679"/>
    <cellStyle name="Total 2 3 6 3 4 3" xfId="38680"/>
    <cellStyle name="Total 2 3 6 3 4 4" xfId="38681"/>
    <cellStyle name="Total 2 3 6 3 4 5" xfId="38682"/>
    <cellStyle name="Total 2 3 6 3 5" xfId="38683"/>
    <cellStyle name="Total 2 3 6 3 5 2" xfId="38684"/>
    <cellStyle name="Total 2 3 6 3 5 3" xfId="38685"/>
    <cellStyle name="Total 2 3 6 3 5 4" xfId="38686"/>
    <cellStyle name="Total 2 3 6 3 6" xfId="38687"/>
    <cellStyle name="Total 2 3 6 3 6 2" xfId="38688"/>
    <cellStyle name="Total 2 3 6 3 6 3" xfId="38689"/>
    <cellStyle name="Total 2 3 6 3 6 4" xfId="38690"/>
    <cellStyle name="Total 2 3 6 3 7" xfId="38691"/>
    <cellStyle name="Total 2 3 6 3 7 2" xfId="38692"/>
    <cellStyle name="Total 2 3 6 3 7 3" xfId="38693"/>
    <cellStyle name="Total 2 3 6 3 7 4" xfId="38694"/>
    <cellStyle name="Total 2 3 6 3 8" xfId="38695"/>
    <cellStyle name="Total 2 3 6 3 9" xfId="38696"/>
    <cellStyle name="Total 2 3 6 4" xfId="38697"/>
    <cellStyle name="Total 2 3 6 4 2" xfId="38698"/>
    <cellStyle name="Total 2 3 6 4 2 2" xfId="38699"/>
    <cellStyle name="Total 2 3 6 4 2 2 2" xfId="38700"/>
    <cellStyle name="Total 2 3 6 4 2 2 3" xfId="38701"/>
    <cellStyle name="Total 2 3 6 4 2 2 4" xfId="38702"/>
    <cellStyle name="Total 2 3 6 4 2 3" xfId="38703"/>
    <cellStyle name="Total 2 3 6 4 2 4" xfId="38704"/>
    <cellStyle name="Total 2 3 6 4 2 5" xfId="38705"/>
    <cellStyle name="Total 2 3 6 4 2 6" xfId="38706"/>
    <cellStyle name="Total 2 3 6 4 3" xfId="38707"/>
    <cellStyle name="Total 2 3 6 4 3 2" xfId="38708"/>
    <cellStyle name="Total 2 3 6 4 3 3" xfId="38709"/>
    <cellStyle name="Total 2 3 6 4 3 4" xfId="38710"/>
    <cellStyle name="Total 2 3 6 4 4" xfId="38711"/>
    <cellStyle name="Total 2 3 6 4 5" xfId="38712"/>
    <cellStyle name="Total 2 3 6 4 6" xfId="38713"/>
    <cellStyle name="Total 2 3 6 4 7" xfId="38714"/>
    <cellStyle name="Total 2 3 6 5" xfId="38715"/>
    <cellStyle name="Total 2 3 6 5 2" xfId="38716"/>
    <cellStyle name="Total 2 3 6 5 2 2" xfId="38717"/>
    <cellStyle name="Total 2 3 6 5 2 3" xfId="38718"/>
    <cellStyle name="Total 2 3 6 5 2 4" xfId="38719"/>
    <cellStyle name="Total 2 3 6 5 3" xfId="38720"/>
    <cellStyle name="Total 2 3 6 5 4" xfId="38721"/>
    <cellStyle name="Total 2 3 6 5 5" xfId="38722"/>
    <cellStyle name="Total 2 3 6 5 6" xfId="38723"/>
    <cellStyle name="Total 2 3 6 6" xfId="38724"/>
    <cellStyle name="Total 2 3 6 6 2" xfId="38725"/>
    <cellStyle name="Total 2 3 6 6 3" xfId="38726"/>
    <cellStyle name="Total 2 3 6 6 4" xfId="38727"/>
    <cellStyle name="Total 2 3 6 6 5" xfId="38728"/>
    <cellStyle name="Total 2 3 6 7" xfId="38729"/>
    <cellStyle name="Total 2 3 6 7 2" xfId="38730"/>
    <cellStyle name="Total 2 3 6 7 3" xfId="38731"/>
    <cellStyle name="Total 2 3 6 7 4" xfId="38732"/>
    <cellStyle name="Total 2 3 6 8" xfId="38733"/>
    <cellStyle name="Total 2 3 6 8 2" xfId="38734"/>
    <cellStyle name="Total 2 3 6 8 3" xfId="38735"/>
    <cellStyle name="Total 2 3 6 8 4" xfId="38736"/>
    <cellStyle name="Total 2 3 6 9" xfId="38737"/>
    <cellStyle name="Total 2 3 6 9 2" xfId="38738"/>
    <cellStyle name="Total 2 3 6 9 3" xfId="38739"/>
    <cellStyle name="Total 2 3 6 9 4" xfId="38740"/>
    <cellStyle name="Total 2 3 7" xfId="1037"/>
    <cellStyle name="Total 2 3 7 10" xfId="38741"/>
    <cellStyle name="Total 2 3 7 11" xfId="38742"/>
    <cellStyle name="Total 2 3 7 12" xfId="38743"/>
    <cellStyle name="Total 2 3 7 13" xfId="38744"/>
    <cellStyle name="Total 2 3 7 2" xfId="1038"/>
    <cellStyle name="Total 2 3 7 2 10" xfId="38745"/>
    <cellStyle name="Total 2 3 7 2 11" xfId="38746"/>
    <cellStyle name="Total 2 3 7 2 2" xfId="38747"/>
    <cellStyle name="Total 2 3 7 2 2 2" xfId="38748"/>
    <cellStyle name="Total 2 3 7 2 2 2 2" xfId="38749"/>
    <cellStyle name="Total 2 3 7 2 2 2 2 2" xfId="38750"/>
    <cellStyle name="Total 2 3 7 2 2 2 2 3" xfId="38751"/>
    <cellStyle name="Total 2 3 7 2 2 2 2 4" xfId="38752"/>
    <cellStyle name="Total 2 3 7 2 2 2 3" xfId="38753"/>
    <cellStyle name="Total 2 3 7 2 2 2 4" xfId="38754"/>
    <cellStyle name="Total 2 3 7 2 2 2 5" xfId="38755"/>
    <cellStyle name="Total 2 3 7 2 2 2 6" xfId="38756"/>
    <cellStyle name="Total 2 3 7 2 2 3" xfId="38757"/>
    <cellStyle name="Total 2 3 7 2 2 3 2" xfId="38758"/>
    <cellStyle name="Total 2 3 7 2 2 3 3" xfId="38759"/>
    <cellStyle name="Total 2 3 7 2 2 3 4" xfId="38760"/>
    <cellStyle name="Total 2 3 7 2 2 4" xfId="38761"/>
    <cellStyle name="Total 2 3 7 2 2 5" xfId="38762"/>
    <cellStyle name="Total 2 3 7 2 2 6" xfId="38763"/>
    <cellStyle name="Total 2 3 7 2 2 7" xfId="38764"/>
    <cellStyle name="Total 2 3 7 2 3" xfId="38765"/>
    <cellStyle name="Total 2 3 7 2 3 2" xfId="38766"/>
    <cellStyle name="Total 2 3 7 2 3 2 2" xfId="38767"/>
    <cellStyle name="Total 2 3 7 2 3 2 3" xfId="38768"/>
    <cellStyle name="Total 2 3 7 2 3 2 4" xfId="38769"/>
    <cellStyle name="Total 2 3 7 2 3 3" xfId="38770"/>
    <cellStyle name="Total 2 3 7 2 3 4" xfId="38771"/>
    <cellStyle name="Total 2 3 7 2 3 5" xfId="38772"/>
    <cellStyle name="Total 2 3 7 2 3 6" xfId="38773"/>
    <cellStyle name="Total 2 3 7 2 4" xfId="38774"/>
    <cellStyle name="Total 2 3 7 2 4 2" xfId="38775"/>
    <cellStyle name="Total 2 3 7 2 4 3" xfId="38776"/>
    <cellStyle name="Total 2 3 7 2 4 4" xfId="38777"/>
    <cellStyle name="Total 2 3 7 2 4 5" xfId="38778"/>
    <cellStyle name="Total 2 3 7 2 5" xfId="38779"/>
    <cellStyle name="Total 2 3 7 2 5 2" xfId="38780"/>
    <cellStyle name="Total 2 3 7 2 5 3" xfId="38781"/>
    <cellStyle name="Total 2 3 7 2 5 4" xfId="38782"/>
    <cellStyle name="Total 2 3 7 2 6" xfId="38783"/>
    <cellStyle name="Total 2 3 7 2 6 2" xfId="38784"/>
    <cellStyle name="Total 2 3 7 2 6 3" xfId="38785"/>
    <cellStyle name="Total 2 3 7 2 6 4" xfId="38786"/>
    <cellStyle name="Total 2 3 7 2 7" xfId="38787"/>
    <cellStyle name="Total 2 3 7 2 7 2" xfId="38788"/>
    <cellStyle name="Total 2 3 7 2 7 3" xfId="38789"/>
    <cellStyle name="Total 2 3 7 2 7 4" xfId="38790"/>
    <cellStyle name="Total 2 3 7 2 8" xfId="38791"/>
    <cellStyle name="Total 2 3 7 2 9" xfId="38792"/>
    <cellStyle name="Total 2 3 7 3" xfId="1039"/>
    <cellStyle name="Total 2 3 7 3 2" xfId="38793"/>
    <cellStyle name="Total 2 3 7 3 2 2" xfId="38794"/>
    <cellStyle name="Total 2 3 7 3 2 2 2" xfId="38795"/>
    <cellStyle name="Total 2 3 7 3 2 2 3" xfId="38796"/>
    <cellStyle name="Total 2 3 7 3 2 2 4" xfId="38797"/>
    <cellStyle name="Total 2 3 7 3 2 3" xfId="38798"/>
    <cellStyle name="Total 2 3 7 3 2 4" xfId="38799"/>
    <cellStyle name="Total 2 3 7 3 2 5" xfId="38800"/>
    <cellStyle name="Total 2 3 7 3 2 6" xfId="38801"/>
    <cellStyle name="Total 2 3 7 3 3" xfId="38802"/>
    <cellStyle name="Total 2 3 7 3 3 2" xfId="38803"/>
    <cellStyle name="Total 2 3 7 3 3 3" xfId="38804"/>
    <cellStyle name="Total 2 3 7 3 3 4" xfId="38805"/>
    <cellStyle name="Total 2 3 7 3 4" xfId="38806"/>
    <cellStyle name="Total 2 3 7 3 5" xfId="38807"/>
    <cellStyle name="Total 2 3 7 3 6" xfId="38808"/>
    <cellStyle name="Total 2 3 7 3 7" xfId="38809"/>
    <cellStyle name="Total 2 3 7 4" xfId="38810"/>
    <cellStyle name="Total 2 3 7 4 2" xfId="38811"/>
    <cellStyle name="Total 2 3 7 4 2 2" xfId="38812"/>
    <cellStyle name="Total 2 3 7 4 2 3" xfId="38813"/>
    <cellStyle name="Total 2 3 7 4 2 4" xfId="38814"/>
    <cellStyle name="Total 2 3 7 4 3" xfId="38815"/>
    <cellStyle name="Total 2 3 7 4 4" xfId="38816"/>
    <cellStyle name="Total 2 3 7 4 5" xfId="38817"/>
    <cellStyle name="Total 2 3 7 4 6" xfId="38818"/>
    <cellStyle name="Total 2 3 7 5" xfId="38819"/>
    <cellStyle name="Total 2 3 7 5 2" xfId="38820"/>
    <cellStyle name="Total 2 3 7 5 3" xfId="38821"/>
    <cellStyle name="Total 2 3 7 5 4" xfId="38822"/>
    <cellStyle name="Total 2 3 7 5 5" xfId="38823"/>
    <cellStyle name="Total 2 3 7 6" xfId="38824"/>
    <cellStyle name="Total 2 3 7 6 2" xfId="38825"/>
    <cellStyle name="Total 2 3 7 6 3" xfId="38826"/>
    <cellStyle name="Total 2 3 7 6 4" xfId="38827"/>
    <cellStyle name="Total 2 3 7 7" xfId="38828"/>
    <cellStyle name="Total 2 3 7 7 2" xfId="38829"/>
    <cellStyle name="Total 2 3 7 7 3" xfId="38830"/>
    <cellStyle name="Total 2 3 7 7 4" xfId="38831"/>
    <cellStyle name="Total 2 3 7 8" xfId="38832"/>
    <cellStyle name="Total 2 3 7 8 2" xfId="38833"/>
    <cellStyle name="Total 2 3 7 8 3" xfId="38834"/>
    <cellStyle name="Total 2 3 7 8 4" xfId="38835"/>
    <cellStyle name="Total 2 3 7 9" xfId="38836"/>
    <cellStyle name="Total 2 3 7 9 2" xfId="38837"/>
    <cellStyle name="Total 2 3 7 9 3" xfId="38838"/>
    <cellStyle name="Total 2 3 7 9 4" xfId="38839"/>
    <cellStyle name="Total 2 3 8" xfId="1040"/>
    <cellStyle name="Total 2 3 8 10" xfId="38840"/>
    <cellStyle name="Total 2 3 8 11" xfId="38841"/>
    <cellStyle name="Total 2 3 8 12" xfId="38842"/>
    <cellStyle name="Total 2 3 8 2" xfId="1041"/>
    <cellStyle name="Total 2 3 8 2 2" xfId="38843"/>
    <cellStyle name="Total 2 3 8 2 2 2" xfId="38844"/>
    <cellStyle name="Total 2 3 8 2 2 2 2" xfId="38845"/>
    <cellStyle name="Total 2 3 8 2 2 2 3" xfId="38846"/>
    <cellStyle name="Total 2 3 8 2 2 2 4" xfId="38847"/>
    <cellStyle name="Total 2 3 8 2 2 3" xfId="38848"/>
    <cellStyle name="Total 2 3 8 2 2 4" xfId="38849"/>
    <cellStyle name="Total 2 3 8 2 2 5" xfId="38850"/>
    <cellStyle name="Total 2 3 8 2 2 6" xfId="38851"/>
    <cellStyle name="Total 2 3 8 2 3" xfId="38852"/>
    <cellStyle name="Total 2 3 8 2 3 2" xfId="38853"/>
    <cellStyle name="Total 2 3 8 2 3 3" xfId="38854"/>
    <cellStyle name="Total 2 3 8 2 3 4" xfId="38855"/>
    <cellStyle name="Total 2 3 8 2 4" xfId="38856"/>
    <cellStyle name="Total 2 3 8 2 5" xfId="38857"/>
    <cellStyle name="Total 2 3 8 2 6" xfId="38858"/>
    <cellStyle name="Total 2 3 8 2 7" xfId="38859"/>
    <cellStyle name="Total 2 3 8 3" xfId="1042"/>
    <cellStyle name="Total 2 3 8 3 2" xfId="38860"/>
    <cellStyle name="Total 2 3 8 3 2 2" xfId="38861"/>
    <cellStyle name="Total 2 3 8 3 2 3" xfId="38862"/>
    <cellStyle name="Total 2 3 8 3 2 4" xfId="38863"/>
    <cellStyle name="Total 2 3 8 3 3" xfId="38864"/>
    <cellStyle name="Total 2 3 8 3 4" xfId="38865"/>
    <cellStyle name="Total 2 3 8 3 5" xfId="38866"/>
    <cellStyle name="Total 2 3 8 3 6" xfId="38867"/>
    <cellStyle name="Total 2 3 8 4" xfId="38868"/>
    <cellStyle name="Total 2 3 8 4 2" xfId="38869"/>
    <cellStyle name="Total 2 3 8 4 3" xfId="38870"/>
    <cellStyle name="Total 2 3 8 4 4" xfId="38871"/>
    <cellStyle name="Total 2 3 8 4 5" xfId="38872"/>
    <cellStyle name="Total 2 3 8 5" xfId="38873"/>
    <cellStyle name="Total 2 3 8 5 2" xfId="38874"/>
    <cellStyle name="Total 2 3 8 5 3" xfId="38875"/>
    <cellStyle name="Total 2 3 8 5 4" xfId="38876"/>
    <cellStyle name="Total 2 3 8 6" xfId="38877"/>
    <cellStyle name="Total 2 3 8 6 2" xfId="38878"/>
    <cellStyle name="Total 2 3 8 6 3" xfId="38879"/>
    <cellStyle name="Total 2 3 8 6 4" xfId="38880"/>
    <cellStyle name="Total 2 3 8 7" xfId="38881"/>
    <cellStyle name="Total 2 3 8 7 2" xfId="38882"/>
    <cellStyle name="Total 2 3 8 7 3" xfId="38883"/>
    <cellStyle name="Total 2 3 8 7 4" xfId="38884"/>
    <cellStyle name="Total 2 3 8 8" xfId="38885"/>
    <cellStyle name="Total 2 3 8 8 2" xfId="38886"/>
    <cellStyle name="Total 2 3 8 8 3" xfId="38887"/>
    <cellStyle name="Total 2 3 8 8 4" xfId="38888"/>
    <cellStyle name="Total 2 3 8 9" xfId="38889"/>
    <cellStyle name="Total 2 3 9" xfId="1043"/>
    <cellStyle name="Total 2 3 9 10" xfId="38890"/>
    <cellStyle name="Total 2 3 9 11" xfId="38891"/>
    <cellStyle name="Total 2 3 9 2" xfId="1044"/>
    <cellStyle name="Total 2 3 9 2 2" xfId="38892"/>
    <cellStyle name="Total 2 3 9 2 2 2" xfId="38893"/>
    <cellStyle name="Total 2 3 9 2 2 3" xfId="38894"/>
    <cellStyle name="Total 2 3 9 2 2 4" xfId="38895"/>
    <cellStyle name="Total 2 3 9 2 3" xfId="38896"/>
    <cellStyle name="Total 2 3 9 2 4" xfId="38897"/>
    <cellStyle name="Total 2 3 9 2 5" xfId="38898"/>
    <cellStyle name="Total 2 3 9 2 6" xfId="38899"/>
    <cellStyle name="Total 2 3 9 3" xfId="1045"/>
    <cellStyle name="Total 2 3 9 3 2" xfId="38900"/>
    <cellStyle name="Total 2 3 9 3 3" xfId="38901"/>
    <cellStyle name="Total 2 3 9 3 4" xfId="38902"/>
    <cellStyle name="Total 2 3 9 4" xfId="38903"/>
    <cellStyle name="Total 2 3 9 4 2" xfId="38904"/>
    <cellStyle name="Total 2 3 9 4 3" xfId="38905"/>
    <cellStyle name="Total 2 3 9 4 4" xfId="38906"/>
    <cellStyle name="Total 2 3 9 5" xfId="38907"/>
    <cellStyle name="Total 2 3 9 5 2" xfId="38908"/>
    <cellStyle name="Total 2 3 9 5 3" xfId="38909"/>
    <cellStyle name="Total 2 3 9 5 4" xfId="38910"/>
    <cellStyle name="Total 2 3 9 6" xfId="38911"/>
    <cellStyle name="Total 2 3 9 6 2" xfId="38912"/>
    <cellStyle name="Total 2 3 9 6 3" xfId="38913"/>
    <cellStyle name="Total 2 3 9 6 4" xfId="38914"/>
    <cellStyle name="Total 2 3 9 7" xfId="38915"/>
    <cellStyle name="Total 2 3 9 7 2" xfId="38916"/>
    <cellStyle name="Total 2 3 9 7 3" xfId="38917"/>
    <cellStyle name="Total 2 3 9 7 4" xfId="38918"/>
    <cellStyle name="Total 2 3 9 8" xfId="38919"/>
    <cellStyle name="Total 2 3 9 9" xfId="38920"/>
    <cellStyle name="Total 2 30" xfId="38921"/>
    <cellStyle name="Total 2 30 10" xfId="38922"/>
    <cellStyle name="Total 2 30 11" xfId="38923"/>
    <cellStyle name="Total 2 30 12" xfId="38924"/>
    <cellStyle name="Total 2 30 2" xfId="38925"/>
    <cellStyle name="Total 2 30 3" xfId="38926"/>
    <cellStyle name="Total 2 30 4" xfId="38927"/>
    <cellStyle name="Total 2 30 5" xfId="38928"/>
    <cellStyle name="Total 2 30 6" xfId="38929"/>
    <cellStyle name="Total 2 30 7" xfId="38930"/>
    <cellStyle name="Total 2 30 8" xfId="38931"/>
    <cellStyle name="Total 2 30 9" xfId="38932"/>
    <cellStyle name="Total 2 31" xfId="38933"/>
    <cellStyle name="Total 2 32" xfId="38934"/>
    <cellStyle name="Total 2 33" xfId="38935"/>
    <cellStyle name="Total 2 34" xfId="38936"/>
    <cellStyle name="Total 2 35" xfId="38937"/>
    <cellStyle name="Total 2 36" xfId="38938"/>
    <cellStyle name="Total 2 37" xfId="38939"/>
    <cellStyle name="Total 2 38" xfId="38940"/>
    <cellStyle name="Total 2 39" xfId="38941"/>
    <cellStyle name="Total 2 4" xfId="247"/>
    <cellStyle name="Total 2 4 10" xfId="1046"/>
    <cellStyle name="Total 2 4 10 2" xfId="1047"/>
    <cellStyle name="Total 2 4 10 3" xfId="1048"/>
    <cellStyle name="Total 2 4 10 4" xfId="38942"/>
    <cellStyle name="Total 2 4 11" xfId="1049"/>
    <cellStyle name="Total 2 4 11 2" xfId="1050"/>
    <cellStyle name="Total 2 4 11 3" xfId="1051"/>
    <cellStyle name="Total 2 4 11 4" xfId="38943"/>
    <cellStyle name="Total 2 4 12" xfId="1052"/>
    <cellStyle name="Total 2 4 12 2" xfId="1053"/>
    <cellStyle name="Total 2 4 12 3" xfId="1054"/>
    <cellStyle name="Total 2 4 12 4" xfId="38944"/>
    <cellStyle name="Total 2 4 13" xfId="1055"/>
    <cellStyle name="Total 2 4 13 2" xfId="1056"/>
    <cellStyle name="Total 2 4 13 3" xfId="1057"/>
    <cellStyle name="Total 2 4 14" xfId="1058"/>
    <cellStyle name="Total 2 4 15" xfId="1059"/>
    <cellStyle name="Total 2 4 15 2" xfId="38945"/>
    <cellStyle name="Total 2 4 16" xfId="38946"/>
    <cellStyle name="Total 2 4 17" xfId="38947"/>
    <cellStyle name="Total 2 4 18" xfId="38948"/>
    <cellStyle name="Total 2 4 19" xfId="38949"/>
    <cellStyle name="Total 2 4 2" xfId="248"/>
    <cellStyle name="Total 2 4 2 10" xfId="38950"/>
    <cellStyle name="Total 2 4 2 11" xfId="38951"/>
    <cellStyle name="Total 2 4 2 12" xfId="38952"/>
    <cellStyle name="Total 2 4 2 2" xfId="1060"/>
    <cellStyle name="Total 2 4 2 2 10" xfId="38953"/>
    <cellStyle name="Total 2 4 2 2 11" xfId="38954"/>
    <cellStyle name="Total 2 4 2 2 2" xfId="38955"/>
    <cellStyle name="Total 2 4 2 2 2 2" xfId="38956"/>
    <cellStyle name="Total 2 4 2 2 2 2 2" xfId="38957"/>
    <cellStyle name="Total 2 4 2 2 2 2 2 2" xfId="38958"/>
    <cellStyle name="Total 2 4 2 2 2 2 2 3" xfId="38959"/>
    <cellStyle name="Total 2 4 2 2 2 2 2 4" xfId="38960"/>
    <cellStyle name="Total 2 4 2 2 2 2 3" xfId="38961"/>
    <cellStyle name="Total 2 4 2 2 2 2 4" xfId="38962"/>
    <cellStyle name="Total 2 4 2 2 2 2 5" xfId="38963"/>
    <cellStyle name="Total 2 4 2 2 2 2 6" xfId="38964"/>
    <cellStyle name="Total 2 4 2 2 2 3" xfId="38965"/>
    <cellStyle name="Total 2 4 2 2 2 3 2" xfId="38966"/>
    <cellStyle name="Total 2 4 2 2 2 3 3" xfId="38967"/>
    <cellStyle name="Total 2 4 2 2 2 3 4" xfId="38968"/>
    <cellStyle name="Total 2 4 2 2 2 4" xfId="38969"/>
    <cellStyle name="Total 2 4 2 2 2 5" xfId="38970"/>
    <cellStyle name="Total 2 4 2 2 2 6" xfId="38971"/>
    <cellStyle name="Total 2 4 2 2 2 7" xfId="38972"/>
    <cellStyle name="Total 2 4 2 2 3" xfId="38973"/>
    <cellStyle name="Total 2 4 2 2 3 2" xfId="38974"/>
    <cellStyle name="Total 2 4 2 2 3 2 2" xfId="38975"/>
    <cellStyle name="Total 2 4 2 2 3 2 3" xfId="38976"/>
    <cellStyle name="Total 2 4 2 2 3 2 4" xfId="38977"/>
    <cellStyle name="Total 2 4 2 2 3 3" xfId="38978"/>
    <cellStyle name="Total 2 4 2 2 3 4" xfId="38979"/>
    <cellStyle name="Total 2 4 2 2 3 5" xfId="38980"/>
    <cellStyle name="Total 2 4 2 2 3 6" xfId="38981"/>
    <cellStyle name="Total 2 4 2 2 4" xfId="38982"/>
    <cellStyle name="Total 2 4 2 2 4 2" xfId="38983"/>
    <cellStyle name="Total 2 4 2 2 4 3" xfId="38984"/>
    <cellStyle name="Total 2 4 2 2 4 4" xfId="38985"/>
    <cellStyle name="Total 2 4 2 2 4 5" xfId="38986"/>
    <cellStyle name="Total 2 4 2 2 5" xfId="38987"/>
    <cellStyle name="Total 2 4 2 2 5 2" xfId="38988"/>
    <cellStyle name="Total 2 4 2 2 5 3" xfId="38989"/>
    <cellStyle name="Total 2 4 2 2 5 4" xfId="38990"/>
    <cellStyle name="Total 2 4 2 2 6" xfId="38991"/>
    <cellStyle name="Total 2 4 2 2 6 2" xfId="38992"/>
    <cellStyle name="Total 2 4 2 2 6 3" xfId="38993"/>
    <cellStyle name="Total 2 4 2 2 6 4" xfId="38994"/>
    <cellStyle name="Total 2 4 2 2 7" xfId="38995"/>
    <cellStyle name="Total 2 4 2 2 7 2" xfId="38996"/>
    <cellStyle name="Total 2 4 2 2 7 3" xfId="38997"/>
    <cellStyle name="Total 2 4 2 2 7 4" xfId="38998"/>
    <cellStyle name="Total 2 4 2 2 8" xfId="38999"/>
    <cellStyle name="Total 2 4 2 2 9" xfId="39000"/>
    <cellStyle name="Total 2 4 2 3" xfId="39001"/>
    <cellStyle name="Total 2 4 2 3 2" xfId="39002"/>
    <cellStyle name="Total 2 4 2 3 2 2" xfId="39003"/>
    <cellStyle name="Total 2 4 2 3 2 2 2" xfId="39004"/>
    <cellStyle name="Total 2 4 2 3 2 2 3" xfId="39005"/>
    <cellStyle name="Total 2 4 2 3 2 2 4" xfId="39006"/>
    <cellStyle name="Total 2 4 2 3 2 3" xfId="39007"/>
    <cellStyle name="Total 2 4 2 3 2 4" xfId="39008"/>
    <cellStyle name="Total 2 4 2 3 2 5" xfId="39009"/>
    <cellStyle name="Total 2 4 2 3 2 6" xfId="39010"/>
    <cellStyle name="Total 2 4 2 3 3" xfId="39011"/>
    <cellStyle name="Total 2 4 2 3 3 2" xfId="39012"/>
    <cellStyle name="Total 2 4 2 3 3 3" xfId="39013"/>
    <cellStyle name="Total 2 4 2 3 3 4" xfId="39014"/>
    <cellStyle name="Total 2 4 2 3 4" xfId="39015"/>
    <cellStyle name="Total 2 4 2 3 5" xfId="39016"/>
    <cellStyle name="Total 2 4 2 3 6" xfId="39017"/>
    <cellStyle name="Total 2 4 2 3 7" xfId="39018"/>
    <cellStyle name="Total 2 4 2 4" xfId="39019"/>
    <cellStyle name="Total 2 4 2 4 2" xfId="39020"/>
    <cellStyle name="Total 2 4 2 4 2 2" xfId="39021"/>
    <cellStyle name="Total 2 4 2 4 2 3" xfId="39022"/>
    <cellStyle name="Total 2 4 2 4 2 4" xfId="39023"/>
    <cellStyle name="Total 2 4 2 4 3" xfId="39024"/>
    <cellStyle name="Total 2 4 2 4 4" xfId="39025"/>
    <cellStyle name="Total 2 4 2 4 5" xfId="39026"/>
    <cellStyle name="Total 2 4 2 4 6" xfId="39027"/>
    <cellStyle name="Total 2 4 2 5" xfId="39028"/>
    <cellStyle name="Total 2 4 2 5 2" xfId="39029"/>
    <cellStyle name="Total 2 4 2 5 3" xfId="39030"/>
    <cellStyle name="Total 2 4 2 5 4" xfId="39031"/>
    <cellStyle name="Total 2 4 2 5 5" xfId="39032"/>
    <cellStyle name="Total 2 4 2 6" xfId="39033"/>
    <cellStyle name="Total 2 4 2 6 2" xfId="39034"/>
    <cellStyle name="Total 2 4 2 6 3" xfId="39035"/>
    <cellStyle name="Total 2 4 2 6 4" xfId="39036"/>
    <cellStyle name="Total 2 4 2 7" xfId="39037"/>
    <cellStyle name="Total 2 4 2 7 2" xfId="39038"/>
    <cellStyle name="Total 2 4 2 7 3" xfId="39039"/>
    <cellStyle name="Total 2 4 2 7 4" xfId="39040"/>
    <cellStyle name="Total 2 4 2 8" xfId="39041"/>
    <cellStyle name="Total 2 4 2 8 2" xfId="39042"/>
    <cellStyle name="Total 2 4 2 8 3" xfId="39043"/>
    <cellStyle name="Total 2 4 2 8 4" xfId="39044"/>
    <cellStyle name="Total 2 4 2 9" xfId="39045"/>
    <cellStyle name="Total 2 4 20" xfId="39046"/>
    <cellStyle name="Total 2 4 21" xfId="39047"/>
    <cellStyle name="Total 2 4 22" xfId="39048"/>
    <cellStyle name="Total 2 4 23" xfId="39049"/>
    <cellStyle name="Total 2 4 24" xfId="39050"/>
    <cellStyle name="Total 2 4 25" xfId="39051"/>
    <cellStyle name="Total 2 4 26" xfId="39052"/>
    <cellStyle name="Total 2 4 27" xfId="39053"/>
    <cellStyle name="Total 2 4 28" xfId="39054"/>
    <cellStyle name="Total 2 4 29" xfId="58505"/>
    <cellStyle name="Total 2 4 3" xfId="1061"/>
    <cellStyle name="Total 2 4 3 10" xfId="39055"/>
    <cellStyle name="Total 2 4 3 11" xfId="39056"/>
    <cellStyle name="Total 2 4 3 2" xfId="1062"/>
    <cellStyle name="Total 2 4 3 2 2" xfId="39057"/>
    <cellStyle name="Total 2 4 3 2 2 2" xfId="39058"/>
    <cellStyle name="Total 2 4 3 2 2 2 2" xfId="39059"/>
    <cellStyle name="Total 2 4 3 2 2 2 3" xfId="39060"/>
    <cellStyle name="Total 2 4 3 2 2 2 4" xfId="39061"/>
    <cellStyle name="Total 2 4 3 2 2 3" xfId="39062"/>
    <cellStyle name="Total 2 4 3 2 2 4" xfId="39063"/>
    <cellStyle name="Total 2 4 3 2 2 5" xfId="39064"/>
    <cellStyle name="Total 2 4 3 2 2 6" xfId="39065"/>
    <cellStyle name="Total 2 4 3 2 3" xfId="39066"/>
    <cellStyle name="Total 2 4 3 2 3 2" xfId="39067"/>
    <cellStyle name="Total 2 4 3 2 3 3" xfId="39068"/>
    <cellStyle name="Total 2 4 3 2 3 4" xfId="39069"/>
    <cellStyle name="Total 2 4 3 2 4" xfId="39070"/>
    <cellStyle name="Total 2 4 3 2 5" xfId="39071"/>
    <cellStyle name="Total 2 4 3 2 6" xfId="39072"/>
    <cellStyle name="Total 2 4 3 2 7" xfId="39073"/>
    <cellStyle name="Total 2 4 3 3" xfId="39074"/>
    <cellStyle name="Total 2 4 3 3 2" xfId="39075"/>
    <cellStyle name="Total 2 4 3 3 2 2" xfId="39076"/>
    <cellStyle name="Total 2 4 3 3 2 3" xfId="39077"/>
    <cellStyle name="Total 2 4 3 3 2 4" xfId="39078"/>
    <cellStyle name="Total 2 4 3 3 3" xfId="39079"/>
    <cellStyle name="Total 2 4 3 3 4" xfId="39080"/>
    <cellStyle name="Total 2 4 3 3 5" xfId="39081"/>
    <cellStyle name="Total 2 4 3 3 6" xfId="39082"/>
    <cellStyle name="Total 2 4 3 4" xfId="39083"/>
    <cellStyle name="Total 2 4 3 4 2" xfId="39084"/>
    <cellStyle name="Total 2 4 3 4 3" xfId="39085"/>
    <cellStyle name="Total 2 4 3 4 4" xfId="39086"/>
    <cellStyle name="Total 2 4 3 4 5" xfId="39087"/>
    <cellStyle name="Total 2 4 3 5" xfId="39088"/>
    <cellStyle name="Total 2 4 3 5 2" xfId="39089"/>
    <cellStyle name="Total 2 4 3 5 3" xfId="39090"/>
    <cellStyle name="Total 2 4 3 5 4" xfId="39091"/>
    <cellStyle name="Total 2 4 3 6" xfId="39092"/>
    <cellStyle name="Total 2 4 3 6 2" xfId="39093"/>
    <cellStyle name="Total 2 4 3 6 3" xfId="39094"/>
    <cellStyle name="Total 2 4 3 6 4" xfId="39095"/>
    <cellStyle name="Total 2 4 3 7" xfId="39096"/>
    <cellStyle name="Total 2 4 3 7 2" xfId="39097"/>
    <cellStyle name="Total 2 4 3 7 3" xfId="39098"/>
    <cellStyle name="Total 2 4 3 7 4" xfId="39099"/>
    <cellStyle name="Total 2 4 3 8" xfId="39100"/>
    <cellStyle name="Total 2 4 3 9" xfId="39101"/>
    <cellStyle name="Total 2 4 30" xfId="58506"/>
    <cellStyle name="Total 2 4 31" xfId="58507"/>
    <cellStyle name="Total 2 4 32" xfId="58508"/>
    <cellStyle name="Total 2 4 33" xfId="58509"/>
    <cellStyle name="Total 2 4 34" xfId="58510"/>
    <cellStyle name="Total 2 4 35" xfId="58511"/>
    <cellStyle name="Total 2 4 36" xfId="58512"/>
    <cellStyle name="Total 2 4 37" xfId="58513"/>
    <cellStyle name="Total 2 4 38" xfId="58514"/>
    <cellStyle name="Total 2 4 39" xfId="58515"/>
    <cellStyle name="Total 2 4 4" xfId="1063"/>
    <cellStyle name="Total 2 4 4 2" xfId="1064"/>
    <cellStyle name="Total 2 4 4 2 2" xfId="39102"/>
    <cellStyle name="Total 2 4 4 2 2 2" xfId="39103"/>
    <cellStyle name="Total 2 4 4 2 2 3" xfId="39104"/>
    <cellStyle name="Total 2 4 4 2 2 4" xfId="39105"/>
    <cellStyle name="Total 2 4 4 2 3" xfId="39106"/>
    <cellStyle name="Total 2 4 4 2 4" xfId="39107"/>
    <cellStyle name="Total 2 4 4 2 5" xfId="39108"/>
    <cellStyle name="Total 2 4 4 2 6" xfId="39109"/>
    <cellStyle name="Total 2 4 4 3" xfId="1065"/>
    <cellStyle name="Total 2 4 4 3 2" xfId="39110"/>
    <cellStyle name="Total 2 4 4 3 3" xfId="39111"/>
    <cellStyle name="Total 2 4 4 3 4" xfId="39112"/>
    <cellStyle name="Total 2 4 4 4" xfId="39113"/>
    <cellStyle name="Total 2 4 4 5" xfId="39114"/>
    <cellStyle name="Total 2 4 4 6" xfId="39115"/>
    <cellStyle name="Total 2 4 4 7" xfId="39116"/>
    <cellStyle name="Total 2 4 40" xfId="58516"/>
    <cellStyle name="Total 2 4 5" xfId="1066"/>
    <cellStyle name="Total 2 4 5 2" xfId="1067"/>
    <cellStyle name="Total 2 4 5 2 2" xfId="39117"/>
    <cellStyle name="Total 2 4 5 2 3" xfId="39118"/>
    <cellStyle name="Total 2 4 5 2 4" xfId="39119"/>
    <cellStyle name="Total 2 4 5 3" xfId="1068"/>
    <cellStyle name="Total 2 4 5 3 2" xfId="39120"/>
    <cellStyle name="Total 2 4 5 3 3" xfId="39121"/>
    <cellStyle name="Total 2 4 5 3 4" xfId="39122"/>
    <cellStyle name="Total 2 4 5 4" xfId="39123"/>
    <cellStyle name="Total 2 4 5 5" xfId="39124"/>
    <cellStyle name="Total 2 4 5 6" xfId="39125"/>
    <cellStyle name="Total 2 4 5 7" xfId="39126"/>
    <cellStyle name="Total 2 4 6" xfId="1069"/>
    <cellStyle name="Total 2 4 6 2" xfId="1070"/>
    <cellStyle name="Total 2 4 6 2 2" xfId="39127"/>
    <cellStyle name="Total 2 4 6 2 3" xfId="39128"/>
    <cellStyle name="Total 2 4 6 2 4" xfId="39129"/>
    <cellStyle name="Total 2 4 6 3" xfId="1071"/>
    <cellStyle name="Total 2 4 6 3 2" xfId="39130"/>
    <cellStyle name="Total 2 4 6 3 3" xfId="39131"/>
    <cellStyle name="Total 2 4 6 3 4" xfId="39132"/>
    <cellStyle name="Total 2 4 6 4" xfId="39133"/>
    <cellStyle name="Total 2 4 6 5" xfId="39134"/>
    <cellStyle name="Total 2 4 6 6" xfId="39135"/>
    <cellStyle name="Total 2 4 6 7" xfId="39136"/>
    <cellStyle name="Total 2 4 7" xfId="1072"/>
    <cellStyle name="Total 2 4 7 2" xfId="1073"/>
    <cellStyle name="Total 2 4 7 2 2" xfId="39137"/>
    <cellStyle name="Total 2 4 7 2 3" xfId="39138"/>
    <cellStyle name="Total 2 4 7 2 4" xfId="39139"/>
    <cellStyle name="Total 2 4 7 3" xfId="1074"/>
    <cellStyle name="Total 2 4 7 3 2" xfId="39140"/>
    <cellStyle name="Total 2 4 7 3 3" xfId="39141"/>
    <cellStyle name="Total 2 4 7 3 4" xfId="39142"/>
    <cellStyle name="Total 2 4 7 4" xfId="39143"/>
    <cellStyle name="Total 2 4 7 5" xfId="39144"/>
    <cellStyle name="Total 2 4 7 6" xfId="39145"/>
    <cellStyle name="Total 2 4 7 7" xfId="39146"/>
    <cellStyle name="Total 2 4 8" xfId="1075"/>
    <cellStyle name="Total 2 4 8 2" xfId="1076"/>
    <cellStyle name="Total 2 4 8 2 2" xfId="39147"/>
    <cellStyle name="Total 2 4 8 2 3" xfId="39148"/>
    <cellStyle name="Total 2 4 8 2 4" xfId="39149"/>
    <cellStyle name="Total 2 4 8 3" xfId="1077"/>
    <cellStyle name="Total 2 4 8 4" xfId="39150"/>
    <cellStyle name="Total 2 4 8 5" xfId="39151"/>
    <cellStyle name="Total 2 4 8 6" xfId="39152"/>
    <cellStyle name="Total 2 4 9" xfId="1078"/>
    <cellStyle name="Total 2 4 9 2" xfId="1079"/>
    <cellStyle name="Total 2 4 9 3" xfId="1080"/>
    <cellStyle name="Total 2 4 9 4" xfId="39153"/>
    <cellStyle name="Total 2 4 9 5" xfId="39154"/>
    <cellStyle name="Total 2 4 9 6" xfId="39155"/>
    <cellStyle name="Total 2 40" xfId="39156"/>
    <cellStyle name="Total 2 41" xfId="39157"/>
    <cellStyle name="Total 2 42" xfId="39158"/>
    <cellStyle name="Total 2 43" xfId="39159"/>
    <cellStyle name="Total 2 44" xfId="39160"/>
    <cellStyle name="Total 2 45" xfId="39161"/>
    <cellStyle name="Total 2 46" xfId="39162"/>
    <cellStyle name="Total 2 47" xfId="58517"/>
    <cellStyle name="Total 2 48" xfId="58518"/>
    <cellStyle name="Total 2 49" xfId="58519"/>
    <cellStyle name="Total 2 5" xfId="1081"/>
    <cellStyle name="Total 2 5 10" xfId="39163"/>
    <cellStyle name="Total 2 5 10 2" xfId="39164"/>
    <cellStyle name="Total 2 5 10 3" xfId="39165"/>
    <cellStyle name="Total 2 5 10 4" xfId="39166"/>
    <cellStyle name="Total 2 5 11" xfId="39167"/>
    <cellStyle name="Total 2 5 11 2" xfId="39168"/>
    <cellStyle name="Total 2 5 11 3" xfId="39169"/>
    <cellStyle name="Total 2 5 11 4" xfId="39170"/>
    <cellStyle name="Total 2 5 12" xfId="39171"/>
    <cellStyle name="Total 2 5 12 2" xfId="39172"/>
    <cellStyle name="Total 2 5 12 3" xfId="39173"/>
    <cellStyle name="Total 2 5 12 4" xfId="39174"/>
    <cellStyle name="Total 2 5 13" xfId="39175"/>
    <cellStyle name="Total 2 5 13 2" xfId="39176"/>
    <cellStyle name="Total 2 5 14" xfId="39177"/>
    <cellStyle name="Total 2 5 15" xfId="39178"/>
    <cellStyle name="Total 2 5 15 2" xfId="39179"/>
    <cellStyle name="Total 2 5 16" xfId="39180"/>
    <cellStyle name="Total 2 5 17" xfId="39181"/>
    <cellStyle name="Total 2 5 18" xfId="39182"/>
    <cellStyle name="Total 2 5 19" xfId="39183"/>
    <cellStyle name="Total 2 5 2" xfId="1082"/>
    <cellStyle name="Total 2 5 2 10" xfId="39184"/>
    <cellStyle name="Total 2 5 2 11" xfId="39185"/>
    <cellStyle name="Total 2 5 2 12" xfId="39186"/>
    <cellStyle name="Total 2 5 2 2" xfId="39187"/>
    <cellStyle name="Total 2 5 2 2 10" xfId="39188"/>
    <cellStyle name="Total 2 5 2 2 11" xfId="39189"/>
    <cellStyle name="Total 2 5 2 2 2" xfId="39190"/>
    <cellStyle name="Total 2 5 2 2 2 2" xfId="39191"/>
    <cellStyle name="Total 2 5 2 2 2 2 2" xfId="39192"/>
    <cellStyle name="Total 2 5 2 2 2 2 2 2" xfId="39193"/>
    <cellStyle name="Total 2 5 2 2 2 2 2 3" xfId="39194"/>
    <cellStyle name="Total 2 5 2 2 2 2 2 4" xfId="39195"/>
    <cellStyle name="Total 2 5 2 2 2 2 3" xfId="39196"/>
    <cellStyle name="Total 2 5 2 2 2 2 4" xfId="39197"/>
    <cellStyle name="Total 2 5 2 2 2 2 5" xfId="39198"/>
    <cellStyle name="Total 2 5 2 2 2 2 6" xfId="39199"/>
    <cellStyle name="Total 2 5 2 2 2 3" xfId="39200"/>
    <cellStyle name="Total 2 5 2 2 2 3 2" xfId="39201"/>
    <cellStyle name="Total 2 5 2 2 2 3 3" xfId="39202"/>
    <cellStyle name="Total 2 5 2 2 2 3 4" xfId="39203"/>
    <cellStyle name="Total 2 5 2 2 2 4" xfId="39204"/>
    <cellStyle name="Total 2 5 2 2 2 5" xfId="39205"/>
    <cellStyle name="Total 2 5 2 2 2 6" xfId="39206"/>
    <cellStyle name="Total 2 5 2 2 2 7" xfId="39207"/>
    <cellStyle name="Total 2 5 2 2 3" xfId="39208"/>
    <cellStyle name="Total 2 5 2 2 3 2" xfId="39209"/>
    <cellStyle name="Total 2 5 2 2 3 2 2" xfId="39210"/>
    <cellStyle name="Total 2 5 2 2 3 2 3" xfId="39211"/>
    <cellStyle name="Total 2 5 2 2 3 2 4" xfId="39212"/>
    <cellStyle name="Total 2 5 2 2 3 3" xfId="39213"/>
    <cellStyle name="Total 2 5 2 2 3 4" xfId="39214"/>
    <cellStyle name="Total 2 5 2 2 3 5" xfId="39215"/>
    <cellStyle name="Total 2 5 2 2 3 6" xfId="39216"/>
    <cellStyle name="Total 2 5 2 2 4" xfId="39217"/>
    <cellStyle name="Total 2 5 2 2 4 2" xfId="39218"/>
    <cellStyle name="Total 2 5 2 2 4 3" xfId="39219"/>
    <cellStyle name="Total 2 5 2 2 4 4" xfId="39220"/>
    <cellStyle name="Total 2 5 2 2 4 5" xfId="39221"/>
    <cellStyle name="Total 2 5 2 2 5" xfId="39222"/>
    <cellStyle name="Total 2 5 2 2 5 2" xfId="39223"/>
    <cellStyle name="Total 2 5 2 2 5 3" xfId="39224"/>
    <cellStyle name="Total 2 5 2 2 5 4" xfId="39225"/>
    <cellStyle name="Total 2 5 2 2 6" xfId="39226"/>
    <cellStyle name="Total 2 5 2 2 6 2" xfId="39227"/>
    <cellStyle name="Total 2 5 2 2 6 3" xfId="39228"/>
    <cellStyle name="Total 2 5 2 2 6 4" xfId="39229"/>
    <cellStyle name="Total 2 5 2 2 7" xfId="39230"/>
    <cellStyle name="Total 2 5 2 2 7 2" xfId="39231"/>
    <cellStyle name="Total 2 5 2 2 7 3" xfId="39232"/>
    <cellStyle name="Total 2 5 2 2 7 4" xfId="39233"/>
    <cellStyle name="Total 2 5 2 2 8" xfId="39234"/>
    <cellStyle name="Total 2 5 2 2 9" xfId="39235"/>
    <cellStyle name="Total 2 5 2 3" xfId="39236"/>
    <cellStyle name="Total 2 5 2 3 2" xfId="39237"/>
    <cellStyle name="Total 2 5 2 3 2 2" xfId="39238"/>
    <cellStyle name="Total 2 5 2 3 2 2 2" xfId="39239"/>
    <cellStyle name="Total 2 5 2 3 2 2 3" xfId="39240"/>
    <cellStyle name="Total 2 5 2 3 2 2 4" xfId="39241"/>
    <cellStyle name="Total 2 5 2 3 2 3" xfId="39242"/>
    <cellStyle name="Total 2 5 2 3 2 4" xfId="39243"/>
    <cellStyle name="Total 2 5 2 3 2 5" xfId="39244"/>
    <cellStyle name="Total 2 5 2 3 2 6" xfId="39245"/>
    <cellStyle name="Total 2 5 2 3 3" xfId="39246"/>
    <cellStyle name="Total 2 5 2 3 3 2" xfId="39247"/>
    <cellStyle name="Total 2 5 2 3 3 3" xfId="39248"/>
    <cellStyle name="Total 2 5 2 3 3 4" xfId="39249"/>
    <cellStyle name="Total 2 5 2 3 4" xfId="39250"/>
    <cellStyle name="Total 2 5 2 3 5" xfId="39251"/>
    <cellStyle name="Total 2 5 2 3 6" xfId="39252"/>
    <cellStyle name="Total 2 5 2 3 7" xfId="39253"/>
    <cellStyle name="Total 2 5 2 4" xfId="39254"/>
    <cellStyle name="Total 2 5 2 4 2" xfId="39255"/>
    <cellStyle name="Total 2 5 2 4 2 2" xfId="39256"/>
    <cellStyle name="Total 2 5 2 4 2 3" xfId="39257"/>
    <cellStyle name="Total 2 5 2 4 2 4" xfId="39258"/>
    <cellStyle name="Total 2 5 2 4 3" xfId="39259"/>
    <cellStyle name="Total 2 5 2 4 4" xfId="39260"/>
    <cellStyle name="Total 2 5 2 4 5" xfId="39261"/>
    <cellStyle name="Total 2 5 2 4 6" xfId="39262"/>
    <cellStyle name="Total 2 5 2 5" xfId="39263"/>
    <cellStyle name="Total 2 5 2 5 2" xfId="39264"/>
    <cellStyle name="Total 2 5 2 5 3" xfId="39265"/>
    <cellStyle name="Total 2 5 2 5 4" xfId="39266"/>
    <cellStyle name="Total 2 5 2 5 5" xfId="39267"/>
    <cellStyle name="Total 2 5 2 6" xfId="39268"/>
    <cellStyle name="Total 2 5 2 6 2" xfId="39269"/>
    <cellStyle name="Total 2 5 2 6 3" xfId="39270"/>
    <cellStyle name="Total 2 5 2 6 4" xfId="39271"/>
    <cellStyle name="Total 2 5 2 7" xfId="39272"/>
    <cellStyle name="Total 2 5 2 7 2" xfId="39273"/>
    <cellStyle name="Total 2 5 2 7 3" xfId="39274"/>
    <cellStyle name="Total 2 5 2 7 4" xfId="39275"/>
    <cellStyle name="Total 2 5 2 8" xfId="39276"/>
    <cellStyle name="Total 2 5 2 8 2" xfId="39277"/>
    <cellStyle name="Total 2 5 2 8 3" xfId="39278"/>
    <cellStyle name="Total 2 5 2 8 4" xfId="39279"/>
    <cellStyle name="Total 2 5 2 9" xfId="39280"/>
    <cellStyle name="Total 2 5 20" xfId="39281"/>
    <cellStyle name="Total 2 5 21" xfId="39282"/>
    <cellStyle name="Total 2 5 22" xfId="39283"/>
    <cellStyle name="Total 2 5 23" xfId="39284"/>
    <cellStyle name="Total 2 5 24" xfId="39285"/>
    <cellStyle name="Total 2 5 25" xfId="39286"/>
    <cellStyle name="Total 2 5 26" xfId="39287"/>
    <cellStyle name="Total 2 5 27" xfId="39288"/>
    <cellStyle name="Total 2 5 28" xfId="39289"/>
    <cellStyle name="Total 2 5 29" xfId="58520"/>
    <cellStyle name="Total 2 5 3" xfId="1083"/>
    <cellStyle name="Total 2 5 3 10" xfId="39290"/>
    <cellStyle name="Total 2 5 3 11" xfId="39291"/>
    <cellStyle name="Total 2 5 3 2" xfId="39292"/>
    <cellStyle name="Total 2 5 3 2 2" xfId="39293"/>
    <cellStyle name="Total 2 5 3 2 2 2" xfId="39294"/>
    <cellStyle name="Total 2 5 3 2 2 2 2" xfId="39295"/>
    <cellStyle name="Total 2 5 3 2 2 2 3" xfId="39296"/>
    <cellStyle name="Total 2 5 3 2 2 2 4" xfId="39297"/>
    <cellStyle name="Total 2 5 3 2 2 3" xfId="39298"/>
    <cellStyle name="Total 2 5 3 2 2 4" xfId="39299"/>
    <cellStyle name="Total 2 5 3 2 2 5" xfId="39300"/>
    <cellStyle name="Total 2 5 3 2 2 6" xfId="39301"/>
    <cellStyle name="Total 2 5 3 2 3" xfId="39302"/>
    <cellStyle name="Total 2 5 3 2 3 2" xfId="39303"/>
    <cellStyle name="Total 2 5 3 2 3 3" xfId="39304"/>
    <cellStyle name="Total 2 5 3 2 3 4" xfId="39305"/>
    <cellStyle name="Total 2 5 3 2 4" xfId="39306"/>
    <cellStyle name="Total 2 5 3 2 5" xfId="39307"/>
    <cellStyle name="Total 2 5 3 2 6" xfId="39308"/>
    <cellStyle name="Total 2 5 3 2 7" xfId="39309"/>
    <cellStyle name="Total 2 5 3 3" xfId="39310"/>
    <cellStyle name="Total 2 5 3 3 2" xfId="39311"/>
    <cellStyle name="Total 2 5 3 3 2 2" xfId="39312"/>
    <cellStyle name="Total 2 5 3 3 2 3" xfId="39313"/>
    <cellStyle name="Total 2 5 3 3 2 4" xfId="39314"/>
    <cellStyle name="Total 2 5 3 3 3" xfId="39315"/>
    <cellStyle name="Total 2 5 3 3 4" xfId="39316"/>
    <cellStyle name="Total 2 5 3 3 5" xfId="39317"/>
    <cellStyle name="Total 2 5 3 3 6" xfId="39318"/>
    <cellStyle name="Total 2 5 3 4" xfId="39319"/>
    <cellStyle name="Total 2 5 3 4 2" xfId="39320"/>
    <cellStyle name="Total 2 5 3 4 3" xfId="39321"/>
    <cellStyle name="Total 2 5 3 4 4" xfId="39322"/>
    <cellStyle name="Total 2 5 3 4 5" xfId="39323"/>
    <cellStyle name="Total 2 5 3 5" xfId="39324"/>
    <cellStyle name="Total 2 5 3 5 2" xfId="39325"/>
    <cellStyle name="Total 2 5 3 5 3" xfId="39326"/>
    <cellStyle name="Total 2 5 3 5 4" xfId="39327"/>
    <cellStyle name="Total 2 5 3 6" xfId="39328"/>
    <cellStyle name="Total 2 5 3 6 2" xfId="39329"/>
    <cellStyle name="Total 2 5 3 6 3" xfId="39330"/>
    <cellStyle name="Total 2 5 3 6 4" xfId="39331"/>
    <cellStyle name="Total 2 5 3 7" xfId="39332"/>
    <cellStyle name="Total 2 5 3 7 2" xfId="39333"/>
    <cellStyle name="Total 2 5 3 7 3" xfId="39334"/>
    <cellStyle name="Total 2 5 3 7 4" xfId="39335"/>
    <cellStyle name="Total 2 5 3 8" xfId="39336"/>
    <cellStyle name="Total 2 5 3 9" xfId="39337"/>
    <cellStyle name="Total 2 5 30" xfId="58521"/>
    <cellStyle name="Total 2 5 31" xfId="58522"/>
    <cellStyle name="Total 2 5 32" xfId="58523"/>
    <cellStyle name="Total 2 5 33" xfId="58524"/>
    <cellStyle name="Total 2 5 34" xfId="58525"/>
    <cellStyle name="Total 2 5 35" xfId="58526"/>
    <cellStyle name="Total 2 5 36" xfId="58527"/>
    <cellStyle name="Total 2 5 37" xfId="58528"/>
    <cellStyle name="Total 2 5 38" xfId="58529"/>
    <cellStyle name="Total 2 5 39" xfId="58530"/>
    <cellStyle name="Total 2 5 4" xfId="39338"/>
    <cellStyle name="Total 2 5 4 2" xfId="39339"/>
    <cellStyle name="Total 2 5 4 2 2" xfId="39340"/>
    <cellStyle name="Total 2 5 4 2 2 2" xfId="39341"/>
    <cellStyle name="Total 2 5 4 2 2 3" xfId="39342"/>
    <cellStyle name="Total 2 5 4 2 2 4" xfId="39343"/>
    <cellStyle name="Total 2 5 4 2 3" xfId="39344"/>
    <cellStyle name="Total 2 5 4 2 4" xfId="39345"/>
    <cellStyle name="Total 2 5 4 2 5" xfId="39346"/>
    <cellStyle name="Total 2 5 4 2 6" xfId="39347"/>
    <cellStyle name="Total 2 5 4 3" xfId="39348"/>
    <cellStyle name="Total 2 5 4 3 2" xfId="39349"/>
    <cellStyle name="Total 2 5 4 3 3" xfId="39350"/>
    <cellStyle name="Total 2 5 4 3 4" xfId="39351"/>
    <cellStyle name="Total 2 5 4 4" xfId="39352"/>
    <cellStyle name="Total 2 5 4 5" xfId="39353"/>
    <cellStyle name="Total 2 5 4 6" xfId="39354"/>
    <cellStyle name="Total 2 5 4 7" xfId="39355"/>
    <cellStyle name="Total 2 5 40" xfId="58531"/>
    <cellStyle name="Total 2 5 5" xfId="39356"/>
    <cellStyle name="Total 2 5 5 2" xfId="39357"/>
    <cellStyle name="Total 2 5 5 2 2" xfId="39358"/>
    <cellStyle name="Total 2 5 5 2 3" xfId="39359"/>
    <cellStyle name="Total 2 5 5 2 4" xfId="39360"/>
    <cellStyle name="Total 2 5 5 3" xfId="39361"/>
    <cellStyle name="Total 2 5 5 3 2" xfId="39362"/>
    <cellStyle name="Total 2 5 5 3 3" xfId="39363"/>
    <cellStyle name="Total 2 5 5 3 4" xfId="39364"/>
    <cellStyle name="Total 2 5 5 4" xfId="39365"/>
    <cellStyle name="Total 2 5 5 5" xfId="39366"/>
    <cellStyle name="Total 2 5 5 6" xfId="39367"/>
    <cellStyle name="Total 2 5 5 7" xfId="39368"/>
    <cellStyle name="Total 2 5 6" xfId="39369"/>
    <cellStyle name="Total 2 5 6 2" xfId="39370"/>
    <cellStyle name="Total 2 5 6 2 2" xfId="39371"/>
    <cellStyle name="Total 2 5 6 2 3" xfId="39372"/>
    <cellStyle name="Total 2 5 6 2 4" xfId="39373"/>
    <cellStyle name="Total 2 5 6 3" xfId="39374"/>
    <cellStyle name="Total 2 5 6 3 2" xfId="39375"/>
    <cellStyle name="Total 2 5 6 3 3" xfId="39376"/>
    <cellStyle name="Total 2 5 6 3 4" xfId="39377"/>
    <cellStyle name="Total 2 5 6 4" xfId="39378"/>
    <cellStyle name="Total 2 5 6 5" xfId="39379"/>
    <cellStyle name="Total 2 5 6 6" xfId="39380"/>
    <cellStyle name="Total 2 5 6 7" xfId="39381"/>
    <cellStyle name="Total 2 5 7" xfId="39382"/>
    <cellStyle name="Total 2 5 7 2" xfId="39383"/>
    <cellStyle name="Total 2 5 7 2 2" xfId="39384"/>
    <cellStyle name="Total 2 5 7 2 3" xfId="39385"/>
    <cellStyle name="Total 2 5 7 2 4" xfId="39386"/>
    <cellStyle name="Total 2 5 7 3" xfId="39387"/>
    <cellStyle name="Total 2 5 7 3 2" xfId="39388"/>
    <cellStyle name="Total 2 5 7 3 3" xfId="39389"/>
    <cellStyle name="Total 2 5 7 3 4" xfId="39390"/>
    <cellStyle name="Total 2 5 7 4" xfId="39391"/>
    <cellStyle name="Total 2 5 7 5" xfId="39392"/>
    <cellStyle name="Total 2 5 7 6" xfId="39393"/>
    <cellStyle name="Total 2 5 7 7" xfId="39394"/>
    <cellStyle name="Total 2 5 8" xfId="39395"/>
    <cellStyle name="Total 2 5 8 2" xfId="39396"/>
    <cellStyle name="Total 2 5 8 2 2" xfId="39397"/>
    <cellStyle name="Total 2 5 8 2 3" xfId="39398"/>
    <cellStyle name="Total 2 5 8 2 4" xfId="39399"/>
    <cellStyle name="Total 2 5 8 3" xfId="39400"/>
    <cellStyle name="Total 2 5 8 4" xfId="39401"/>
    <cellStyle name="Total 2 5 8 5" xfId="39402"/>
    <cellStyle name="Total 2 5 8 6" xfId="39403"/>
    <cellStyle name="Total 2 5 9" xfId="39404"/>
    <cellStyle name="Total 2 5 9 2" xfId="39405"/>
    <cellStyle name="Total 2 5 9 3" xfId="39406"/>
    <cellStyle name="Total 2 5 9 4" xfId="39407"/>
    <cellStyle name="Total 2 5 9 5" xfId="39408"/>
    <cellStyle name="Total 2 5 9 6" xfId="39409"/>
    <cellStyle name="Total 2 50" xfId="58532"/>
    <cellStyle name="Total 2 51" xfId="58533"/>
    <cellStyle name="Total 2 52" xfId="58534"/>
    <cellStyle name="Total 2 53" xfId="58535"/>
    <cellStyle name="Total 2 54" xfId="58536"/>
    <cellStyle name="Total 2 55" xfId="58537"/>
    <cellStyle name="Total 2 56" xfId="58538"/>
    <cellStyle name="Total 2 57" xfId="58539"/>
    <cellStyle name="Total 2 58" xfId="58540"/>
    <cellStyle name="Total 2 59" xfId="58541"/>
    <cellStyle name="Total 2 6" xfId="1084"/>
    <cellStyle name="Total 2 6 10" xfId="39410"/>
    <cellStyle name="Total 2 6 10 2" xfId="39411"/>
    <cellStyle name="Total 2 6 10 3" xfId="39412"/>
    <cellStyle name="Total 2 6 10 4" xfId="39413"/>
    <cellStyle name="Total 2 6 11" xfId="39414"/>
    <cellStyle name="Total 2 6 11 2" xfId="39415"/>
    <cellStyle name="Total 2 6 11 3" xfId="39416"/>
    <cellStyle name="Total 2 6 11 4" xfId="39417"/>
    <cellStyle name="Total 2 6 12" xfId="39418"/>
    <cellStyle name="Total 2 6 12 2" xfId="39419"/>
    <cellStyle name="Total 2 6 12 3" xfId="39420"/>
    <cellStyle name="Total 2 6 12 4" xfId="39421"/>
    <cellStyle name="Total 2 6 13" xfId="39422"/>
    <cellStyle name="Total 2 6 13 2" xfId="39423"/>
    <cellStyle name="Total 2 6 14" xfId="39424"/>
    <cellStyle name="Total 2 6 15" xfId="39425"/>
    <cellStyle name="Total 2 6 15 2" xfId="39426"/>
    <cellStyle name="Total 2 6 16" xfId="39427"/>
    <cellStyle name="Total 2 6 17" xfId="39428"/>
    <cellStyle name="Total 2 6 18" xfId="39429"/>
    <cellStyle name="Total 2 6 19" xfId="39430"/>
    <cellStyle name="Total 2 6 2" xfId="1085"/>
    <cellStyle name="Total 2 6 2 10" xfId="39431"/>
    <cellStyle name="Total 2 6 2 11" xfId="39432"/>
    <cellStyle name="Total 2 6 2 12" xfId="39433"/>
    <cellStyle name="Total 2 6 2 2" xfId="39434"/>
    <cellStyle name="Total 2 6 2 2 10" xfId="39435"/>
    <cellStyle name="Total 2 6 2 2 11" xfId="39436"/>
    <cellStyle name="Total 2 6 2 2 2" xfId="39437"/>
    <cellStyle name="Total 2 6 2 2 2 2" xfId="39438"/>
    <cellStyle name="Total 2 6 2 2 2 2 2" xfId="39439"/>
    <cellStyle name="Total 2 6 2 2 2 2 2 2" xfId="39440"/>
    <cellStyle name="Total 2 6 2 2 2 2 2 3" xfId="39441"/>
    <cellStyle name="Total 2 6 2 2 2 2 2 4" xfId="39442"/>
    <cellStyle name="Total 2 6 2 2 2 2 3" xfId="39443"/>
    <cellStyle name="Total 2 6 2 2 2 2 4" xfId="39444"/>
    <cellStyle name="Total 2 6 2 2 2 2 5" xfId="39445"/>
    <cellStyle name="Total 2 6 2 2 2 2 6" xfId="39446"/>
    <cellStyle name="Total 2 6 2 2 2 3" xfId="39447"/>
    <cellStyle name="Total 2 6 2 2 2 3 2" xfId="39448"/>
    <cellStyle name="Total 2 6 2 2 2 3 3" xfId="39449"/>
    <cellStyle name="Total 2 6 2 2 2 3 4" xfId="39450"/>
    <cellStyle name="Total 2 6 2 2 2 4" xfId="39451"/>
    <cellStyle name="Total 2 6 2 2 2 5" xfId="39452"/>
    <cellStyle name="Total 2 6 2 2 2 6" xfId="39453"/>
    <cellStyle name="Total 2 6 2 2 2 7" xfId="39454"/>
    <cellStyle name="Total 2 6 2 2 3" xfId="39455"/>
    <cellStyle name="Total 2 6 2 2 3 2" xfId="39456"/>
    <cellStyle name="Total 2 6 2 2 3 2 2" xfId="39457"/>
    <cellStyle name="Total 2 6 2 2 3 2 3" xfId="39458"/>
    <cellStyle name="Total 2 6 2 2 3 2 4" xfId="39459"/>
    <cellStyle name="Total 2 6 2 2 3 3" xfId="39460"/>
    <cellStyle name="Total 2 6 2 2 3 4" xfId="39461"/>
    <cellStyle name="Total 2 6 2 2 3 5" xfId="39462"/>
    <cellStyle name="Total 2 6 2 2 3 6" xfId="39463"/>
    <cellStyle name="Total 2 6 2 2 4" xfId="39464"/>
    <cellStyle name="Total 2 6 2 2 4 2" xfId="39465"/>
    <cellStyle name="Total 2 6 2 2 4 3" xfId="39466"/>
    <cellStyle name="Total 2 6 2 2 4 4" xfId="39467"/>
    <cellStyle name="Total 2 6 2 2 4 5" xfId="39468"/>
    <cellStyle name="Total 2 6 2 2 5" xfId="39469"/>
    <cellStyle name="Total 2 6 2 2 5 2" xfId="39470"/>
    <cellStyle name="Total 2 6 2 2 5 3" xfId="39471"/>
    <cellStyle name="Total 2 6 2 2 5 4" xfId="39472"/>
    <cellStyle name="Total 2 6 2 2 6" xfId="39473"/>
    <cellStyle name="Total 2 6 2 2 6 2" xfId="39474"/>
    <cellStyle name="Total 2 6 2 2 6 3" xfId="39475"/>
    <cellStyle name="Total 2 6 2 2 6 4" xfId="39476"/>
    <cellStyle name="Total 2 6 2 2 7" xfId="39477"/>
    <cellStyle name="Total 2 6 2 2 7 2" xfId="39478"/>
    <cellStyle name="Total 2 6 2 2 7 3" xfId="39479"/>
    <cellStyle name="Total 2 6 2 2 7 4" xfId="39480"/>
    <cellStyle name="Total 2 6 2 2 8" xfId="39481"/>
    <cellStyle name="Total 2 6 2 2 9" xfId="39482"/>
    <cellStyle name="Total 2 6 2 3" xfId="39483"/>
    <cellStyle name="Total 2 6 2 3 2" xfId="39484"/>
    <cellStyle name="Total 2 6 2 3 2 2" xfId="39485"/>
    <cellStyle name="Total 2 6 2 3 2 2 2" xfId="39486"/>
    <cellStyle name="Total 2 6 2 3 2 2 3" xfId="39487"/>
    <cellStyle name="Total 2 6 2 3 2 2 4" xfId="39488"/>
    <cellStyle name="Total 2 6 2 3 2 3" xfId="39489"/>
    <cellStyle name="Total 2 6 2 3 2 4" xfId="39490"/>
    <cellStyle name="Total 2 6 2 3 2 5" xfId="39491"/>
    <cellStyle name="Total 2 6 2 3 2 6" xfId="39492"/>
    <cellStyle name="Total 2 6 2 3 3" xfId="39493"/>
    <cellStyle name="Total 2 6 2 3 3 2" xfId="39494"/>
    <cellStyle name="Total 2 6 2 3 3 3" xfId="39495"/>
    <cellStyle name="Total 2 6 2 3 3 4" xfId="39496"/>
    <cellStyle name="Total 2 6 2 3 4" xfId="39497"/>
    <cellStyle name="Total 2 6 2 3 5" xfId="39498"/>
    <cellStyle name="Total 2 6 2 3 6" xfId="39499"/>
    <cellStyle name="Total 2 6 2 3 7" xfId="39500"/>
    <cellStyle name="Total 2 6 2 4" xfId="39501"/>
    <cellStyle name="Total 2 6 2 4 2" xfId="39502"/>
    <cellStyle name="Total 2 6 2 4 2 2" xfId="39503"/>
    <cellStyle name="Total 2 6 2 4 2 3" xfId="39504"/>
    <cellStyle name="Total 2 6 2 4 2 4" xfId="39505"/>
    <cellStyle name="Total 2 6 2 4 3" xfId="39506"/>
    <cellStyle name="Total 2 6 2 4 4" xfId="39507"/>
    <cellStyle name="Total 2 6 2 4 5" xfId="39508"/>
    <cellStyle name="Total 2 6 2 4 6" xfId="39509"/>
    <cellStyle name="Total 2 6 2 5" xfId="39510"/>
    <cellStyle name="Total 2 6 2 5 2" xfId="39511"/>
    <cellStyle name="Total 2 6 2 5 3" xfId="39512"/>
    <cellStyle name="Total 2 6 2 5 4" xfId="39513"/>
    <cellStyle name="Total 2 6 2 5 5" xfId="39514"/>
    <cellStyle name="Total 2 6 2 6" xfId="39515"/>
    <cellStyle name="Total 2 6 2 6 2" xfId="39516"/>
    <cellStyle name="Total 2 6 2 6 3" xfId="39517"/>
    <cellStyle name="Total 2 6 2 6 4" xfId="39518"/>
    <cellStyle name="Total 2 6 2 7" xfId="39519"/>
    <cellStyle name="Total 2 6 2 7 2" xfId="39520"/>
    <cellStyle name="Total 2 6 2 7 3" xfId="39521"/>
    <cellStyle name="Total 2 6 2 7 4" xfId="39522"/>
    <cellStyle name="Total 2 6 2 8" xfId="39523"/>
    <cellStyle name="Total 2 6 2 8 2" xfId="39524"/>
    <cellStyle name="Total 2 6 2 8 3" xfId="39525"/>
    <cellStyle name="Total 2 6 2 8 4" xfId="39526"/>
    <cellStyle name="Total 2 6 2 9" xfId="39527"/>
    <cellStyle name="Total 2 6 20" xfId="39528"/>
    <cellStyle name="Total 2 6 21" xfId="39529"/>
    <cellStyle name="Total 2 6 22" xfId="39530"/>
    <cellStyle name="Total 2 6 23" xfId="39531"/>
    <cellStyle name="Total 2 6 24" xfId="39532"/>
    <cellStyle name="Total 2 6 25" xfId="39533"/>
    <cellStyle name="Total 2 6 26" xfId="39534"/>
    <cellStyle name="Total 2 6 27" xfId="39535"/>
    <cellStyle name="Total 2 6 28" xfId="39536"/>
    <cellStyle name="Total 2 6 29" xfId="58542"/>
    <cellStyle name="Total 2 6 3" xfId="39537"/>
    <cellStyle name="Total 2 6 3 10" xfId="39538"/>
    <cellStyle name="Total 2 6 3 11" xfId="39539"/>
    <cellStyle name="Total 2 6 3 2" xfId="39540"/>
    <cellStyle name="Total 2 6 3 2 2" xfId="39541"/>
    <cellStyle name="Total 2 6 3 2 2 2" xfId="39542"/>
    <cellStyle name="Total 2 6 3 2 2 2 2" xfId="39543"/>
    <cellStyle name="Total 2 6 3 2 2 2 3" xfId="39544"/>
    <cellStyle name="Total 2 6 3 2 2 2 4" xfId="39545"/>
    <cellStyle name="Total 2 6 3 2 2 3" xfId="39546"/>
    <cellStyle name="Total 2 6 3 2 2 4" xfId="39547"/>
    <cellStyle name="Total 2 6 3 2 2 5" xfId="39548"/>
    <cellStyle name="Total 2 6 3 2 2 6" xfId="39549"/>
    <cellStyle name="Total 2 6 3 2 3" xfId="39550"/>
    <cellStyle name="Total 2 6 3 2 3 2" xfId="39551"/>
    <cellStyle name="Total 2 6 3 2 3 3" xfId="39552"/>
    <cellStyle name="Total 2 6 3 2 3 4" xfId="39553"/>
    <cellStyle name="Total 2 6 3 2 4" xfId="39554"/>
    <cellStyle name="Total 2 6 3 2 5" xfId="39555"/>
    <cellStyle name="Total 2 6 3 2 6" xfId="39556"/>
    <cellStyle name="Total 2 6 3 2 7" xfId="39557"/>
    <cellStyle name="Total 2 6 3 3" xfId="39558"/>
    <cellStyle name="Total 2 6 3 3 2" xfId="39559"/>
    <cellStyle name="Total 2 6 3 3 2 2" xfId="39560"/>
    <cellStyle name="Total 2 6 3 3 2 3" xfId="39561"/>
    <cellStyle name="Total 2 6 3 3 2 4" xfId="39562"/>
    <cellStyle name="Total 2 6 3 3 3" xfId="39563"/>
    <cellStyle name="Total 2 6 3 3 4" xfId="39564"/>
    <cellStyle name="Total 2 6 3 3 5" xfId="39565"/>
    <cellStyle name="Total 2 6 3 3 6" xfId="39566"/>
    <cellStyle name="Total 2 6 3 4" xfId="39567"/>
    <cellStyle name="Total 2 6 3 4 2" xfId="39568"/>
    <cellStyle name="Total 2 6 3 4 3" xfId="39569"/>
    <cellStyle name="Total 2 6 3 4 4" xfId="39570"/>
    <cellStyle name="Total 2 6 3 4 5" xfId="39571"/>
    <cellStyle name="Total 2 6 3 5" xfId="39572"/>
    <cellStyle name="Total 2 6 3 5 2" xfId="39573"/>
    <cellStyle name="Total 2 6 3 5 3" xfId="39574"/>
    <cellStyle name="Total 2 6 3 5 4" xfId="39575"/>
    <cellStyle name="Total 2 6 3 6" xfId="39576"/>
    <cellStyle name="Total 2 6 3 6 2" xfId="39577"/>
    <cellStyle name="Total 2 6 3 6 3" xfId="39578"/>
    <cellStyle name="Total 2 6 3 6 4" xfId="39579"/>
    <cellStyle name="Total 2 6 3 7" xfId="39580"/>
    <cellStyle name="Total 2 6 3 7 2" xfId="39581"/>
    <cellStyle name="Total 2 6 3 7 3" xfId="39582"/>
    <cellStyle name="Total 2 6 3 7 4" xfId="39583"/>
    <cellStyle name="Total 2 6 3 8" xfId="39584"/>
    <cellStyle name="Total 2 6 3 9" xfId="39585"/>
    <cellStyle name="Total 2 6 30" xfId="58543"/>
    <cellStyle name="Total 2 6 31" xfId="58544"/>
    <cellStyle name="Total 2 6 32" xfId="58545"/>
    <cellStyle name="Total 2 6 33" xfId="58546"/>
    <cellStyle name="Total 2 6 34" xfId="58547"/>
    <cellStyle name="Total 2 6 35" xfId="58548"/>
    <cellStyle name="Total 2 6 36" xfId="58549"/>
    <cellStyle name="Total 2 6 37" xfId="58550"/>
    <cellStyle name="Total 2 6 38" xfId="58551"/>
    <cellStyle name="Total 2 6 39" xfId="58552"/>
    <cellStyle name="Total 2 6 4" xfId="39586"/>
    <cellStyle name="Total 2 6 4 2" xfId="39587"/>
    <cellStyle name="Total 2 6 4 2 2" xfId="39588"/>
    <cellStyle name="Total 2 6 4 2 2 2" xfId="39589"/>
    <cellStyle name="Total 2 6 4 2 2 3" xfId="39590"/>
    <cellStyle name="Total 2 6 4 2 2 4" xfId="39591"/>
    <cellStyle name="Total 2 6 4 2 3" xfId="39592"/>
    <cellStyle name="Total 2 6 4 2 4" xfId="39593"/>
    <cellStyle name="Total 2 6 4 2 5" xfId="39594"/>
    <cellStyle name="Total 2 6 4 2 6" xfId="39595"/>
    <cellStyle name="Total 2 6 4 3" xfId="39596"/>
    <cellStyle name="Total 2 6 4 3 2" xfId="39597"/>
    <cellStyle name="Total 2 6 4 3 3" xfId="39598"/>
    <cellStyle name="Total 2 6 4 3 4" xfId="39599"/>
    <cellStyle name="Total 2 6 4 4" xfId="39600"/>
    <cellStyle name="Total 2 6 4 5" xfId="39601"/>
    <cellStyle name="Total 2 6 4 6" xfId="39602"/>
    <cellStyle name="Total 2 6 4 7" xfId="39603"/>
    <cellStyle name="Total 2 6 40" xfId="58553"/>
    <cellStyle name="Total 2 6 5" xfId="39604"/>
    <cellStyle name="Total 2 6 5 2" xfId="39605"/>
    <cellStyle name="Total 2 6 5 2 2" xfId="39606"/>
    <cellStyle name="Total 2 6 5 2 3" xfId="39607"/>
    <cellStyle name="Total 2 6 5 2 4" xfId="39608"/>
    <cellStyle name="Total 2 6 5 3" xfId="39609"/>
    <cellStyle name="Total 2 6 5 3 2" xfId="39610"/>
    <cellStyle name="Total 2 6 5 3 3" xfId="39611"/>
    <cellStyle name="Total 2 6 5 3 4" xfId="39612"/>
    <cellStyle name="Total 2 6 5 4" xfId="39613"/>
    <cellStyle name="Total 2 6 5 5" xfId="39614"/>
    <cellStyle name="Total 2 6 5 6" xfId="39615"/>
    <cellStyle name="Total 2 6 5 7" xfId="39616"/>
    <cellStyle name="Total 2 6 6" xfId="39617"/>
    <cellStyle name="Total 2 6 6 2" xfId="39618"/>
    <cellStyle name="Total 2 6 6 2 2" xfId="39619"/>
    <cellStyle name="Total 2 6 6 2 3" xfId="39620"/>
    <cellStyle name="Total 2 6 6 2 4" xfId="39621"/>
    <cellStyle name="Total 2 6 6 3" xfId="39622"/>
    <cellStyle name="Total 2 6 6 3 2" xfId="39623"/>
    <cellStyle name="Total 2 6 6 3 3" xfId="39624"/>
    <cellStyle name="Total 2 6 6 3 4" xfId="39625"/>
    <cellStyle name="Total 2 6 6 4" xfId="39626"/>
    <cellStyle name="Total 2 6 6 5" xfId="39627"/>
    <cellStyle name="Total 2 6 6 6" xfId="39628"/>
    <cellStyle name="Total 2 6 6 7" xfId="39629"/>
    <cellStyle name="Total 2 6 7" xfId="39630"/>
    <cellStyle name="Total 2 6 7 2" xfId="39631"/>
    <cellStyle name="Total 2 6 7 2 2" xfId="39632"/>
    <cellStyle name="Total 2 6 7 2 3" xfId="39633"/>
    <cellStyle name="Total 2 6 7 2 4" xfId="39634"/>
    <cellStyle name="Total 2 6 7 3" xfId="39635"/>
    <cellStyle name="Total 2 6 7 3 2" xfId="39636"/>
    <cellStyle name="Total 2 6 7 3 3" xfId="39637"/>
    <cellStyle name="Total 2 6 7 3 4" xfId="39638"/>
    <cellStyle name="Total 2 6 7 4" xfId="39639"/>
    <cellStyle name="Total 2 6 7 5" xfId="39640"/>
    <cellStyle name="Total 2 6 7 6" xfId="39641"/>
    <cellStyle name="Total 2 6 7 7" xfId="39642"/>
    <cellStyle name="Total 2 6 8" xfId="39643"/>
    <cellStyle name="Total 2 6 8 2" xfId="39644"/>
    <cellStyle name="Total 2 6 8 2 2" xfId="39645"/>
    <cellStyle name="Total 2 6 8 2 3" xfId="39646"/>
    <cellStyle name="Total 2 6 8 2 4" xfId="39647"/>
    <cellStyle name="Total 2 6 8 3" xfId="39648"/>
    <cellStyle name="Total 2 6 8 4" xfId="39649"/>
    <cellStyle name="Total 2 6 8 5" xfId="39650"/>
    <cellStyle name="Total 2 6 8 6" xfId="39651"/>
    <cellStyle name="Total 2 6 9" xfId="39652"/>
    <cellStyle name="Total 2 6 9 2" xfId="39653"/>
    <cellStyle name="Total 2 6 9 3" xfId="39654"/>
    <cellStyle name="Total 2 6 9 4" xfId="39655"/>
    <cellStyle name="Total 2 6 9 5" xfId="39656"/>
    <cellStyle name="Total 2 6 9 6" xfId="39657"/>
    <cellStyle name="Total 2 60" xfId="58554"/>
    <cellStyle name="Total 2 7" xfId="1086"/>
    <cellStyle name="Total 2 7 10" xfId="39658"/>
    <cellStyle name="Total 2 7 10 2" xfId="39659"/>
    <cellStyle name="Total 2 7 10 3" xfId="39660"/>
    <cellStyle name="Total 2 7 10 4" xfId="39661"/>
    <cellStyle name="Total 2 7 11" xfId="39662"/>
    <cellStyle name="Total 2 7 11 2" xfId="39663"/>
    <cellStyle name="Total 2 7 11 3" xfId="39664"/>
    <cellStyle name="Total 2 7 11 4" xfId="39665"/>
    <cellStyle name="Total 2 7 12" xfId="39666"/>
    <cellStyle name="Total 2 7 12 2" xfId="39667"/>
    <cellStyle name="Total 2 7 12 3" xfId="39668"/>
    <cellStyle name="Total 2 7 12 4" xfId="39669"/>
    <cellStyle name="Total 2 7 13" xfId="39670"/>
    <cellStyle name="Total 2 7 13 2" xfId="39671"/>
    <cellStyle name="Total 2 7 13 3" xfId="39672"/>
    <cellStyle name="Total 2 7 13 4" xfId="39673"/>
    <cellStyle name="Total 2 7 14" xfId="39674"/>
    <cellStyle name="Total 2 7 14 2" xfId="39675"/>
    <cellStyle name="Total 2 7 15" xfId="39676"/>
    <cellStyle name="Total 2 7 16" xfId="39677"/>
    <cellStyle name="Total 2 7 16 2" xfId="39678"/>
    <cellStyle name="Total 2 7 17" xfId="39679"/>
    <cellStyle name="Total 2 7 18" xfId="39680"/>
    <cellStyle name="Total 2 7 19" xfId="39681"/>
    <cellStyle name="Total 2 7 2" xfId="1087"/>
    <cellStyle name="Total 2 7 2 10" xfId="39682"/>
    <cellStyle name="Total 2 7 2 11" xfId="39683"/>
    <cellStyle name="Total 2 7 2 12" xfId="39684"/>
    <cellStyle name="Total 2 7 2 2" xfId="39685"/>
    <cellStyle name="Total 2 7 2 2 10" xfId="39686"/>
    <cellStyle name="Total 2 7 2 2 11" xfId="39687"/>
    <cellStyle name="Total 2 7 2 2 2" xfId="39688"/>
    <cellStyle name="Total 2 7 2 2 2 2" xfId="39689"/>
    <cellStyle name="Total 2 7 2 2 2 2 2" xfId="39690"/>
    <cellStyle name="Total 2 7 2 2 2 2 2 2" xfId="39691"/>
    <cellStyle name="Total 2 7 2 2 2 2 2 3" xfId="39692"/>
    <cellStyle name="Total 2 7 2 2 2 2 2 4" xfId="39693"/>
    <cellStyle name="Total 2 7 2 2 2 2 3" xfId="39694"/>
    <cellStyle name="Total 2 7 2 2 2 2 4" xfId="39695"/>
    <cellStyle name="Total 2 7 2 2 2 2 5" xfId="39696"/>
    <cellStyle name="Total 2 7 2 2 2 2 6" xfId="39697"/>
    <cellStyle name="Total 2 7 2 2 2 3" xfId="39698"/>
    <cellStyle name="Total 2 7 2 2 2 3 2" xfId="39699"/>
    <cellStyle name="Total 2 7 2 2 2 3 3" xfId="39700"/>
    <cellStyle name="Total 2 7 2 2 2 3 4" xfId="39701"/>
    <cellStyle name="Total 2 7 2 2 2 4" xfId="39702"/>
    <cellStyle name="Total 2 7 2 2 2 5" xfId="39703"/>
    <cellStyle name="Total 2 7 2 2 2 6" xfId="39704"/>
    <cellStyle name="Total 2 7 2 2 2 7" xfId="39705"/>
    <cellStyle name="Total 2 7 2 2 3" xfId="39706"/>
    <cellStyle name="Total 2 7 2 2 3 2" xfId="39707"/>
    <cellStyle name="Total 2 7 2 2 3 2 2" xfId="39708"/>
    <cellStyle name="Total 2 7 2 2 3 2 3" xfId="39709"/>
    <cellStyle name="Total 2 7 2 2 3 2 4" xfId="39710"/>
    <cellStyle name="Total 2 7 2 2 3 3" xfId="39711"/>
    <cellStyle name="Total 2 7 2 2 3 4" xfId="39712"/>
    <cellStyle name="Total 2 7 2 2 3 5" xfId="39713"/>
    <cellStyle name="Total 2 7 2 2 3 6" xfId="39714"/>
    <cellStyle name="Total 2 7 2 2 4" xfId="39715"/>
    <cellStyle name="Total 2 7 2 2 4 2" xfId="39716"/>
    <cellStyle name="Total 2 7 2 2 4 3" xfId="39717"/>
    <cellStyle name="Total 2 7 2 2 4 4" xfId="39718"/>
    <cellStyle name="Total 2 7 2 2 4 5" xfId="39719"/>
    <cellStyle name="Total 2 7 2 2 5" xfId="39720"/>
    <cellStyle name="Total 2 7 2 2 5 2" xfId="39721"/>
    <cellStyle name="Total 2 7 2 2 5 3" xfId="39722"/>
    <cellStyle name="Total 2 7 2 2 5 4" xfId="39723"/>
    <cellStyle name="Total 2 7 2 2 6" xfId="39724"/>
    <cellStyle name="Total 2 7 2 2 6 2" xfId="39725"/>
    <cellStyle name="Total 2 7 2 2 6 3" xfId="39726"/>
    <cellStyle name="Total 2 7 2 2 6 4" xfId="39727"/>
    <cellStyle name="Total 2 7 2 2 7" xfId="39728"/>
    <cellStyle name="Total 2 7 2 2 7 2" xfId="39729"/>
    <cellStyle name="Total 2 7 2 2 7 3" xfId="39730"/>
    <cellStyle name="Total 2 7 2 2 7 4" xfId="39731"/>
    <cellStyle name="Total 2 7 2 2 8" xfId="39732"/>
    <cellStyle name="Total 2 7 2 2 9" xfId="39733"/>
    <cellStyle name="Total 2 7 2 3" xfId="39734"/>
    <cellStyle name="Total 2 7 2 3 2" xfId="39735"/>
    <cellStyle name="Total 2 7 2 3 2 2" xfId="39736"/>
    <cellStyle name="Total 2 7 2 3 2 2 2" xfId="39737"/>
    <cellStyle name="Total 2 7 2 3 2 2 3" xfId="39738"/>
    <cellStyle name="Total 2 7 2 3 2 2 4" xfId="39739"/>
    <cellStyle name="Total 2 7 2 3 2 3" xfId="39740"/>
    <cellStyle name="Total 2 7 2 3 2 4" xfId="39741"/>
    <cellStyle name="Total 2 7 2 3 2 5" xfId="39742"/>
    <cellStyle name="Total 2 7 2 3 2 6" xfId="39743"/>
    <cellStyle name="Total 2 7 2 3 3" xfId="39744"/>
    <cellStyle name="Total 2 7 2 3 3 2" xfId="39745"/>
    <cellStyle name="Total 2 7 2 3 3 3" xfId="39746"/>
    <cellStyle name="Total 2 7 2 3 3 4" xfId="39747"/>
    <cellStyle name="Total 2 7 2 3 4" xfId="39748"/>
    <cellStyle name="Total 2 7 2 3 5" xfId="39749"/>
    <cellStyle name="Total 2 7 2 3 6" xfId="39750"/>
    <cellStyle name="Total 2 7 2 3 7" xfId="39751"/>
    <cellStyle name="Total 2 7 2 4" xfId="39752"/>
    <cellStyle name="Total 2 7 2 4 2" xfId="39753"/>
    <cellStyle name="Total 2 7 2 4 2 2" xfId="39754"/>
    <cellStyle name="Total 2 7 2 4 2 3" xfId="39755"/>
    <cellStyle name="Total 2 7 2 4 2 4" xfId="39756"/>
    <cellStyle name="Total 2 7 2 4 3" xfId="39757"/>
    <cellStyle name="Total 2 7 2 4 4" xfId="39758"/>
    <cellStyle name="Total 2 7 2 4 5" xfId="39759"/>
    <cellStyle name="Total 2 7 2 4 6" xfId="39760"/>
    <cellStyle name="Total 2 7 2 5" xfId="39761"/>
    <cellStyle name="Total 2 7 2 5 2" xfId="39762"/>
    <cellStyle name="Total 2 7 2 5 3" xfId="39763"/>
    <cellStyle name="Total 2 7 2 5 4" xfId="39764"/>
    <cellStyle name="Total 2 7 2 5 5" xfId="39765"/>
    <cellStyle name="Total 2 7 2 6" xfId="39766"/>
    <cellStyle name="Total 2 7 2 6 2" xfId="39767"/>
    <cellStyle name="Total 2 7 2 6 3" xfId="39768"/>
    <cellStyle name="Total 2 7 2 6 4" xfId="39769"/>
    <cellStyle name="Total 2 7 2 7" xfId="39770"/>
    <cellStyle name="Total 2 7 2 7 2" xfId="39771"/>
    <cellStyle name="Total 2 7 2 7 3" xfId="39772"/>
    <cellStyle name="Total 2 7 2 7 4" xfId="39773"/>
    <cellStyle name="Total 2 7 2 8" xfId="39774"/>
    <cellStyle name="Total 2 7 2 8 2" xfId="39775"/>
    <cellStyle name="Total 2 7 2 8 3" xfId="39776"/>
    <cellStyle name="Total 2 7 2 8 4" xfId="39777"/>
    <cellStyle name="Total 2 7 2 9" xfId="39778"/>
    <cellStyle name="Total 2 7 20" xfId="39779"/>
    <cellStyle name="Total 2 7 21" xfId="39780"/>
    <cellStyle name="Total 2 7 22" xfId="39781"/>
    <cellStyle name="Total 2 7 23" xfId="39782"/>
    <cellStyle name="Total 2 7 24" xfId="39783"/>
    <cellStyle name="Total 2 7 25" xfId="39784"/>
    <cellStyle name="Total 2 7 26" xfId="39785"/>
    <cellStyle name="Total 2 7 27" xfId="39786"/>
    <cellStyle name="Total 2 7 28" xfId="39787"/>
    <cellStyle name="Total 2 7 29" xfId="39788"/>
    <cellStyle name="Total 2 7 3" xfId="39789"/>
    <cellStyle name="Total 2 7 3 10" xfId="39790"/>
    <cellStyle name="Total 2 7 3 11" xfId="39791"/>
    <cellStyle name="Total 2 7 3 2" xfId="39792"/>
    <cellStyle name="Total 2 7 3 2 2" xfId="39793"/>
    <cellStyle name="Total 2 7 3 2 2 2" xfId="39794"/>
    <cellStyle name="Total 2 7 3 2 2 2 2" xfId="39795"/>
    <cellStyle name="Total 2 7 3 2 2 2 3" xfId="39796"/>
    <cellStyle name="Total 2 7 3 2 2 2 4" xfId="39797"/>
    <cellStyle name="Total 2 7 3 2 2 3" xfId="39798"/>
    <cellStyle name="Total 2 7 3 2 2 4" xfId="39799"/>
    <cellStyle name="Total 2 7 3 2 2 5" xfId="39800"/>
    <cellStyle name="Total 2 7 3 2 2 6" xfId="39801"/>
    <cellStyle name="Total 2 7 3 2 3" xfId="39802"/>
    <cellStyle name="Total 2 7 3 2 3 2" xfId="39803"/>
    <cellStyle name="Total 2 7 3 2 3 3" xfId="39804"/>
    <cellStyle name="Total 2 7 3 2 3 4" xfId="39805"/>
    <cellStyle name="Total 2 7 3 2 4" xfId="39806"/>
    <cellStyle name="Total 2 7 3 2 5" xfId="39807"/>
    <cellStyle name="Total 2 7 3 2 6" xfId="39808"/>
    <cellStyle name="Total 2 7 3 2 7" xfId="39809"/>
    <cellStyle name="Total 2 7 3 3" xfId="39810"/>
    <cellStyle name="Total 2 7 3 3 2" xfId="39811"/>
    <cellStyle name="Total 2 7 3 3 2 2" xfId="39812"/>
    <cellStyle name="Total 2 7 3 3 2 3" xfId="39813"/>
    <cellStyle name="Total 2 7 3 3 2 4" xfId="39814"/>
    <cellStyle name="Total 2 7 3 3 3" xfId="39815"/>
    <cellStyle name="Total 2 7 3 3 4" xfId="39816"/>
    <cellStyle name="Total 2 7 3 3 5" xfId="39817"/>
    <cellStyle name="Total 2 7 3 3 6" xfId="39818"/>
    <cellStyle name="Total 2 7 3 4" xfId="39819"/>
    <cellStyle name="Total 2 7 3 4 2" xfId="39820"/>
    <cellStyle name="Total 2 7 3 4 3" xfId="39821"/>
    <cellStyle name="Total 2 7 3 4 4" xfId="39822"/>
    <cellStyle name="Total 2 7 3 4 5" xfId="39823"/>
    <cellStyle name="Total 2 7 3 5" xfId="39824"/>
    <cellStyle name="Total 2 7 3 5 2" xfId="39825"/>
    <cellStyle name="Total 2 7 3 5 3" xfId="39826"/>
    <cellStyle name="Total 2 7 3 5 4" xfId="39827"/>
    <cellStyle name="Total 2 7 3 6" xfId="39828"/>
    <cellStyle name="Total 2 7 3 6 2" xfId="39829"/>
    <cellStyle name="Total 2 7 3 6 3" xfId="39830"/>
    <cellStyle name="Total 2 7 3 6 4" xfId="39831"/>
    <cellStyle name="Total 2 7 3 7" xfId="39832"/>
    <cellStyle name="Total 2 7 3 7 2" xfId="39833"/>
    <cellStyle name="Total 2 7 3 7 3" xfId="39834"/>
    <cellStyle name="Total 2 7 3 7 4" xfId="39835"/>
    <cellStyle name="Total 2 7 3 8" xfId="39836"/>
    <cellStyle name="Total 2 7 3 9" xfId="39837"/>
    <cellStyle name="Total 2 7 30" xfId="58555"/>
    <cellStyle name="Total 2 7 31" xfId="58556"/>
    <cellStyle name="Total 2 7 32" xfId="58557"/>
    <cellStyle name="Total 2 7 33" xfId="58558"/>
    <cellStyle name="Total 2 7 34" xfId="58559"/>
    <cellStyle name="Total 2 7 35" xfId="58560"/>
    <cellStyle name="Total 2 7 36" xfId="58561"/>
    <cellStyle name="Total 2 7 37" xfId="58562"/>
    <cellStyle name="Total 2 7 38" xfId="58563"/>
    <cellStyle name="Total 2 7 39" xfId="58564"/>
    <cellStyle name="Total 2 7 4" xfId="39838"/>
    <cellStyle name="Total 2 7 4 2" xfId="39839"/>
    <cellStyle name="Total 2 7 4 2 2" xfId="39840"/>
    <cellStyle name="Total 2 7 4 2 2 2" xfId="39841"/>
    <cellStyle name="Total 2 7 4 2 2 3" xfId="39842"/>
    <cellStyle name="Total 2 7 4 2 2 4" xfId="39843"/>
    <cellStyle name="Total 2 7 4 2 3" xfId="39844"/>
    <cellStyle name="Total 2 7 4 2 4" xfId="39845"/>
    <cellStyle name="Total 2 7 4 2 5" xfId="39846"/>
    <cellStyle name="Total 2 7 4 2 6" xfId="39847"/>
    <cellStyle name="Total 2 7 4 3" xfId="39848"/>
    <cellStyle name="Total 2 7 4 3 2" xfId="39849"/>
    <cellStyle name="Total 2 7 4 3 3" xfId="39850"/>
    <cellStyle name="Total 2 7 4 3 4" xfId="39851"/>
    <cellStyle name="Total 2 7 4 4" xfId="39852"/>
    <cellStyle name="Total 2 7 4 5" xfId="39853"/>
    <cellStyle name="Total 2 7 4 6" xfId="39854"/>
    <cellStyle name="Total 2 7 4 7" xfId="39855"/>
    <cellStyle name="Total 2 7 40" xfId="58565"/>
    <cellStyle name="Total 2 7 5" xfId="39856"/>
    <cellStyle name="Total 2 7 5 2" xfId="39857"/>
    <cellStyle name="Total 2 7 5 2 2" xfId="39858"/>
    <cellStyle name="Total 2 7 5 2 3" xfId="39859"/>
    <cellStyle name="Total 2 7 5 2 4" xfId="39860"/>
    <cellStyle name="Total 2 7 5 3" xfId="39861"/>
    <cellStyle name="Total 2 7 5 3 2" xfId="39862"/>
    <cellStyle name="Total 2 7 5 3 3" xfId="39863"/>
    <cellStyle name="Total 2 7 5 3 4" xfId="39864"/>
    <cellStyle name="Total 2 7 5 4" xfId="39865"/>
    <cellStyle name="Total 2 7 5 5" xfId="39866"/>
    <cellStyle name="Total 2 7 5 6" xfId="39867"/>
    <cellStyle name="Total 2 7 5 7" xfId="39868"/>
    <cellStyle name="Total 2 7 6" xfId="39869"/>
    <cellStyle name="Total 2 7 6 2" xfId="39870"/>
    <cellStyle name="Total 2 7 6 2 2" xfId="39871"/>
    <cellStyle name="Total 2 7 6 2 3" xfId="39872"/>
    <cellStyle name="Total 2 7 6 2 4" xfId="39873"/>
    <cellStyle name="Total 2 7 6 3" xfId="39874"/>
    <cellStyle name="Total 2 7 6 3 2" xfId="39875"/>
    <cellStyle name="Total 2 7 6 3 3" xfId="39876"/>
    <cellStyle name="Total 2 7 6 3 4" xfId="39877"/>
    <cellStyle name="Total 2 7 6 4" xfId="39878"/>
    <cellStyle name="Total 2 7 6 5" xfId="39879"/>
    <cellStyle name="Total 2 7 6 6" xfId="39880"/>
    <cellStyle name="Total 2 7 6 7" xfId="39881"/>
    <cellStyle name="Total 2 7 7" xfId="39882"/>
    <cellStyle name="Total 2 7 7 2" xfId="39883"/>
    <cellStyle name="Total 2 7 7 2 2" xfId="39884"/>
    <cellStyle name="Total 2 7 7 2 3" xfId="39885"/>
    <cellStyle name="Total 2 7 7 2 4" xfId="39886"/>
    <cellStyle name="Total 2 7 7 3" xfId="39887"/>
    <cellStyle name="Total 2 7 7 3 2" xfId="39888"/>
    <cellStyle name="Total 2 7 7 3 3" xfId="39889"/>
    <cellStyle name="Total 2 7 7 3 4" xfId="39890"/>
    <cellStyle name="Total 2 7 7 4" xfId="39891"/>
    <cellStyle name="Total 2 7 7 5" xfId="39892"/>
    <cellStyle name="Total 2 7 7 6" xfId="39893"/>
    <cellStyle name="Total 2 7 7 7" xfId="39894"/>
    <cellStyle name="Total 2 7 8" xfId="39895"/>
    <cellStyle name="Total 2 7 8 2" xfId="39896"/>
    <cellStyle name="Total 2 7 8 2 2" xfId="39897"/>
    <cellStyle name="Total 2 7 8 2 3" xfId="39898"/>
    <cellStyle name="Total 2 7 8 2 4" xfId="39899"/>
    <cellStyle name="Total 2 7 8 3" xfId="39900"/>
    <cellStyle name="Total 2 7 8 4" xfId="39901"/>
    <cellStyle name="Total 2 7 8 5" xfId="39902"/>
    <cellStyle name="Total 2 7 8 6" xfId="39903"/>
    <cellStyle name="Total 2 7 9" xfId="39904"/>
    <cellStyle name="Total 2 7 9 2" xfId="39905"/>
    <cellStyle name="Total 2 7 9 3" xfId="39906"/>
    <cellStyle name="Total 2 7 9 4" xfId="39907"/>
    <cellStyle name="Total 2 7 9 5" xfId="39908"/>
    <cellStyle name="Total 2 8" xfId="1088"/>
    <cellStyle name="Total 2 8 10" xfId="39909"/>
    <cellStyle name="Total 2 8 10 2" xfId="39910"/>
    <cellStyle name="Total 2 8 10 3" xfId="39911"/>
    <cellStyle name="Total 2 8 10 4" xfId="39912"/>
    <cellStyle name="Total 2 8 11" xfId="39913"/>
    <cellStyle name="Total 2 8 11 2" xfId="39914"/>
    <cellStyle name="Total 2 8 12" xfId="39915"/>
    <cellStyle name="Total 2 8 13" xfId="39916"/>
    <cellStyle name="Total 2 8 13 2" xfId="39917"/>
    <cellStyle name="Total 2 8 14" xfId="39918"/>
    <cellStyle name="Total 2 8 15" xfId="39919"/>
    <cellStyle name="Total 2 8 16" xfId="39920"/>
    <cellStyle name="Total 2 8 17" xfId="39921"/>
    <cellStyle name="Total 2 8 18" xfId="39922"/>
    <cellStyle name="Total 2 8 19" xfId="39923"/>
    <cellStyle name="Total 2 8 2" xfId="1089"/>
    <cellStyle name="Total 2 8 2 10" xfId="39924"/>
    <cellStyle name="Total 2 8 2 11" xfId="39925"/>
    <cellStyle name="Total 2 8 2 2" xfId="39926"/>
    <cellStyle name="Total 2 8 2 2 2" xfId="39927"/>
    <cellStyle name="Total 2 8 2 2 2 2" xfId="39928"/>
    <cellStyle name="Total 2 8 2 2 2 2 2" xfId="39929"/>
    <cellStyle name="Total 2 8 2 2 2 2 3" xfId="39930"/>
    <cellStyle name="Total 2 8 2 2 2 2 4" xfId="39931"/>
    <cellStyle name="Total 2 8 2 2 2 3" xfId="39932"/>
    <cellStyle name="Total 2 8 2 2 2 4" xfId="39933"/>
    <cellStyle name="Total 2 8 2 2 2 5" xfId="39934"/>
    <cellStyle name="Total 2 8 2 2 2 6" xfId="39935"/>
    <cellStyle name="Total 2 8 2 2 3" xfId="39936"/>
    <cellStyle name="Total 2 8 2 2 3 2" xfId="39937"/>
    <cellStyle name="Total 2 8 2 2 3 3" xfId="39938"/>
    <cellStyle name="Total 2 8 2 2 3 4" xfId="39939"/>
    <cellStyle name="Total 2 8 2 2 4" xfId="39940"/>
    <cellStyle name="Total 2 8 2 2 5" xfId="39941"/>
    <cellStyle name="Total 2 8 2 2 6" xfId="39942"/>
    <cellStyle name="Total 2 8 2 2 7" xfId="39943"/>
    <cellStyle name="Total 2 8 2 3" xfId="39944"/>
    <cellStyle name="Total 2 8 2 3 2" xfId="39945"/>
    <cellStyle name="Total 2 8 2 3 2 2" xfId="39946"/>
    <cellStyle name="Total 2 8 2 3 2 3" xfId="39947"/>
    <cellStyle name="Total 2 8 2 3 2 4" xfId="39948"/>
    <cellStyle name="Total 2 8 2 3 3" xfId="39949"/>
    <cellStyle name="Total 2 8 2 3 4" xfId="39950"/>
    <cellStyle name="Total 2 8 2 3 5" xfId="39951"/>
    <cellStyle name="Total 2 8 2 3 6" xfId="39952"/>
    <cellStyle name="Total 2 8 2 4" xfId="39953"/>
    <cellStyle name="Total 2 8 2 4 2" xfId="39954"/>
    <cellStyle name="Total 2 8 2 4 3" xfId="39955"/>
    <cellStyle name="Total 2 8 2 4 4" xfId="39956"/>
    <cellStyle name="Total 2 8 2 4 5" xfId="39957"/>
    <cellStyle name="Total 2 8 2 5" xfId="39958"/>
    <cellStyle name="Total 2 8 2 5 2" xfId="39959"/>
    <cellStyle name="Total 2 8 2 5 3" xfId="39960"/>
    <cellStyle name="Total 2 8 2 5 4" xfId="39961"/>
    <cellStyle name="Total 2 8 2 6" xfId="39962"/>
    <cellStyle name="Total 2 8 2 6 2" xfId="39963"/>
    <cellStyle name="Total 2 8 2 6 3" xfId="39964"/>
    <cellStyle name="Total 2 8 2 6 4" xfId="39965"/>
    <cellStyle name="Total 2 8 2 7" xfId="39966"/>
    <cellStyle name="Total 2 8 2 7 2" xfId="39967"/>
    <cellStyle name="Total 2 8 2 7 3" xfId="39968"/>
    <cellStyle name="Total 2 8 2 7 4" xfId="39969"/>
    <cellStyle name="Total 2 8 2 8" xfId="39970"/>
    <cellStyle name="Total 2 8 2 9" xfId="39971"/>
    <cellStyle name="Total 2 8 20" xfId="39972"/>
    <cellStyle name="Total 2 8 21" xfId="39973"/>
    <cellStyle name="Total 2 8 22" xfId="39974"/>
    <cellStyle name="Total 2 8 23" xfId="39975"/>
    <cellStyle name="Total 2 8 24" xfId="39976"/>
    <cellStyle name="Total 2 8 25" xfId="39977"/>
    <cellStyle name="Total 2 8 26" xfId="39978"/>
    <cellStyle name="Total 2 8 27" xfId="58566"/>
    <cellStyle name="Total 2 8 28" xfId="58567"/>
    <cellStyle name="Total 2 8 29" xfId="58568"/>
    <cellStyle name="Total 2 8 3" xfId="1090"/>
    <cellStyle name="Total 2 8 3 10" xfId="39979"/>
    <cellStyle name="Total 2 8 3 11" xfId="39980"/>
    <cellStyle name="Total 2 8 3 2" xfId="39981"/>
    <cellStyle name="Total 2 8 3 2 2" xfId="39982"/>
    <cellStyle name="Total 2 8 3 2 2 2" xfId="39983"/>
    <cellStyle name="Total 2 8 3 2 2 3" xfId="39984"/>
    <cellStyle name="Total 2 8 3 2 2 4" xfId="39985"/>
    <cellStyle name="Total 2 8 3 2 3" xfId="39986"/>
    <cellStyle name="Total 2 8 3 2 3 2" xfId="39987"/>
    <cellStyle name="Total 2 8 3 2 3 3" xfId="39988"/>
    <cellStyle name="Total 2 8 3 2 3 4" xfId="39989"/>
    <cellStyle name="Total 2 8 3 2 4" xfId="39990"/>
    <cellStyle name="Total 2 8 3 2 5" xfId="39991"/>
    <cellStyle name="Total 2 8 3 2 6" xfId="39992"/>
    <cellStyle name="Total 2 8 3 2 7" xfId="39993"/>
    <cellStyle name="Total 2 8 3 3" xfId="39994"/>
    <cellStyle name="Total 2 8 3 3 2" xfId="39995"/>
    <cellStyle name="Total 2 8 3 3 2 2" xfId="39996"/>
    <cellStyle name="Total 2 8 3 3 2 3" xfId="39997"/>
    <cellStyle name="Total 2 8 3 3 2 4" xfId="39998"/>
    <cellStyle name="Total 2 8 3 3 3" xfId="39999"/>
    <cellStyle name="Total 2 8 3 3 4" xfId="40000"/>
    <cellStyle name="Total 2 8 3 3 5" xfId="40001"/>
    <cellStyle name="Total 2 8 3 3 6" xfId="40002"/>
    <cellStyle name="Total 2 8 3 4" xfId="40003"/>
    <cellStyle name="Total 2 8 3 4 2" xfId="40004"/>
    <cellStyle name="Total 2 8 3 4 3" xfId="40005"/>
    <cellStyle name="Total 2 8 3 4 4" xfId="40006"/>
    <cellStyle name="Total 2 8 3 4 5" xfId="40007"/>
    <cellStyle name="Total 2 8 3 5" xfId="40008"/>
    <cellStyle name="Total 2 8 3 5 2" xfId="40009"/>
    <cellStyle name="Total 2 8 3 5 3" xfId="40010"/>
    <cellStyle name="Total 2 8 3 5 4" xfId="40011"/>
    <cellStyle name="Total 2 8 3 6" xfId="40012"/>
    <cellStyle name="Total 2 8 3 6 2" xfId="40013"/>
    <cellStyle name="Total 2 8 3 6 3" xfId="40014"/>
    <cellStyle name="Total 2 8 3 6 4" xfId="40015"/>
    <cellStyle name="Total 2 8 3 7" xfId="40016"/>
    <cellStyle name="Total 2 8 3 7 2" xfId="40017"/>
    <cellStyle name="Total 2 8 3 7 3" xfId="40018"/>
    <cellStyle name="Total 2 8 3 7 4" xfId="40019"/>
    <cellStyle name="Total 2 8 3 8" xfId="40020"/>
    <cellStyle name="Total 2 8 3 9" xfId="40021"/>
    <cellStyle name="Total 2 8 30" xfId="58569"/>
    <cellStyle name="Total 2 8 31" xfId="58570"/>
    <cellStyle name="Total 2 8 32" xfId="58571"/>
    <cellStyle name="Total 2 8 33" xfId="58572"/>
    <cellStyle name="Total 2 8 34" xfId="58573"/>
    <cellStyle name="Total 2 8 35" xfId="58574"/>
    <cellStyle name="Total 2 8 36" xfId="58575"/>
    <cellStyle name="Total 2 8 37" xfId="58576"/>
    <cellStyle name="Total 2 8 38" xfId="58577"/>
    <cellStyle name="Total 2 8 39" xfId="58578"/>
    <cellStyle name="Total 2 8 4" xfId="40022"/>
    <cellStyle name="Total 2 8 4 2" xfId="40023"/>
    <cellStyle name="Total 2 8 4 2 2" xfId="40024"/>
    <cellStyle name="Total 2 8 4 2 2 2" xfId="40025"/>
    <cellStyle name="Total 2 8 4 2 2 3" xfId="40026"/>
    <cellStyle name="Total 2 8 4 2 2 4" xfId="40027"/>
    <cellStyle name="Total 2 8 4 2 3" xfId="40028"/>
    <cellStyle name="Total 2 8 4 2 4" xfId="40029"/>
    <cellStyle name="Total 2 8 4 2 5" xfId="40030"/>
    <cellStyle name="Total 2 8 4 2 6" xfId="40031"/>
    <cellStyle name="Total 2 8 4 3" xfId="40032"/>
    <cellStyle name="Total 2 8 4 3 2" xfId="40033"/>
    <cellStyle name="Total 2 8 4 3 3" xfId="40034"/>
    <cellStyle name="Total 2 8 4 3 4" xfId="40035"/>
    <cellStyle name="Total 2 8 4 4" xfId="40036"/>
    <cellStyle name="Total 2 8 4 5" xfId="40037"/>
    <cellStyle name="Total 2 8 4 6" xfId="40038"/>
    <cellStyle name="Total 2 8 4 7" xfId="40039"/>
    <cellStyle name="Total 2 8 40" xfId="58579"/>
    <cellStyle name="Total 2 8 5" xfId="40040"/>
    <cellStyle name="Total 2 8 5 2" xfId="40041"/>
    <cellStyle name="Total 2 8 5 2 2" xfId="40042"/>
    <cellStyle name="Total 2 8 5 2 3" xfId="40043"/>
    <cellStyle name="Total 2 8 5 2 4" xfId="40044"/>
    <cellStyle name="Total 2 8 5 3" xfId="40045"/>
    <cellStyle name="Total 2 8 5 4" xfId="40046"/>
    <cellStyle name="Total 2 8 5 5" xfId="40047"/>
    <cellStyle name="Total 2 8 5 6" xfId="40048"/>
    <cellStyle name="Total 2 8 6" xfId="40049"/>
    <cellStyle name="Total 2 8 6 2" xfId="40050"/>
    <cellStyle name="Total 2 8 6 3" xfId="40051"/>
    <cellStyle name="Total 2 8 6 4" xfId="40052"/>
    <cellStyle name="Total 2 8 6 5" xfId="40053"/>
    <cellStyle name="Total 2 8 7" xfId="40054"/>
    <cellStyle name="Total 2 8 7 2" xfId="40055"/>
    <cellStyle name="Total 2 8 7 3" xfId="40056"/>
    <cellStyle name="Total 2 8 7 4" xfId="40057"/>
    <cellStyle name="Total 2 8 8" xfId="40058"/>
    <cellStyle name="Total 2 8 8 2" xfId="40059"/>
    <cellStyle name="Total 2 8 8 3" xfId="40060"/>
    <cellStyle name="Total 2 8 8 4" xfId="40061"/>
    <cellStyle name="Total 2 8 9" xfId="40062"/>
    <cellStyle name="Total 2 8 9 2" xfId="40063"/>
    <cellStyle name="Total 2 8 9 3" xfId="40064"/>
    <cellStyle name="Total 2 8 9 4" xfId="40065"/>
    <cellStyle name="Total 2 9" xfId="1091"/>
    <cellStyle name="Total 2 9 10" xfId="40066"/>
    <cellStyle name="Total 2 9 10 2" xfId="40067"/>
    <cellStyle name="Total 2 9 11" xfId="40068"/>
    <cellStyle name="Total 2 9 12" xfId="40069"/>
    <cellStyle name="Total 2 9 12 2" xfId="40070"/>
    <cellStyle name="Total 2 9 13" xfId="40071"/>
    <cellStyle name="Total 2 9 14" xfId="40072"/>
    <cellStyle name="Total 2 9 15" xfId="40073"/>
    <cellStyle name="Total 2 9 16" xfId="40074"/>
    <cellStyle name="Total 2 9 17" xfId="40075"/>
    <cellStyle name="Total 2 9 18" xfId="40076"/>
    <cellStyle name="Total 2 9 19" xfId="40077"/>
    <cellStyle name="Total 2 9 2" xfId="1092"/>
    <cellStyle name="Total 2 9 2 10" xfId="40078"/>
    <cellStyle name="Total 2 9 2 11" xfId="40079"/>
    <cellStyle name="Total 2 9 2 2" xfId="40080"/>
    <cellStyle name="Total 2 9 2 2 2" xfId="40081"/>
    <cellStyle name="Total 2 9 2 2 2 2" xfId="40082"/>
    <cellStyle name="Total 2 9 2 2 2 2 2" xfId="40083"/>
    <cellStyle name="Total 2 9 2 2 2 2 3" xfId="40084"/>
    <cellStyle name="Total 2 9 2 2 2 2 4" xfId="40085"/>
    <cellStyle name="Total 2 9 2 2 2 3" xfId="40086"/>
    <cellStyle name="Total 2 9 2 2 2 4" xfId="40087"/>
    <cellStyle name="Total 2 9 2 2 2 5" xfId="40088"/>
    <cellStyle name="Total 2 9 2 2 2 6" xfId="40089"/>
    <cellStyle name="Total 2 9 2 2 3" xfId="40090"/>
    <cellStyle name="Total 2 9 2 2 3 2" xfId="40091"/>
    <cellStyle name="Total 2 9 2 2 3 3" xfId="40092"/>
    <cellStyle name="Total 2 9 2 2 3 4" xfId="40093"/>
    <cellStyle name="Total 2 9 2 2 4" xfId="40094"/>
    <cellStyle name="Total 2 9 2 2 5" xfId="40095"/>
    <cellStyle name="Total 2 9 2 2 6" xfId="40096"/>
    <cellStyle name="Total 2 9 2 2 7" xfId="40097"/>
    <cellStyle name="Total 2 9 2 3" xfId="40098"/>
    <cellStyle name="Total 2 9 2 3 2" xfId="40099"/>
    <cellStyle name="Total 2 9 2 3 2 2" xfId="40100"/>
    <cellStyle name="Total 2 9 2 3 2 3" xfId="40101"/>
    <cellStyle name="Total 2 9 2 3 2 4" xfId="40102"/>
    <cellStyle name="Total 2 9 2 3 3" xfId="40103"/>
    <cellStyle name="Total 2 9 2 3 4" xfId="40104"/>
    <cellStyle name="Total 2 9 2 3 5" xfId="40105"/>
    <cellStyle name="Total 2 9 2 3 6" xfId="40106"/>
    <cellStyle name="Total 2 9 2 4" xfId="40107"/>
    <cellStyle name="Total 2 9 2 4 2" xfId="40108"/>
    <cellStyle name="Total 2 9 2 4 3" xfId="40109"/>
    <cellStyle name="Total 2 9 2 4 4" xfId="40110"/>
    <cellStyle name="Total 2 9 2 4 5" xfId="40111"/>
    <cellStyle name="Total 2 9 2 5" xfId="40112"/>
    <cellStyle name="Total 2 9 2 5 2" xfId="40113"/>
    <cellStyle name="Total 2 9 2 5 3" xfId="40114"/>
    <cellStyle name="Total 2 9 2 5 4" xfId="40115"/>
    <cellStyle name="Total 2 9 2 6" xfId="40116"/>
    <cellStyle name="Total 2 9 2 6 2" xfId="40117"/>
    <cellStyle name="Total 2 9 2 6 3" xfId="40118"/>
    <cellStyle name="Total 2 9 2 6 4" xfId="40119"/>
    <cellStyle name="Total 2 9 2 7" xfId="40120"/>
    <cellStyle name="Total 2 9 2 7 2" xfId="40121"/>
    <cellStyle name="Total 2 9 2 7 3" xfId="40122"/>
    <cellStyle name="Total 2 9 2 7 4" xfId="40123"/>
    <cellStyle name="Total 2 9 2 8" xfId="40124"/>
    <cellStyle name="Total 2 9 2 9" xfId="40125"/>
    <cellStyle name="Total 2 9 20" xfId="40126"/>
    <cellStyle name="Total 2 9 21" xfId="40127"/>
    <cellStyle name="Total 2 9 22" xfId="40128"/>
    <cellStyle name="Total 2 9 23" xfId="40129"/>
    <cellStyle name="Total 2 9 24" xfId="40130"/>
    <cellStyle name="Total 2 9 25" xfId="40131"/>
    <cellStyle name="Total 2 9 3" xfId="1093"/>
    <cellStyle name="Total 2 9 3 2" xfId="40132"/>
    <cellStyle name="Total 2 9 3 2 2" xfId="40133"/>
    <cellStyle name="Total 2 9 3 2 2 2" xfId="40134"/>
    <cellStyle name="Total 2 9 3 2 2 3" xfId="40135"/>
    <cellStyle name="Total 2 9 3 2 2 4" xfId="40136"/>
    <cellStyle name="Total 2 9 3 2 3" xfId="40137"/>
    <cellStyle name="Total 2 9 3 2 4" xfId="40138"/>
    <cellStyle name="Total 2 9 3 2 5" xfId="40139"/>
    <cellStyle name="Total 2 9 3 2 6" xfId="40140"/>
    <cellStyle name="Total 2 9 3 3" xfId="40141"/>
    <cellStyle name="Total 2 9 3 3 2" xfId="40142"/>
    <cellStyle name="Total 2 9 3 3 3" xfId="40143"/>
    <cellStyle name="Total 2 9 3 3 4" xfId="40144"/>
    <cellStyle name="Total 2 9 3 4" xfId="40145"/>
    <cellStyle name="Total 2 9 3 5" xfId="40146"/>
    <cellStyle name="Total 2 9 3 6" xfId="40147"/>
    <cellStyle name="Total 2 9 3 7" xfId="40148"/>
    <cellStyle name="Total 2 9 4" xfId="40149"/>
    <cellStyle name="Total 2 9 4 2" xfId="40150"/>
    <cellStyle name="Total 2 9 4 2 2" xfId="40151"/>
    <cellStyle name="Total 2 9 4 2 3" xfId="40152"/>
    <cellStyle name="Total 2 9 4 2 4" xfId="40153"/>
    <cellStyle name="Total 2 9 4 3" xfId="40154"/>
    <cellStyle name="Total 2 9 4 4" xfId="40155"/>
    <cellStyle name="Total 2 9 4 5" xfId="40156"/>
    <cellStyle name="Total 2 9 4 6" xfId="40157"/>
    <cellStyle name="Total 2 9 5" xfId="40158"/>
    <cellStyle name="Total 2 9 5 2" xfId="40159"/>
    <cellStyle name="Total 2 9 5 3" xfId="40160"/>
    <cellStyle name="Total 2 9 5 4" xfId="40161"/>
    <cellStyle name="Total 2 9 5 5" xfId="40162"/>
    <cellStyle name="Total 2 9 5 6" xfId="58580"/>
    <cellStyle name="Total 2 9 6" xfId="40163"/>
    <cellStyle name="Total 2 9 6 2" xfId="40164"/>
    <cellStyle name="Total 2 9 6 3" xfId="40165"/>
    <cellStyle name="Total 2 9 6 4" xfId="40166"/>
    <cellStyle name="Total 2 9 7" xfId="40167"/>
    <cellStyle name="Total 2 9 7 2" xfId="40168"/>
    <cellStyle name="Total 2 9 7 3" xfId="40169"/>
    <cellStyle name="Total 2 9 7 4" xfId="40170"/>
    <cellStyle name="Total 2 9 8" xfId="40171"/>
    <cellStyle name="Total 2 9 8 2" xfId="40172"/>
    <cellStyle name="Total 2 9 8 3" xfId="40173"/>
    <cellStyle name="Total 2 9 8 4" xfId="40174"/>
    <cellStyle name="Total 2 9 9" xfId="40175"/>
    <cellStyle name="Total 2 9 9 2" xfId="40176"/>
    <cellStyle name="Total 2 9 9 3" xfId="40177"/>
    <cellStyle name="Total 2 9 9 4" xfId="40178"/>
    <cellStyle name="Total 2_~9868926" xfId="58581"/>
    <cellStyle name="Total 3" xfId="249"/>
    <cellStyle name="Total 3 10" xfId="40179"/>
    <cellStyle name="Total 3 11" xfId="40180"/>
    <cellStyle name="Total 3 2" xfId="250"/>
    <cellStyle name="Total 3 2 2" xfId="251"/>
    <cellStyle name="Total 3 2 2 2" xfId="58582"/>
    <cellStyle name="Total 3 2 2 3" xfId="58583"/>
    <cellStyle name="Total 3 2 2 4" xfId="58584"/>
    <cellStyle name="Total 3 2 3" xfId="40181"/>
    <cellStyle name="Total 3 2 3 2" xfId="58585"/>
    <cellStyle name="Total 3 2 3 3" xfId="58586"/>
    <cellStyle name="Total 3 2 3 4" xfId="58587"/>
    <cellStyle name="Total 3 2 4" xfId="40182"/>
    <cellStyle name="Total 3 2 5" xfId="40183"/>
    <cellStyle name="Total 3 2 6" xfId="58588"/>
    <cellStyle name="Total 3 3" xfId="252"/>
    <cellStyle name="Total 3 3 2" xfId="253"/>
    <cellStyle name="Total 3 3 3" xfId="40184"/>
    <cellStyle name="Total 3 3 4" xfId="40185"/>
    <cellStyle name="Total 3 4" xfId="254"/>
    <cellStyle name="Total 3 4 2" xfId="40186"/>
    <cellStyle name="Total 3 4 3" xfId="40187"/>
    <cellStyle name="Total 3 4 4" xfId="40188"/>
    <cellStyle name="Total 3 5" xfId="40189"/>
    <cellStyle name="Total 3 5 2" xfId="40190"/>
    <cellStyle name="Total 3 5 3" xfId="40191"/>
    <cellStyle name="Total 3 5 4" xfId="40192"/>
    <cellStyle name="Total 3 6" xfId="40193"/>
    <cellStyle name="Total 3 6 2" xfId="40194"/>
    <cellStyle name="Total 3 6 3" xfId="40195"/>
    <cellStyle name="Total 3 6 4" xfId="40196"/>
    <cellStyle name="Total 3 7" xfId="40197"/>
    <cellStyle name="Total 3 8" xfId="40198"/>
    <cellStyle name="Total 3 9" xfId="40199"/>
    <cellStyle name="Total 3_~9868926" xfId="58589"/>
    <cellStyle name="Total 4" xfId="255"/>
    <cellStyle name="Total 4 2" xfId="256"/>
    <cellStyle name="Total 4 2 2" xfId="58590"/>
    <cellStyle name="Total 4 2 3" xfId="58591"/>
    <cellStyle name="Total 4 2 4" xfId="58592"/>
    <cellStyle name="Total 4 3" xfId="58593"/>
    <cellStyle name="Total 4 3 2" xfId="58594"/>
    <cellStyle name="Total 4 3 3" xfId="58595"/>
    <cellStyle name="Total 4 3 4" xfId="58596"/>
    <cellStyle name="Total 4 4" xfId="58597"/>
    <cellStyle name="Total 4 5" xfId="58598"/>
    <cellStyle name="Total 4 6" xfId="58599"/>
    <cellStyle name="Total 4 7" xfId="58600"/>
    <cellStyle name="Total 4 8" xfId="58601"/>
    <cellStyle name="Total 5" xfId="257"/>
    <cellStyle name="Total 5 2" xfId="258"/>
    <cellStyle name="Total 5 2 2" xfId="58602"/>
    <cellStyle name="Total 5 2 3" xfId="58603"/>
    <cellStyle name="Total 5 2 4" xfId="58604"/>
    <cellStyle name="Total 5 3" xfId="58605"/>
    <cellStyle name="Total 5 3 2" xfId="58606"/>
    <cellStyle name="Total 5 3 3" xfId="58607"/>
    <cellStyle name="Total 5 3 4" xfId="58608"/>
    <cellStyle name="Total 5 4" xfId="58609"/>
    <cellStyle name="Total 5 5" xfId="58610"/>
    <cellStyle name="Total 5 6" xfId="58611"/>
    <cellStyle name="Total 5 7" xfId="58612"/>
    <cellStyle name="Total 5 8" xfId="58613"/>
    <cellStyle name="Total 6" xfId="259"/>
    <cellStyle name="Total 6 2" xfId="58614"/>
    <cellStyle name="Total 6 2 2" xfId="58615"/>
    <cellStyle name="Total 6 2 3" xfId="58616"/>
    <cellStyle name="Total 6 2 4" xfId="58617"/>
    <cellStyle name="Total 6 3" xfId="58618"/>
    <cellStyle name="Total 6 3 2" xfId="58619"/>
    <cellStyle name="Total 6 3 3" xfId="58620"/>
    <cellStyle name="Total 6 3 4" xfId="58621"/>
    <cellStyle name="Total 6 4" xfId="58622"/>
    <cellStyle name="Total 6 5" xfId="58623"/>
    <cellStyle name="Total 6 6" xfId="58624"/>
    <cellStyle name="Total 6 7" xfId="58625"/>
    <cellStyle name="Total 6 8" xfId="58626"/>
    <cellStyle name="Total 7" xfId="58627"/>
    <cellStyle name="Total 7 2" xfId="58628"/>
    <cellStyle name="Total 7 2 2" xfId="58629"/>
    <cellStyle name="Total 7 2 3" xfId="58630"/>
    <cellStyle name="Total 7 2 4" xfId="58631"/>
    <cellStyle name="Total 7 3" xfId="58632"/>
    <cellStyle name="Total 7 3 2" xfId="58633"/>
    <cellStyle name="Total 7 3 3" xfId="58634"/>
    <cellStyle name="Total 7 3 4" xfId="58635"/>
    <cellStyle name="Total 7 4" xfId="58636"/>
    <cellStyle name="Total 7 5" xfId="58637"/>
    <cellStyle name="Total 7 6" xfId="58638"/>
    <cellStyle name="Total 7 7" xfId="58639"/>
    <cellStyle name="Total 7 8" xfId="58640"/>
    <cellStyle name="Total 8" xfId="58641"/>
    <cellStyle name="Total 8 2" xfId="58642"/>
    <cellStyle name="Total 8 2 2" xfId="58643"/>
    <cellStyle name="Total 8 2 3" xfId="58644"/>
    <cellStyle name="Total 8 2 4" xfId="58645"/>
    <cellStyle name="Total 8 3" xfId="58646"/>
    <cellStyle name="Total 8 3 2" xfId="58647"/>
    <cellStyle name="Total 8 3 3" xfId="58648"/>
    <cellStyle name="Total 8 3 4" xfId="58649"/>
    <cellStyle name="Total 8 4" xfId="58650"/>
    <cellStyle name="Total 8 5" xfId="58651"/>
    <cellStyle name="Total 8 6" xfId="58652"/>
    <cellStyle name="Total 8 7" xfId="58653"/>
    <cellStyle name="Total 8 8" xfId="58654"/>
    <cellStyle name="Total 9" xfId="58655"/>
    <cellStyle name="Total 9 2" xfId="58656"/>
    <cellStyle name="Total 9 2 2" xfId="58657"/>
    <cellStyle name="Total 9 2 3" xfId="58658"/>
    <cellStyle name="Total 9 2 4" xfId="58659"/>
    <cellStyle name="Total 9 3" xfId="58660"/>
    <cellStyle name="Total 9 3 2" xfId="58661"/>
    <cellStyle name="Total 9 3 3" xfId="58662"/>
    <cellStyle name="Total 9 3 4" xfId="58663"/>
    <cellStyle name="Total 9 4" xfId="58664"/>
    <cellStyle name="Total 9 5" xfId="58665"/>
    <cellStyle name="Total 9 6" xfId="58666"/>
    <cellStyle name="Total 9 7" xfId="58667"/>
    <cellStyle name="Total 9 8" xfId="58668"/>
    <cellStyle name="Total cost" xfId="58669"/>
    <cellStyle name="Total cost 2" xfId="58670"/>
    <cellStyle name="Total intermediaire" xfId="58671"/>
    <cellStyle name="Totals" xfId="58672"/>
    <cellStyle name="Totalt" xfId="58673"/>
    <cellStyle name="Totalt 2" xfId="58674"/>
    <cellStyle name="Totalt 2 2" xfId="58675"/>
    <cellStyle name="Totalt 2 3" xfId="58676"/>
    <cellStyle name="Totalt 2 4" xfId="58677"/>
    <cellStyle name="Totalt 3" xfId="58678"/>
    <cellStyle name="Totalt 3 2" xfId="58679"/>
    <cellStyle name="Totalt 3 3" xfId="58680"/>
    <cellStyle name="Totalt 3 4" xfId="58681"/>
    <cellStyle name="Totalt 4" xfId="58682"/>
    <cellStyle name="Totalt 5" xfId="58683"/>
    <cellStyle name="Totalt 6" xfId="58684"/>
    <cellStyle name="Totalt 7" xfId="58685"/>
    <cellStyle name="Totalt 8" xfId="58686"/>
    <cellStyle name="Tusenskille [0]_rob4-mon.xls Diagram 1" xfId="58687"/>
    <cellStyle name="Tusenskille_rob4-mon.xls Diagram 1" xfId="58688"/>
    <cellStyle name="Tusental (0)_pldt" xfId="58689"/>
    <cellStyle name="Tusental_pldt" xfId="58690"/>
    <cellStyle name="u" xfId="58691"/>
    <cellStyle name="u 2" xfId="58692"/>
    <cellStyle name="Underline_Single" xfId="58693"/>
    <cellStyle name="Unit cost" xfId="58694"/>
    <cellStyle name="Unit cost 2" xfId="58695"/>
    <cellStyle name="units" xfId="58696"/>
    <cellStyle name="Unprot" xfId="58697"/>
    <cellStyle name="Unprot$" xfId="58698"/>
    <cellStyle name="Unprotect" xfId="58699"/>
    <cellStyle name="Update" xfId="58700"/>
    <cellStyle name="Update 2" xfId="58701"/>
    <cellStyle name="UsedbyMacro" xfId="58702"/>
    <cellStyle name="Utdata" xfId="58703"/>
    <cellStyle name="Utdata 2" xfId="58704"/>
    <cellStyle name="Utdata 2 2" xfId="58705"/>
    <cellStyle name="Utdata 2 3" xfId="58706"/>
    <cellStyle name="Utdata 2 4" xfId="58707"/>
    <cellStyle name="Utdata 3" xfId="58708"/>
    <cellStyle name="Utdata 3 2" xfId="58709"/>
    <cellStyle name="Utdata 3 3" xfId="58710"/>
    <cellStyle name="Utdata 3 4" xfId="58711"/>
    <cellStyle name="Utdata 4" xfId="58712"/>
    <cellStyle name="Utdata 5" xfId="58713"/>
    <cellStyle name="Utdata 6" xfId="58714"/>
    <cellStyle name="Utdata 7" xfId="58715"/>
    <cellStyle name="Utdata 8" xfId="58716"/>
    <cellStyle name="Uthevingsfarge1" xfId="58717"/>
    <cellStyle name="Uthevingsfarge1 2" xfId="58718"/>
    <cellStyle name="Uthevingsfarge2" xfId="58719"/>
    <cellStyle name="Uthevingsfarge2 2" xfId="58720"/>
    <cellStyle name="Uthevingsfarge3" xfId="58721"/>
    <cellStyle name="Uthevingsfarge3 2" xfId="58722"/>
    <cellStyle name="Uthevingsfarge4" xfId="58723"/>
    <cellStyle name="Uthevingsfarge4 2" xfId="58724"/>
    <cellStyle name="Uthevingsfarge5" xfId="58725"/>
    <cellStyle name="Uthevingsfarge5 2" xfId="58726"/>
    <cellStyle name="Uthevingsfarge6" xfId="58727"/>
    <cellStyle name="Uthevingsfarge6 2" xfId="58728"/>
    <cellStyle name="Valuta (0)_ACCESSORIE" xfId="58729"/>
    <cellStyle name="Valuta [0]_rob4-mon.xls Diagram 1" xfId="58730"/>
    <cellStyle name="Valuta_Air-Sicilia" xfId="58731"/>
    <cellStyle name="Variance" xfId="58732"/>
    <cellStyle name="Varseltekst" xfId="58733"/>
    <cellStyle name="Varseltekst 2" xfId="58734"/>
    <cellStyle name="VCL" xfId="58735"/>
    <cellStyle name="VCL 2" xfId="58736"/>
    <cellStyle name="VCL 2 2" xfId="58737"/>
    <cellStyle name="Vérification" xfId="58738"/>
    <cellStyle name="Volume" xfId="58739"/>
    <cellStyle name="Volume 2" xfId="58740"/>
    <cellStyle name="w" xfId="58741"/>
    <cellStyle name="w 2" xfId="58742"/>
    <cellStyle name="w 2 2" xfId="58743"/>
    <cellStyle name="w 3" xfId="58744"/>
    <cellStyle name="w 3 2" xfId="58745"/>
    <cellStyle name="w 4" xfId="58746"/>
    <cellStyle name="w 4 2" xfId="58747"/>
    <cellStyle name="w 5" xfId="58748"/>
    <cellStyle name="w 5 2" xfId="58749"/>
    <cellStyle name="w 6" xfId="58750"/>
    <cellStyle name="w 6 2" xfId="58751"/>
    <cellStyle name="w 7" xfId="58752"/>
    <cellStyle name="w 7 2" xfId="58753"/>
    <cellStyle name="w 8" xfId="58754"/>
    <cellStyle name="w_~9868926" xfId="58755"/>
    <cellStyle name="w_2011 10 Nov R&amp;O Register Reporting (Working Copy) Finance Draft" xfId="58756"/>
    <cellStyle name="w_2011 10 Nov R&amp;O Register Reporting (Working Copy) Finance Final" xfId="58757"/>
    <cellStyle name="w_2012 04 April R&amp;O Register IC Reporting" xfId="58758"/>
    <cellStyle name="w_6+6 Forecast Backup Worksheets" xfId="58759"/>
    <cellStyle name="w_7+5 waterfall DMC" xfId="58760"/>
    <cellStyle name="w_Adjustments" xfId="58761"/>
    <cellStyle name="w_Adjustments_VoWD Data" xfId="58762"/>
    <cellStyle name="w_Adjustments_VoWD Data by Purpose Code" xfId="58763"/>
    <cellStyle name="w_AffinPartner" xfId="58764"/>
    <cellStyle name="w_AffinPartner 2" xfId="58765"/>
    <cellStyle name="w_AffinPartner_1" xfId="58766"/>
    <cellStyle name="w_AffinPartner_1 2" xfId="58767"/>
    <cellStyle name="w_Asset_ManagementCON" xfId="58768"/>
    <cellStyle name="w_Asset_ManagementCON 2" xfId="58769"/>
    <cellStyle name="w_Asset_ManagementCON_1" xfId="58770"/>
    <cellStyle name="w_Asset_ManagementCON_1 2" xfId="58771"/>
    <cellStyle name="w_Asset_MgmtNonAppoint" xfId="58772"/>
    <cellStyle name="w_Asset_MgmtNonAppoint 2" xfId="58773"/>
    <cellStyle name="w_Book1" xfId="58774"/>
    <cellStyle name="w_Book2" xfId="58775"/>
    <cellStyle name="w_Book3" xfId="58776"/>
    <cellStyle name="w_Book3_B &amp; U by Inv Area &amp; Del" xfId="58777"/>
    <cellStyle name="w_Book3_budget risk items" xfId="58778"/>
    <cellStyle name="w_Book3_VoWD Data" xfId="58779"/>
    <cellStyle name="w_Book3_VoWD Data by Purpose Code" xfId="58780"/>
    <cellStyle name="w_Budget Finance" xfId="58781"/>
    <cellStyle name="w_Budget Finance 2" xfId="58782"/>
    <cellStyle name="w_Budget Finance 3" xfId="58783"/>
    <cellStyle name="w_budget risk items" xfId="58784"/>
    <cellStyle name="w_Capital_DeliveryCON" xfId="58785"/>
    <cellStyle name="w_Capital_DeliveryCON 2" xfId="58786"/>
    <cellStyle name="w_Central_Items" xfId="58787"/>
    <cellStyle name="w_Central_Items 2" xfId="58788"/>
    <cellStyle name="w_Central_Items_1" xfId="58789"/>
    <cellStyle name="w_Central_Items_1 2" xfId="58790"/>
    <cellStyle name="w_Central_Items_2" xfId="58791"/>
    <cellStyle name="w_Central_Items_2 2" xfId="58792"/>
    <cellStyle name="w_CENTRE" xfId="58793"/>
    <cellStyle name="w_CENTRE 2" xfId="58794"/>
    <cellStyle name="w_CENTRE_1" xfId="58795"/>
    <cellStyle name="w_CENTRE_1 2" xfId="58796"/>
    <cellStyle name="w_CENTRE_2" xfId="58797"/>
    <cellStyle name="w_CENTRE_2 2" xfId="58798"/>
    <cellStyle name="w_CENTRE_Check" xfId="58799"/>
    <cellStyle name="w_CENTRE_Check 2" xfId="58800"/>
    <cellStyle name="w_CENTRE_TWPROP" xfId="58801"/>
    <cellStyle name="w_CENTRE_TWPROP 2" xfId="58802"/>
    <cellStyle name="w_Check" xfId="58803"/>
    <cellStyle name="w_Check 2" xfId="58804"/>
    <cellStyle name="w_CommCentral" xfId="58805"/>
    <cellStyle name="w_CommCentral 2" xfId="58806"/>
    <cellStyle name="w_CommCentral_1" xfId="58807"/>
    <cellStyle name="w_CommCentral_1 2" xfId="58808"/>
    <cellStyle name="w_commentary 16 Feb 2012" xfId="58809"/>
    <cellStyle name="w_CommProjects" xfId="58810"/>
    <cellStyle name="w_CommProjects 2" xfId="58811"/>
    <cellStyle name="w_CommProjects_1" xfId="58812"/>
    <cellStyle name="w_CommProjects_1 2" xfId="58813"/>
    <cellStyle name="w_CONSOL_G" xfId="58814"/>
    <cellStyle name="w_CONSOL_G 2" xfId="58815"/>
    <cellStyle name="w_Copy of Corporate waterfall stuart ledger +LBE 10-1-12 month end Jan 12 v3 16-02-12" xfId="58816"/>
    <cellStyle name="w_Copy of Corporate waterfall stuart ledger +LBE 10-1-12 month end Jan 12 v3 16-02-12_budget risk items" xfId="58817"/>
    <cellStyle name="w_Copy of QRF 2011 6+6 - Final v5.1 - Recut of v4 with uplifted IS &amp; IRE overhead rates" xfId="58818"/>
    <cellStyle name="w_Corporate Commentary April 12" xfId="58819"/>
    <cellStyle name="w_Corporate Sub AMP5 Net Profiles" xfId="58820"/>
    <cellStyle name="w_Corporate waterfall stuart ledger 10-1-12 month end Dec 11" xfId="58821"/>
    <cellStyle name="w_Corporate waterfall stuart ledger 10-1-12 month end Dec 11_B &amp; U by Inv Area &amp; Del" xfId="58822"/>
    <cellStyle name="w_Corporate waterfall stuart ledger 10-1-12 month end Dec 11_budget risk items" xfId="58823"/>
    <cellStyle name="w_Corporate waterfall stuart ledger 10-1-12 month end Dec 11_VoWD Data" xfId="58824"/>
    <cellStyle name="w_Corporate waterfall stuart ledger 10-1-12 month end Dec 11_VoWD Data by Purpose Code" xfId="58825"/>
    <cellStyle name="w_CServices_SwindonCON" xfId="58826"/>
    <cellStyle name="w_CServices_SwindonCON 2" xfId="58827"/>
    <cellStyle name="w_Developer Services Waterfall Template v 2+10" xfId="58828"/>
    <cellStyle name="w_Employment costs" xfId="58829"/>
    <cellStyle name="w_Employment costs 2" xfId="58830"/>
    <cellStyle name="w_Employment costs_1" xfId="58831"/>
    <cellStyle name="w_Employment costs_1 2" xfId="58832"/>
    <cellStyle name="w_Employment costs_2" xfId="58833"/>
    <cellStyle name="w_Employment costs_2 2" xfId="58834"/>
    <cellStyle name="w_External_Affairs" xfId="58835"/>
    <cellStyle name="w_External_Affairs 2" xfId="58836"/>
    <cellStyle name="w_External_Affairs_1" xfId="58837"/>
    <cellStyle name="w_External_Affairs_1 2" xfId="58838"/>
    <cellStyle name="w_FD Monitoring AMP5 - Q2 (6 monthly) 2011-12 v0.2 1page Simon McSweeney" xfId="58839"/>
    <cellStyle name="w_FD Monitoring AMP5 - Q2 (6 monthly) 2011-12 v0.2 1page Simon McSweeney_B &amp; U by Inv Area &amp; Del" xfId="58840"/>
    <cellStyle name="w_FD Monitoring AMP5 - Q2 (6 monthly) 2011-12 v0.2 1page Simon McSweeney_budget risk items" xfId="58841"/>
    <cellStyle name="w_FD Monitoring AMP5 - Q2 (6 monthly) 2011-12 v0.2 1page Simon McSweeney_VoWD Data" xfId="58842"/>
    <cellStyle name="w_FD Monitoring AMP5 - Q2 (6 monthly) 2011-12 v0.2 1page Simon McSweeney_VoWD Data by Purpose Code" xfId="58843"/>
    <cellStyle name="w_Finance" xfId="58844"/>
    <cellStyle name="w_Finance 2" xfId="58845"/>
    <cellStyle name="w_Finance_1" xfId="58846"/>
    <cellStyle name="w_Finance_1 2" xfId="58847"/>
    <cellStyle name="w_Flash Report - 12 - Mar12 - Draft - 03Apr12 pm - Values Only copy" xfId="58848"/>
    <cellStyle name="w_Fleet" xfId="58849"/>
    <cellStyle name="w_Fleet 2" xfId="58850"/>
    <cellStyle name="w_Fleet_1" xfId="58851"/>
    <cellStyle name="w_Fleet_1 2" xfId="58852"/>
    <cellStyle name="w_Forecast March 2012 (FINAL On SAP 8th Mar 2012)" xfId="58853"/>
    <cellStyle name="w_Forecast November 2011 (data from QRF file)v4 (as per NP file, some Oct still forecast)" xfId="58854"/>
    <cellStyle name="w_Fst-Bud Summary" xfId="58855"/>
    <cellStyle name="w_Fst-Bud Summary 2" xfId="58856"/>
    <cellStyle name="w_Fst-Bud Summary 3" xfId="58857"/>
    <cellStyle name="w_General_Councel" xfId="58858"/>
    <cellStyle name="w_General_Councel 2" xfId="58859"/>
    <cellStyle name="w_General_Councel_1" xfId="58860"/>
    <cellStyle name="w_General_Councel_1 2" xfId="58861"/>
    <cellStyle name="w_Human_Resources" xfId="58862"/>
    <cellStyle name="w_Human_Resources 2" xfId="58863"/>
    <cellStyle name="w_Human_Resources_1" xfId="58864"/>
    <cellStyle name="w_Human_Resources_1 2" xfId="58865"/>
    <cellStyle name="w_IBP by Inv Area" xfId="58866"/>
    <cellStyle name="w_IBP by Inv Area_B &amp; U by Inv Area &amp; Del" xfId="58867"/>
    <cellStyle name="w_IBP by Inv Area_budget risk items" xfId="58868"/>
    <cellStyle name="w_IBP by Inv Area_VoWD Data" xfId="58869"/>
    <cellStyle name="w_IBP by Inv Area_VoWD Data by Purpose Code" xfId="58870"/>
    <cellStyle name="w_Innovation" xfId="58871"/>
    <cellStyle name="w_Innovation 2" xfId="58872"/>
    <cellStyle name="w_Innovation_1" xfId="58873"/>
    <cellStyle name="w_Innovation_1 2" xfId="58874"/>
    <cellStyle name="w_IT" xfId="58875"/>
    <cellStyle name="w_IT 2" xfId="58876"/>
    <cellStyle name="w_IT_1" xfId="58877"/>
    <cellStyle name="w_IT_1 2" xfId="58878"/>
    <cellStyle name="w_January 12 R&amp;O Register" xfId="58879"/>
    <cellStyle name="w_KWFLtd" xfId="58880"/>
    <cellStyle name="w_KWFLtd 2" xfId="58881"/>
    <cellStyle name="w_KWHLTD_G" xfId="58882"/>
    <cellStyle name="w_KWHLTD_G 2" xfId="58883"/>
    <cellStyle name="w_KWHLTD_G_1" xfId="58884"/>
    <cellStyle name="w_KWHLTD_G_1 2" xfId="58885"/>
    <cellStyle name="w_KWHLTD_G_2" xfId="58886"/>
    <cellStyle name="w_KWHLTD_G_2 2" xfId="58887"/>
    <cellStyle name="w_Major_ProjectsCON" xfId="58888"/>
    <cellStyle name="w_Major_ProjectsCON 2" xfId="58889"/>
    <cellStyle name="w_Management Structure" xfId="58890"/>
    <cellStyle name="w_Management Structure 2" xfId="58891"/>
    <cellStyle name="w_Management Structure_1" xfId="58892"/>
    <cellStyle name="w_Management Structure_1 2" xfId="58893"/>
    <cellStyle name="w_May 12 R&amp;O Register v2" xfId="58894"/>
    <cellStyle name="w_Monthly CapEx Reporting - April 12" xfId="58895"/>
    <cellStyle name="w_Monthly CapEx Reporting - April 12_budget risk items" xfId="58896"/>
    <cellStyle name="w_Monthly Forecast (1+11) - Final v4 - Values Only copy" xfId="58897"/>
    <cellStyle name="w_Monthly Forecast (1+11) - Final v5 - Values Only copy" xfId="58898"/>
    <cellStyle name="w_Monthly Forecast (10+2) - 06Feb12 v2 - Values Only Copy" xfId="58899"/>
    <cellStyle name="w_Monthly Forecast (11+1) - 06Mar12 v3 - Values Only copy" xfId="58900"/>
    <cellStyle name="w_Monthly Forecast (2+10) - Final v3 - Values Only copy" xfId="58901"/>
    <cellStyle name="w_Monthly Forecast (9+3) - 06Jan12 v3" xfId="58902"/>
    <cellStyle name="w_OHAP Monitoring" xfId="58903"/>
    <cellStyle name="w_OHAP Reporting 1stMar12" xfId="58904"/>
    <cellStyle name="w_OHAP Reporting 1stMar12_B &amp; U by Inv Area &amp; Del" xfId="58905"/>
    <cellStyle name="w_OHAP Reporting 1stMar12_budget risk items" xfId="58906"/>
    <cellStyle name="w_OHAP Reporting 1stMar12_VoWD Data" xfId="58907"/>
    <cellStyle name="w_OHAP Reporting 1stMar12_VoWD Data by Purpose Code" xfId="58908"/>
    <cellStyle name="w_Operations" xfId="58909"/>
    <cellStyle name="w_Operations 2" xfId="58910"/>
    <cellStyle name="w_Operations_1" xfId="58911"/>
    <cellStyle name="w_Operations_1 2" xfId="58912"/>
    <cellStyle name="w_Ops contracts" xfId="58913"/>
    <cellStyle name="w_Ops contracts 2" xfId="58914"/>
    <cellStyle name="w_Ops contracts_1" xfId="58915"/>
    <cellStyle name="w_Ops contracts_1 2" xfId="58916"/>
    <cellStyle name="w_Ops contracts_2" xfId="58917"/>
    <cellStyle name="w_Ops contracts_2 2" xfId="58918"/>
    <cellStyle name="w_OtherSS" xfId="58919"/>
    <cellStyle name="w_OtherSS 2" xfId="58920"/>
    <cellStyle name="w_OtherSS_1" xfId="58921"/>
    <cellStyle name="w_OtherSS_1 2" xfId="58922"/>
    <cellStyle name="w_P&amp;L_AMP5" xfId="58923"/>
    <cellStyle name="w_P&amp;L_AMP5 2" xfId="58924"/>
    <cellStyle name="w_P&amp;L_Detail" xfId="58925"/>
    <cellStyle name="w_P&amp;L_Detail 2" xfId="58926"/>
    <cellStyle name="w_Power" xfId="58927"/>
    <cellStyle name="w_Power 2" xfId="58928"/>
    <cellStyle name="w_Power_1" xfId="58929"/>
    <cellStyle name="w_Power_1 2" xfId="58930"/>
    <cellStyle name="w_Property_Facilities" xfId="58931"/>
    <cellStyle name="w_Property_Facilities 2" xfId="58932"/>
    <cellStyle name="w_Property_Facilities_1" xfId="58933"/>
    <cellStyle name="w_Property_Facilities_1 2" xfId="58934"/>
    <cellStyle name="w_PropertyDisposals" xfId="58935"/>
    <cellStyle name="w_PropertyDisposals 2" xfId="58936"/>
    <cellStyle name="w_PropFacilitiesNonApp" xfId="58937"/>
    <cellStyle name="w_PropFacilitiesNonApp 2" xfId="58938"/>
    <cellStyle name="w_PropFacilitiesNonApp_1" xfId="58939"/>
    <cellStyle name="w_PropFacilitiesNonApp_1 2" xfId="58940"/>
    <cellStyle name="w_PropSearch_Home" xfId="58941"/>
    <cellStyle name="w_PropSearch_Home 2" xfId="58942"/>
    <cellStyle name="w_PropSearch_Home_1" xfId="58943"/>
    <cellStyle name="w_PropSearch_Home_1 2" xfId="58944"/>
    <cellStyle name="w_QRF 2011 6+6 - Draft - 06Oct11 v15.1 (excl unrealised efficiencies)" xfId="58945"/>
    <cellStyle name="w_QRF 2011 6+6 - Draft - 06Oct11 v16.2 (incl unrealised efficiencies)" xfId="58946"/>
    <cellStyle name="w_QRF 2011 6+6 - Final v2 - Values Only Copy" xfId="58947"/>
    <cellStyle name="w_Record of Manual Changes" xfId="58948"/>
    <cellStyle name="w_Record of Manual Changes_B &amp; U by Inv Area &amp; Del" xfId="58949"/>
    <cellStyle name="w_Record of Manual Changes_budget risk items" xfId="58950"/>
    <cellStyle name="w_Record of Manual Changes_VoWD Data" xfId="58951"/>
    <cellStyle name="w_Record of Manual Changes_VoWD Data by Purpose Code" xfId="58952"/>
    <cellStyle name="w_Retail" xfId="58953"/>
    <cellStyle name="w_Retail 2" xfId="58954"/>
    <cellStyle name="w_Retail_1" xfId="58955"/>
    <cellStyle name="w_Retail_1 2" xfId="58956"/>
    <cellStyle name="w_Sheet1" xfId="58957"/>
    <cellStyle name="w_Sheet1 2" xfId="58958"/>
    <cellStyle name="w_Sheet1_Adjustments" xfId="58959"/>
    <cellStyle name="w_Sheet1_B &amp; U by Inv Area &amp; Del" xfId="58960"/>
    <cellStyle name="w_Sheet1_budget risk items" xfId="58961"/>
    <cellStyle name="w_Sheet1_VoWD Data" xfId="58962"/>
    <cellStyle name="w_Sheet1_VoWD Data by Purpose Code" xfId="58963"/>
    <cellStyle name="w_Strategy_Reg" xfId="58964"/>
    <cellStyle name="w_Strategy_Reg 2" xfId="58965"/>
    <cellStyle name="w_Strategy_Reg_1" xfId="58966"/>
    <cellStyle name="w_Strategy_Reg_1 2" xfId="58967"/>
    <cellStyle name="w_SupplyChain" xfId="58968"/>
    <cellStyle name="w_SupplyChain 2" xfId="58969"/>
    <cellStyle name="w_SupplyChain_1" xfId="58970"/>
    <cellStyle name="w_SupplyChain_1 2" xfId="58971"/>
    <cellStyle name="w_TWHCON" xfId="58972"/>
    <cellStyle name="w_TWHCON 2" xfId="58973"/>
    <cellStyle name="w_TWPROP" xfId="58974"/>
    <cellStyle name="w_TWPROP 2" xfId="58975"/>
    <cellStyle name="w_TWPROP_1" xfId="58976"/>
    <cellStyle name="w_TWPROP_1 2" xfId="58977"/>
    <cellStyle name="w_TWPROP_2" xfId="58978"/>
    <cellStyle name="w_TWPROP_2 2" xfId="58979"/>
    <cellStyle name="w_TWUCOR" xfId="58980"/>
    <cellStyle name="w_TWUCOR 2" xfId="58981"/>
    <cellStyle name="w_TWUCOR_1" xfId="58982"/>
    <cellStyle name="w_TWUCOR_1 2" xfId="58983"/>
    <cellStyle name="w_TWUL_TOT_UKGAAP" xfId="58984"/>
    <cellStyle name="w_TWUL_TOT_UKGAAP 2" xfId="58985"/>
    <cellStyle name="w_TWUL_TOT_UKGAAP_1" xfId="58986"/>
    <cellStyle name="w_TWUL_TOT_UKGAAP_1 2" xfId="58987"/>
    <cellStyle name="w_TWULCONJ" xfId="58988"/>
    <cellStyle name="w_TWULCONJ 2" xfId="58989"/>
    <cellStyle name="w_Year 3 Budget (Yrs 1&amp; 2 Actuals) - Values Only copy" xfId="58990"/>
    <cellStyle name="w_Year 3 Efficiency Targets 28thFeb12" xfId="58991"/>
    <cellStyle name="w_Year 3 Efficiency Targets 28thFeb12_budget risk items" xfId="58992"/>
    <cellStyle name="Währung [0]_Compiling Utility Macros" xfId="58993"/>
    <cellStyle name="Währung_Compiling Utility Macros" xfId="58994"/>
    <cellStyle name="Warning Text" xfId="50" builtinId="11" customBuiltin="1"/>
    <cellStyle name="Warning Text 10" xfId="58995"/>
    <cellStyle name="Warning Text 10 2" xfId="58996"/>
    <cellStyle name="Warning Text 2" xfId="260"/>
    <cellStyle name="Warning Text 2 2" xfId="58997"/>
    <cellStyle name="Warning Text 2 3" xfId="58998"/>
    <cellStyle name="Warning Text 3" xfId="261"/>
    <cellStyle name="Warning Text 3 2" xfId="58999"/>
    <cellStyle name="Warning Text 3 3" xfId="59000"/>
    <cellStyle name="Warning Text 3 4" xfId="59001"/>
    <cellStyle name="Warning Text 4" xfId="40200"/>
    <cellStyle name="Warning Text 4 2" xfId="59002"/>
    <cellStyle name="Warning Text 5" xfId="40201"/>
    <cellStyle name="Warning Text 5 2" xfId="59003"/>
    <cellStyle name="Warning Text 6" xfId="59004"/>
    <cellStyle name="Warning Text 6 2" xfId="59005"/>
    <cellStyle name="Warning Text 7" xfId="59006"/>
    <cellStyle name="Warning Text 7 2" xfId="59007"/>
    <cellStyle name="Warning Text 8" xfId="59008"/>
    <cellStyle name="Warning Text 8 2" xfId="59009"/>
    <cellStyle name="Warning Text 9" xfId="59010"/>
    <cellStyle name="Warning Text 9 2" xfId="59011"/>
    <cellStyle name="white_text_on_blue" xfId="51"/>
    <cellStyle name="Workings" xfId="59012"/>
    <cellStyle name="Workings 2" xfId="59013"/>
    <cellStyle name="wrap" xfId="59014"/>
    <cellStyle name="wrap 2" xfId="59015"/>
    <cellStyle name="Year" xfId="59016"/>
    <cellStyle name="Year." xfId="59017"/>
    <cellStyle name="year_formats_pink" xfId="52"/>
    <cellStyle name="Yellow" xfId="59018"/>
    <cellStyle name="Обычный_2++_CRFReport-template" xfId="59019"/>
    <cellStyle name="一般_HR Step Change Data Collection Workbook 081604" xfId="59020"/>
    <cellStyle name="千分位_HR Step Change Data Collection Workbook 081604" xfId="59021"/>
    <cellStyle name="桁区切り [0.00]_PERSONAL" xfId="59022"/>
    <cellStyle name="桁区切り_PERSONAL" xfId="59023"/>
    <cellStyle name="標準_PERSONAL" xfId="59024"/>
    <cellStyle name="通貨 [0.00]_PERSONAL" xfId="59025"/>
    <cellStyle name="通貨_PERSONAL" xfId="59026"/>
  </cellStyles>
  <dxfs count="1">
    <dxf>
      <font>
        <b/>
        <i val="0"/>
        <strike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590137</xdr:colOff>
      <xdr:row>404</xdr:row>
      <xdr:rowOff>68730</xdr:rowOff>
    </xdr:from>
    <xdr:to>
      <xdr:col>5</xdr:col>
      <xdr:colOff>594225</xdr:colOff>
      <xdr:row>405</xdr:row>
      <xdr:rowOff>96097</xdr:rowOff>
    </xdr:to>
    <xdr:cxnSp macro="">
      <xdr:nvCxnSpPr>
        <xdr:cNvPr id="3" name="AutoShape 6"/>
        <xdr:cNvCxnSpPr>
          <a:cxnSpLocks noChangeShapeType="1"/>
          <a:stCxn id="70" idx="0"/>
          <a:endCxn id="69" idx="2"/>
        </xdr:cNvCxnSpPr>
      </xdr:nvCxnSpPr>
      <xdr:spPr bwMode="auto">
        <a:xfrm flipH="1" flipV="1">
          <a:off x="4291280" y="105592123"/>
          <a:ext cx="4088" cy="190653"/>
        </a:xfrm>
        <a:prstGeom prst="straightConnector1">
          <a:avLst/>
        </a:prstGeom>
        <a:noFill/>
        <a:ln w="12700">
          <a:solidFill>
            <a:sysClr val="windowText" lastClr="000000"/>
          </a:solidFill>
          <a:prstDash val="sysDot"/>
          <a:round/>
          <a:headEnd type="triangle"/>
          <a:tailEnd type="none" w="med" len="med"/>
        </a:ln>
        <a:extLst>
          <a:ext uri="{909E8E84-426E-40DD-AFC4-6F175D3DCCD1}">
            <a14:hiddenFill xmlns:a14="http://schemas.microsoft.com/office/drawing/2010/main">
              <a:noFill/>
            </a14:hiddenFill>
          </a:ext>
        </a:extLst>
      </xdr:spPr>
    </xdr:cxnSp>
    <xdr:clientData/>
  </xdr:twoCellAnchor>
  <xdr:twoCellAnchor>
    <xdr:from>
      <xdr:col>10</xdr:col>
      <xdr:colOff>489732</xdr:colOff>
      <xdr:row>342</xdr:row>
      <xdr:rowOff>86283</xdr:rowOff>
    </xdr:from>
    <xdr:to>
      <xdr:col>12</xdr:col>
      <xdr:colOff>80113</xdr:colOff>
      <xdr:row>345</xdr:row>
      <xdr:rowOff>101329</xdr:rowOff>
    </xdr:to>
    <xdr:cxnSp macro="">
      <xdr:nvCxnSpPr>
        <xdr:cNvPr id="28" name="Elbow Connector 27"/>
        <xdr:cNvCxnSpPr>
          <a:stCxn id="572" idx="2"/>
          <a:endCxn id="73" idx="0"/>
        </xdr:cNvCxnSpPr>
      </xdr:nvCxnSpPr>
      <xdr:spPr>
        <a:xfrm rot="5400000">
          <a:off x="7788542" y="95875187"/>
          <a:ext cx="640975" cy="978309"/>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194803</xdr:colOff>
      <xdr:row>323</xdr:row>
      <xdr:rowOff>272433</xdr:rowOff>
    </xdr:from>
    <xdr:to>
      <xdr:col>7</xdr:col>
      <xdr:colOff>648892</xdr:colOff>
      <xdr:row>328</xdr:row>
      <xdr:rowOff>29076</xdr:rowOff>
    </xdr:to>
    <xdr:cxnSp macro="">
      <xdr:nvCxnSpPr>
        <xdr:cNvPr id="32" name="Elbow Connector 31"/>
        <xdr:cNvCxnSpPr>
          <a:stCxn id="76" idx="2"/>
          <a:endCxn id="74" idx="0"/>
        </xdr:cNvCxnSpPr>
      </xdr:nvCxnSpPr>
      <xdr:spPr>
        <a:xfrm rot="16200000" flipH="1">
          <a:off x="4557633" y="93023782"/>
          <a:ext cx="1253429" cy="1270517"/>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867089</xdr:colOff>
      <xdr:row>279</xdr:row>
      <xdr:rowOff>133886</xdr:rowOff>
    </xdr:from>
    <xdr:to>
      <xdr:col>9</xdr:col>
      <xdr:colOff>530883</xdr:colOff>
      <xdr:row>285</xdr:row>
      <xdr:rowOff>52780</xdr:rowOff>
    </xdr:to>
    <xdr:sp macro="" textlink="">
      <xdr:nvSpPr>
        <xdr:cNvPr id="44" name="AutoShape 10"/>
        <xdr:cNvSpPr>
          <a:spLocks noChangeArrowheads="1"/>
        </xdr:cNvSpPr>
      </xdr:nvSpPr>
      <xdr:spPr bwMode="auto">
        <a:xfrm>
          <a:off x="1819589" y="78823993"/>
          <a:ext cx="5188294" cy="1715037"/>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1.2d Unmetered cost to serve per customer (excluding metering costs)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100" b="1" i="0" baseline="0">
              <a:effectLst/>
              <a:latin typeface="Arial" pitchFamily="34" charset="0"/>
              <a:ea typeface="+mn-ea"/>
              <a:cs typeface="Arial" pitchFamily="34" charset="0"/>
            </a:rPr>
            <a:t>EQUALS (1.2b) </a:t>
          </a:r>
          <a:r>
            <a:rPr lang="en-GB" sz="1100" b="1" i="0" baseline="0">
              <a:solidFill>
                <a:sysClr val="windowText" lastClr="000000"/>
              </a:solidFill>
              <a:effectLst/>
              <a:latin typeface="Arial" pitchFamily="34" charset="0"/>
              <a:ea typeface="+mn-ea"/>
              <a:cs typeface="Arial" pitchFamily="34" charset="0"/>
            </a:rPr>
            <a:t>Total operating expenditure (excluding metering costs)+Total depreciation of assets included in RCV (assets existing before AMP6) + </a:t>
          </a: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Modification for depreciation of assets that are not included in the RCV</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100" b="1" i="0" baseline="0">
              <a:solidFill>
                <a:sysClr val="windowText" lastClr="000000"/>
              </a:solidFill>
              <a:effectLst/>
              <a:latin typeface="Arial" pitchFamily="34" charset="0"/>
              <a:ea typeface="+mn-ea"/>
              <a:cs typeface="Arial" pitchFamily="34" charset="0"/>
            </a:rPr>
            <a:t>DIVIDE BY (1.1) Total Households (Unique customers adjusted for EoS) MULTIPLY BY 1000</a:t>
          </a:r>
          <a:endParaRPr lang="en-GB" sz="1100">
            <a:solidFill>
              <a:sysClr val="windowText" lastClr="000000"/>
            </a:solidFill>
            <a:effectLst/>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GB" sz="1100">
            <a:solidFill>
              <a:sysClr val="windowText" lastClr="000000"/>
            </a:solidFill>
            <a:effectLst/>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2</xdr:col>
      <xdr:colOff>432646</xdr:colOff>
      <xdr:row>270</xdr:row>
      <xdr:rowOff>82862</xdr:rowOff>
    </xdr:from>
    <xdr:to>
      <xdr:col>10</xdr:col>
      <xdr:colOff>319039</xdr:colOff>
      <xdr:row>278</xdr:row>
      <xdr:rowOff>221859</xdr:rowOff>
    </xdr:to>
    <xdr:sp macro="" textlink="">
      <xdr:nvSpPr>
        <xdr:cNvPr id="45" name="AutoShape 10"/>
        <xdr:cNvSpPr>
          <a:spLocks noChangeArrowheads="1"/>
        </xdr:cNvSpPr>
      </xdr:nvSpPr>
      <xdr:spPr bwMode="auto">
        <a:xfrm>
          <a:off x="1385146" y="76078755"/>
          <a:ext cx="6064036" cy="253385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ea typeface="+mn-ea"/>
              <a:cs typeface="+mn-cs"/>
            </a:rPr>
            <a:t>        1.2c Total operating expenditure (excluding metering costs)+Total depreciation of assets included in RCV (assets existing before AMP6)+Modification</a:t>
          </a: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depreciation of assets that are not included in the RCV+Expenditure excluded from ACTS (if claim is disallowed)</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EQUALS Total operating expenditure (excluding exceptional items)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sewerage only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water and sewerage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ADD Total depreciation of assets included in RCV (assets existing before AMP6)</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ADD (1.2a) Modification for new costs</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chemeClr val="bg1">
                  <a:lumMod val="50000"/>
                </a:schemeClr>
              </a:solidFill>
              <a:effectLst/>
              <a:uLnTx/>
              <a:uFillTx/>
              <a:latin typeface="Arial" pitchFamily="34" charset="0"/>
              <a:cs typeface="Arial" pitchFamily="34" charset="0"/>
            </a:rPr>
            <a:t>(note that expenditure excluded from ACTS is dealt with by changing data through overrides, so not included in calculation)</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2</xdr:col>
      <xdr:colOff>1006189</xdr:colOff>
      <xdr:row>470</xdr:row>
      <xdr:rowOff>101165</xdr:rowOff>
    </xdr:from>
    <xdr:to>
      <xdr:col>9</xdr:col>
      <xdr:colOff>191528</xdr:colOff>
      <xdr:row>495</xdr:row>
      <xdr:rowOff>59645</xdr:rowOff>
    </xdr:to>
    <xdr:sp macro="" textlink="">
      <xdr:nvSpPr>
        <xdr:cNvPr id="62" name="AutoShape 10"/>
        <xdr:cNvSpPr>
          <a:spLocks noChangeArrowheads="1"/>
        </xdr:cNvSpPr>
      </xdr:nvSpPr>
      <xdr:spPr bwMode="auto">
        <a:xfrm>
          <a:off x="1958689" y="118687415"/>
          <a:ext cx="4709839" cy="404062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1.6d Allowed additional metering  retail expenditure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EQUALS (1.6c)  Allowed additional cost of metering per water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  MULTIPLY BY Households connected for water only - metered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DIVIDE BY 1000</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1.7d Allowed additional metering retail expenditure (sewerage only)</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0"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EQUALS (1.7c)  Allowed additional cost of metering per sewerage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  MULTIPLY BY Households connected for sewerage only - metered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DIVIDE BY 1000</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1.8d Allowed additional metering retail expenditure (water and sewerage)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EQUALS (1.8c)  Allowed additional cost of metering per water and sewerage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  MULTIPLY BY Households connected for water and sewerage  - metered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DIVIDE BY 1000</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Arial"/>
            <a:cs typeface="Arial" pitchFamily="34" charset="0"/>
          </a:endParaRPr>
        </a:p>
      </xdr:txBody>
    </xdr:sp>
    <xdr:clientData/>
  </xdr:twoCellAnchor>
  <xdr:twoCellAnchor>
    <xdr:from>
      <xdr:col>2</xdr:col>
      <xdr:colOff>1007684</xdr:colOff>
      <xdr:row>496</xdr:row>
      <xdr:rowOff>86314</xdr:rowOff>
    </xdr:from>
    <xdr:to>
      <xdr:col>9</xdr:col>
      <xdr:colOff>194338</xdr:colOff>
      <xdr:row>509</xdr:row>
      <xdr:rowOff>43727</xdr:rowOff>
    </xdr:to>
    <xdr:sp macro="" textlink="">
      <xdr:nvSpPr>
        <xdr:cNvPr id="63" name="AutoShape 10"/>
        <xdr:cNvSpPr>
          <a:spLocks noChangeArrowheads="1"/>
        </xdr:cNvSpPr>
      </xdr:nvSpPr>
      <xdr:spPr bwMode="auto">
        <a:xfrm>
          <a:off x="1960184" y="122917993"/>
          <a:ext cx="4711154" cy="2080127"/>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mn-lt"/>
              <a:cs typeface="Arial"/>
            </a:rPr>
            <a:t>1.9 Household retail allowed expenditure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EQUALS (1.5b) Allowed unmetered cost recovery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ADD (1.6d) Allowed addtional metering  expenditure recovery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ADD (1.7d) Allowed additional metering expenditure recovery (sewerage only)</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ADD (1.8d) Allowed additional metering expenditure recovery (water and sewerage )</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Arial"/>
            <a:cs typeface="Arial" pitchFamily="34" charset="0"/>
          </a:endParaRPr>
        </a:p>
      </xdr:txBody>
    </xdr:sp>
    <xdr:clientData/>
  </xdr:twoCellAnchor>
  <xdr:twoCellAnchor>
    <xdr:from>
      <xdr:col>7</xdr:col>
      <xdr:colOff>408214</xdr:colOff>
      <xdr:row>237</xdr:row>
      <xdr:rowOff>217712</xdr:rowOff>
    </xdr:from>
    <xdr:to>
      <xdr:col>9</xdr:col>
      <xdr:colOff>557895</xdr:colOff>
      <xdr:row>238</xdr:row>
      <xdr:rowOff>205450</xdr:rowOff>
    </xdr:to>
    <xdr:sp macro="" textlink="">
      <xdr:nvSpPr>
        <xdr:cNvPr id="81" name="AutoShape 10"/>
        <xdr:cNvSpPr>
          <a:spLocks noChangeArrowheads="1"/>
        </xdr:cNvSpPr>
      </xdr:nvSpPr>
      <xdr:spPr bwMode="auto">
        <a:xfrm>
          <a:off x="5578928" y="67232891"/>
          <a:ext cx="1455967" cy="287095"/>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a:t>
          </a: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4</xdr:col>
      <xdr:colOff>457268</xdr:colOff>
      <xdr:row>292</xdr:row>
      <xdr:rowOff>126692</xdr:rowOff>
    </xdr:from>
    <xdr:to>
      <xdr:col>16</xdr:col>
      <xdr:colOff>171904</xdr:colOff>
      <xdr:row>321</xdr:row>
      <xdr:rowOff>184982</xdr:rowOff>
    </xdr:to>
    <xdr:sp macro="" textlink="">
      <xdr:nvSpPr>
        <xdr:cNvPr id="83" name="AutoShape 24"/>
        <xdr:cNvSpPr>
          <a:spLocks noChangeArrowheads="1"/>
        </xdr:cNvSpPr>
      </xdr:nvSpPr>
      <xdr:spPr bwMode="auto">
        <a:xfrm>
          <a:off x="3246732" y="82708442"/>
          <a:ext cx="8368779" cy="8739647"/>
        </a:xfrm>
        <a:prstGeom prst="flowChartDecision">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cs typeface="Arial"/>
            </a:rPr>
            <a:t>1.2g Allowed unmetered CTS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ea typeface="+mn-ea"/>
              <a:cs typeface="Arial"/>
            </a:rPr>
            <a:t>MINIMUM OF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B050"/>
              </a:solidFill>
              <a:effectLst/>
              <a:uLnTx/>
              <a:uFillTx/>
              <a:latin typeface="+mn-lt"/>
              <a:ea typeface="+mn-ea"/>
              <a:cs typeface="Arial"/>
            </a:rPr>
            <a:t>IF (1.2c </a:t>
          </a:r>
          <a:r>
            <a:rPr lang="en-GB" sz="1100" b="1" i="0" baseline="0">
              <a:solidFill>
                <a:srgbClr val="00B050"/>
              </a:solidFill>
              <a:effectLst/>
              <a:latin typeface="+mn-lt"/>
              <a:ea typeface="+mn-ea"/>
              <a:cs typeface="+mn-cs"/>
            </a:rPr>
            <a:t>Unmetered cost to serve per customer (1.2d) Average unmetered cost to serve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100" b="1" i="0" baseline="0">
              <a:solidFill>
                <a:srgbClr val="00B050"/>
              </a:solidFill>
              <a:effectLst/>
              <a:latin typeface="+mn-lt"/>
              <a:ea typeface="+mn-ea"/>
              <a:cs typeface="+mn-cs"/>
            </a:rPr>
            <a:t>THEN</a:t>
          </a:r>
          <a:r>
            <a:rPr kumimoji="0" lang="en-GB" sz="1100" b="1" i="0" u="none" strike="noStrike" kern="0" cap="none" spc="0" normalizeH="0" baseline="0" noProof="0">
              <a:ln>
                <a:noFill/>
              </a:ln>
              <a:solidFill>
                <a:srgbClr val="00B050"/>
              </a:solidFill>
              <a:effectLst/>
              <a:uLnTx/>
              <a:uFillTx/>
              <a:latin typeface="+mn-lt"/>
              <a:ea typeface="+mn-ea"/>
              <a:cs typeface="Arial"/>
            </a:rPr>
            <a:t> (1.2d Average unmetered cost to serve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B050"/>
              </a:solidFill>
              <a:effectLst/>
              <a:uLnTx/>
              <a:uFillTx/>
              <a:latin typeface="+mn-lt"/>
              <a:ea typeface="+mn-ea"/>
              <a:cs typeface="Arial"/>
            </a:rPr>
            <a:t>ELSE </a:t>
          </a:r>
          <a:r>
            <a:rPr kumimoji="0" lang="en-GB" sz="1100" b="1" i="0" u="none" strike="noStrike" kern="0" cap="none" spc="0" normalizeH="0" baseline="0" noProof="0">
              <a:ln>
                <a:noFill/>
              </a:ln>
              <a:solidFill>
                <a:schemeClr val="accent2"/>
              </a:solidFill>
              <a:effectLst/>
              <a:uLnTx/>
              <a:uFillTx/>
              <a:latin typeface="+mn-lt"/>
              <a:ea typeface="+mn-ea"/>
              <a:cs typeface="Arial"/>
            </a:rPr>
            <a:t>(1.2c) Unmetered cost to serve per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chemeClr val="accent2"/>
              </a:solidFill>
              <a:effectLst/>
              <a:uLnTx/>
              <a:uFillTx/>
              <a:latin typeface="+mn-lt"/>
              <a:ea typeface="+mn-ea"/>
              <a:cs typeface="Arial"/>
            </a:rPr>
            <a:t>SUBTRACT ((1.2c) Unmetered cost to serve per customer  SUBTRACT (1.2d) Average unmetered cost to serve (excluding metering costs)) MULTIPLY BY (19.1) Glidepath</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ea typeface="+mn-ea"/>
              <a:cs typeface="Arial"/>
            </a:rPr>
            <a:t>AND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ea typeface="+mn-ea"/>
              <a:cs typeface="Arial" pitchFamily="34" charset="0"/>
            </a:rPr>
            <a:t>IF (1.2e) Forecast actual operating costs </a:t>
          </a:r>
        </a:p>
      </xdr:txBody>
    </xdr:sp>
    <xdr:clientData/>
  </xdr:twoCellAnchor>
  <xdr:twoCellAnchor>
    <xdr:from>
      <xdr:col>1</xdr:col>
      <xdr:colOff>617562</xdr:colOff>
      <xdr:row>252</xdr:row>
      <xdr:rowOff>106199</xdr:rowOff>
    </xdr:from>
    <xdr:to>
      <xdr:col>7</xdr:col>
      <xdr:colOff>337521</xdr:colOff>
      <xdr:row>259</xdr:row>
      <xdr:rowOff>282854</xdr:rowOff>
    </xdr:to>
    <xdr:sp macro="" textlink="">
      <xdr:nvSpPr>
        <xdr:cNvPr id="84" name="AutoShape 10"/>
        <xdr:cNvSpPr>
          <a:spLocks noChangeArrowheads="1"/>
        </xdr:cNvSpPr>
      </xdr:nvSpPr>
      <xdr:spPr bwMode="auto">
        <a:xfrm>
          <a:off x="916919" y="70713663"/>
          <a:ext cx="4591316" cy="2272155"/>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1.1 Total Households (Unique customers adjusted for EoS)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Households connected for water only - unmetered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ADD Households connected for water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 ADD Households connected for sewerage only - unmetered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ADD Households connected for sewerage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ADD (Households connected for water and sewerage - unmetered MULTIPLY BY Economies of scope)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ADD (Households connected for water and sewerage - metered MULTIPLY BY Economies of scope)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962559</xdr:colOff>
      <xdr:row>385</xdr:row>
      <xdr:rowOff>157808</xdr:rowOff>
    </xdr:from>
    <xdr:to>
      <xdr:col>9</xdr:col>
      <xdr:colOff>190498</xdr:colOff>
      <xdr:row>404</xdr:row>
      <xdr:rowOff>68730</xdr:rowOff>
    </xdr:to>
    <xdr:sp macro="" textlink="">
      <xdr:nvSpPr>
        <xdr:cNvPr id="69" name="AutoShape 10"/>
        <xdr:cNvSpPr>
          <a:spLocks noChangeArrowheads="1"/>
        </xdr:cNvSpPr>
      </xdr:nvSpPr>
      <xdr:spPr bwMode="auto">
        <a:xfrm>
          <a:off x="1915059" y="104864772"/>
          <a:ext cx="4752439" cy="3013351"/>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1.6a Additional cost of metering per water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Total retail metering expenditure - water only customers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DIVIDE BY Households connected for water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MULTIPLY BY 1000</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1.7a Additional cost of metering per sewerage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Total retail metering expenditure - sewerage only customers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DIVIDE BY Households connected for sewerage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mn-lt"/>
              <a:ea typeface="+mn-ea"/>
              <a:cs typeface="+mn-cs"/>
            </a:rPr>
            <a:t>MULTIPLY BY 1000</a:t>
          </a:r>
          <a:endParaRPr lang="en-GB"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1.8a Additional cost of metering per water and sewerage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Total retail metering expenditure - water and sewerage  customers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DIVIDE BY Households connected for water and sewerage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mn-lt"/>
              <a:ea typeface="+mn-ea"/>
              <a:cs typeface="+mn-cs"/>
            </a:rPr>
            <a:t>MULTIPLY BY 1000 MULTIPLY BY EOS</a:t>
          </a: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Arial"/>
            <a:cs typeface="Arial" pitchFamily="34" charset="0"/>
          </a:endParaRPr>
        </a:p>
      </xdr:txBody>
    </xdr:sp>
    <xdr:clientData/>
  </xdr:twoCellAnchor>
  <xdr:twoCellAnchor>
    <xdr:from>
      <xdr:col>2</xdr:col>
      <xdr:colOff>784709</xdr:colOff>
      <xdr:row>405</xdr:row>
      <xdr:rowOff>96097</xdr:rowOff>
    </xdr:from>
    <xdr:to>
      <xdr:col>9</xdr:col>
      <xdr:colOff>376526</xdr:colOff>
      <xdr:row>427</xdr:row>
      <xdr:rowOff>13326</xdr:rowOff>
    </xdr:to>
    <xdr:sp macro="" textlink="">
      <xdr:nvSpPr>
        <xdr:cNvPr id="70" name="AutoShape 10"/>
        <xdr:cNvSpPr>
          <a:spLocks noChangeArrowheads="1"/>
        </xdr:cNvSpPr>
      </xdr:nvSpPr>
      <xdr:spPr bwMode="auto">
        <a:xfrm>
          <a:off x="1737209" y="108068776"/>
          <a:ext cx="5116317" cy="350951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1.6b Unweighted average cost to serve - metered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mn-lt"/>
              <a:cs typeface="Arial"/>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a:t>
          </a: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(1.6b) Additional cost of metering per water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DIVIDE BY number of companies</a:t>
          </a:r>
          <a:r>
            <a:rPr lang="en-GB" sz="1100" b="1" i="0" baseline="0">
              <a:effectLst/>
              <a:latin typeface="+mn-lt"/>
              <a:ea typeface="+mn-ea"/>
              <a:cs typeface="+mn-cs"/>
            </a:rPr>
            <a:t> used to calculate ACTS (Total number of companies with non zero additional cost of metering per metered water only customer)</a:t>
          </a: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1.7b Unweighted average cost to serve - metered sewerage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EQUALS (1.7b) Additional cost of metering per sewerage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DIVIDE BY number of companies</a:t>
          </a:r>
          <a:r>
            <a:rPr lang="en-GB" sz="1100" b="1" i="0" baseline="0">
              <a:effectLst/>
              <a:latin typeface="+mn-lt"/>
              <a:ea typeface="+mn-ea"/>
              <a:cs typeface="+mn-cs"/>
            </a:rPr>
            <a:t> used to calculate ACTS </a:t>
          </a:r>
          <a:r>
            <a:rPr kumimoji="0" lang="en-GB" sz="1100" b="1" i="0" u="none" strike="noStrike" kern="0" cap="none" spc="0" normalizeH="0" baseline="0" noProof="0">
              <a:ln>
                <a:noFill/>
              </a:ln>
              <a:solidFill>
                <a:sysClr val="windowText" lastClr="000000"/>
              </a:solidFill>
              <a:effectLst/>
              <a:uLnTx/>
              <a:uFillTx/>
              <a:latin typeface="+mn-lt"/>
              <a:ea typeface="+mn-ea"/>
              <a:cs typeface="+mn-cs"/>
            </a:rPr>
            <a:t>(Total number of companies with non zero additional cost of metering per metered sewerage only customer)</a:t>
          </a:r>
          <a:endParaRPr kumimoji="0" lang="en-GB" sz="1100" b="1" i="0" u="none" strike="noStrike" kern="0" cap="none" spc="0" normalizeH="0" baseline="0" noProof="0">
            <a:ln>
              <a:noFill/>
            </a:ln>
            <a:solidFill>
              <a:sysClr val="windowText" lastClr="000000"/>
            </a:solidFill>
            <a:effectLst/>
            <a:uLnTx/>
            <a:uFillTx/>
            <a:latin typeface="+mn-lt"/>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1.8b Unweighted average cost to serve - metered water and sewerage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EQUALS (1.8b) Additional cost of metering per water and sewerage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pitchFamily="34" charset="0"/>
            </a:rPr>
            <a:t>DIVIDE BY number of companies</a:t>
          </a:r>
          <a:r>
            <a:rPr lang="en-GB" sz="1100" b="1" i="0" baseline="0">
              <a:effectLst/>
              <a:latin typeface="+mn-lt"/>
              <a:ea typeface="+mn-ea"/>
              <a:cs typeface="+mn-cs"/>
            </a:rPr>
            <a:t> used to calculate ACTS</a:t>
          </a:r>
          <a:r>
            <a:rPr kumimoji="0" lang="en-GB" sz="1100" b="1" i="0" u="none" strike="noStrike" kern="0" cap="none" spc="0" normalizeH="0" baseline="0" noProof="0">
              <a:ln>
                <a:noFill/>
              </a:ln>
              <a:solidFill>
                <a:sysClr val="windowText" lastClr="000000"/>
              </a:solidFill>
              <a:effectLst/>
              <a:uLnTx/>
              <a:uFillTx/>
              <a:latin typeface="+mn-lt"/>
              <a:ea typeface="+mn-ea"/>
              <a:cs typeface="+mn-cs"/>
            </a:rPr>
            <a:t>(Total number of companies with non zero additional cost of metering per metered water and sewerage only customer)</a:t>
          </a:r>
          <a:endParaRPr kumimoji="0" lang="en-GB" sz="1100" b="1" i="0" u="none" strike="noStrike" kern="0" cap="none" spc="0" normalizeH="0" baseline="0" noProof="0">
            <a:ln>
              <a:noFill/>
            </a:ln>
            <a:solidFill>
              <a:sysClr val="windowText" lastClr="000000"/>
            </a:solidFill>
            <a:effectLst/>
            <a:uLnTx/>
            <a:uFillTx/>
            <a:latin typeface="+mn-lt"/>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pitchFamily="34" charset="0"/>
          </a:endParaRPr>
        </a:p>
      </xdr:txBody>
    </xdr:sp>
    <xdr:clientData/>
  </xdr:twoCellAnchor>
  <xdr:twoCellAnchor>
    <xdr:from>
      <xdr:col>1</xdr:col>
      <xdr:colOff>337704</xdr:colOff>
      <xdr:row>428</xdr:row>
      <xdr:rowOff>81173</xdr:rowOff>
    </xdr:from>
    <xdr:to>
      <xdr:col>14</xdr:col>
      <xdr:colOff>315401</xdr:colOff>
      <xdr:row>468</xdr:row>
      <xdr:rowOff>126798</xdr:rowOff>
    </xdr:to>
    <xdr:sp macro="" textlink="">
      <xdr:nvSpPr>
        <xdr:cNvPr id="71" name="AutoShape 24"/>
        <xdr:cNvSpPr>
          <a:spLocks noChangeArrowheads="1"/>
        </xdr:cNvSpPr>
      </xdr:nvSpPr>
      <xdr:spPr bwMode="auto">
        <a:xfrm>
          <a:off x="637061" y="111809423"/>
          <a:ext cx="9815661" cy="6577054"/>
        </a:xfrm>
        <a:prstGeom prst="flowChartDecision">
          <a:avLst/>
        </a:prstGeom>
        <a:solidFill>
          <a:schemeClr val="accent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1.6c  Allowed additional cost of metering per water only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MINIMUM OF</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B050"/>
              </a:solidFill>
              <a:effectLst/>
              <a:uLnTx/>
              <a:uFillTx/>
              <a:latin typeface="Arial"/>
              <a:cs typeface="Arial"/>
            </a:rPr>
            <a:t> IF</a:t>
          </a:r>
          <a:r>
            <a:rPr lang="en-GB" sz="1000" b="1" i="0" baseline="0">
              <a:solidFill>
                <a:srgbClr val="00B050"/>
              </a:solidFill>
              <a:effectLst/>
              <a:latin typeface="+mn-lt"/>
              <a:ea typeface="+mn-ea"/>
              <a:cs typeface="+mn-cs"/>
            </a:rPr>
            <a:t>(1.6b) Additional cost of metering per water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baseline="0">
              <a:solidFill>
                <a:srgbClr val="00B050"/>
              </a:solidFill>
              <a:effectLst/>
              <a:latin typeface="+mn-lt"/>
              <a:ea typeface="+mn-ea"/>
              <a:cs typeface="+mn-cs"/>
            </a:rPr>
            <a:t>IS LESS THAN (1.6c) Unweighted average cost to serve - metered water only customers)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baseline="0">
              <a:solidFill>
                <a:srgbClr val="00B050"/>
              </a:solidFill>
              <a:effectLst/>
              <a:latin typeface="+mn-lt"/>
              <a:ea typeface="+mn-ea"/>
              <a:cs typeface="+mn-cs"/>
            </a:rPr>
            <a:t>THEN (1.6c) Unweighted average cost to serve - metered water only customers) </a:t>
          </a:r>
          <a:endParaRPr lang="en-GB">
            <a:solidFill>
              <a:srgbClr val="00B05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a:solidFill>
                <a:srgbClr val="00B050"/>
              </a:solidFill>
              <a:effectLst/>
            </a:rPr>
            <a:t>ELSE</a:t>
          </a:r>
          <a:r>
            <a:rPr lang="en-GB" sz="1000" b="1" i="0" baseline="0">
              <a:solidFill>
                <a:srgbClr val="00B050"/>
              </a:solidFill>
              <a:effectLst/>
              <a:latin typeface="+mn-lt"/>
              <a:ea typeface="+mn-ea"/>
              <a:cs typeface="+mn-cs"/>
            </a:rPr>
            <a:t> </a:t>
          </a:r>
          <a:r>
            <a:rPr kumimoji="0" lang="en-GB" sz="1100" b="1" i="0" u="none" strike="noStrike" kern="0" cap="none" spc="0" normalizeH="0" baseline="0" noProof="0">
              <a:ln>
                <a:noFill/>
              </a:ln>
              <a:solidFill>
                <a:schemeClr val="accent2"/>
              </a:solidFill>
              <a:effectLst/>
              <a:uLnTx/>
              <a:uFillTx/>
              <a:latin typeface="Arial"/>
              <a:cs typeface="Arial"/>
            </a:rPr>
            <a:t> (1.6b) Additional cost of metering per water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chemeClr val="accent2"/>
              </a:solidFill>
              <a:effectLst/>
              <a:uLnTx/>
              <a:uFillTx/>
              <a:latin typeface="Arial"/>
              <a:cs typeface="Arial"/>
            </a:rPr>
            <a:t>SUBTRACT ((1.6b) Additional cost of metering per water only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chemeClr val="accent2"/>
              </a:solidFill>
              <a:effectLst/>
              <a:uLnTx/>
              <a:uFillTx/>
              <a:latin typeface="Arial"/>
              <a:cs typeface="Arial"/>
            </a:rPr>
            <a:t>SUBTRACT (1.6c) Unweighted average cost to serve - metered water only customers)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chemeClr val="accent2"/>
              </a:solidFill>
              <a:effectLst/>
              <a:uLnTx/>
              <a:uFillTx/>
              <a:latin typeface="Arial"/>
              <a:cs typeface="Arial"/>
            </a:rPr>
            <a:t>MULTIPLY BY (19.1)Glidepath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mn-lt"/>
              <a:cs typeface="Arial"/>
            </a:rPr>
            <a:t>AND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mn-lt"/>
              <a:cs typeface="Arial"/>
            </a:rPr>
            <a:t>(1.2) Forecast additional retail metering costs per customer - water only customers DIVIDE BY Households connected for water only - metered *1000 (capped at average)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AND THE SAME FOR SEWERAGE ONLY (2.7c) AND WATER AND SEWERAGE (2.8c) which includes EOS adjustment for customer numbers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942889</xdr:colOff>
      <xdr:row>372</xdr:row>
      <xdr:rowOff>8676</xdr:rowOff>
    </xdr:from>
    <xdr:to>
      <xdr:col>9</xdr:col>
      <xdr:colOff>213264</xdr:colOff>
      <xdr:row>381</xdr:row>
      <xdr:rowOff>53866</xdr:rowOff>
    </xdr:to>
    <xdr:sp macro="" textlink="">
      <xdr:nvSpPr>
        <xdr:cNvPr id="72" name="AutoShape 10"/>
        <xdr:cNvSpPr>
          <a:spLocks noChangeArrowheads="1"/>
        </xdr:cNvSpPr>
      </xdr:nvSpPr>
      <xdr:spPr bwMode="auto">
        <a:xfrm>
          <a:off x="1895389" y="102592926"/>
          <a:ext cx="4794875" cy="1514761"/>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cs typeface="Arial"/>
            </a:rPr>
            <a:t>1.5b Unmetered household retail allowed expenditure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EQUALS (1</a:t>
          </a:r>
          <a:r>
            <a:rPr kumimoji="0" lang="en-GB" sz="1100" b="1" i="0" u="none" strike="noStrike" kern="0" cap="none" spc="0" normalizeH="0" baseline="0" noProof="0">
              <a:ln>
                <a:noFill/>
              </a:ln>
              <a:solidFill>
                <a:sysClr val="windowText" lastClr="000000"/>
              </a:solidFill>
              <a:effectLst/>
              <a:uLnTx/>
              <a:uFillTx/>
              <a:latin typeface="+mn-lt"/>
              <a:ea typeface="+mn-ea"/>
              <a:cs typeface="Arial"/>
            </a:rPr>
            <a:t>.5a) Household retail allowed expenditure plus company specific adjustments and outcomes expenditure per customer adjusted for EoS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ea typeface="+mn-ea"/>
              <a:cs typeface="Arial"/>
            </a:rPr>
            <a:t>MULTIPLY BY (1.1) Total Households (Unique customers adjusted for EoS)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ea typeface="+mn-ea"/>
              <a:cs typeface="Arial"/>
            </a:rPr>
            <a:t>DIVIDE BY 1000</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FF0000"/>
            </a:solidFill>
            <a:effectLst/>
            <a:uLnTx/>
            <a:uFillTx/>
            <a:latin typeface="Arial"/>
            <a:cs typeface="Arial"/>
          </a:endParaRPr>
        </a:p>
      </xdr:txBody>
    </xdr:sp>
    <xdr:clientData/>
  </xdr:twoCellAnchor>
  <xdr:twoCellAnchor>
    <xdr:from>
      <xdr:col>7</xdr:col>
      <xdr:colOff>83420</xdr:colOff>
      <xdr:row>345</xdr:row>
      <xdr:rowOff>101329</xdr:rowOff>
    </xdr:from>
    <xdr:to>
      <xdr:col>13</xdr:col>
      <xdr:colOff>501431</xdr:colOff>
      <xdr:row>356</xdr:row>
      <xdr:rowOff>155200</xdr:rowOff>
    </xdr:to>
    <xdr:sp macro="" textlink="">
      <xdr:nvSpPr>
        <xdr:cNvPr id="73" name="AutoShape 10"/>
        <xdr:cNvSpPr>
          <a:spLocks noChangeArrowheads="1"/>
        </xdr:cNvSpPr>
      </xdr:nvSpPr>
      <xdr:spPr bwMode="auto">
        <a:xfrm>
          <a:off x="5254134" y="98276865"/>
          <a:ext cx="4731476" cy="185001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1.4b Company specific adjustments and outcomes expenditure per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EQUALS (X.4 ) </a:t>
          </a:r>
          <a:r>
            <a:rPr lang="en-GB" sz="1100" b="1" i="0" baseline="0">
              <a:solidFill>
                <a:sysClr val="windowText" lastClr="000000"/>
              </a:solidFill>
              <a:effectLst/>
              <a:latin typeface="Arial" pitchFamily="34" charset="0"/>
              <a:ea typeface="+mn-ea"/>
              <a:cs typeface="Arial" pitchFamily="34" charset="0"/>
            </a:rPr>
            <a:t>Company specific adjustments and outcomes expenditure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DIVIDE by 1.1 </a:t>
          </a:r>
          <a:r>
            <a:rPr lang="en-GB" sz="1100" b="1" i="0" baseline="0">
              <a:solidFill>
                <a:sysClr val="windowText" lastClr="000000"/>
              </a:solidFill>
              <a:effectLst/>
              <a:latin typeface="+mn-lt"/>
              <a:ea typeface="+mn-ea"/>
              <a:cs typeface="+mn-cs"/>
            </a:rPr>
            <a:t>Total Households (Unique customers adjusted for EoS) MULTIPLY BY 1000</a:t>
          </a:r>
          <a:endParaRPr lang="en-GB" sz="1100">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FF0000"/>
            </a:solidFill>
            <a:effectLst/>
            <a:uLnTx/>
            <a:uFillTx/>
            <a:latin typeface="Arial"/>
            <a:cs typeface="Arial"/>
          </a:endParaRPr>
        </a:p>
      </xdr:txBody>
    </xdr:sp>
    <xdr:clientData/>
  </xdr:twoCellAnchor>
  <xdr:twoCellAnchor>
    <xdr:from>
      <xdr:col>4</xdr:col>
      <xdr:colOff>677768</xdr:colOff>
      <xdr:row>328</xdr:row>
      <xdr:rowOff>29077</xdr:rowOff>
    </xdr:from>
    <xdr:to>
      <xdr:col>11</xdr:col>
      <xdr:colOff>388694</xdr:colOff>
      <xdr:row>333</xdr:row>
      <xdr:rowOff>2157</xdr:rowOff>
    </xdr:to>
    <xdr:sp macro="" textlink="">
      <xdr:nvSpPr>
        <xdr:cNvPr id="74" name="AutoShape 10"/>
        <xdr:cNvSpPr>
          <a:spLocks noChangeArrowheads="1"/>
        </xdr:cNvSpPr>
      </xdr:nvSpPr>
      <xdr:spPr bwMode="auto">
        <a:xfrm>
          <a:off x="3467232" y="94285756"/>
          <a:ext cx="4704748" cy="1469865"/>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1.3 Depreciation included in RCV cost per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EQUALS Total depreciation of assets included in RCV (assets existing before AMP6)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DIVIDE BY (1.1) Total Households (Unique customers adjusted for EoS) MULTIPLY BY 1000</a:t>
          </a:r>
        </a:p>
      </xdr:txBody>
    </xdr:sp>
    <xdr:clientData/>
  </xdr:twoCellAnchor>
  <xdr:twoCellAnchor>
    <xdr:from>
      <xdr:col>2</xdr:col>
      <xdr:colOff>968592</xdr:colOff>
      <xdr:row>359</xdr:row>
      <xdr:rowOff>81611</xdr:rowOff>
    </xdr:from>
    <xdr:to>
      <xdr:col>9</xdr:col>
      <xdr:colOff>214979</xdr:colOff>
      <xdr:row>367</xdr:row>
      <xdr:rowOff>75267</xdr:rowOff>
    </xdr:to>
    <xdr:sp macro="" textlink="">
      <xdr:nvSpPr>
        <xdr:cNvPr id="75" name="AutoShape 10"/>
        <xdr:cNvSpPr>
          <a:spLocks noChangeArrowheads="1"/>
        </xdr:cNvSpPr>
      </xdr:nvSpPr>
      <xdr:spPr bwMode="auto">
        <a:xfrm>
          <a:off x="1921092" y="100543147"/>
          <a:ext cx="4770887" cy="1299941"/>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mn-lt"/>
              <a:cs typeface="Arial"/>
            </a:rPr>
            <a:t>1.5a Household retail allowed expenditure plus company specific adjustments and outcomes expenditure per customer adjusted for EoS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EQUALS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(1.4a) Allowed unmetered cost recovery per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a:cs typeface="Arial"/>
            </a:rPr>
            <a:t>PLUS (1.4b) Company specific adjustments per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699799</xdr:colOff>
      <xdr:row>322</xdr:row>
      <xdr:rowOff>63688</xdr:rowOff>
    </xdr:from>
    <xdr:to>
      <xdr:col>7</xdr:col>
      <xdr:colOff>438201</xdr:colOff>
      <xdr:row>323</xdr:row>
      <xdr:rowOff>272434</xdr:rowOff>
    </xdr:to>
    <xdr:sp macro="" textlink="">
      <xdr:nvSpPr>
        <xdr:cNvPr id="76" name="AutoShape 10"/>
        <xdr:cNvSpPr>
          <a:spLocks noChangeArrowheads="1"/>
        </xdr:cNvSpPr>
      </xdr:nvSpPr>
      <xdr:spPr bwMode="auto">
        <a:xfrm>
          <a:off x="3489263" y="92524224"/>
          <a:ext cx="2119652" cy="50810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 X.1 - X.4 </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8</xdr:col>
      <xdr:colOff>374971</xdr:colOff>
      <xdr:row>334</xdr:row>
      <xdr:rowOff>155060</xdr:rowOff>
    </xdr:from>
    <xdr:to>
      <xdr:col>15</xdr:col>
      <xdr:colOff>143268</xdr:colOff>
      <xdr:row>339</xdr:row>
      <xdr:rowOff>130428</xdr:rowOff>
    </xdr:to>
    <xdr:sp macro="" textlink="">
      <xdr:nvSpPr>
        <xdr:cNvPr id="79" name="AutoShape 10"/>
        <xdr:cNvSpPr>
          <a:spLocks noChangeArrowheads="1"/>
        </xdr:cNvSpPr>
      </xdr:nvSpPr>
      <xdr:spPr bwMode="auto">
        <a:xfrm>
          <a:off x="6198828" y="96207881"/>
          <a:ext cx="4734904" cy="147215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1.4a Household retail allowed expenditure per customer adjusted for EoS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EQUALS (1.2f) Allowed unmetered CTS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SUBTRACT 1.3 Depreciation included in RCV cost per customer</a:t>
          </a:r>
        </a:p>
      </xdr:txBody>
    </xdr:sp>
    <xdr:clientData/>
  </xdr:twoCellAnchor>
  <xdr:twoCellAnchor>
    <xdr:from>
      <xdr:col>11</xdr:col>
      <xdr:colOff>728670</xdr:colOff>
      <xdr:row>492</xdr:row>
      <xdr:rowOff>123557</xdr:rowOff>
    </xdr:from>
    <xdr:to>
      <xdr:col>17</xdr:col>
      <xdr:colOff>1010044</xdr:colOff>
      <xdr:row>505</xdr:row>
      <xdr:rowOff>20242</xdr:rowOff>
    </xdr:to>
    <xdr:sp macro="" textlink="">
      <xdr:nvSpPr>
        <xdr:cNvPr id="66" name="AutoShape 10"/>
        <xdr:cNvSpPr>
          <a:spLocks noChangeArrowheads="1"/>
        </xdr:cNvSpPr>
      </xdr:nvSpPr>
      <xdr:spPr bwMode="auto">
        <a:xfrm>
          <a:off x="8511956" y="122302093"/>
          <a:ext cx="4594838" cy="2019399"/>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1.10  Proportion of operating costs that is depreciation of assets not included in RCV EQUALS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((X.1) Total depreciation of assets that are not included in RCV (AMP6 or later assets)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DIVIDE BY</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 (X.1) Total operating expenditure (excluding exceptional items)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ADD (X.1) Total depreciation of assets that are not included in RCV (AMP6 or later assets)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mn-lt"/>
              <a:cs typeface="Arial"/>
            </a:rPr>
            <a:t>ADD (X.4) Company specific adjustments and outcomes expenditure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a:cs typeface="Arial" pitchFamily="34" charset="0"/>
          </a:endParaRPr>
        </a:p>
      </xdr:txBody>
    </xdr:sp>
    <xdr:clientData/>
  </xdr:twoCellAnchor>
  <xdr:twoCellAnchor>
    <xdr:from>
      <xdr:col>11</xdr:col>
      <xdr:colOff>726954</xdr:colOff>
      <xdr:row>507</xdr:row>
      <xdr:rowOff>100458</xdr:rowOff>
    </xdr:from>
    <xdr:to>
      <xdr:col>17</xdr:col>
      <xdr:colOff>1011761</xdr:colOff>
      <xdr:row>515</xdr:row>
      <xdr:rowOff>0</xdr:rowOff>
    </xdr:to>
    <xdr:sp macro="" textlink="">
      <xdr:nvSpPr>
        <xdr:cNvPr id="67" name="AutoShape 10"/>
        <xdr:cNvSpPr>
          <a:spLocks noChangeArrowheads="1"/>
        </xdr:cNvSpPr>
      </xdr:nvSpPr>
      <xdr:spPr bwMode="auto">
        <a:xfrm>
          <a:off x="8510240" y="124728279"/>
          <a:ext cx="4598271" cy="1205828"/>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1.11 Allowed depreciation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EQUALS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a:cs typeface="Arial"/>
            </a:rPr>
            <a:t>(1.10) Proportion of costs that are depreciation</a:t>
          </a:r>
        </a:p>
        <a:p>
          <a:pPr rtl="0" eaLnBrk="1" fontAlgn="auto" latinLnBrk="0" hangingPunct="1"/>
          <a:r>
            <a:rPr kumimoji="0" lang="en-GB" sz="1100" b="1" i="0" u="none" strike="noStrike" kern="0" cap="none" spc="0" normalizeH="0" baseline="0" noProof="0">
              <a:ln>
                <a:noFill/>
              </a:ln>
              <a:solidFill>
                <a:sysClr val="windowText" lastClr="000000"/>
              </a:solidFill>
              <a:effectLst/>
              <a:uLnTx/>
              <a:uFillTx/>
              <a:latin typeface="Arial"/>
              <a:cs typeface="Arial"/>
            </a:rPr>
            <a:t>MULTIPLY BY  (1.9) </a:t>
          </a:r>
          <a:r>
            <a:rPr lang="en-GB" sz="1100" b="1" i="0" baseline="0">
              <a:effectLst/>
              <a:latin typeface="+mn-lt"/>
              <a:ea typeface="+mn-ea"/>
              <a:cs typeface="+mn-cs"/>
            </a:rPr>
            <a:t>Household retail allowed expenditure</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988708</xdr:colOff>
      <xdr:row>271</xdr:row>
      <xdr:rowOff>297023</xdr:rowOff>
    </xdr:from>
    <xdr:to>
      <xdr:col>17</xdr:col>
      <xdr:colOff>937679</xdr:colOff>
      <xdr:row>295</xdr:row>
      <xdr:rowOff>199453</xdr:rowOff>
    </xdr:to>
    <xdr:grpSp>
      <xdr:nvGrpSpPr>
        <xdr:cNvPr id="56" name="Group 55"/>
        <xdr:cNvGrpSpPr/>
      </xdr:nvGrpSpPr>
      <xdr:grpSpPr>
        <a:xfrm>
          <a:off x="1941208" y="77490344"/>
          <a:ext cx="11093221" cy="7087002"/>
          <a:chOff x="2012672" y="28917900"/>
          <a:chExt cx="11235241" cy="6659056"/>
        </a:xfrm>
      </xdr:grpSpPr>
      <xdr:sp macro="" textlink="">
        <xdr:nvSpPr>
          <xdr:cNvPr id="57" name="AutoShape 10"/>
          <xdr:cNvSpPr>
            <a:spLocks noChangeArrowheads="1"/>
          </xdr:cNvSpPr>
        </xdr:nvSpPr>
        <xdr:spPr bwMode="auto">
          <a:xfrm>
            <a:off x="2012672" y="33696398"/>
            <a:ext cx="3806451" cy="119250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1.2e Average unmetered cost to serve (excluding metering costs)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EQUALS SUM OF ALL COMPANY (1.2c) Unmetered cost to serve per customer (excluding metering costs)/ number of companies</a:t>
            </a:r>
            <a:endParaRPr kumimoji="0" lang="en-GB" sz="11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sp macro="" textlink="">
        <xdr:nvSpPr>
          <xdr:cNvPr id="58" name="AutoShape 10"/>
          <xdr:cNvSpPr>
            <a:spLocks noChangeArrowheads="1"/>
          </xdr:cNvSpPr>
        </xdr:nvSpPr>
        <xdr:spPr bwMode="auto">
          <a:xfrm>
            <a:off x="11087841" y="34910207"/>
            <a:ext cx="2046514" cy="666749"/>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 (X.1 - X.4) </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sp macro="" textlink="">
        <xdr:nvSpPr>
          <xdr:cNvPr id="59" name="AutoShape 10"/>
          <xdr:cNvSpPr>
            <a:spLocks noChangeArrowheads="1"/>
          </xdr:cNvSpPr>
        </xdr:nvSpPr>
        <xdr:spPr bwMode="auto">
          <a:xfrm>
            <a:off x="8213272" y="28917900"/>
            <a:ext cx="5034641" cy="254317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ea typeface="+mn-ea"/>
                <a:cs typeface="+mn-cs"/>
              </a:rPr>
              <a:t>        1.2f Forecast operating cost per customer</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EQUALS Total operating expenditure (excluding exceptional items)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sewerage only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SUBTRACT Total retail metering expenditure -  water and sewerage customers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ADD Total depreciation of assets included in RCV (assets not existing before AMP6)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ADD </a:t>
            </a:r>
            <a:r>
              <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Total depreciation of assets that are not included in RCV (AMP6 or later assets)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DIVIDE BY (1.1) Total Households (Unique customers adjusted for EoS) MULTIPLY BY 1000</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If customer numbers are 0, then the answer given is 0</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grpSp>
    <xdr:clientData/>
  </xdr:twoCellAnchor>
  <xdr:twoCellAnchor>
    <xdr:from>
      <xdr:col>11</xdr:col>
      <xdr:colOff>525733</xdr:colOff>
      <xdr:row>94</xdr:row>
      <xdr:rowOff>169470</xdr:rowOff>
    </xdr:from>
    <xdr:to>
      <xdr:col>17</xdr:col>
      <xdr:colOff>405742</xdr:colOff>
      <xdr:row>103</xdr:row>
      <xdr:rowOff>2472</xdr:rowOff>
    </xdr:to>
    <xdr:sp macro="" textlink="">
      <xdr:nvSpPr>
        <xdr:cNvPr id="86" name="TextBox 85"/>
        <xdr:cNvSpPr txBox="1"/>
      </xdr:nvSpPr>
      <xdr:spPr>
        <a:xfrm>
          <a:off x="8279083" y="27268095"/>
          <a:ext cx="4166259" cy="2490477"/>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2.1j </a:t>
          </a:r>
          <a:r>
            <a:rPr lang="en-GB" sz="1100"/>
            <a:t>To</a:t>
          </a:r>
          <a:r>
            <a:rPr lang="en-GB" sz="1100" b="1"/>
            <a:t>tal change in household retail expenditure due to change in customer numbers (includes change in metering costs due to change in customer numbers) </a:t>
          </a:r>
          <a:r>
            <a:rPr lang="en-GB" sz="1100"/>
            <a:t/>
          </a:r>
          <a:br>
            <a:rPr lang="en-GB" sz="1100"/>
          </a:br>
          <a:r>
            <a:rPr lang="en-GB" sz="1100"/>
            <a:t>EQUALS</a:t>
          </a:r>
        </a:p>
        <a:p>
          <a:r>
            <a:rPr lang="en-GB" sz="1100"/>
            <a:t>Change in household retail unmeasured costs due to change in customer  numbers</a:t>
          </a:r>
        </a:p>
        <a:p>
          <a:r>
            <a:rPr lang="en-GB" sz="1100"/>
            <a:t>ADD</a:t>
          </a:r>
        </a:p>
        <a:p>
          <a:r>
            <a:rPr lang="en-GB" sz="1100"/>
            <a:t>Change in water only metered costs due to change in water only metered customers</a:t>
          </a:r>
        </a:p>
        <a:p>
          <a:r>
            <a:rPr lang="en-GB" sz="1100"/>
            <a:t>ADD</a:t>
          </a:r>
        </a:p>
        <a:p>
          <a:r>
            <a:rPr lang="en-GB" sz="1100"/>
            <a:t>Change in sewerage only metered costs due to change in sewerage only metered customers</a:t>
          </a:r>
        </a:p>
        <a:p>
          <a:r>
            <a:rPr lang="en-GB" sz="1100"/>
            <a:t> ADD</a:t>
          </a:r>
        </a:p>
        <a:p>
          <a:r>
            <a:rPr lang="en-GB" sz="1100"/>
            <a:t>Change in water &amp; sewerage metered costs due to change in water &amp; sewerage metered customers</a:t>
          </a:r>
        </a:p>
      </xdr:txBody>
    </xdr:sp>
    <xdr:clientData/>
  </xdr:twoCellAnchor>
  <xdr:twoCellAnchor>
    <xdr:from>
      <xdr:col>11</xdr:col>
      <xdr:colOff>259772</xdr:colOff>
      <xdr:row>111</xdr:row>
      <xdr:rowOff>139781</xdr:rowOff>
    </xdr:from>
    <xdr:to>
      <xdr:col>17</xdr:col>
      <xdr:colOff>900545</xdr:colOff>
      <xdr:row>115</xdr:row>
      <xdr:rowOff>16080</xdr:rowOff>
    </xdr:to>
    <xdr:sp macro="" textlink="">
      <xdr:nvSpPr>
        <xdr:cNvPr id="87" name="TextBox 86"/>
        <xdr:cNvSpPr txBox="1"/>
      </xdr:nvSpPr>
      <xdr:spPr>
        <a:xfrm>
          <a:off x="8013122" y="32258081"/>
          <a:ext cx="4927023" cy="105739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2.1k Change in household retail expenditure due to other factors</a:t>
          </a:r>
        </a:p>
        <a:p>
          <a:r>
            <a:rPr lang="en-GB" sz="1100" b="0"/>
            <a:t>EQUALS</a:t>
          </a:r>
        </a:p>
        <a:p>
          <a:r>
            <a:rPr lang="en-GB" sz="1100" b="0"/>
            <a:t>Change in household retail expenditure</a:t>
          </a:r>
        </a:p>
        <a:p>
          <a:r>
            <a:rPr lang="en-GB" sz="1100" b="0"/>
            <a:t>SUBTRACT</a:t>
          </a:r>
        </a:p>
        <a:p>
          <a:r>
            <a:rPr lang="en-GB" sz="1100" b="0"/>
            <a:t>Total change in household retail expenditure due to change in customer numbers</a:t>
          </a:r>
        </a:p>
        <a:p>
          <a:endParaRPr lang="en-GB" sz="1100" b="0"/>
        </a:p>
        <a:p>
          <a:endParaRPr lang="en-GB" sz="1100" b="0"/>
        </a:p>
        <a:p>
          <a:endParaRPr lang="en-GB" sz="1100" b="0"/>
        </a:p>
      </xdr:txBody>
    </xdr:sp>
    <xdr:clientData/>
  </xdr:twoCellAnchor>
  <xdr:twoCellAnchor>
    <xdr:from>
      <xdr:col>11</xdr:col>
      <xdr:colOff>274617</xdr:colOff>
      <xdr:row>104</xdr:row>
      <xdr:rowOff>176894</xdr:rowOff>
    </xdr:from>
    <xdr:to>
      <xdr:col>17</xdr:col>
      <xdr:colOff>958685</xdr:colOff>
      <xdr:row>109</xdr:row>
      <xdr:rowOff>81642</xdr:rowOff>
    </xdr:to>
    <xdr:sp macro="" textlink="">
      <xdr:nvSpPr>
        <xdr:cNvPr id="88" name="TextBox 87"/>
        <xdr:cNvSpPr txBox="1"/>
      </xdr:nvSpPr>
      <xdr:spPr>
        <a:xfrm>
          <a:off x="8057903" y="26588358"/>
          <a:ext cx="4997532" cy="1401534"/>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2.1l Household retail expenditure excl increase in costs due to increase in customer numbers</a:t>
          </a:r>
          <a:r>
            <a:rPr lang="en-GB" b="1"/>
            <a:t>  </a:t>
          </a:r>
        </a:p>
        <a:p>
          <a:r>
            <a:rPr lang="en-GB" sz="1100"/>
            <a:t>EQUALS</a:t>
          </a:r>
        </a:p>
        <a:p>
          <a:r>
            <a:rPr lang="en-GB" sz="1100"/>
            <a:t>Total household retail expenditure (including metering costs) </a:t>
          </a:r>
        </a:p>
        <a:p>
          <a:r>
            <a:rPr lang="en-GB" sz="1100" b="0" i="0" u="none" strike="noStrike">
              <a:solidFill>
                <a:schemeClr val="dk1"/>
              </a:solidFill>
              <a:effectLst/>
              <a:latin typeface="+mn-lt"/>
              <a:ea typeface="+mn-ea"/>
              <a:cs typeface="+mn-cs"/>
            </a:rPr>
            <a:t>SUBTRACT</a:t>
          </a:r>
        </a:p>
        <a:p>
          <a:r>
            <a:rPr lang="en-GB" sz="1100" b="0" i="0" u="none" strike="noStrike">
              <a:solidFill>
                <a:schemeClr val="dk1"/>
              </a:solidFill>
              <a:effectLst/>
              <a:latin typeface="+mn-lt"/>
              <a:ea typeface="+mn-ea"/>
              <a:cs typeface="+mn-cs"/>
            </a:rPr>
            <a:t>Total change in household retail expenditure due to change in customer numbers (includes change in metering costs due to change in customer numbers)</a:t>
          </a:r>
          <a:r>
            <a:rPr lang="en-GB"/>
            <a:t> </a:t>
          </a:r>
          <a:endParaRPr lang="en-GB" sz="1100"/>
        </a:p>
      </xdr:txBody>
    </xdr:sp>
    <xdr:clientData/>
  </xdr:twoCellAnchor>
  <xdr:twoCellAnchor>
    <xdr:from>
      <xdr:col>3</xdr:col>
      <xdr:colOff>415761</xdr:colOff>
      <xdr:row>120</xdr:row>
      <xdr:rowOff>3713</xdr:rowOff>
    </xdr:from>
    <xdr:to>
      <xdr:col>9</xdr:col>
      <xdr:colOff>622343</xdr:colOff>
      <xdr:row>127</xdr:row>
      <xdr:rowOff>152153</xdr:rowOff>
    </xdr:to>
    <xdr:sp macro="" textlink="">
      <xdr:nvSpPr>
        <xdr:cNvPr id="89" name="TextBox 88"/>
        <xdr:cNvSpPr txBox="1"/>
      </xdr:nvSpPr>
      <xdr:spPr>
        <a:xfrm>
          <a:off x="2620118" y="31204892"/>
          <a:ext cx="4479225" cy="224394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2.2a Opex + Depreciation</a:t>
          </a:r>
        </a:p>
        <a:p>
          <a:r>
            <a:rPr lang="en-GB" sz="1100" b="0"/>
            <a:t>EQUALS</a:t>
          </a:r>
        </a:p>
        <a:p>
          <a:r>
            <a:rPr lang="en-GB" sz="1100" b="0"/>
            <a:t>R3001 Total operating expenditure (excluding exceptional items)</a:t>
          </a:r>
        </a:p>
        <a:p>
          <a:r>
            <a:rPr lang="en-GB" sz="1100" b="0"/>
            <a:t>ADD</a:t>
          </a:r>
        </a:p>
        <a:p>
          <a:r>
            <a:rPr lang="en-GB" sz="1100" b="0"/>
            <a:t>R3002 Total depreciation of assets included in RCV (assets existing before AMP6)</a:t>
          </a:r>
        </a:p>
        <a:p>
          <a:r>
            <a:rPr lang="en-GB" sz="1100" b="0"/>
            <a:t>ADD</a:t>
          </a:r>
        </a:p>
        <a:p>
          <a:r>
            <a:rPr lang="en-GB" sz="1100" b="0"/>
            <a:t>R3003 Total depreciation of assets that are not included in RCV (AMP6 or later assets)</a:t>
          </a:r>
        </a:p>
        <a:p>
          <a:r>
            <a:rPr lang="en-GB" sz="1100" b="0"/>
            <a:t>ADD</a:t>
          </a:r>
        </a:p>
        <a:p>
          <a:r>
            <a:rPr lang="en-GB" sz="1100" b="0"/>
            <a:t>R3013 Operating expenditure - excluded from ACTS </a:t>
          </a:r>
        </a:p>
        <a:p>
          <a:r>
            <a:rPr lang="en-GB" sz="1100" b="0"/>
            <a:t>ADD</a:t>
          </a:r>
        </a:p>
        <a:p>
          <a:r>
            <a:rPr lang="en-GB" sz="1100" b="0"/>
            <a:t>R3023</a:t>
          </a:r>
          <a:r>
            <a:rPr lang="en-GB" sz="1100" b="0" baseline="0"/>
            <a:t> </a:t>
          </a:r>
          <a:endParaRPr lang="en-GB" sz="1100" b="0"/>
        </a:p>
      </xdr:txBody>
    </xdr:sp>
    <xdr:clientData/>
  </xdr:twoCellAnchor>
  <xdr:twoCellAnchor>
    <xdr:from>
      <xdr:col>4</xdr:col>
      <xdr:colOff>125577</xdr:colOff>
      <xdr:row>65</xdr:row>
      <xdr:rowOff>279823</xdr:rowOff>
    </xdr:from>
    <xdr:to>
      <xdr:col>4</xdr:col>
      <xdr:colOff>125578</xdr:colOff>
      <xdr:row>67</xdr:row>
      <xdr:rowOff>241588</xdr:rowOff>
    </xdr:to>
    <xdr:cxnSp macro="">
      <xdr:nvCxnSpPr>
        <xdr:cNvPr id="92" name="Straight Arrow Connector 91"/>
        <xdr:cNvCxnSpPr>
          <a:stCxn id="102" idx="2"/>
          <a:endCxn id="103" idx="0"/>
        </xdr:cNvCxnSpPr>
      </xdr:nvCxnSpPr>
      <xdr:spPr>
        <a:xfrm>
          <a:off x="2915041" y="15016359"/>
          <a:ext cx="1" cy="5604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140173</xdr:colOff>
      <xdr:row>58</xdr:row>
      <xdr:rowOff>2274</xdr:rowOff>
    </xdr:from>
    <xdr:to>
      <xdr:col>17</xdr:col>
      <xdr:colOff>47174</xdr:colOff>
      <xdr:row>120</xdr:row>
      <xdr:rowOff>249718</xdr:rowOff>
    </xdr:to>
    <xdr:grpSp>
      <xdr:nvGrpSpPr>
        <xdr:cNvPr id="95" name="Group 94"/>
        <xdr:cNvGrpSpPr/>
      </xdr:nvGrpSpPr>
      <xdr:grpSpPr>
        <a:xfrm>
          <a:off x="439530" y="13432524"/>
          <a:ext cx="11704394" cy="18807587"/>
          <a:chOff x="464314" y="16225819"/>
          <a:chExt cx="11667254" cy="17686302"/>
        </a:xfrm>
      </xdr:grpSpPr>
      <xdr:sp macro="" textlink="">
        <xdr:nvSpPr>
          <xdr:cNvPr id="96" name="TextBox 95"/>
          <xdr:cNvSpPr txBox="1"/>
        </xdr:nvSpPr>
        <xdr:spPr>
          <a:xfrm>
            <a:off x="8205908" y="24080565"/>
            <a:ext cx="3891641" cy="1129394"/>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2.1i</a:t>
            </a:r>
            <a:r>
              <a:rPr lang="en-GB" sz="1100" b="1" baseline="0"/>
              <a:t> </a:t>
            </a:r>
            <a:r>
              <a:rPr lang="en-GB" sz="1100" b="1"/>
              <a:t>Change in household retail expenditure</a:t>
            </a:r>
            <a:br>
              <a:rPr lang="en-GB" sz="1100" b="1"/>
            </a:br>
            <a:r>
              <a:rPr lang="en-GB" sz="1100" b="0"/>
              <a:t>EQUALS</a:t>
            </a:r>
          </a:p>
          <a:p>
            <a:r>
              <a:rPr lang="en-GB" sz="1100" b="0"/>
              <a:t>Total household retail expenditure (including metering costs) SUBTRACT</a:t>
            </a:r>
          </a:p>
          <a:p>
            <a:r>
              <a:rPr lang="en-GB" sz="1100" b="0"/>
              <a:t>Total household retail expenditure (including metering costs) 13/14</a:t>
            </a:r>
          </a:p>
        </xdr:txBody>
      </xdr:sp>
      <xdr:grpSp>
        <xdr:nvGrpSpPr>
          <xdr:cNvPr id="98" name="Group 97"/>
          <xdr:cNvGrpSpPr/>
        </xdr:nvGrpSpPr>
        <xdr:grpSpPr>
          <a:xfrm>
            <a:off x="464314" y="16225819"/>
            <a:ext cx="11667254" cy="17686302"/>
            <a:chOff x="-202436" y="18783961"/>
            <a:chExt cx="11667254" cy="17686302"/>
          </a:xfrm>
        </xdr:grpSpPr>
        <xdr:sp macro="" textlink="">
          <xdr:nvSpPr>
            <xdr:cNvPr id="99" name="TextBox 98"/>
            <xdr:cNvSpPr txBox="1"/>
          </xdr:nvSpPr>
          <xdr:spPr>
            <a:xfrm>
              <a:off x="3442" y="26847476"/>
              <a:ext cx="4980215" cy="1605643"/>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2.1f Change in sewerage only metered costs due to change in sewerage only metered customers</a:t>
              </a:r>
              <a:br>
                <a:rPr lang="en-GB" sz="1100" b="1"/>
              </a:br>
              <a:r>
                <a:rPr lang="en-GB" sz="1100" b="0"/>
                <a:t>((R3020 Households connected for sewerage only - metered </a:t>
              </a:r>
            </a:p>
            <a:p>
              <a:r>
                <a:rPr lang="en-GB" sz="1100" b="0"/>
                <a:t>SUBTRACT R3020 Households connected for sewerage only - metered 13/14)</a:t>
              </a:r>
              <a:br>
                <a:rPr lang="en-GB" sz="1100" b="0"/>
              </a:br>
              <a:r>
                <a:rPr lang="en-GB" sz="1100" b="0"/>
                <a:t>DIVIDED BY R3020 Households connected for sewerage only - metered 13/14)</a:t>
              </a:r>
              <a:br>
                <a:rPr lang="en-GB" sz="1100" b="0"/>
              </a:br>
              <a:r>
                <a:rPr lang="en-GB" sz="1100" b="0"/>
                <a:t>MULTIPLIED BY R3015 Total retail metering expenditure - sewerage only customers  13/14) </a:t>
              </a:r>
            </a:p>
          </xdr:txBody>
        </xdr:sp>
        <xdr:sp macro="" textlink="">
          <xdr:nvSpPr>
            <xdr:cNvPr id="100" name="TextBox 99"/>
            <xdr:cNvSpPr txBox="1"/>
          </xdr:nvSpPr>
          <xdr:spPr>
            <a:xfrm>
              <a:off x="17049" y="28571969"/>
              <a:ext cx="4980215" cy="1755322"/>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2.1g Change in water and sewerage only metered costs due to change in water and sewerage only metered customers</a:t>
              </a:r>
              <a:br>
                <a:rPr lang="en-GB" sz="1100" b="1"/>
              </a:br>
              <a:r>
                <a:rPr lang="en-GB" sz="1100" b="0"/>
                <a:t>EQUALS</a:t>
              </a:r>
            </a:p>
            <a:p>
              <a:r>
                <a:rPr lang="en-GB" sz="1100" b="0"/>
                <a:t>((R3022 Households connected for water and sewerage only - metered </a:t>
              </a:r>
            </a:p>
            <a:p>
              <a:r>
                <a:rPr lang="en-GB" sz="1100" b="0"/>
                <a:t>SUBTRACT R3022 Households connected for water and sewerage only - metered 13/14)</a:t>
              </a:r>
              <a:br>
                <a:rPr lang="en-GB" sz="1100" b="0"/>
              </a:br>
              <a:r>
                <a:rPr lang="en-GB" sz="1100" b="0"/>
                <a:t>DIVIDED BY R3022 Households connected for water and sewerage only - metered 13/14)</a:t>
              </a:r>
              <a:br>
                <a:rPr lang="en-GB" sz="1100" b="0"/>
              </a:br>
              <a:r>
                <a:rPr lang="en-GB" sz="1100" b="0"/>
                <a:t>MULTIPLIED BY R3016 Total retail metering expenditure - water and sewerage only customers  13/14) </a:t>
              </a:r>
            </a:p>
          </xdr:txBody>
        </xdr:sp>
        <xdr:grpSp>
          <xdr:nvGrpSpPr>
            <xdr:cNvPr id="101" name="Group 100"/>
            <xdr:cNvGrpSpPr/>
          </xdr:nvGrpSpPr>
          <xdr:grpSpPr>
            <a:xfrm>
              <a:off x="-202436" y="18783961"/>
              <a:ext cx="11667254" cy="17686302"/>
              <a:chOff x="-202436" y="18783961"/>
              <a:chExt cx="11667254" cy="17686302"/>
            </a:xfrm>
          </xdr:grpSpPr>
          <xdr:sp macro="" textlink="">
            <xdr:nvSpPr>
              <xdr:cNvPr id="102" name="TextBox 101"/>
              <xdr:cNvSpPr txBox="1"/>
            </xdr:nvSpPr>
            <xdr:spPr>
              <a:xfrm>
                <a:off x="-202436" y="18783961"/>
                <a:ext cx="4935312" cy="2231571"/>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2.1a Unmeasured household retail</a:t>
                </a:r>
                <a:r>
                  <a:rPr lang="en-GB" sz="1100" b="1" baseline="0"/>
                  <a:t> operating costs</a:t>
                </a:r>
              </a:p>
              <a:p>
                <a:r>
                  <a:rPr lang="en-GB" sz="1100" baseline="0"/>
                  <a:t>R3001 </a:t>
                </a:r>
                <a:r>
                  <a:rPr lang="en-GB" sz="1100" b="0" i="0" u="none" strike="noStrike">
                    <a:solidFill>
                      <a:schemeClr val="dk1"/>
                    </a:solidFill>
                    <a:effectLst/>
                    <a:latin typeface="+mn-lt"/>
                    <a:ea typeface="+mn-ea"/>
                    <a:cs typeface="+mn-cs"/>
                  </a:rPr>
                  <a:t>Total operating expenditure (excluding exceptional items)</a:t>
                </a:r>
                <a:r>
                  <a:rPr lang="en-GB"/>
                  <a:t> </a:t>
                </a:r>
                <a:r>
                  <a:rPr lang="en-GB" sz="1100" b="0" i="0" u="none" strike="noStrike">
                    <a:solidFill>
                      <a:schemeClr val="dk1"/>
                    </a:solidFill>
                    <a:effectLst/>
                    <a:latin typeface="+mn-lt"/>
                    <a:ea typeface="+mn-ea"/>
                    <a:cs typeface="+mn-cs"/>
                  </a:rPr>
                  <a:t/>
                </a:r>
                <a:br>
                  <a:rPr lang="en-GB" sz="1100" b="0" i="0" u="none" strike="noStrike">
                    <a:solidFill>
                      <a:schemeClr val="dk1"/>
                    </a:solidFill>
                    <a:effectLst/>
                    <a:latin typeface="+mn-lt"/>
                    <a:ea typeface="+mn-ea"/>
                    <a:cs typeface="+mn-cs"/>
                  </a:rPr>
                </a:br>
                <a:r>
                  <a:rPr lang="en-GB" sz="1100" baseline="0"/>
                  <a:t>ADD R3002 Total depreciation of assets included in RCV (assets existing before AMP6) </a:t>
                </a:r>
                <a:br>
                  <a:rPr lang="en-GB" sz="1100" baseline="0"/>
                </a:br>
                <a:r>
                  <a:rPr lang="en-GB" sz="1100" baseline="0"/>
                  <a:t>ADD R3003 Total depreciation of assets that are not included in RCV (AMP6 or later assets)  </a:t>
                </a:r>
                <a:br>
                  <a:rPr lang="en-GB" sz="1100" baseline="0"/>
                </a:br>
                <a:r>
                  <a:rPr lang="en-GB" sz="1100" baseline="0"/>
                  <a:t>SUBTRACT R3014 </a:t>
                </a:r>
                <a:r>
                  <a:rPr lang="en-GB" sz="1100" b="0" i="0" u="none" strike="noStrike">
                    <a:solidFill>
                      <a:schemeClr val="dk1"/>
                    </a:solidFill>
                    <a:effectLst/>
                    <a:latin typeface="+mn-lt"/>
                    <a:ea typeface="+mn-ea"/>
                    <a:cs typeface="+mn-cs"/>
                  </a:rPr>
                  <a:t>Total retail metering expenditure - water only customers</a:t>
                </a:r>
                <a:r>
                  <a:rPr lang="en-GB"/>
                  <a:t> </a:t>
                </a:r>
                <a:br>
                  <a:rPr lang="en-GB"/>
                </a:br>
                <a:r>
                  <a:rPr lang="en-GB"/>
                  <a:t>SUBTRACT</a:t>
                </a:r>
                <a:r>
                  <a:rPr lang="en-GB" sz="1100" baseline="0"/>
                  <a:t> R3015 </a:t>
                </a:r>
                <a:r>
                  <a:rPr lang="en-GB" sz="1100" b="0" i="0" u="none" strike="noStrike">
                    <a:solidFill>
                      <a:schemeClr val="dk1"/>
                    </a:solidFill>
                    <a:effectLst/>
                    <a:latin typeface="+mn-lt"/>
                    <a:ea typeface="+mn-ea"/>
                    <a:cs typeface="+mn-cs"/>
                  </a:rPr>
                  <a:t>Total retail metering expenditure - sewerage only customers</a:t>
                </a:r>
                <a:r>
                  <a:rPr lang="en-GB"/>
                  <a:t> </a:t>
                </a:r>
                <a:r>
                  <a:rPr lang="en-GB" sz="1100" baseline="0"/>
                  <a:t> </a:t>
                </a:r>
                <a:br>
                  <a:rPr lang="en-GB" sz="1100" baseline="0"/>
                </a:br>
                <a:r>
                  <a:rPr lang="en-GB" sz="1100" baseline="0"/>
                  <a:t>SUBTRACT R3016 </a:t>
                </a:r>
                <a:r>
                  <a:rPr lang="en-GB" sz="1100" b="0" i="0" u="none" strike="noStrike">
                    <a:solidFill>
                      <a:schemeClr val="dk1"/>
                    </a:solidFill>
                    <a:effectLst/>
                    <a:latin typeface="+mn-lt"/>
                    <a:ea typeface="+mn-ea"/>
                    <a:cs typeface="+mn-cs"/>
                  </a:rPr>
                  <a:t>Total retail metering expenditure -  water and sewerage customers</a:t>
                </a:r>
                <a:r>
                  <a:rPr lang="en-GB"/>
                  <a:t> </a:t>
                </a:r>
                <a:endParaRPr lang="en-GB" sz="1100" baseline="0"/>
              </a:p>
              <a:p>
                <a:endParaRPr lang="en-GB" sz="1100"/>
              </a:p>
            </xdr:txBody>
          </xdr:sp>
          <xdr:sp macro="" textlink="">
            <xdr:nvSpPr>
              <xdr:cNvPr id="103" name="TextBox 102"/>
              <xdr:cNvSpPr txBox="1"/>
            </xdr:nvSpPr>
            <xdr:spPr>
              <a:xfrm>
                <a:off x="135702" y="21542596"/>
                <a:ext cx="4259037" cy="734785"/>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2.1c</a:t>
                </a:r>
                <a:r>
                  <a:rPr lang="en-GB" sz="1100" b="1" baseline="0"/>
                  <a:t> </a:t>
                </a:r>
                <a:r>
                  <a:rPr lang="en-GB" sz="1100" b="1"/>
                  <a:t>Change in household retail unmeasured costs</a:t>
                </a:r>
                <a:r>
                  <a:rPr lang="en-GB" sz="1100"/>
                  <a:t/>
                </a:r>
                <a:br>
                  <a:rPr lang="en-GB" sz="1100"/>
                </a:br>
                <a:r>
                  <a:rPr lang="en-GB" sz="1100"/>
                  <a:t>EQUALS</a:t>
                </a:r>
                <a:r>
                  <a:rPr lang="en-GB" sz="1100" baseline="0"/>
                  <a:t> </a:t>
                </a:r>
                <a:r>
                  <a:rPr lang="en-GB" sz="1100"/>
                  <a:t>Unmeasured household retail operating costs </a:t>
                </a:r>
              </a:p>
              <a:p>
                <a:r>
                  <a:rPr lang="en-GB" sz="1100"/>
                  <a:t>SUBTRACT Unmeasured household retail operating costs 13-14</a:t>
                </a:r>
              </a:p>
            </xdr:txBody>
          </xdr:sp>
          <xdr:sp macro="" textlink="">
            <xdr:nvSpPr>
              <xdr:cNvPr id="104" name="TextBox 103"/>
              <xdr:cNvSpPr txBox="1"/>
            </xdr:nvSpPr>
            <xdr:spPr>
              <a:xfrm>
                <a:off x="7134518" y="21588782"/>
                <a:ext cx="4282046" cy="1209284"/>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2.1d Change in household retail unmeasured costs due to change in customer numbers</a:t>
                </a:r>
              </a:p>
              <a:p>
                <a:r>
                  <a:rPr lang="en-GB" sz="1100"/>
                  <a:t>EQUALS</a:t>
                </a:r>
                <a:r>
                  <a:rPr lang="en-GB" sz="1100" baseline="0"/>
                  <a:t> Change in household retail unmeasured costs </a:t>
                </a:r>
                <a:br>
                  <a:rPr lang="en-GB" sz="1100" baseline="0"/>
                </a:br>
                <a:r>
                  <a:rPr lang="en-GB" sz="1100" baseline="0"/>
                  <a:t>DIVIDED BY (Unmeasured household retail operating costs 13-14 MULTIPLIED BY Unmeasured household retail operating costs MULTIPLIED BY economies of scope)</a:t>
                </a:r>
                <a:endParaRPr lang="en-GB" sz="1100"/>
              </a:p>
            </xdr:txBody>
          </xdr:sp>
          <xdr:sp macro="" textlink="">
            <xdr:nvSpPr>
              <xdr:cNvPr id="105" name="TextBox 104"/>
              <xdr:cNvSpPr txBox="1"/>
            </xdr:nvSpPr>
            <xdr:spPr>
              <a:xfrm>
                <a:off x="7505139" y="24606712"/>
                <a:ext cx="3959679" cy="1660071"/>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2.1h Total household retail expenditure (including metering costs)</a:t>
                </a:r>
              </a:p>
              <a:p>
                <a:r>
                  <a:rPr lang="en-GB" sz="1100"/>
                  <a:t>Unmeasured household retail operating costs</a:t>
                </a:r>
              </a:p>
              <a:p>
                <a:r>
                  <a:rPr lang="en-GB" sz="1100"/>
                  <a:t>ADD R3014 Total retail metering expenditure - water only customers </a:t>
                </a:r>
              </a:p>
              <a:p>
                <a:r>
                  <a:rPr lang="en-GB" sz="1100"/>
                  <a:t>ADD R3015 Total retail metering expenditure - sewerage only customers </a:t>
                </a:r>
              </a:p>
              <a:p>
                <a:r>
                  <a:rPr lang="en-GB" sz="1100"/>
                  <a:t>ADD R3016 Total retail metering expenditure -  water and sewerage customers</a:t>
                </a:r>
              </a:p>
            </xdr:txBody>
          </xdr:sp>
          <xdr:sp macro="" textlink="">
            <xdr:nvSpPr>
              <xdr:cNvPr id="107" name="TextBox 106"/>
              <xdr:cNvSpPr txBox="1"/>
            </xdr:nvSpPr>
            <xdr:spPr>
              <a:xfrm>
                <a:off x="-17847" y="25167259"/>
                <a:ext cx="4953001" cy="1360713"/>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2.1e Change in water only metered costs due to change in water only metered customers</a:t>
                </a:r>
                <a:br>
                  <a:rPr lang="en-GB" sz="1100" b="1"/>
                </a:br>
                <a:r>
                  <a:rPr lang="en-GB" sz="1100" b="0"/>
                  <a:t>((R3018 </a:t>
                </a:r>
                <a:r>
                  <a:rPr lang="en-GB" sz="1100" b="0" i="0" u="none" strike="noStrike">
                    <a:solidFill>
                      <a:schemeClr val="dk1"/>
                    </a:solidFill>
                    <a:effectLst/>
                    <a:latin typeface="+mn-lt"/>
                    <a:ea typeface="+mn-ea"/>
                    <a:cs typeface="+mn-cs"/>
                  </a:rPr>
                  <a:t>Households connected for water only - metered </a:t>
                </a:r>
              </a:p>
              <a:p>
                <a:r>
                  <a:rPr lang="en-GB" sz="1100" b="0"/>
                  <a:t>SUBTRACT R3018 </a:t>
                </a:r>
                <a:r>
                  <a:rPr lang="en-GB" sz="1100" b="0" i="0" u="none" strike="noStrike">
                    <a:solidFill>
                      <a:schemeClr val="dk1"/>
                    </a:solidFill>
                    <a:effectLst/>
                    <a:latin typeface="+mn-lt"/>
                    <a:ea typeface="+mn-ea"/>
                    <a:cs typeface="+mn-cs"/>
                  </a:rPr>
                  <a:t>Households connected for water only - metered 13/14)</a:t>
                </a:r>
                <a:r>
                  <a:rPr lang="en-GB" sz="1100" b="0"/>
                  <a:t/>
                </a:r>
                <a:br>
                  <a:rPr lang="en-GB" sz="1100" b="0"/>
                </a:br>
                <a:r>
                  <a:rPr lang="en-GB" sz="1100" b="0"/>
                  <a:t>DIVIDED</a:t>
                </a:r>
                <a:r>
                  <a:rPr lang="en-GB" sz="1100" b="0" baseline="0"/>
                  <a:t> BY</a:t>
                </a:r>
                <a:r>
                  <a:rPr lang="en-GB" sz="1100" b="0"/>
                  <a:t> </a:t>
                </a:r>
                <a:r>
                  <a:rPr lang="en-GB" sz="1100" b="0">
                    <a:solidFill>
                      <a:schemeClr val="dk1"/>
                    </a:solidFill>
                    <a:effectLst/>
                    <a:latin typeface="+mn-lt"/>
                    <a:ea typeface="+mn-ea"/>
                    <a:cs typeface="+mn-cs"/>
                  </a:rPr>
                  <a:t>R3018 Households connected for water only - metered 13/14)</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MULTIPLIED BY R3014 </a:t>
                </a:r>
                <a:r>
                  <a:rPr lang="en-GB"/>
                  <a:t>Total retail metering expenditure - water only customers  13/14) </a:t>
                </a:r>
                <a:endParaRPr lang="en-GB" sz="1100" b="0"/>
              </a:p>
            </xdr:txBody>
          </xdr:sp>
          <xdr:sp macro="" textlink="">
            <xdr:nvSpPr>
              <xdr:cNvPr id="108" name="TextBox 107"/>
              <xdr:cNvSpPr txBox="1"/>
            </xdr:nvSpPr>
            <xdr:spPr>
              <a:xfrm>
                <a:off x="7159630" y="18783961"/>
                <a:ext cx="4231821" cy="2245177"/>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2.1b</a:t>
                </a:r>
                <a:r>
                  <a:rPr lang="en-GB" sz="1100" b="1" baseline="0"/>
                  <a:t> </a:t>
                </a:r>
                <a:r>
                  <a:rPr lang="en-GB" sz="1100" b="1"/>
                  <a:t>Total customer numbers (sum of all customer numbers) adjusted for EoS</a:t>
                </a:r>
              </a:p>
              <a:p>
                <a:pPr marL="0" marR="0" indent="0" defTabSz="914400" eaLnBrk="1" fontAlgn="auto" latinLnBrk="0" hangingPunct="1">
                  <a:lnSpc>
                    <a:spcPct val="100000"/>
                  </a:lnSpc>
                  <a:spcBef>
                    <a:spcPts val="0"/>
                  </a:spcBef>
                  <a:spcAft>
                    <a:spcPts val="0"/>
                  </a:spcAft>
                  <a:buClrTx/>
                  <a:buSzTx/>
                  <a:buFontTx/>
                  <a:buNone/>
                  <a:tabLst/>
                  <a:defRPr/>
                </a:pPr>
                <a:r>
                  <a:rPr lang="en-GB" sz="1100" b="0"/>
                  <a:t>R3017 Households connected for water only - unmetered </a:t>
                </a:r>
                <a:br>
                  <a:rPr lang="en-GB" sz="1100" b="0"/>
                </a:br>
                <a:r>
                  <a:rPr lang="en-GB" sz="1100" b="0"/>
                  <a:t>ADD</a:t>
                </a:r>
                <a:r>
                  <a:rPr lang="en-GB" sz="1100" b="0" baseline="0"/>
                  <a:t> </a:t>
                </a:r>
                <a:r>
                  <a:rPr lang="en-GB" sz="1100" b="0"/>
                  <a:t>R3018 Households connected for water only - metered</a:t>
                </a:r>
                <a:br>
                  <a:rPr lang="en-GB" sz="1100" b="0"/>
                </a:br>
                <a:r>
                  <a:rPr lang="en-GB" sz="1100" b="0"/>
                  <a:t>ADD </a:t>
                </a:r>
                <a:r>
                  <a:rPr lang="en-GB" sz="1100" b="0">
                    <a:solidFill>
                      <a:schemeClr val="dk1"/>
                    </a:solidFill>
                    <a:effectLst/>
                    <a:latin typeface="+mn-lt"/>
                    <a:ea typeface="+mn-ea"/>
                    <a:cs typeface="+mn-cs"/>
                  </a:rPr>
                  <a:t>R3019 Households connected for sewerage only - unmetered  </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ADD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R3020 Households connected for sewerage only - metered </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ADD R3021 Households connected for water and sewerage</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only - unmetered  </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ADD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R3022 Households connected for water  and sewerage only - metered </a:t>
                </a:r>
                <a:endParaRPr lang="en-GB" b="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b="1"/>
              </a:p>
            </xdr:txBody>
          </xdr:sp>
          <xdr:sp macro="" textlink="">
            <xdr:nvSpPr>
              <xdr:cNvPr id="110" name="TextBox 109"/>
              <xdr:cNvSpPr txBox="1"/>
            </xdr:nvSpPr>
            <xdr:spPr>
              <a:xfrm>
                <a:off x="213959" y="35966799"/>
                <a:ext cx="1497244" cy="503464"/>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New</a:t>
                </a:r>
                <a:r>
                  <a:rPr lang="en-GB" sz="1100" b="1" baseline="0"/>
                  <a:t> Costs and Adjustments inputs</a:t>
                </a:r>
                <a:endParaRPr lang="en-GB" sz="1100" b="1"/>
              </a:p>
            </xdr:txBody>
          </xdr:sp>
        </xdr:grpSp>
      </xdr:grpSp>
    </xdr:grpSp>
    <xdr:clientData/>
  </xdr:twoCellAnchor>
  <xdr:twoCellAnchor>
    <xdr:from>
      <xdr:col>1</xdr:col>
      <xdr:colOff>323400</xdr:colOff>
      <xdr:row>77</xdr:row>
      <xdr:rowOff>85541</xdr:rowOff>
    </xdr:from>
    <xdr:to>
      <xdr:col>2</xdr:col>
      <xdr:colOff>432144</xdr:colOff>
      <xdr:row>81</xdr:row>
      <xdr:rowOff>45594</xdr:rowOff>
    </xdr:to>
    <xdr:cxnSp macro="">
      <xdr:nvCxnSpPr>
        <xdr:cNvPr id="112" name="Elbow Connector 111"/>
        <xdr:cNvCxnSpPr>
          <a:endCxn id="107" idx="1"/>
        </xdr:cNvCxnSpPr>
      </xdr:nvCxnSpPr>
      <xdr:spPr>
        <a:xfrm rot="5400000">
          <a:off x="435845" y="22356846"/>
          <a:ext cx="1141153" cy="756444"/>
        </a:xfrm>
        <a:prstGeom prst="bentConnector4">
          <a:avLst>
            <a:gd name="adj1" fmla="val 33040"/>
            <a:gd name="adj2" fmla="val 11425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344532</xdr:colOff>
      <xdr:row>77</xdr:row>
      <xdr:rowOff>85541</xdr:rowOff>
    </xdr:from>
    <xdr:to>
      <xdr:col>2</xdr:col>
      <xdr:colOff>432144</xdr:colOff>
      <xdr:row>87</xdr:row>
      <xdr:rowOff>21975</xdr:rowOff>
    </xdr:to>
    <xdr:cxnSp macro="">
      <xdr:nvCxnSpPr>
        <xdr:cNvPr id="113" name="Elbow Connector 112"/>
        <xdr:cNvCxnSpPr>
          <a:endCxn id="99" idx="1"/>
        </xdr:cNvCxnSpPr>
      </xdr:nvCxnSpPr>
      <xdr:spPr>
        <a:xfrm rot="5400000">
          <a:off x="-427604" y="23241427"/>
          <a:ext cx="2889184" cy="735312"/>
        </a:xfrm>
        <a:prstGeom prst="bentConnector4">
          <a:avLst>
            <a:gd name="adj1" fmla="val 9265"/>
            <a:gd name="adj2" fmla="val 129866"/>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358039</xdr:colOff>
      <xdr:row>77</xdr:row>
      <xdr:rowOff>85540</xdr:rowOff>
    </xdr:from>
    <xdr:to>
      <xdr:col>2</xdr:col>
      <xdr:colOff>432144</xdr:colOff>
      <xdr:row>92</xdr:row>
      <xdr:rowOff>289527</xdr:rowOff>
    </xdr:to>
    <xdr:cxnSp macro="">
      <xdr:nvCxnSpPr>
        <xdr:cNvPr id="114" name="Elbow Connector 113"/>
        <xdr:cNvCxnSpPr>
          <a:endCxn id="100" idx="1"/>
        </xdr:cNvCxnSpPr>
      </xdr:nvCxnSpPr>
      <xdr:spPr>
        <a:xfrm rot="5400000">
          <a:off x="-1292814" y="24120143"/>
          <a:ext cx="4633112" cy="721805"/>
        </a:xfrm>
        <a:prstGeom prst="bentConnector4">
          <a:avLst>
            <a:gd name="adj1" fmla="val 3752"/>
            <a:gd name="adj2" fmla="val 14281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219838</xdr:colOff>
      <xdr:row>61</xdr:row>
      <xdr:rowOff>290728</xdr:rowOff>
    </xdr:from>
    <xdr:to>
      <xdr:col>11</xdr:col>
      <xdr:colOff>16553</xdr:colOff>
      <xdr:row>70</xdr:row>
      <xdr:rowOff>35607</xdr:rowOff>
    </xdr:to>
    <xdr:cxnSp macro="">
      <xdr:nvCxnSpPr>
        <xdr:cNvPr id="115" name="Elbow Connector 114"/>
        <xdr:cNvCxnSpPr>
          <a:stCxn id="102" idx="3"/>
          <a:endCxn id="104" idx="1"/>
        </xdr:cNvCxnSpPr>
      </xdr:nvCxnSpPr>
      <xdr:spPr>
        <a:xfrm>
          <a:off x="5390552" y="13829835"/>
          <a:ext cx="2409287" cy="243909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422761</xdr:colOff>
      <xdr:row>83</xdr:row>
      <xdr:rowOff>29826</xdr:rowOff>
    </xdr:from>
    <xdr:to>
      <xdr:col>11</xdr:col>
      <xdr:colOff>525733</xdr:colOff>
      <xdr:row>98</xdr:row>
      <xdr:rowOff>235650</xdr:rowOff>
    </xdr:to>
    <xdr:cxnSp macro="">
      <xdr:nvCxnSpPr>
        <xdr:cNvPr id="120" name="Elbow Connector 119"/>
        <xdr:cNvCxnSpPr>
          <a:stCxn id="107" idx="3"/>
          <a:endCxn id="86" idx="1"/>
        </xdr:cNvCxnSpPr>
      </xdr:nvCxnSpPr>
      <xdr:spPr>
        <a:xfrm>
          <a:off x="5593475" y="20154790"/>
          <a:ext cx="2715544" cy="4696181"/>
        </a:xfrm>
        <a:prstGeom prst="bentConnector3">
          <a:avLst>
            <a:gd name="adj1" fmla="val 4949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471417</xdr:colOff>
      <xdr:row>89</xdr:row>
      <xdr:rowOff>150652</xdr:rowOff>
    </xdr:from>
    <xdr:to>
      <xdr:col>11</xdr:col>
      <xdr:colOff>525733</xdr:colOff>
      <xdr:row>98</xdr:row>
      <xdr:rowOff>235650</xdr:rowOff>
    </xdr:to>
    <xdr:cxnSp macro="">
      <xdr:nvCxnSpPr>
        <xdr:cNvPr id="121" name="Elbow Connector 120"/>
        <xdr:cNvCxnSpPr>
          <a:stCxn id="99" idx="3"/>
          <a:endCxn id="86" idx="1"/>
        </xdr:cNvCxnSpPr>
      </xdr:nvCxnSpPr>
      <xdr:spPr>
        <a:xfrm>
          <a:off x="5642131" y="22071759"/>
          <a:ext cx="2666888" cy="2779212"/>
        </a:xfrm>
        <a:prstGeom prst="bentConnector3">
          <a:avLst>
            <a:gd name="adj1" fmla="val 4846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485068</xdr:colOff>
      <xdr:row>95</xdr:row>
      <xdr:rowOff>267917</xdr:rowOff>
    </xdr:from>
    <xdr:to>
      <xdr:col>11</xdr:col>
      <xdr:colOff>525733</xdr:colOff>
      <xdr:row>98</xdr:row>
      <xdr:rowOff>235650</xdr:rowOff>
    </xdr:to>
    <xdr:cxnSp macro="">
      <xdr:nvCxnSpPr>
        <xdr:cNvPr id="122" name="Elbow Connector 121"/>
        <xdr:cNvCxnSpPr>
          <a:stCxn id="100" idx="3"/>
          <a:endCxn id="86" idx="1"/>
        </xdr:cNvCxnSpPr>
      </xdr:nvCxnSpPr>
      <xdr:spPr>
        <a:xfrm>
          <a:off x="5655782" y="23985167"/>
          <a:ext cx="2653237" cy="865804"/>
        </a:xfrm>
        <a:prstGeom prst="bentConnector3">
          <a:avLst>
            <a:gd name="adj1" fmla="val 4846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259773</xdr:colOff>
      <xdr:row>99</xdr:row>
      <xdr:rowOff>99577</xdr:rowOff>
    </xdr:from>
    <xdr:to>
      <xdr:col>11</xdr:col>
      <xdr:colOff>525736</xdr:colOff>
      <xdr:row>113</xdr:row>
      <xdr:rowOff>77930</xdr:rowOff>
    </xdr:to>
    <xdr:cxnSp macro="">
      <xdr:nvCxnSpPr>
        <xdr:cNvPr id="124" name="Elbow Connector 123"/>
        <xdr:cNvCxnSpPr>
          <a:endCxn id="87" idx="1"/>
        </xdr:cNvCxnSpPr>
      </xdr:nvCxnSpPr>
      <xdr:spPr>
        <a:xfrm rot="5400000">
          <a:off x="6091364" y="26965951"/>
          <a:ext cx="4169353" cy="265963"/>
        </a:xfrm>
        <a:prstGeom prst="bentConnector4">
          <a:avLst>
            <a:gd name="adj1" fmla="val 156"/>
            <a:gd name="adj2" fmla="val 18595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47174</xdr:colOff>
      <xdr:row>81</xdr:row>
      <xdr:rowOff>191624</xdr:rowOff>
    </xdr:from>
    <xdr:to>
      <xdr:col>17</xdr:col>
      <xdr:colOff>958685</xdr:colOff>
      <xdr:row>106</xdr:row>
      <xdr:rowOff>278946</xdr:rowOff>
    </xdr:to>
    <xdr:cxnSp macro="">
      <xdr:nvCxnSpPr>
        <xdr:cNvPr id="125" name="Elbow Connector 124"/>
        <xdr:cNvCxnSpPr>
          <a:stCxn id="105" idx="3"/>
          <a:endCxn id="88" idx="3"/>
        </xdr:cNvCxnSpPr>
      </xdr:nvCxnSpPr>
      <xdr:spPr>
        <a:xfrm>
          <a:off x="12143924" y="19717874"/>
          <a:ext cx="911511" cy="7571251"/>
        </a:xfrm>
        <a:prstGeom prst="bentConnector3">
          <a:avLst>
            <a:gd name="adj1" fmla="val 12507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222169</xdr:colOff>
      <xdr:row>128</xdr:row>
      <xdr:rowOff>226374</xdr:rowOff>
    </xdr:from>
    <xdr:to>
      <xdr:col>9</xdr:col>
      <xdr:colOff>230828</xdr:colOff>
      <xdr:row>132</xdr:row>
      <xdr:rowOff>30929</xdr:rowOff>
    </xdr:to>
    <xdr:sp macro="" textlink="">
      <xdr:nvSpPr>
        <xdr:cNvPr id="129" name="TextBox 128"/>
        <xdr:cNvSpPr txBox="1"/>
      </xdr:nvSpPr>
      <xdr:spPr>
        <a:xfrm>
          <a:off x="3011633" y="33822410"/>
          <a:ext cx="3696195" cy="1001983"/>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2.2b New costs materiality threshold</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EQUALS</a:t>
          </a:r>
        </a:p>
        <a:p>
          <a:r>
            <a:rPr lang="en-GB" sz="1100" b="0" i="0" u="none" strike="noStrike">
              <a:solidFill>
                <a:schemeClr val="dk1"/>
              </a:solidFill>
              <a:effectLst/>
              <a:latin typeface="+mn-lt"/>
              <a:ea typeface="+mn-ea"/>
              <a:cs typeface="+mn-cs"/>
            </a:rPr>
            <a:t>(Sum</a:t>
          </a:r>
          <a:r>
            <a:rPr lang="en-GB" sz="1100" b="0" i="0" u="none" strike="noStrike" baseline="0">
              <a:solidFill>
                <a:schemeClr val="dk1"/>
              </a:solidFill>
              <a:effectLst/>
              <a:latin typeface="+mn-lt"/>
              <a:ea typeface="+mn-ea"/>
              <a:cs typeface="+mn-cs"/>
            </a:rPr>
            <a:t> of AMP (Opex and depreciation))</a:t>
          </a:r>
        </a:p>
        <a:p>
          <a:r>
            <a:rPr lang="en-GB" sz="1100" b="0" i="0" u="none" strike="noStrike" baseline="0">
              <a:solidFill>
                <a:schemeClr val="dk1"/>
              </a:solidFill>
              <a:effectLst/>
              <a:latin typeface="+mn-lt"/>
              <a:ea typeface="+mn-ea"/>
              <a:cs typeface="+mn-cs"/>
            </a:rPr>
            <a:t>MULTIPLIED BY </a:t>
          </a:r>
        </a:p>
        <a:p>
          <a:r>
            <a:rPr lang="en-GB" sz="1100" b="0" i="0" u="none" strike="noStrike" baseline="0">
              <a:solidFill>
                <a:schemeClr val="dk1"/>
              </a:solidFill>
              <a:effectLst/>
              <a:latin typeface="+mn-lt"/>
              <a:ea typeface="+mn-ea"/>
              <a:cs typeface="+mn-cs"/>
            </a:rPr>
            <a:t>Materiality threshold %</a:t>
          </a:r>
          <a:endParaRPr lang="en-GB" sz="1100" b="1"/>
        </a:p>
      </xdr:txBody>
    </xdr:sp>
    <xdr:clientData/>
  </xdr:twoCellAnchor>
  <xdr:twoCellAnchor>
    <xdr:from>
      <xdr:col>4</xdr:col>
      <xdr:colOff>136402</xdr:colOff>
      <xdr:row>143</xdr:row>
      <xdr:rowOff>211532</xdr:rowOff>
    </xdr:from>
    <xdr:to>
      <xdr:col>9</xdr:col>
      <xdr:colOff>316594</xdr:colOff>
      <xdr:row>148</xdr:row>
      <xdr:rowOff>163285</xdr:rowOff>
    </xdr:to>
    <xdr:sp macro="" textlink="">
      <xdr:nvSpPr>
        <xdr:cNvPr id="130" name="TextBox 129"/>
        <xdr:cNvSpPr txBox="1"/>
      </xdr:nvSpPr>
      <xdr:spPr>
        <a:xfrm>
          <a:off x="2925866" y="39087139"/>
          <a:ext cx="3867728" cy="144853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2.2d Disallowed </a:t>
          </a:r>
          <a:r>
            <a:rPr lang="en-GB" sz="1100" b="1" baseline="0"/>
            <a:t> New Costs</a:t>
          </a:r>
        </a:p>
        <a:p>
          <a:r>
            <a:rPr lang="en-GB" sz="1100"/>
            <a:t>EQUALS</a:t>
          </a:r>
        </a:p>
        <a:p>
          <a:r>
            <a:rPr lang="en-GB" sz="1100"/>
            <a:t>If new costs are</a:t>
          </a:r>
        </a:p>
        <a:p>
          <a:r>
            <a:rPr lang="en-GB" sz="1100"/>
            <a:t>GREATER THAN</a:t>
          </a:r>
        </a:p>
        <a:p>
          <a:r>
            <a:rPr lang="en-GB" sz="1100"/>
            <a:t>materiality theshold  £ then </a:t>
          </a:r>
        </a:p>
        <a:p>
          <a:r>
            <a:rPr lang="en-GB" sz="1100" baseline="0"/>
            <a:t>new costs</a:t>
          </a:r>
        </a:p>
        <a:p>
          <a:r>
            <a:rPr lang="en-GB" sz="1100" baseline="0"/>
            <a:t>SUBTRACT</a:t>
          </a:r>
        </a:p>
        <a:p>
          <a:r>
            <a:rPr lang="en-GB" sz="1100"/>
            <a:t>materiality  threshold £</a:t>
          </a:r>
        </a:p>
        <a:p>
          <a:endParaRPr lang="en-GB" sz="1100"/>
        </a:p>
      </xdr:txBody>
    </xdr:sp>
    <xdr:clientData/>
  </xdr:twoCellAnchor>
  <xdr:twoCellAnchor>
    <xdr:from>
      <xdr:col>2</xdr:col>
      <xdr:colOff>655756</xdr:colOff>
      <xdr:row>120</xdr:row>
      <xdr:rowOff>249717</xdr:rowOff>
    </xdr:from>
    <xdr:to>
      <xdr:col>4</xdr:col>
      <xdr:colOff>222170</xdr:colOff>
      <xdr:row>130</xdr:row>
      <xdr:rowOff>128651</xdr:rowOff>
    </xdr:to>
    <xdr:cxnSp macro="">
      <xdr:nvCxnSpPr>
        <xdr:cNvPr id="131" name="Elbow Connector 130"/>
        <xdr:cNvCxnSpPr>
          <a:stCxn id="110" idx="2"/>
          <a:endCxn id="129" idx="1"/>
        </xdr:cNvCxnSpPr>
      </xdr:nvCxnSpPr>
      <xdr:spPr>
        <a:xfrm rot="16200000" flipH="1">
          <a:off x="873692" y="32185460"/>
          <a:ext cx="2872505" cy="1403378"/>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505445</xdr:colOff>
      <xdr:row>127</xdr:row>
      <xdr:rowOff>152153</xdr:rowOff>
    </xdr:from>
    <xdr:to>
      <xdr:col>6</xdr:col>
      <xdr:colOff>505445</xdr:colOff>
      <xdr:row>128</xdr:row>
      <xdr:rowOff>226374</xdr:rowOff>
    </xdr:to>
    <xdr:cxnSp macro="">
      <xdr:nvCxnSpPr>
        <xdr:cNvPr id="132" name="Straight Arrow Connector 131"/>
        <xdr:cNvCxnSpPr>
          <a:stCxn id="89" idx="2"/>
          <a:endCxn id="129" idx="0"/>
        </xdr:cNvCxnSpPr>
      </xdr:nvCxnSpPr>
      <xdr:spPr>
        <a:xfrm>
          <a:off x="4859731" y="33448832"/>
          <a:ext cx="0" cy="3735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589008</xdr:colOff>
      <xdr:row>184</xdr:row>
      <xdr:rowOff>27214</xdr:rowOff>
    </xdr:from>
    <xdr:to>
      <xdr:col>8</xdr:col>
      <xdr:colOff>295455</xdr:colOff>
      <xdr:row>185</xdr:row>
      <xdr:rowOff>222503</xdr:rowOff>
    </xdr:to>
    <xdr:sp macro="" textlink="">
      <xdr:nvSpPr>
        <xdr:cNvPr id="153" name="TextBox 152"/>
        <xdr:cNvSpPr txBox="1"/>
      </xdr:nvSpPr>
      <xdr:spPr>
        <a:xfrm>
          <a:off x="4290151" y="41705893"/>
          <a:ext cx="1829161" cy="494646"/>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New</a:t>
          </a:r>
          <a:r>
            <a:rPr lang="en-GB" sz="1100" b="1" baseline="0"/>
            <a:t> costs and adjustments </a:t>
          </a:r>
          <a:endParaRPr lang="en-GB" sz="1100" b="1"/>
        </a:p>
      </xdr:txBody>
    </xdr:sp>
    <xdr:clientData/>
  </xdr:twoCellAnchor>
  <xdr:twoCellAnchor>
    <xdr:from>
      <xdr:col>7</xdr:col>
      <xdr:colOff>34017</xdr:colOff>
      <xdr:row>185</xdr:row>
      <xdr:rowOff>222503</xdr:rowOff>
    </xdr:from>
    <xdr:to>
      <xdr:col>7</xdr:col>
      <xdr:colOff>34018</xdr:colOff>
      <xdr:row>187</xdr:row>
      <xdr:rowOff>0</xdr:rowOff>
    </xdr:to>
    <xdr:cxnSp macro="">
      <xdr:nvCxnSpPr>
        <xdr:cNvPr id="154" name="Straight Arrow Connector 153"/>
        <xdr:cNvCxnSpPr>
          <a:stCxn id="153" idx="2"/>
          <a:endCxn id="321" idx="0"/>
        </xdr:cNvCxnSpPr>
      </xdr:nvCxnSpPr>
      <xdr:spPr>
        <a:xfrm flipH="1">
          <a:off x="5204731" y="42200539"/>
          <a:ext cx="1" cy="6755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604157</xdr:colOff>
      <xdr:row>198</xdr:row>
      <xdr:rowOff>0</xdr:rowOff>
    </xdr:from>
    <xdr:to>
      <xdr:col>3</xdr:col>
      <xdr:colOff>127907</xdr:colOff>
      <xdr:row>199</xdr:row>
      <xdr:rowOff>27214</xdr:rowOff>
    </xdr:to>
    <xdr:sp macro="" textlink="">
      <xdr:nvSpPr>
        <xdr:cNvPr id="168" name="TextBox 167"/>
        <xdr:cNvSpPr txBox="1"/>
      </xdr:nvSpPr>
      <xdr:spPr>
        <a:xfrm>
          <a:off x="903514" y="40481250"/>
          <a:ext cx="1428750" cy="326571"/>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F_Inputs</a:t>
          </a:r>
        </a:p>
      </xdr:txBody>
    </xdr:sp>
    <xdr:clientData/>
  </xdr:twoCellAnchor>
  <xdr:twoCellAnchor>
    <xdr:from>
      <xdr:col>4</xdr:col>
      <xdr:colOff>285750</xdr:colOff>
      <xdr:row>198</xdr:row>
      <xdr:rowOff>0</xdr:rowOff>
    </xdr:from>
    <xdr:to>
      <xdr:col>6</xdr:col>
      <xdr:colOff>149678</xdr:colOff>
      <xdr:row>199</xdr:row>
      <xdr:rowOff>27214</xdr:rowOff>
    </xdr:to>
    <xdr:sp macro="" textlink="">
      <xdr:nvSpPr>
        <xdr:cNvPr id="169" name="TextBox 168"/>
        <xdr:cNvSpPr txBox="1"/>
      </xdr:nvSpPr>
      <xdr:spPr>
        <a:xfrm>
          <a:off x="3075214" y="40481250"/>
          <a:ext cx="1428750" cy="326571"/>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Input</a:t>
          </a:r>
          <a:r>
            <a:rPr lang="en-GB" sz="1100" b="1" baseline="0"/>
            <a:t> overrides</a:t>
          </a:r>
          <a:endParaRPr lang="en-GB" sz="1100" b="1"/>
        </a:p>
      </xdr:txBody>
    </xdr:sp>
    <xdr:clientData/>
  </xdr:twoCellAnchor>
  <xdr:twoCellAnchor>
    <xdr:from>
      <xdr:col>1</xdr:col>
      <xdr:colOff>604157</xdr:colOff>
      <xdr:row>200</xdr:row>
      <xdr:rowOff>114301</xdr:rowOff>
    </xdr:from>
    <xdr:to>
      <xdr:col>6</xdr:col>
      <xdr:colOff>149678</xdr:colOff>
      <xdr:row>203</xdr:row>
      <xdr:rowOff>217716</xdr:rowOff>
    </xdr:to>
    <xdr:sp macro="" textlink="">
      <xdr:nvSpPr>
        <xdr:cNvPr id="170" name="TextBox 169"/>
        <xdr:cNvSpPr txBox="1"/>
      </xdr:nvSpPr>
      <xdr:spPr>
        <a:xfrm>
          <a:off x="903514" y="55264051"/>
          <a:ext cx="3600450" cy="78377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Used inputs</a:t>
          </a:r>
          <a:endParaRPr lang="en-GB" sz="1100" b="1" baseline="0"/>
        </a:p>
        <a:p>
          <a:endParaRPr lang="en-GB" sz="1100" b="0" baseline="0"/>
        </a:p>
        <a:p>
          <a:r>
            <a:rPr lang="en-GB" sz="1100" b="0" baseline="0"/>
            <a:t>IF "Input overrides" is blank</a:t>
          </a:r>
        </a:p>
        <a:p>
          <a:r>
            <a:rPr lang="en-GB" sz="1100" b="0" baseline="0"/>
            <a:t>THEN "F_Inputs"</a:t>
          </a:r>
        </a:p>
        <a:p>
          <a:r>
            <a:rPr lang="en-GB" sz="1100" b="0" baseline="0"/>
            <a:t>ELSE "Input overrides"</a:t>
          </a:r>
          <a:endParaRPr lang="en-GB" sz="1100" b="0"/>
        </a:p>
      </xdr:txBody>
    </xdr:sp>
    <xdr:clientData/>
  </xdr:twoCellAnchor>
  <xdr:twoCellAnchor>
    <xdr:from>
      <xdr:col>2</xdr:col>
      <xdr:colOff>204107</xdr:colOff>
      <xdr:row>215</xdr:row>
      <xdr:rowOff>204107</xdr:rowOff>
    </xdr:from>
    <xdr:to>
      <xdr:col>16</xdr:col>
      <xdr:colOff>637787</xdr:colOff>
      <xdr:row>232</xdr:row>
      <xdr:rowOff>285750</xdr:rowOff>
    </xdr:to>
    <xdr:sp macro="" textlink="">
      <xdr:nvSpPr>
        <xdr:cNvPr id="185" name="AutoShape 10"/>
        <xdr:cNvSpPr>
          <a:spLocks noChangeArrowheads="1"/>
        </xdr:cNvSpPr>
      </xdr:nvSpPr>
      <xdr:spPr bwMode="auto">
        <a:xfrm>
          <a:off x="1156607" y="44577000"/>
          <a:ext cx="10924787" cy="5170714"/>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 X.1 to X.4 Separates inputs from the F_Input sheet  into  company groups, and then into:</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X.1 operating expenditure: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Total operating expenditure (excluding exceptional items)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Total </a:t>
          </a: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depreciation of assets included in RCV (assets existing before AMP6)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Total depreciation of assets that are not included in RCV (AMP6 or later assets)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X.2 operating expenditure - metering</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Total retail metering expenditure - water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Total retail metering expenditure - sewerage only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Total retail metering expenditure -  water and sewerage customers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X.3 Customer numbers - business plan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water only - unmetered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water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sewerage only - unmetered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sewerage only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water and sewerage - unmetered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Households connected for water and sewerage - metered</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X.4 Company specific adjustments per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mn-lt"/>
              <a:ea typeface="+mn-ea"/>
              <a:cs typeface="+mn-cs"/>
            </a:rPr>
            <a:t>Company specific adjustments and outcomes expenditure equal the sum of:</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100" b="1">
              <a:effectLst/>
            </a:rPr>
            <a:t>ADD Operating expenditure - excluded from ACTS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100" b="1">
              <a:effectLst/>
            </a:rPr>
            <a:t>ADD Total depreciation of assets that are not included in RCV - excluded from ACTS</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19.1 MODEL PARAMETERS (INDUSTRY LEVEL - NOT BY COMPANY)</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Economies of scope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Glidepath (MANUAL INPUT)</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pitchFamily="34" charset="0"/>
              <a:cs typeface="Arial" pitchFamily="34" charset="0"/>
            </a:rPr>
            <a:t>% expenditure changes with a 100% change in customer (MANUAL INPUT)</a:t>
          </a:r>
        </a:p>
      </xdr:txBody>
    </xdr:sp>
    <xdr:clientData/>
  </xdr:twoCellAnchor>
  <xdr:twoCellAnchor>
    <xdr:from>
      <xdr:col>8</xdr:col>
      <xdr:colOff>189626</xdr:colOff>
      <xdr:row>212</xdr:row>
      <xdr:rowOff>185058</xdr:rowOff>
    </xdr:from>
    <xdr:to>
      <xdr:col>10</xdr:col>
      <xdr:colOff>94375</xdr:colOff>
      <xdr:row>213</xdr:row>
      <xdr:rowOff>272145</xdr:rowOff>
    </xdr:to>
    <xdr:sp macro="" textlink="">
      <xdr:nvSpPr>
        <xdr:cNvPr id="206" name="TextBox 205"/>
        <xdr:cNvSpPr txBox="1"/>
      </xdr:nvSpPr>
      <xdr:spPr>
        <a:xfrm>
          <a:off x="6013483" y="43360522"/>
          <a:ext cx="1211035" cy="386444"/>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Used inputs</a:t>
          </a:r>
          <a:endParaRPr lang="en-GB" sz="1100" b="1" baseline="0"/>
        </a:p>
        <a:p>
          <a:endParaRPr lang="en-GB" sz="1100" b="0" baseline="0"/>
        </a:p>
      </xdr:txBody>
    </xdr:sp>
    <xdr:clientData/>
  </xdr:twoCellAnchor>
  <xdr:twoCellAnchor>
    <xdr:from>
      <xdr:col>9</xdr:col>
      <xdr:colOff>142001</xdr:colOff>
      <xdr:row>213</xdr:row>
      <xdr:rowOff>272145</xdr:rowOff>
    </xdr:from>
    <xdr:to>
      <xdr:col>9</xdr:col>
      <xdr:colOff>142001</xdr:colOff>
      <xdr:row>215</xdr:row>
      <xdr:rowOff>204107</xdr:rowOff>
    </xdr:to>
    <xdr:cxnSp macro="">
      <xdr:nvCxnSpPr>
        <xdr:cNvPr id="207" name="Straight Arrow Connector 206"/>
        <xdr:cNvCxnSpPr>
          <a:stCxn id="206" idx="2"/>
          <a:endCxn id="185" idx="0"/>
        </xdr:cNvCxnSpPr>
      </xdr:nvCxnSpPr>
      <xdr:spPr>
        <a:xfrm>
          <a:off x="6619001" y="43746966"/>
          <a:ext cx="0" cy="8300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806922</xdr:colOff>
      <xdr:row>40</xdr:row>
      <xdr:rowOff>113804</xdr:rowOff>
    </xdr:from>
    <xdr:to>
      <xdr:col>6</xdr:col>
      <xdr:colOff>761999</xdr:colOff>
      <xdr:row>41</xdr:row>
      <xdr:rowOff>136071</xdr:rowOff>
    </xdr:to>
    <xdr:sp macro="" textlink="">
      <xdr:nvSpPr>
        <xdr:cNvPr id="231" name="TextBox 230"/>
        <xdr:cNvSpPr txBox="1"/>
      </xdr:nvSpPr>
      <xdr:spPr>
        <a:xfrm>
          <a:off x="3607272" y="15106154"/>
          <a:ext cx="1507652" cy="317542"/>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F_Inputs</a:t>
          </a:r>
        </a:p>
      </xdr:txBody>
    </xdr:sp>
    <xdr:clientData/>
  </xdr:twoCellAnchor>
  <xdr:twoCellAnchor>
    <xdr:from>
      <xdr:col>1</xdr:col>
      <xdr:colOff>262638</xdr:colOff>
      <xdr:row>42</xdr:row>
      <xdr:rowOff>263483</xdr:rowOff>
    </xdr:from>
    <xdr:to>
      <xdr:col>4</xdr:col>
      <xdr:colOff>898073</xdr:colOff>
      <xdr:row>49</xdr:row>
      <xdr:rowOff>190500</xdr:rowOff>
    </xdr:to>
    <xdr:sp macro="" textlink="">
      <xdr:nvSpPr>
        <xdr:cNvPr id="233" name="TextBox 232"/>
        <xdr:cNvSpPr txBox="1"/>
      </xdr:nvSpPr>
      <xdr:spPr>
        <a:xfrm>
          <a:off x="561995" y="8114804"/>
          <a:ext cx="3125542" cy="2022517"/>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1.1 Depreciation</a:t>
          </a:r>
          <a:r>
            <a:rPr lang="en-GB" sz="1100" b="1" baseline="0"/>
            <a:t> net of recharges</a:t>
          </a:r>
        </a:p>
        <a:p>
          <a:endParaRPr lang="en-GB" sz="1100" b="1" baseline="0"/>
        </a:p>
        <a:p>
          <a:r>
            <a:rPr lang="en-GB" sz="1100" b="0" baseline="0"/>
            <a:t>Legacy depreciation net of recharges = </a:t>
          </a:r>
        </a:p>
        <a:p>
          <a:r>
            <a:rPr lang="en-GB" sz="1100" b="0" baseline="0"/>
            <a:t>R3002 </a:t>
          </a:r>
        </a:p>
        <a:p>
          <a:r>
            <a:rPr lang="en-GB" sz="1100" b="0" baseline="0"/>
            <a:t>ADD R3036 </a:t>
          </a:r>
        </a:p>
        <a:p>
          <a:r>
            <a:rPr lang="en-GB" sz="1100" b="0" baseline="0"/>
            <a:t>SUBTRACT R3037</a:t>
          </a:r>
        </a:p>
        <a:p>
          <a:endParaRPr lang="en-GB" sz="1100" b="0" baseline="0"/>
        </a:p>
        <a:p>
          <a:r>
            <a:rPr lang="en-GB" sz="1100" b="0" baseline="0"/>
            <a:t>AMP6 depreciation net of recharges = </a:t>
          </a:r>
        </a:p>
        <a:p>
          <a:r>
            <a:rPr lang="en-GB" sz="1100" b="0" baseline="0"/>
            <a:t>R3003 </a:t>
          </a:r>
        </a:p>
        <a:p>
          <a:r>
            <a:rPr lang="en-GB" sz="1100" b="0" baseline="0"/>
            <a:t>ADD R3038 </a:t>
          </a:r>
        </a:p>
        <a:p>
          <a:r>
            <a:rPr lang="en-GB" sz="1100" b="0" baseline="0"/>
            <a:t>SUBTRACT R3039</a:t>
          </a:r>
          <a:endParaRPr lang="en-GB" sz="1100" b="0"/>
        </a:p>
      </xdr:txBody>
    </xdr:sp>
    <xdr:clientData/>
  </xdr:twoCellAnchor>
  <xdr:twoCellAnchor>
    <xdr:from>
      <xdr:col>3</xdr:col>
      <xdr:colOff>455860</xdr:colOff>
      <xdr:row>51</xdr:row>
      <xdr:rowOff>285750</xdr:rowOff>
    </xdr:from>
    <xdr:to>
      <xdr:col>10</xdr:col>
      <xdr:colOff>503464</xdr:colOff>
      <xdr:row>56</xdr:row>
      <xdr:rowOff>57150</xdr:rowOff>
    </xdr:to>
    <xdr:sp macro="" textlink="">
      <xdr:nvSpPr>
        <xdr:cNvPr id="237" name="TextBox 236"/>
        <xdr:cNvSpPr txBox="1"/>
      </xdr:nvSpPr>
      <xdr:spPr>
        <a:xfrm>
          <a:off x="2660217" y="10831286"/>
          <a:ext cx="4973390" cy="1268185"/>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1.2 New cost data</a:t>
          </a:r>
        </a:p>
        <a:p>
          <a:endParaRPr lang="en-GB" sz="1100" b="1"/>
        </a:p>
        <a:p>
          <a:r>
            <a:rPr lang="en-GB" sz="1100" b="1"/>
            <a:t>VLOOKUP from F_Inputs</a:t>
          </a:r>
          <a:r>
            <a:rPr lang="en-GB" sz="1100" b="1" baseline="0"/>
            <a:t> except for:</a:t>
          </a:r>
        </a:p>
        <a:p>
          <a:endParaRPr lang="en-GB" sz="1100" b="1" baseline="0"/>
        </a:p>
        <a:p>
          <a:r>
            <a:rPr lang="en-GB" sz="1100" b="0" baseline="0"/>
            <a:t>Legacy depreciation net of recharges (from 1.1)</a:t>
          </a:r>
        </a:p>
        <a:p>
          <a:r>
            <a:rPr lang="en-GB" sz="1100" b="0" baseline="0"/>
            <a:t>AMP 6 depreciation net of recharges (from 1.1)</a:t>
          </a:r>
        </a:p>
        <a:p>
          <a:r>
            <a:rPr lang="en-GB" sz="1100" b="0" baseline="0"/>
            <a:t>Operating expenditure - excluded from ACTS (From 2.2e)</a:t>
          </a:r>
          <a:endParaRPr lang="en-GB" sz="1100" b="0"/>
        </a:p>
      </xdr:txBody>
    </xdr:sp>
    <xdr:clientData/>
  </xdr:twoCellAnchor>
  <xdr:twoCellAnchor>
    <xdr:from>
      <xdr:col>13</xdr:col>
      <xdr:colOff>463498</xdr:colOff>
      <xdr:row>65</xdr:row>
      <xdr:rowOff>294292</xdr:rowOff>
    </xdr:from>
    <xdr:to>
      <xdr:col>13</xdr:col>
      <xdr:colOff>463499</xdr:colOff>
      <xdr:row>67</xdr:row>
      <xdr:rowOff>290702</xdr:rowOff>
    </xdr:to>
    <xdr:cxnSp macro="">
      <xdr:nvCxnSpPr>
        <xdr:cNvPr id="251" name="Straight Arrow Connector 250"/>
        <xdr:cNvCxnSpPr>
          <a:stCxn id="108" idx="2"/>
          <a:endCxn id="104" idx="0"/>
        </xdr:cNvCxnSpPr>
      </xdr:nvCxnSpPr>
      <xdr:spPr>
        <a:xfrm>
          <a:off x="9947677" y="15030828"/>
          <a:ext cx="1" cy="5951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254475</xdr:colOff>
      <xdr:row>75</xdr:row>
      <xdr:rowOff>234045</xdr:rowOff>
    </xdr:from>
    <xdr:to>
      <xdr:col>2</xdr:col>
      <xdr:colOff>1238251</xdr:colOff>
      <xdr:row>77</xdr:row>
      <xdr:rowOff>95251</xdr:rowOff>
    </xdr:to>
    <xdr:sp macro="" textlink="">
      <xdr:nvSpPr>
        <xdr:cNvPr id="256" name="TextBox 255"/>
        <xdr:cNvSpPr txBox="1"/>
      </xdr:nvSpPr>
      <xdr:spPr>
        <a:xfrm>
          <a:off x="553832" y="17964152"/>
          <a:ext cx="1636919" cy="45992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1.2 New cost data</a:t>
          </a:r>
        </a:p>
        <a:p>
          <a:endParaRPr lang="en-GB" sz="1100" b="1"/>
        </a:p>
      </xdr:txBody>
    </xdr:sp>
    <xdr:clientData/>
  </xdr:twoCellAnchor>
  <xdr:twoCellAnchor>
    <xdr:from>
      <xdr:col>14</xdr:col>
      <xdr:colOff>20461</xdr:colOff>
      <xdr:row>84</xdr:row>
      <xdr:rowOff>176211</xdr:rowOff>
    </xdr:from>
    <xdr:to>
      <xdr:col>14</xdr:col>
      <xdr:colOff>20462</xdr:colOff>
      <xdr:row>85</xdr:row>
      <xdr:rowOff>272356</xdr:rowOff>
    </xdr:to>
    <xdr:cxnSp macro="">
      <xdr:nvCxnSpPr>
        <xdr:cNvPr id="265" name="Straight Arrow Connector 264"/>
        <xdr:cNvCxnSpPr>
          <a:stCxn id="105" idx="2"/>
          <a:endCxn id="96" idx="0"/>
        </xdr:cNvCxnSpPr>
      </xdr:nvCxnSpPr>
      <xdr:spPr>
        <a:xfrm>
          <a:off x="10157782" y="20600532"/>
          <a:ext cx="1" cy="3955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525733</xdr:colOff>
      <xdr:row>71</xdr:row>
      <xdr:rowOff>54429</xdr:rowOff>
    </xdr:from>
    <xdr:to>
      <xdr:col>13</xdr:col>
      <xdr:colOff>463499</xdr:colOff>
      <xdr:row>98</xdr:row>
      <xdr:rowOff>235651</xdr:rowOff>
    </xdr:to>
    <xdr:cxnSp macro="">
      <xdr:nvCxnSpPr>
        <xdr:cNvPr id="272" name="Elbow Connector 271"/>
        <xdr:cNvCxnSpPr>
          <a:stCxn id="104" idx="2"/>
          <a:endCxn id="86" idx="1"/>
        </xdr:cNvCxnSpPr>
      </xdr:nvCxnSpPr>
      <xdr:spPr>
        <a:xfrm rot="5400000">
          <a:off x="4996417" y="19899710"/>
          <a:ext cx="8263864" cy="1638659"/>
        </a:xfrm>
        <a:prstGeom prst="bentConnector4">
          <a:avLst>
            <a:gd name="adj1" fmla="val 15845"/>
            <a:gd name="adj2" fmla="val 18370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117</xdr:row>
      <xdr:rowOff>0</xdr:rowOff>
    </xdr:from>
    <xdr:to>
      <xdr:col>3</xdr:col>
      <xdr:colOff>385062</xdr:colOff>
      <xdr:row>118</xdr:row>
      <xdr:rowOff>160563</xdr:rowOff>
    </xdr:to>
    <xdr:sp macro="" textlink="">
      <xdr:nvSpPr>
        <xdr:cNvPr id="297" name="TextBox 296"/>
        <xdr:cNvSpPr txBox="1"/>
      </xdr:nvSpPr>
      <xdr:spPr>
        <a:xfrm>
          <a:off x="952500" y="30303107"/>
          <a:ext cx="1636919" cy="45992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1.2 New cost data</a:t>
          </a:r>
        </a:p>
        <a:p>
          <a:endParaRPr lang="en-GB" sz="1100" b="1"/>
        </a:p>
      </xdr:txBody>
    </xdr:sp>
    <xdr:clientData/>
  </xdr:twoCellAnchor>
  <xdr:twoCellAnchor>
    <xdr:from>
      <xdr:col>3</xdr:col>
      <xdr:colOff>385062</xdr:colOff>
      <xdr:row>117</xdr:row>
      <xdr:rowOff>229960</xdr:rowOff>
    </xdr:from>
    <xdr:to>
      <xdr:col>6</xdr:col>
      <xdr:colOff>505445</xdr:colOff>
      <xdr:row>120</xdr:row>
      <xdr:rowOff>3713</xdr:rowOff>
    </xdr:to>
    <xdr:cxnSp macro="">
      <xdr:nvCxnSpPr>
        <xdr:cNvPr id="298" name="Elbow Connector 297"/>
        <xdr:cNvCxnSpPr>
          <a:stCxn id="297" idx="3"/>
          <a:endCxn id="89" idx="0"/>
        </xdr:cNvCxnSpPr>
      </xdr:nvCxnSpPr>
      <xdr:spPr>
        <a:xfrm>
          <a:off x="2589419" y="30533067"/>
          <a:ext cx="2270312" cy="671825"/>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1183822</xdr:colOff>
      <xdr:row>133</xdr:row>
      <xdr:rowOff>133846</xdr:rowOff>
    </xdr:from>
    <xdr:to>
      <xdr:col>10</xdr:col>
      <xdr:colOff>452996</xdr:colOff>
      <xdr:row>142</xdr:row>
      <xdr:rowOff>0</xdr:rowOff>
    </xdr:to>
    <xdr:sp macro="" textlink="">
      <xdr:nvSpPr>
        <xdr:cNvPr id="311" name="TextBox 310"/>
        <xdr:cNvSpPr txBox="1"/>
      </xdr:nvSpPr>
      <xdr:spPr>
        <a:xfrm>
          <a:off x="2136322" y="35226667"/>
          <a:ext cx="5446817" cy="256036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2.2c</a:t>
          </a:r>
          <a:r>
            <a:rPr lang="en-GB" sz="1100" b="1" baseline="0"/>
            <a:t> Total new costs</a:t>
          </a:r>
        </a:p>
        <a:p>
          <a:r>
            <a:rPr lang="en-GB" sz="1100" b="0" baseline="0"/>
            <a:t>EQUALS</a:t>
          </a:r>
        </a:p>
        <a:p>
          <a:r>
            <a:rPr lang="en-GB" sz="1100" b="0" baseline="0"/>
            <a:t>2.3k </a:t>
          </a:r>
          <a:r>
            <a:rPr lang="en-GB" sz="1100" b="0">
              <a:solidFill>
                <a:schemeClr val="dk1"/>
              </a:solidFill>
              <a:effectLst/>
              <a:latin typeface="+mn-lt"/>
              <a:ea typeface="+mn-ea"/>
              <a:cs typeface="+mn-cs"/>
            </a:rPr>
            <a:t>Change in household retail expenditure due to other factors</a:t>
          </a:r>
        </a:p>
        <a:p>
          <a:endParaRPr lang="en-GB" sz="1100" b="0">
            <a:solidFill>
              <a:schemeClr val="dk1"/>
            </a:solidFill>
            <a:effectLst/>
            <a:latin typeface="+mn-lt"/>
            <a:ea typeface="+mn-ea"/>
            <a:cs typeface="+mn-cs"/>
          </a:endParaRPr>
        </a:p>
        <a:p>
          <a:r>
            <a:rPr lang="en-GB" sz="1100" b="0">
              <a:solidFill>
                <a:schemeClr val="dk1"/>
              </a:solidFill>
              <a:effectLst/>
              <a:latin typeface="+mn-lt"/>
              <a:ea typeface="+mn-ea"/>
              <a:cs typeface="+mn-cs"/>
            </a:rPr>
            <a:t>Difference between</a:t>
          </a:r>
          <a:r>
            <a:rPr lang="en-GB" sz="1100" b="0" baseline="0">
              <a:solidFill>
                <a:schemeClr val="dk1"/>
              </a:solidFill>
              <a:effectLst/>
              <a:latin typeface="+mn-lt"/>
              <a:ea typeface="+mn-ea"/>
              <a:cs typeface="+mn-cs"/>
            </a:rPr>
            <a:t> total new costs and new costs materiality threshold </a:t>
          </a:r>
        </a:p>
        <a:p>
          <a:r>
            <a:rPr lang="en-GB" sz="1100" b="0" baseline="0">
              <a:solidFill>
                <a:schemeClr val="dk1"/>
              </a:solidFill>
              <a:effectLst/>
              <a:latin typeface="+mn-lt"/>
              <a:ea typeface="+mn-ea"/>
              <a:cs typeface="+mn-cs"/>
            </a:rPr>
            <a:t>EQUALS</a:t>
          </a:r>
        </a:p>
        <a:p>
          <a:r>
            <a:rPr lang="en-GB" sz="1100" b="0" baseline="0">
              <a:solidFill>
                <a:schemeClr val="dk1"/>
              </a:solidFill>
              <a:effectLst/>
              <a:latin typeface="+mn-lt"/>
              <a:ea typeface="+mn-ea"/>
              <a:cs typeface="+mn-cs"/>
            </a:rPr>
            <a:t>SUM (Change in household retail expenditure due to other factors over 2015-16 to 2019-20) </a:t>
          </a:r>
        </a:p>
        <a:p>
          <a:r>
            <a:rPr lang="en-GB" sz="1100" b="0" baseline="0">
              <a:solidFill>
                <a:schemeClr val="dk1"/>
              </a:solidFill>
              <a:effectLst/>
              <a:latin typeface="+mn-lt"/>
              <a:ea typeface="+mn-ea"/>
              <a:cs typeface="+mn-cs"/>
            </a:rPr>
            <a:t>MINUS</a:t>
          </a:r>
        </a:p>
        <a:p>
          <a:r>
            <a:rPr lang="en-GB" sz="1100" b="0" baseline="0">
              <a:solidFill>
                <a:schemeClr val="dk1"/>
              </a:solidFill>
              <a:effectLst/>
              <a:latin typeface="+mn-lt"/>
              <a:ea typeface="+mn-ea"/>
              <a:cs typeface="+mn-cs"/>
            </a:rPr>
            <a:t>2.4b New costs materiality threshold</a:t>
          </a: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Are new costs material?</a:t>
          </a:r>
        </a:p>
        <a:p>
          <a:r>
            <a:rPr lang="en-GB" sz="1100" b="0" baseline="0">
              <a:solidFill>
                <a:schemeClr val="dk1"/>
              </a:solidFill>
              <a:effectLst/>
              <a:latin typeface="+mn-lt"/>
              <a:ea typeface="+mn-ea"/>
              <a:cs typeface="+mn-cs"/>
            </a:rPr>
            <a:t>IF Difference &gt; 0</a:t>
          </a:r>
        </a:p>
        <a:p>
          <a:r>
            <a:rPr lang="en-GB" sz="1100" b="0" baseline="0">
              <a:solidFill>
                <a:schemeClr val="dk1"/>
              </a:solidFill>
              <a:effectLst/>
              <a:latin typeface="+mn-lt"/>
              <a:ea typeface="+mn-ea"/>
              <a:cs typeface="+mn-cs"/>
            </a:rPr>
            <a:t>THEN "Yes"</a:t>
          </a:r>
        </a:p>
        <a:p>
          <a:r>
            <a:rPr lang="en-GB" sz="1100" b="0" baseline="0">
              <a:solidFill>
                <a:schemeClr val="dk1"/>
              </a:solidFill>
              <a:effectLst/>
              <a:latin typeface="+mn-lt"/>
              <a:ea typeface="+mn-ea"/>
              <a:cs typeface="+mn-cs"/>
            </a:rPr>
            <a:t>ELSE "No"</a:t>
          </a:r>
          <a:endParaRPr lang="en-GB" b="0">
            <a:effectLst/>
          </a:endParaRPr>
        </a:p>
        <a:p>
          <a:endParaRPr lang="en-GB" sz="1100" b="0"/>
        </a:p>
      </xdr:txBody>
    </xdr:sp>
    <xdr:clientData/>
  </xdr:twoCellAnchor>
  <xdr:twoCellAnchor>
    <xdr:from>
      <xdr:col>2</xdr:col>
      <xdr:colOff>884463</xdr:colOff>
      <xdr:row>187</xdr:row>
      <xdr:rowOff>0</xdr:rowOff>
    </xdr:from>
    <xdr:to>
      <xdr:col>12</xdr:col>
      <xdr:colOff>54428</xdr:colOff>
      <xdr:row>194</xdr:row>
      <xdr:rowOff>244929</xdr:rowOff>
    </xdr:to>
    <xdr:sp macro="" textlink="">
      <xdr:nvSpPr>
        <xdr:cNvPr id="321" name="TextBox 320"/>
        <xdr:cNvSpPr txBox="1"/>
      </xdr:nvSpPr>
      <xdr:spPr>
        <a:xfrm>
          <a:off x="1836963" y="42876107"/>
          <a:ext cx="6735536" cy="234042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Input Overides Calculation</a:t>
          </a:r>
        </a:p>
        <a:p>
          <a:r>
            <a:rPr lang="en-GB" sz="1100" b="1"/>
            <a:t>R3002 Legacy depreciation net of recharges </a:t>
          </a:r>
        </a:p>
        <a:p>
          <a:r>
            <a:rPr lang="en-GB" sz="1100"/>
            <a:t>EQUALS</a:t>
          </a:r>
          <a:r>
            <a:rPr lang="en-GB" sz="1100" baseline="0"/>
            <a:t> Input R3002 </a:t>
          </a:r>
          <a:r>
            <a:rPr lang="en-GB" sz="1100"/>
            <a:t>Total depreciation of assets included in RCV (assets existing before AMP6) </a:t>
          </a:r>
        </a:p>
        <a:p>
          <a:r>
            <a:rPr lang="en-GB" sz="1100"/>
            <a:t>SUBRACT Income from wholesale for legacy assets principally used by retail (assets existing before AMP 6)</a:t>
          </a:r>
          <a:endParaRPr lang="en-GB" sz="1100" b="0"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ADD R3036 Recharge from wholesale for legacy assets principally used by wholesale (assets existing before AMP 6) </a:t>
          </a:r>
        </a:p>
        <a:p>
          <a:endParaRPr lang="en-GB" sz="1100" b="1"/>
        </a:p>
        <a:p>
          <a:r>
            <a:rPr lang="en-GB" sz="1100" b="1"/>
            <a:t>R3003 AMP 6 depreciation net of recharges</a:t>
          </a:r>
          <a:r>
            <a:rPr lang="en-GB" sz="1100" b="1" baseline="0"/>
            <a:t> </a:t>
          </a:r>
        </a:p>
        <a:p>
          <a:r>
            <a:rPr lang="en-GB" sz="1100" b="0" i="0" baseline="0"/>
            <a:t>EQUALS Input R3003 Total depreciation of assets that are not included in RCV (AMP6 or later assets) </a:t>
          </a:r>
        </a:p>
        <a:p>
          <a:r>
            <a:rPr lang="en-GB" sz="1100" b="0" i="0" baseline="0"/>
            <a:t>SUBTRACT R3039 Income from wholesale for AMP 6 or later assets principally used by retail </a:t>
          </a:r>
          <a:endParaRPr lang="en-GB" sz="1100" b="0"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ADD R3038 Recharge from wholesale for AMP 6 or later assets principally used by wholesale </a:t>
          </a:r>
          <a:endParaRPr lang="en-GB" sz="1100" b="0" i="0"/>
        </a:p>
      </xdr:txBody>
    </xdr:sp>
    <xdr:clientData/>
  </xdr:twoCellAnchor>
  <xdr:twoCellAnchor>
    <xdr:from>
      <xdr:col>6</xdr:col>
      <xdr:colOff>505445</xdr:colOff>
      <xdr:row>132</xdr:row>
      <xdr:rowOff>30929</xdr:rowOff>
    </xdr:from>
    <xdr:to>
      <xdr:col>6</xdr:col>
      <xdr:colOff>505445</xdr:colOff>
      <xdr:row>133</xdr:row>
      <xdr:rowOff>133846</xdr:rowOff>
    </xdr:to>
    <xdr:cxnSp macro="">
      <xdr:nvCxnSpPr>
        <xdr:cNvPr id="327" name="Straight Arrow Connector 326"/>
        <xdr:cNvCxnSpPr>
          <a:stCxn id="129" idx="2"/>
          <a:endCxn id="311" idx="0"/>
        </xdr:cNvCxnSpPr>
      </xdr:nvCxnSpPr>
      <xdr:spPr>
        <a:xfrm>
          <a:off x="4859731" y="34824393"/>
          <a:ext cx="0" cy="4022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268435</xdr:colOff>
      <xdr:row>103</xdr:row>
      <xdr:rowOff>2472</xdr:rowOff>
    </xdr:from>
    <xdr:to>
      <xdr:col>14</xdr:col>
      <xdr:colOff>285750</xdr:colOff>
      <xdr:row>104</xdr:row>
      <xdr:rowOff>176893</xdr:rowOff>
    </xdr:to>
    <xdr:cxnSp macro="">
      <xdr:nvCxnSpPr>
        <xdr:cNvPr id="337" name="Straight Arrow Connector 336"/>
        <xdr:cNvCxnSpPr>
          <a:stCxn id="86" idx="2"/>
        </xdr:cNvCxnSpPr>
      </xdr:nvCxnSpPr>
      <xdr:spPr>
        <a:xfrm>
          <a:off x="10405756" y="26114579"/>
          <a:ext cx="17315" cy="4737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452997</xdr:colOff>
      <xdr:row>115</xdr:row>
      <xdr:rowOff>16079</xdr:rowOff>
    </xdr:from>
    <xdr:to>
      <xdr:col>14</xdr:col>
      <xdr:colOff>382857</xdr:colOff>
      <xdr:row>137</xdr:row>
      <xdr:rowOff>216601</xdr:rowOff>
    </xdr:to>
    <xdr:cxnSp macro="">
      <xdr:nvCxnSpPr>
        <xdr:cNvPr id="347" name="Elbow Connector 346"/>
        <xdr:cNvCxnSpPr>
          <a:stCxn id="87" idx="2"/>
          <a:endCxn id="311" idx="3"/>
        </xdr:cNvCxnSpPr>
      </xdr:nvCxnSpPr>
      <xdr:spPr>
        <a:xfrm rot="5400000">
          <a:off x="5658469" y="31645143"/>
          <a:ext cx="6786379" cy="2937038"/>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505444</xdr:colOff>
      <xdr:row>142</xdr:row>
      <xdr:rowOff>0</xdr:rowOff>
    </xdr:from>
    <xdr:to>
      <xdr:col>6</xdr:col>
      <xdr:colOff>505445</xdr:colOff>
      <xdr:row>143</xdr:row>
      <xdr:rowOff>211532</xdr:rowOff>
    </xdr:to>
    <xdr:cxnSp macro="">
      <xdr:nvCxnSpPr>
        <xdr:cNvPr id="350" name="Straight Arrow Connector 349"/>
        <xdr:cNvCxnSpPr>
          <a:stCxn id="311" idx="2"/>
          <a:endCxn id="130" idx="0"/>
        </xdr:cNvCxnSpPr>
      </xdr:nvCxnSpPr>
      <xdr:spPr>
        <a:xfrm flipH="1">
          <a:off x="4859730" y="38576250"/>
          <a:ext cx="1" cy="5108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557893</xdr:colOff>
      <xdr:row>119</xdr:row>
      <xdr:rowOff>281383</xdr:rowOff>
    </xdr:from>
    <xdr:to>
      <xdr:col>4</xdr:col>
      <xdr:colOff>136402</xdr:colOff>
      <xdr:row>146</xdr:row>
      <xdr:rowOff>37729</xdr:rowOff>
    </xdr:to>
    <xdr:cxnSp macro="">
      <xdr:nvCxnSpPr>
        <xdr:cNvPr id="353" name="Elbow Connector 352"/>
        <xdr:cNvCxnSpPr>
          <a:stCxn id="110" idx="1"/>
          <a:endCxn id="130" idx="1"/>
        </xdr:cNvCxnSpPr>
      </xdr:nvCxnSpPr>
      <xdr:spPr>
        <a:xfrm rot="10800000" flipH="1" flipV="1">
          <a:off x="857250" y="31972419"/>
          <a:ext cx="2068616" cy="7838989"/>
        </a:xfrm>
        <a:prstGeom prst="bentConnector3">
          <a:avLst>
            <a:gd name="adj1" fmla="val -1105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137317</xdr:colOff>
      <xdr:row>149</xdr:row>
      <xdr:rowOff>282289</xdr:rowOff>
    </xdr:from>
    <xdr:to>
      <xdr:col>9</xdr:col>
      <xdr:colOff>317509</xdr:colOff>
      <xdr:row>164</xdr:row>
      <xdr:rowOff>231321</xdr:rowOff>
    </xdr:to>
    <xdr:sp macro="" textlink="">
      <xdr:nvSpPr>
        <xdr:cNvPr id="364" name="TextBox 363"/>
        <xdr:cNvSpPr txBox="1"/>
      </xdr:nvSpPr>
      <xdr:spPr>
        <a:xfrm>
          <a:off x="2926781" y="40164825"/>
          <a:ext cx="3867728" cy="443938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2.2e Adjustments</a:t>
          </a:r>
          <a:endParaRPr lang="en-GB" sz="1100" b="1" baseline="0"/>
        </a:p>
        <a:p>
          <a:r>
            <a:rPr lang="en-GB" sz="1100"/>
            <a:t>For</a:t>
          </a:r>
          <a:r>
            <a:rPr lang="en-GB" sz="1100" baseline="0"/>
            <a:t> each company, adjustment values for each adjustment</a:t>
          </a:r>
        </a:p>
        <a:p>
          <a:r>
            <a:rPr lang="en-GB" sz="1100" baseline="0"/>
            <a:t>EQUALS</a:t>
          </a:r>
        </a:p>
        <a:p>
          <a:r>
            <a:rPr lang="en-GB" sz="1100" baseline="0"/>
            <a:t>[Pension deficit repair cost</a:t>
          </a:r>
        </a:p>
        <a:p>
          <a:r>
            <a:rPr lang="en-GB" sz="1100" baseline="0"/>
            <a:t>Input price pressure</a:t>
          </a:r>
        </a:p>
        <a:p>
          <a:r>
            <a:rPr lang="en-GB" sz="1100" baseline="0"/>
            <a:t>Adjustment 2</a:t>
          </a:r>
        </a:p>
        <a:p>
          <a:r>
            <a:rPr lang="en-GB" sz="1100" baseline="0"/>
            <a:t>Adjustment 3]</a:t>
          </a:r>
        </a:p>
        <a:p>
          <a:r>
            <a:rPr lang="en-GB" sz="1100" baseline="0"/>
            <a:t>MULTIPLIED BY </a:t>
          </a:r>
        </a:p>
        <a:p>
          <a:r>
            <a:rPr lang="en-GB" sz="1100"/>
            <a:t>"New cost and adjustments inputs" 1.6 Changes to adjustments</a:t>
          </a:r>
        </a:p>
        <a:p>
          <a:endParaRPr lang="en-GB" sz="1100"/>
        </a:p>
        <a:p>
          <a:r>
            <a:rPr lang="en-GB" sz="1100"/>
            <a:t>For</a:t>
          </a:r>
          <a:r>
            <a:rPr lang="en-GB" sz="1100" baseline="0"/>
            <a:t> each company, </a:t>
          </a:r>
          <a:r>
            <a:rPr lang="en-GB" sz="1100"/>
            <a:t>Sum</a:t>
          </a:r>
          <a:r>
            <a:rPr lang="en-GB" sz="1100" baseline="0"/>
            <a:t> of accepted adjustments</a:t>
          </a:r>
        </a:p>
        <a:p>
          <a:r>
            <a:rPr lang="en-GB" sz="1100" baseline="0"/>
            <a:t>EQUALS</a:t>
          </a:r>
        </a:p>
        <a:p>
          <a:r>
            <a:rPr lang="en-GB" sz="1100" baseline="0"/>
            <a:t>IF(Input price pressure accepted = "Yes",</a:t>
          </a:r>
        </a:p>
        <a:p>
          <a:r>
            <a:rPr lang="en-GB" sz="1100" baseline="0"/>
            <a:t>THEN + Input price pressure adjustment</a:t>
          </a:r>
        </a:p>
        <a:p>
          <a:r>
            <a:rPr lang="en-GB" sz="1100" baseline="0"/>
            <a:t>ELSE + 0</a:t>
          </a:r>
        </a:p>
        <a:p>
          <a:r>
            <a:rPr lang="en-GB" sz="1100" baseline="0"/>
            <a:t>ADD</a:t>
          </a:r>
          <a:br>
            <a:rPr lang="en-GB" sz="1100" baseline="0"/>
          </a:br>
          <a:r>
            <a:rPr lang="en-GB" sz="1100" baseline="0"/>
            <a:t>IF (Adjustment 2 accpeted = "Yes",</a:t>
          </a:r>
        </a:p>
        <a:p>
          <a:r>
            <a:rPr lang="en-GB" sz="1100" baseline="0"/>
            <a:t>THEN + Adjustment 2</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ELSE + 0</a:t>
          </a:r>
          <a:endParaRPr lang="en-GB">
            <a:effectLst/>
          </a:endParaRPr>
        </a:p>
        <a:p>
          <a:r>
            <a:rPr lang="en-GB" sz="1100" baseline="0"/>
            <a:t>ADD</a:t>
          </a:r>
        </a:p>
        <a:p>
          <a:r>
            <a:rPr lang="en-GB" sz="1100" baseline="0"/>
            <a:t>IF(Adjustment 3 accepted = "Yes"</a:t>
          </a:r>
        </a:p>
        <a:p>
          <a:r>
            <a:rPr lang="en-GB" sz="1100" baseline="0"/>
            <a:t>THEN + Adjustment 3</a:t>
          </a:r>
        </a:p>
        <a:p>
          <a:r>
            <a:rPr lang="en-GB" sz="1100" baseline="0"/>
            <a:t>ELSE + 0</a:t>
          </a:r>
        </a:p>
        <a:p>
          <a:r>
            <a:rPr lang="en-GB" sz="1100" baseline="0"/>
            <a:t>ADD </a:t>
          </a:r>
        </a:p>
        <a:p>
          <a:r>
            <a:rPr lang="en-GB" sz="1100" baseline="0"/>
            <a:t>Pension deficit repair cost</a:t>
          </a:r>
          <a:endParaRPr lang="en-GB" sz="1100"/>
        </a:p>
      </xdr:txBody>
    </xdr:sp>
    <xdr:clientData/>
  </xdr:twoCellAnchor>
  <xdr:twoCellAnchor>
    <xdr:from>
      <xdr:col>1</xdr:col>
      <xdr:colOff>557892</xdr:colOff>
      <xdr:row>119</xdr:row>
      <xdr:rowOff>281385</xdr:rowOff>
    </xdr:from>
    <xdr:to>
      <xdr:col>4</xdr:col>
      <xdr:colOff>137316</xdr:colOff>
      <xdr:row>157</xdr:row>
      <xdr:rowOff>107127</xdr:rowOff>
    </xdr:to>
    <xdr:cxnSp macro="">
      <xdr:nvCxnSpPr>
        <xdr:cNvPr id="365" name="Elbow Connector 364"/>
        <xdr:cNvCxnSpPr>
          <a:stCxn id="110" idx="1"/>
          <a:endCxn id="364" idx="1"/>
        </xdr:cNvCxnSpPr>
      </xdr:nvCxnSpPr>
      <xdr:spPr>
        <a:xfrm rot="10800000" flipH="1" flipV="1">
          <a:off x="857249" y="31183206"/>
          <a:ext cx="2069531" cy="11201314"/>
        </a:xfrm>
        <a:prstGeom prst="bentConnector3">
          <a:avLst>
            <a:gd name="adj1" fmla="val -11046"/>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781388</xdr:colOff>
      <xdr:row>166</xdr:row>
      <xdr:rowOff>40822</xdr:rowOff>
    </xdr:from>
    <xdr:to>
      <xdr:col>11</xdr:col>
      <xdr:colOff>204116</xdr:colOff>
      <xdr:row>179</xdr:row>
      <xdr:rowOff>54429</xdr:rowOff>
    </xdr:to>
    <xdr:sp macro="" textlink="">
      <xdr:nvSpPr>
        <xdr:cNvPr id="371" name="TextBox 370"/>
        <xdr:cNvSpPr txBox="1"/>
      </xdr:nvSpPr>
      <xdr:spPr>
        <a:xfrm>
          <a:off x="1733888" y="45012429"/>
          <a:ext cx="6253514" cy="390525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2.3 Summary of input overrides</a:t>
          </a:r>
        </a:p>
        <a:p>
          <a:r>
            <a:rPr lang="en-GB" sz="1100" b="0"/>
            <a:t>For each company</a:t>
          </a:r>
        </a:p>
        <a:p>
          <a:endParaRPr lang="en-GB" sz="1100"/>
        </a:p>
        <a:p>
          <a:r>
            <a:rPr lang="en-GB" sz="1100">
              <a:solidFill>
                <a:schemeClr val="dk1"/>
              </a:solidFill>
              <a:effectLst/>
              <a:latin typeface="+mn-lt"/>
              <a:ea typeface="+mn-ea"/>
              <a:cs typeface="+mn-cs"/>
            </a:rPr>
            <a:t>Total operating expenditure R3001 </a:t>
          </a:r>
          <a:endParaRPr lang="en-GB">
            <a:effectLst/>
          </a:endParaRPr>
        </a:p>
        <a:p>
          <a:r>
            <a:rPr lang="en-GB" sz="1100" b="0" i="0">
              <a:solidFill>
                <a:schemeClr val="dk1"/>
              </a:solidFill>
              <a:effectLst/>
              <a:latin typeface="+mn-lt"/>
              <a:ea typeface="+mn-ea"/>
              <a:cs typeface="+mn-cs"/>
            </a:rPr>
            <a:t>EQUALS</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1.2</a:t>
          </a:r>
          <a:r>
            <a:rPr lang="en-GB" sz="1100" b="0" i="0" baseline="0">
              <a:solidFill>
                <a:schemeClr val="dk1"/>
              </a:solidFill>
              <a:effectLst/>
              <a:latin typeface="+mn-lt"/>
              <a:ea typeface="+mn-ea"/>
              <a:cs typeface="+mn-cs"/>
            </a:rPr>
            <a:t> New cost data: </a:t>
          </a:r>
          <a:r>
            <a:rPr lang="en-GB" sz="1100" b="0" i="0">
              <a:solidFill>
                <a:schemeClr val="dk1"/>
              </a:solidFill>
              <a:effectLst/>
              <a:latin typeface="+mn-lt"/>
              <a:ea typeface="+mn-ea"/>
              <a:cs typeface="+mn-cs"/>
            </a:rPr>
            <a:t>R3001 </a:t>
          </a:r>
          <a:endParaRPr lang="en-GB">
            <a:effectLst/>
          </a:endParaRPr>
        </a:p>
        <a:p>
          <a:r>
            <a:rPr lang="en-GB" sz="1100" b="0" i="0">
              <a:solidFill>
                <a:schemeClr val="dk1"/>
              </a:solidFill>
              <a:effectLst/>
              <a:latin typeface="+mn-lt"/>
              <a:ea typeface="+mn-ea"/>
              <a:cs typeface="+mn-cs"/>
            </a:rPr>
            <a:t>SUBTRACT</a:t>
          </a:r>
          <a:endParaRPr lang="en-GB">
            <a:effectLst/>
          </a:endParaRPr>
        </a:p>
        <a:p>
          <a:r>
            <a:rPr lang="en-GB" sz="1100" b="0" i="0" baseline="0">
              <a:solidFill>
                <a:schemeClr val="dk1"/>
              </a:solidFill>
              <a:effectLst/>
              <a:latin typeface="+mn-lt"/>
              <a:ea typeface="+mn-ea"/>
              <a:cs typeface="+mn-cs"/>
            </a:rPr>
            <a:t>2.2d Disallowed new costs </a:t>
          </a:r>
          <a:endParaRPr lang="en-GB">
            <a:effectLst/>
          </a:endParaRPr>
        </a:p>
        <a:p>
          <a:r>
            <a:rPr lang="en-GB" sz="1100" b="0" i="0" baseline="0">
              <a:solidFill>
                <a:schemeClr val="dk1"/>
              </a:solidFill>
              <a:effectLst/>
              <a:latin typeface="+mn-lt"/>
              <a:ea typeface="+mn-ea"/>
              <a:cs typeface="+mn-cs"/>
            </a:rPr>
            <a:t>ADD</a:t>
          </a:r>
        </a:p>
        <a:p>
          <a:r>
            <a:rPr lang="en-GB" sz="1100" b="0" i="0" baseline="0">
              <a:solidFill>
                <a:schemeClr val="dk1"/>
              </a:solidFill>
              <a:effectLst/>
              <a:latin typeface="+mn-lt"/>
              <a:ea typeface="+mn-ea"/>
              <a:cs typeface="+mn-cs"/>
            </a:rPr>
            <a:t>2.2e Adjustments: Rejected adjustments</a:t>
          </a:r>
          <a:endParaRPr lang="en-GB">
            <a:effectLst/>
          </a:endParaRPr>
        </a:p>
        <a:p>
          <a:endParaRPr lang="en-GB" sz="1100"/>
        </a:p>
        <a:p>
          <a:r>
            <a:rPr lang="en-GB" sz="1100"/>
            <a:t>Legacy depreciation net of recharges</a:t>
          </a:r>
        </a:p>
        <a:p>
          <a:r>
            <a:rPr lang="en-GB" sz="1100"/>
            <a:t>EQUALS</a:t>
          </a:r>
        </a:p>
        <a:p>
          <a:r>
            <a:rPr lang="en-GB" sz="1100"/>
            <a:t>1.1 Calculating depreciation net of recharges:</a:t>
          </a:r>
          <a:r>
            <a:rPr lang="en-GB" sz="1100" baseline="0"/>
            <a:t> Legacy depreciation net of recharges</a:t>
          </a:r>
          <a:endParaRPr lang="en-GB" sz="1100"/>
        </a:p>
        <a:p>
          <a:endParaRPr lang="en-GB" sz="1100"/>
        </a:p>
        <a:p>
          <a:r>
            <a:rPr lang="en-GB" sz="1100"/>
            <a:t>AMP 6 depreciation net of recharges</a:t>
          </a:r>
        </a:p>
        <a:p>
          <a:r>
            <a:rPr lang="en-GB" sz="1100"/>
            <a:t>EQUALS</a:t>
          </a:r>
        </a:p>
        <a:p>
          <a:r>
            <a:rPr lang="en-GB" sz="1100"/>
            <a:t>1.1 Calculating depreciation net of recharges:</a:t>
          </a:r>
          <a:r>
            <a:rPr lang="en-GB" sz="1100" baseline="0"/>
            <a:t> AMP 6 depreciation net of recharges</a:t>
          </a:r>
          <a:endParaRPr lang="en-GB" sz="1100"/>
        </a:p>
        <a:p>
          <a:endParaRPr lang="en-GB" sz="1100"/>
        </a:p>
        <a:p>
          <a:r>
            <a:rPr lang="en-GB" sz="1100"/>
            <a:t>Operating expenditure - excluded from ACTS</a:t>
          </a:r>
        </a:p>
        <a:p>
          <a:r>
            <a:rPr lang="en-GB" sz="1100"/>
            <a:t>EQUALS</a:t>
          </a:r>
        </a:p>
        <a:p>
          <a:r>
            <a:rPr lang="en-GB" sz="1100"/>
            <a:t>2.2e Adjustments:</a:t>
          </a:r>
          <a:r>
            <a:rPr lang="en-GB" sz="1100" baseline="0"/>
            <a:t> Sum of accepted adjustments</a:t>
          </a:r>
          <a:endParaRPr lang="en-GB" sz="1100"/>
        </a:p>
      </xdr:txBody>
    </xdr:sp>
    <xdr:clientData/>
  </xdr:twoCellAnchor>
  <xdr:twoCellAnchor>
    <xdr:from>
      <xdr:col>6</xdr:col>
      <xdr:colOff>506359</xdr:colOff>
      <xdr:row>164</xdr:row>
      <xdr:rowOff>231321</xdr:rowOff>
    </xdr:from>
    <xdr:to>
      <xdr:col>6</xdr:col>
      <xdr:colOff>506359</xdr:colOff>
      <xdr:row>166</xdr:row>
      <xdr:rowOff>40822</xdr:rowOff>
    </xdr:to>
    <xdr:cxnSp macro="">
      <xdr:nvCxnSpPr>
        <xdr:cNvPr id="373" name="Straight Arrow Connector 372"/>
        <xdr:cNvCxnSpPr>
          <a:stCxn id="364" idx="2"/>
          <a:endCxn id="371" idx="0"/>
        </xdr:cNvCxnSpPr>
      </xdr:nvCxnSpPr>
      <xdr:spPr>
        <a:xfrm>
          <a:off x="4860645" y="44604214"/>
          <a:ext cx="0" cy="40821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1172267</xdr:colOff>
      <xdr:row>49</xdr:row>
      <xdr:rowOff>190499</xdr:rowOff>
    </xdr:from>
    <xdr:to>
      <xdr:col>6</xdr:col>
      <xdr:colOff>792627</xdr:colOff>
      <xdr:row>51</xdr:row>
      <xdr:rowOff>285749</xdr:rowOff>
    </xdr:to>
    <xdr:cxnSp macro="">
      <xdr:nvCxnSpPr>
        <xdr:cNvPr id="374" name="Elbow Connector 373"/>
        <xdr:cNvCxnSpPr>
          <a:stCxn id="233" idx="2"/>
          <a:endCxn id="237" idx="0"/>
        </xdr:cNvCxnSpPr>
      </xdr:nvCxnSpPr>
      <xdr:spPr>
        <a:xfrm rot="16200000" flipH="1">
          <a:off x="3288857" y="8973230"/>
          <a:ext cx="693965" cy="302214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2051</xdr:colOff>
      <xdr:row>41</xdr:row>
      <xdr:rowOff>136070</xdr:rowOff>
    </xdr:from>
    <xdr:to>
      <xdr:col>6</xdr:col>
      <xdr:colOff>792627</xdr:colOff>
      <xdr:row>51</xdr:row>
      <xdr:rowOff>285749</xdr:rowOff>
    </xdr:to>
    <xdr:cxnSp macro="">
      <xdr:nvCxnSpPr>
        <xdr:cNvPr id="378" name="Elbow Connector 377"/>
        <xdr:cNvCxnSpPr>
          <a:stCxn id="231" idx="2"/>
          <a:endCxn id="237" idx="0"/>
        </xdr:cNvCxnSpPr>
      </xdr:nvCxnSpPr>
      <xdr:spPr>
        <a:xfrm rot="16200000" flipH="1">
          <a:off x="3179999" y="8864372"/>
          <a:ext cx="3143251" cy="79057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1172267</xdr:colOff>
      <xdr:row>41</xdr:row>
      <xdr:rowOff>136070</xdr:rowOff>
    </xdr:from>
    <xdr:to>
      <xdr:col>6</xdr:col>
      <xdr:colOff>2051</xdr:colOff>
      <xdr:row>42</xdr:row>
      <xdr:rowOff>263482</xdr:rowOff>
    </xdr:to>
    <xdr:cxnSp macro="">
      <xdr:nvCxnSpPr>
        <xdr:cNvPr id="381" name="Elbow Connector 380"/>
        <xdr:cNvCxnSpPr>
          <a:stCxn id="231" idx="2"/>
          <a:endCxn id="233" idx="0"/>
        </xdr:cNvCxnSpPr>
      </xdr:nvCxnSpPr>
      <xdr:spPr>
        <a:xfrm rot="5400000">
          <a:off x="3027167" y="6785634"/>
          <a:ext cx="426769" cy="223157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792626</xdr:colOff>
      <xdr:row>56</xdr:row>
      <xdr:rowOff>57149</xdr:rowOff>
    </xdr:from>
    <xdr:to>
      <xdr:col>13</xdr:col>
      <xdr:colOff>463498</xdr:colOff>
      <xdr:row>58</xdr:row>
      <xdr:rowOff>2273</xdr:rowOff>
    </xdr:to>
    <xdr:cxnSp macro="">
      <xdr:nvCxnSpPr>
        <xdr:cNvPr id="384" name="Elbow Connector 383"/>
        <xdr:cNvCxnSpPr>
          <a:stCxn id="237" idx="2"/>
          <a:endCxn id="108" idx="0"/>
        </xdr:cNvCxnSpPr>
      </xdr:nvCxnSpPr>
      <xdr:spPr>
        <a:xfrm rot="16200000" flipH="1">
          <a:off x="7275375" y="9971007"/>
          <a:ext cx="543839" cy="480076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125578</xdr:colOff>
      <xdr:row>56</xdr:row>
      <xdr:rowOff>57150</xdr:rowOff>
    </xdr:from>
    <xdr:to>
      <xdr:col>6</xdr:col>
      <xdr:colOff>792627</xdr:colOff>
      <xdr:row>58</xdr:row>
      <xdr:rowOff>2274</xdr:rowOff>
    </xdr:to>
    <xdr:cxnSp macro="">
      <xdr:nvCxnSpPr>
        <xdr:cNvPr id="387" name="Elbow Connector 386"/>
        <xdr:cNvCxnSpPr>
          <a:stCxn id="237" idx="2"/>
          <a:endCxn id="102" idx="0"/>
        </xdr:cNvCxnSpPr>
      </xdr:nvCxnSpPr>
      <xdr:spPr>
        <a:xfrm rot="5400000">
          <a:off x="3759058" y="11255455"/>
          <a:ext cx="543839" cy="2231871"/>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1238251</xdr:colOff>
      <xdr:row>76</xdr:row>
      <xdr:rowOff>164648</xdr:rowOff>
    </xdr:from>
    <xdr:to>
      <xdr:col>14</xdr:col>
      <xdr:colOff>20461</xdr:colOff>
      <xdr:row>78</xdr:row>
      <xdr:rowOff>207036</xdr:rowOff>
    </xdr:to>
    <xdr:cxnSp macro="">
      <xdr:nvCxnSpPr>
        <xdr:cNvPr id="390" name="Elbow Connector 389"/>
        <xdr:cNvCxnSpPr>
          <a:stCxn id="256" idx="3"/>
          <a:endCxn id="105" idx="0"/>
        </xdr:cNvCxnSpPr>
      </xdr:nvCxnSpPr>
      <xdr:spPr>
        <a:xfrm>
          <a:off x="2190751" y="18194112"/>
          <a:ext cx="7967031" cy="64110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316594</xdr:colOff>
      <xdr:row>146</xdr:row>
      <xdr:rowOff>37730</xdr:rowOff>
    </xdr:from>
    <xdr:to>
      <xdr:col>11</xdr:col>
      <xdr:colOff>204116</xdr:colOff>
      <xdr:row>172</xdr:row>
      <xdr:rowOff>197304</xdr:rowOff>
    </xdr:to>
    <xdr:cxnSp macro="">
      <xdr:nvCxnSpPr>
        <xdr:cNvPr id="398" name="Elbow Connector 397"/>
        <xdr:cNvCxnSpPr>
          <a:stCxn id="130" idx="3"/>
          <a:endCxn id="371" idx="3"/>
        </xdr:cNvCxnSpPr>
      </xdr:nvCxnSpPr>
      <xdr:spPr>
        <a:xfrm>
          <a:off x="6793594" y="39811409"/>
          <a:ext cx="1193808" cy="7942859"/>
        </a:xfrm>
        <a:prstGeom prst="bentConnector3">
          <a:avLst>
            <a:gd name="adj1" fmla="val 11914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653142</xdr:colOff>
      <xdr:row>117</xdr:row>
      <xdr:rowOff>229959</xdr:rowOff>
    </xdr:from>
    <xdr:to>
      <xdr:col>4</xdr:col>
      <xdr:colOff>137316</xdr:colOff>
      <xdr:row>157</xdr:row>
      <xdr:rowOff>107126</xdr:rowOff>
    </xdr:to>
    <xdr:cxnSp macro="">
      <xdr:nvCxnSpPr>
        <xdr:cNvPr id="401" name="Elbow Connector 400"/>
        <xdr:cNvCxnSpPr>
          <a:stCxn id="297" idx="1"/>
          <a:endCxn id="364" idx="1"/>
        </xdr:cNvCxnSpPr>
      </xdr:nvCxnSpPr>
      <xdr:spPr>
        <a:xfrm rot="10800000" flipH="1" flipV="1">
          <a:off x="952499" y="30533066"/>
          <a:ext cx="1974281" cy="11851453"/>
        </a:xfrm>
        <a:prstGeom prst="bentConnector3">
          <a:avLst>
            <a:gd name="adj1" fmla="val -25297"/>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353785</xdr:colOff>
      <xdr:row>212</xdr:row>
      <xdr:rowOff>190500</xdr:rowOff>
    </xdr:from>
    <xdr:to>
      <xdr:col>12</xdr:col>
      <xdr:colOff>795018</xdr:colOff>
      <xdr:row>214</xdr:row>
      <xdr:rowOff>86432</xdr:rowOff>
    </xdr:to>
    <xdr:sp macro="" textlink="">
      <xdr:nvSpPr>
        <xdr:cNvPr id="413" name="TextBox 412"/>
        <xdr:cNvSpPr txBox="1"/>
      </xdr:nvSpPr>
      <xdr:spPr>
        <a:xfrm>
          <a:off x="7483928" y="57435750"/>
          <a:ext cx="1829161" cy="494646"/>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New</a:t>
          </a:r>
          <a:r>
            <a:rPr lang="en-GB" sz="1100" b="1" baseline="0"/>
            <a:t> cost and adjustments inputs</a:t>
          </a:r>
          <a:endParaRPr lang="en-GB" sz="1100" b="1"/>
        </a:p>
      </xdr:txBody>
    </xdr:sp>
    <xdr:clientData/>
  </xdr:twoCellAnchor>
  <xdr:twoCellAnchor>
    <xdr:from>
      <xdr:col>9</xdr:col>
      <xdr:colOff>142001</xdr:colOff>
      <xdr:row>214</xdr:row>
      <xdr:rowOff>86432</xdr:rowOff>
    </xdr:from>
    <xdr:to>
      <xdr:col>11</xdr:col>
      <xdr:colOff>615223</xdr:colOff>
      <xdr:row>215</xdr:row>
      <xdr:rowOff>204107</xdr:rowOff>
    </xdr:to>
    <xdr:cxnSp macro="">
      <xdr:nvCxnSpPr>
        <xdr:cNvPr id="414" name="Elbow Connector 413"/>
        <xdr:cNvCxnSpPr>
          <a:stCxn id="413" idx="2"/>
          <a:endCxn id="185" idx="0"/>
        </xdr:cNvCxnSpPr>
      </xdr:nvCxnSpPr>
      <xdr:spPr>
        <a:xfrm rot="5400000">
          <a:off x="7300239" y="57249158"/>
          <a:ext cx="417032" cy="1779508"/>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499382</xdr:colOff>
      <xdr:row>199</xdr:row>
      <xdr:rowOff>27214</xdr:rowOff>
    </xdr:from>
    <xdr:to>
      <xdr:col>5</xdr:col>
      <xdr:colOff>88446</xdr:colOff>
      <xdr:row>200</xdr:row>
      <xdr:rowOff>114301</xdr:rowOff>
    </xdr:to>
    <xdr:cxnSp macro="">
      <xdr:nvCxnSpPr>
        <xdr:cNvPr id="418" name="Elbow Connector 417"/>
        <xdr:cNvCxnSpPr>
          <a:stCxn id="169" idx="2"/>
          <a:endCxn id="170" idx="0"/>
        </xdr:cNvCxnSpPr>
      </xdr:nvCxnSpPr>
      <xdr:spPr>
        <a:xfrm rot="5400000">
          <a:off x="3053442" y="54527904"/>
          <a:ext cx="386444" cy="108585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665389</xdr:colOff>
      <xdr:row>199</xdr:row>
      <xdr:rowOff>27214</xdr:rowOff>
    </xdr:from>
    <xdr:to>
      <xdr:col>3</xdr:col>
      <xdr:colOff>499382</xdr:colOff>
      <xdr:row>200</xdr:row>
      <xdr:rowOff>114301</xdr:rowOff>
    </xdr:to>
    <xdr:cxnSp macro="">
      <xdr:nvCxnSpPr>
        <xdr:cNvPr id="421" name="Elbow Connector 420"/>
        <xdr:cNvCxnSpPr>
          <a:stCxn id="168" idx="2"/>
          <a:endCxn id="170" idx="0"/>
        </xdr:cNvCxnSpPr>
      </xdr:nvCxnSpPr>
      <xdr:spPr>
        <a:xfrm rot="16200000" flipH="1">
          <a:off x="1967592" y="54527904"/>
          <a:ext cx="386444" cy="108585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423114</xdr:colOff>
      <xdr:row>238</xdr:row>
      <xdr:rowOff>205450</xdr:rowOff>
    </xdr:from>
    <xdr:to>
      <xdr:col>8</xdr:col>
      <xdr:colOff>483056</xdr:colOff>
      <xdr:row>252</xdr:row>
      <xdr:rowOff>106199</xdr:rowOff>
    </xdr:to>
    <xdr:cxnSp macro="">
      <xdr:nvCxnSpPr>
        <xdr:cNvPr id="424" name="Elbow Connector 423"/>
        <xdr:cNvCxnSpPr>
          <a:stCxn id="81" idx="2"/>
          <a:endCxn id="84" idx="0"/>
        </xdr:cNvCxnSpPr>
      </xdr:nvCxnSpPr>
      <xdr:spPr>
        <a:xfrm rot="5400000">
          <a:off x="3162907" y="67569657"/>
          <a:ext cx="3193677" cy="309433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62879</xdr:colOff>
      <xdr:row>238</xdr:row>
      <xdr:rowOff>205449</xdr:rowOff>
    </xdr:from>
    <xdr:to>
      <xdr:col>8</xdr:col>
      <xdr:colOff>483056</xdr:colOff>
      <xdr:row>270</xdr:row>
      <xdr:rowOff>82861</xdr:rowOff>
    </xdr:to>
    <xdr:cxnSp macro="">
      <xdr:nvCxnSpPr>
        <xdr:cNvPr id="439" name="Elbow Connector 438"/>
        <xdr:cNvCxnSpPr>
          <a:stCxn id="81" idx="2"/>
          <a:endCxn id="45" idx="0"/>
        </xdr:cNvCxnSpPr>
      </xdr:nvCxnSpPr>
      <xdr:spPr>
        <a:xfrm rot="5400000">
          <a:off x="1082654" y="69357710"/>
          <a:ext cx="8558769" cy="1889748"/>
        </a:xfrm>
        <a:prstGeom prst="bentConnector3">
          <a:avLst>
            <a:gd name="adj1" fmla="val 7004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557895</xdr:colOff>
      <xdr:row>238</xdr:row>
      <xdr:rowOff>61903</xdr:rowOff>
    </xdr:from>
    <xdr:to>
      <xdr:col>17</xdr:col>
      <xdr:colOff>937679</xdr:colOff>
      <xdr:row>276</xdr:row>
      <xdr:rowOff>153543</xdr:rowOff>
    </xdr:to>
    <xdr:cxnSp macro="">
      <xdr:nvCxnSpPr>
        <xdr:cNvPr id="445" name="Elbow Connector 444"/>
        <xdr:cNvCxnSpPr>
          <a:stCxn id="81" idx="3"/>
          <a:endCxn id="59" idx="3"/>
        </xdr:cNvCxnSpPr>
      </xdr:nvCxnSpPr>
      <xdr:spPr>
        <a:xfrm>
          <a:off x="7034895" y="65879653"/>
          <a:ext cx="5999534" cy="10569140"/>
        </a:xfrm>
        <a:prstGeom prst="bentConnector3">
          <a:avLst>
            <a:gd name="adj1" fmla="val 10743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59450</xdr:colOff>
      <xdr:row>278</xdr:row>
      <xdr:rowOff>221859</xdr:rowOff>
    </xdr:from>
    <xdr:to>
      <xdr:col>6</xdr:col>
      <xdr:colOff>62878</xdr:colOff>
      <xdr:row>279</xdr:row>
      <xdr:rowOff>133886</xdr:rowOff>
    </xdr:to>
    <xdr:cxnSp macro="">
      <xdr:nvCxnSpPr>
        <xdr:cNvPr id="454" name="Straight Arrow Connector 453"/>
        <xdr:cNvCxnSpPr>
          <a:stCxn id="45" idx="2"/>
          <a:endCxn id="44" idx="0"/>
        </xdr:cNvCxnSpPr>
      </xdr:nvCxnSpPr>
      <xdr:spPr>
        <a:xfrm flipH="1">
          <a:off x="4413736" y="76326609"/>
          <a:ext cx="3428" cy="21138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432646</xdr:colOff>
      <xdr:row>259</xdr:row>
      <xdr:rowOff>282855</xdr:rowOff>
    </xdr:from>
    <xdr:to>
      <xdr:col>4</xdr:col>
      <xdr:colOff>423113</xdr:colOff>
      <xdr:row>274</xdr:row>
      <xdr:rowOff>152362</xdr:rowOff>
    </xdr:to>
    <xdr:cxnSp macro="">
      <xdr:nvCxnSpPr>
        <xdr:cNvPr id="457" name="Elbow Connector 456"/>
        <xdr:cNvCxnSpPr>
          <a:stCxn id="84" idx="2"/>
          <a:endCxn id="45" idx="1"/>
        </xdr:cNvCxnSpPr>
      </xdr:nvCxnSpPr>
      <xdr:spPr>
        <a:xfrm rot="5400000">
          <a:off x="118930" y="74252035"/>
          <a:ext cx="4359864" cy="1827431"/>
        </a:xfrm>
        <a:prstGeom prst="bentConnector4">
          <a:avLst>
            <a:gd name="adj1" fmla="val 35471"/>
            <a:gd name="adj2" fmla="val 11250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617561</xdr:colOff>
      <xdr:row>256</xdr:row>
      <xdr:rowOff>44849</xdr:rowOff>
    </xdr:from>
    <xdr:to>
      <xdr:col>4</xdr:col>
      <xdr:colOff>677767</xdr:colOff>
      <xdr:row>330</xdr:row>
      <xdr:rowOff>165296</xdr:rowOff>
    </xdr:to>
    <xdr:cxnSp macro="">
      <xdr:nvCxnSpPr>
        <xdr:cNvPr id="460" name="Elbow Connector 459"/>
        <xdr:cNvCxnSpPr>
          <a:stCxn id="84" idx="1"/>
          <a:endCxn id="74" idx="1"/>
        </xdr:cNvCxnSpPr>
      </xdr:nvCxnSpPr>
      <xdr:spPr>
        <a:xfrm rot="10800000" flipH="1" flipV="1">
          <a:off x="916918" y="72747813"/>
          <a:ext cx="2550313" cy="22272876"/>
        </a:xfrm>
        <a:prstGeom prst="bentConnector3">
          <a:avLst>
            <a:gd name="adj1" fmla="val -8964"/>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617561</xdr:colOff>
      <xdr:row>256</xdr:row>
      <xdr:rowOff>44848</xdr:rowOff>
    </xdr:from>
    <xdr:to>
      <xdr:col>8</xdr:col>
      <xdr:colOff>374970</xdr:colOff>
      <xdr:row>336</xdr:row>
      <xdr:rowOff>292421</xdr:rowOff>
    </xdr:to>
    <xdr:cxnSp macro="">
      <xdr:nvCxnSpPr>
        <xdr:cNvPr id="466" name="Elbow Connector 465"/>
        <xdr:cNvCxnSpPr>
          <a:stCxn id="84" idx="1"/>
          <a:endCxn id="79" idx="1"/>
        </xdr:cNvCxnSpPr>
      </xdr:nvCxnSpPr>
      <xdr:spPr>
        <a:xfrm rot="10800000" flipH="1" flipV="1">
          <a:off x="916918" y="72747812"/>
          <a:ext cx="5281909" cy="24196145"/>
        </a:xfrm>
        <a:prstGeom prst="bentConnector3">
          <a:avLst>
            <a:gd name="adj1" fmla="val -4328"/>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617562</xdr:colOff>
      <xdr:row>256</xdr:row>
      <xdr:rowOff>44848</xdr:rowOff>
    </xdr:from>
    <xdr:to>
      <xdr:col>2</xdr:col>
      <xdr:colOff>942889</xdr:colOff>
      <xdr:row>376</xdr:row>
      <xdr:rowOff>112914</xdr:rowOff>
    </xdr:to>
    <xdr:cxnSp macro="">
      <xdr:nvCxnSpPr>
        <xdr:cNvPr id="469" name="Elbow Connector 468"/>
        <xdr:cNvCxnSpPr>
          <a:stCxn id="84" idx="1"/>
          <a:endCxn id="72" idx="1"/>
        </xdr:cNvCxnSpPr>
      </xdr:nvCxnSpPr>
      <xdr:spPr>
        <a:xfrm rot="10800000" flipH="1" flipV="1">
          <a:off x="916919" y="71849741"/>
          <a:ext cx="978470" cy="31500566"/>
        </a:xfrm>
        <a:prstGeom prst="bentConnector3">
          <a:avLst>
            <a:gd name="adj1" fmla="val -2336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119234</xdr:colOff>
      <xdr:row>285</xdr:row>
      <xdr:rowOff>52779</xdr:rowOff>
    </xdr:from>
    <xdr:to>
      <xdr:col>6</xdr:col>
      <xdr:colOff>59451</xdr:colOff>
      <xdr:row>288</xdr:row>
      <xdr:rowOff>293541</xdr:rowOff>
    </xdr:to>
    <xdr:cxnSp macro="">
      <xdr:nvCxnSpPr>
        <xdr:cNvPr id="475" name="Elbow Connector 474"/>
        <xdr:cNvCxnSpPr>
          <a:stCxn id="44" idx="2"/>
          <a:endCxn id="57" idx="0"/>
        </xdr:cNvCxnSpPr>
      </xdr:nvCxnSpPr>
      <xdr:spPr>
        <a:xfrm rot="5400000">
          <a:off x="3547640" y="78525766"/>
          <a:ext cx="1138833" cy="59336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59450</xdr:colOff>
      <xdr:row>285</xdr:row>
      <xdr:rowOff>52779</xdr:rowOff>
    </xdr:from>
    <xdr:to>
      <xdr:col>10</xdr:col>
      <xdr:colOff>300980</xdr:colOff>
      <xdr:row>292</xdr:row>
      <xdr:rowOff>126692</xdr:rowOff>
    </xdr:to>
    <xdr:cxnSp macro="">
      <xdr:nvCxnSpPr>
        <xdr:cNvPr id="478" name="Elbow Connector 477"/>
        <xdr:cNvCxnSpPr>
          <a:stCxn id="44" idx="2"/>
          <a:endCxn id="83" idx="0"/>
        </xdr:cNvCxnSpPr>
      </xdr:nvCxnSpPr>
      <xdr:spPr>
        <a:xfrm rot="16200000" flipH="1">
          <a:off x="4837723" y="77829042"/>
          <a:ext cx="2169413" cy="3017387"/>
        </a:xfrm>
        <a:prstGeom prst="bentConnector3">
          <a:avLst>
            <a:gd name="adj1" fmla="val 4310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300981</xdr:colOff>
      <xdr:row>281</xdr:row>
      <xdr:rowOff>10064</xdr:rowOff>
    </xdr:from>
    <xdr:to>
      <xdr:col>14</xdr:col>
      <xdr:colOff>411609</xdr:colOff>
      <xdr:row>292</xdr:row>
      <xdr:rowOff>126692</xdr:rowOff>
    </xdr:to>
    <xdr:cxnSp macro="">
      <xdr:nvCxnSpPr>
        <xdr:cNvPr id="488" name="Elbow Connector 487"/>
        <xdr:cNvCxnSpPr>
          <a:stCxn id="59" idx="2"/>
          <a:endCxn id="83" idx="0"/>
        </xdr:cNvCxnSpPr>
      </xdr:nvCxnSpPr>
      <xdr:spPr>
        <a:xfrm rot="5400000">
          <a:off x="7285248" y="77158761"/>
          <a:ext cx="3409557" cy="311780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528829</xdr:colOff>
      <xdr:row>291</xdr:row>
      <xdr:rowOff>30040</xdr:rowOff>
    </xdr:from>
    <xdr:to>
      <xdr:col>10</xdr:col>
      <xdr:colOff>300980</xdr:colOff>
      <xdr:row>292</xdr:row>
      <xdr:rowOff>126693</xdr:rowOff>
    </xdr:to>
    <xdr:cxnSp macro="">
      <xdr:nvCxnSpPr>
        <xdr:cNvPr id="491" name="Elbow Connector 490"/>
        <xdr:cNvCxnSpPr>
          <a:stCxn id="57" idx="3"/>
          <a:endCxn id="83" idx="0"/>
        </xdr:cNvCxnSpPr>
      </xdr:nvCxnSpPr>
      <xdr:spPr>
        <a:xfrm>
          <a:off x="5699543" y="80026433"/>
          <a:ext cx="1731580" cy="39601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171906</xdr:colOff>
      <xdr:row>295</xdr:row>
      <xdr:rowOff>199455</xdr:rowOff>
    </xdr:from>
    <xdr:to>
      <xdr:col>16</xdr:col>
      <xdr:colOff>468379</xdr:colOff>
      <xdr:row>307</xdr:row>
      <xdr:rowOff>6160</xdr:rowOff>
    </xdr:to>
    <xdr:cxnSp macro="">
      <xdr:nvCxnSpPr>
        <xdr:cNvPr id="494" name="Elbow Connector 493"/>
        <xdr:cNvCxnSpPr>
          <a:stCxn id="58" idx="2"/>
          <a:endCxn id="83" idx="3"/>
        </xdr:cNvCxnSpPr>
      </xdr:nvCxnSpPr>
      <xdr:spPr>
        <a:xfrm rot="5400000">
          <a:off x="10064254" y="82944535"/>
          <a:ext cx="3398991" cy="29647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648892</xdr:colOff>
      <xdr:row>333</xdr:row>
      <xdr:rowOff>2157</xdr:rowOff>
    </xdr:from>
    <xdr:to>
      <xdr:col>12</xdr:col>
      <xdr:colOff>48209</xdr:colOff>
      <xdr:row>334</xdr:row>
      <xdr:rowOff>155060</xdr:rowOff>
    </xdr:to>
    <xdr:cxnSp macro="">
      <xdr:nvCxnSpPr>
        <xdr:cNvPr id="499" name="Elbow Connector 498"/>
        <xdr:cNvCxnSpPr>
          <a:stCxn id="74" idx="2"/>
          <a:endCxn id="79" idx="0"/>
        </xdr:cNvCxnSpPr>
      </xdr:nvCxnSpPr>
      <xdr:spPr>
        <a:xfrm rot="16200000" flipH="1">
          <a:off x="6966813" y="94608414"/>
          <a:ext cx="452260" cy="2746674"/>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300979</xdr:colOff>
      <xdr:row>321</xdr:row>
      <xdr:rowOff>184982</xdr:rowOff>
    </xdr:from>
    <xdr:to>
      <xdr:col>12</xdr:col>
      <xdr:colOff>48209</xdr:colOff>
      <xdr:row>334</xdr:row>
      <xdr:rowOff>155060</xdr:rowOff>
    </xdr:to>
    <xdr:cxnSp macro="">
      <xdr:nvCxnSpPr>
        <xdr:cNvPr id="502" name="Elbow Connector 501"/>
        <xdr:cNvCxnSpPr>
          <a:stCxn id="83" idx="2"/>
          <a:endCxn id="79" idx="0"/>
        </xdr:cNvCxnSpPr>
      </xdr:nvCxnSpPr>
      <xdr:spPr>
        <a:xfrm rot="16200000" flipH="1">
          <a:off x="6067841" y="93709442"/>
          <a:ext cx="3861720" cy="1135158"/>
        </a:xfrm>
        <a:prstGeom prst="bentConnector3">
          <a:avLst>
            <a:gd name="adj1" fmla="val 3942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605393</xdr:colOff>
      <xdr:row>356</xdr:row>
      <xdr:rowOff>155200</xdr:rowOff>
    </xdr:from>
    <xdr:to>
      <xdr:col>10</xdr:col>
      <xdr:colOff>489731</xdr:colOff>
      <xdr:row>359</xdr:row>
      <xdr:rowOff>81611</xdr:rowOff>
    </xdr:to>
    <xdr:cxnSp macro="">
      <xdr:nvCxnSpPr>
        <xdr:cNvPr id="508" name="Elbow Connector 507"/>
        <xdr:cNvCxnSpPr>
          <a:stCxn id="73" idx="2"/>
          <a:endCxn id="75" idx="0"/>
        </xdr:cNvCxnSpPr>
      </xdr:nvCxnSpPr>
      <xdr:spPr>
        <a:xfrm rot="5400000">
          <a:off x="5755071" y="96392344"/>
          <a:ext cx="416268" cy="3313338"/>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591684</xdr:colOff>
      <xdr:row>367</xdr:row>
      <xdr:rowOff>75267</xdr:rowOff>
    </xdr:from>
    <xdr:to>
      <xdr:col>5</xdr:col>
      <xdr:colOff>605393</xdr:colOff>
      <xdr:row>372</xdr:row>
      <xdr:rowOff>8676</xdr:rowOff>
    </xdr:to>
    <xdr:cxnSp macro="">
      <xdr:nvCxnSpPr>
        <xdr:cNvPr id="511" name="Straight Arrow Connector 510"/>
        <xdr:cNvCxnSpPr>
          <a:stCxn id="75" idx="2"/>
          <a:endCxn id="72" idx="0"/>
        </xdr:cNvCxnSpPr>
      </xdr:nvCxnSpPr>
      <xdr:spPr>
        <a:xfrm flipH="1">
          <a:off x="4292827" y="99557088"/>
          <a:ext cx="13709" cy="74983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590137</xdr:colOff>
      <xdr:row>381</xdr:row>
      <xdr:rowOff>53866</xdr:rowOff>
    </xdr:from>
    <xdr:to>
      <xdr:col>5</xdr:col>
      <xdr:colOff>591684</xdr:colOff>
      <xdr:row>385</xdr:row>
      <xdr:rowOff>157808</xdr:rowOff>
    </xdr:to>
    <xdr:cxnSp macro="">
      <xdr:nvCxnSpPr>
        <xdr:cNvPr id="514" name="Straight Arrow Connector 513"/>
        <xdr:cNvCxnSpPr>
          <a:stCxn id="72" idx="2"/>
          <a:endCxn id="69" idx="0"/>
        </xdr:cNvCxnSpPr>
      </xdr:nvCxnSpPr>
      <xdr:spPr>
        <a:xfrm flipH="1">
          <a:off x="4291280" y="101821687"/>
          <a:ext cx="1547" cy="7570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590137</xdr:colOff>
      <xdr:row>404</xdr:row>
      <xdr:rowOff>68730</xdr:rowOff>
    </xdr:from>
    <xdr:to>
      <xdr:col>5</xdr:col>
      <xdr:colOff>594225</xdr:colOff>
      <xdr:row>405</xdr:row>
      <xdr:rowOff>96097</xdr:rowOff>
    </xdr:to>
    <xdr:cxnSp macro="">
      <xdr:nvCxnSpPr>
        <xdr:cNvPr id="517" name="Straight Arrow Connector 516"/>
        <xdr:cNvCxnSpPr>
          <a:stCxn id="69" idx="2"/>
          <a:endCxn id="70" idx="0"/>
        </xdr:cNvCxnSpPr>
      </xdr:nvCxnSpPr>
      <xdr:spPr>
        <a:xfrm>
          <a:off x="4291280" y="105592123"/>
          <a:ext cx="4088" cy="1906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590137</xdr:colOff>
      <xdr:row>378</xdr:row>
      <xdr:rowOff>102609</xdr:rowOff>
    </xdr:from>
    <xdr:to>
      <xdr:col>14</xdr:col>
      <xdr:colOff>96441</xdr:colOff>
      <xdr:row>385</xdr:row>
      <xdr:rowOff>157806</xdr:rowOff>
    </xdr:to>
    <xdr:cxnSp macro="">
      <xdr:nvCxnSpPr>
        <xdr:cNvPr id="520" name="Elbow Connector 519"/>
        <xdr:cNvCxnSpPr>
          <a:stCxn id="574" idx="2"/>
          <a:endCxn id="69" idx="0"/>
        </xdr:cNvCxnSpPr>
      </xdr:nvCxnSpPr>
      <xdr:spPr>
        <a:xfrm rot="5400000">
          <a:off x="6663422" y="99702396"/>
          <a:ext cx="1198197" cy="5942482"/>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594226</xdr:colOff>
      <xdr:row>427</xdr:row>
      <xdr:rowOff>13325</xdr:rowOff>
    </xdr:from>
    <xdr:to>
      <xdr:col>7</xdr:col>
      <xdr:colOff>374179</xdr:colOff>
      <xdr:row>428</xdr:row>
      <xdr:rowOff>81172</xdr:rowOff>
    </xdr:to>
    <xdr:cxnSp macro="">
      <xdr:nvCxnSpPr>
        <xdr:cNvPr id="536" name="Elbow Connector 535"/>
        <xdr:cNvCxnSpPr>
          <a:stCxn id="70" idx="2"/>
          <a:endCxn id="71" idx="0"/>
        </xdr:cNvCxnSpPr>
      </xdr:nvCxnSpPr>
      <xdr:spPr>
        <a:xfrm rot="16200000" flipH="1">
          <a:off x="4804564" y="108783094"/>
          <a:ext cx="231133" cy="1249524"/>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612466</xdr:colOff>
      <xdr:row>468</xdr:row>
      <xdr:rowOff>126799</xdr:rowOff>
    </xdr:from>
    <xdr:to>
      <xdr:col>7</xdr:col>
      <xdr:colOff>374178</xdr:colOff>
      <xdr:row>470</xdr:row>
      <xdr:rowOff>101166</xdr:rowOff>
    </xdr:to>
    <xdr:cxnSp macro="">
      <xdr:nvCxnSpPr>
        <xdr:cNvPr id="539" name="Elbow Connector 538"/>
        <xdr:cNvCxnSpPr>
          <a:stCxn id="71" idx="2"/>
          <a:endCxn id="62" idx="0"/>
        </xdr:cNvCxnSpPr>
      </xdr:nvCxnSpPr>
      <xdr:spPr>
        <a:xfrm rot="5400000">
          <a:off x="4778782" y="115635305"/>
          <a:ext cx="300938" cy="123128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191529</xdr:colOff>
      <xdr:row>472</xdr:row>
      <xdr:rowOff>140709</xdr:rowOff>
    </xdr:from>
    <xdr:to>
      <xdr:col>11</xdr:col>
      <xdr:colOff>229791</xdr:colOff>
      <xdr:row>482</xdr:row>
      <xdr:rowOff>162047</xdr:rowOff>
    </xdr:to>
    <xdr:cxnSp macro="">
      <xdr:nvCxnSpPr>
        <xdr:cNvPr id="542" name="Elbow Connector 541"/>
        <xdr:cNvCxnSpPr>
          <a:stCxn id="576" idx="2"/>
          <a:endCxn id="62" idx="3"/>
        </xdr:cNvCxnSpPr>
      </xdr:nvCxnSpPr>
      <xdr:spPr>
        <a:xfrm rot="5400000">
          <a:off x="6513705" y="117616319"/>
          <a:ext cx="1654195" cy="1344548"/>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194338</xdr:colOff>
      <xdr:row>502</xdr:row>
      <xdr:rowOff>146664</xdr:rowOff>
    </xdr:from>
    <xdr:to>
      <xdr:col>11</xdr:col>
      <xdr:colOff>726954</xdr:colOff>
      <xdr:row>511</xdr:row>
      <xdr:rowOff>50229</xdr:rowOff>
    </xdr:to>
    <xdr:cxnSp macro="">
      <xdr:nvCxnSpPr>
        <xdr:cNvPr id="545" name="Elbow Connector 544"/>
        <xdr:cNvCxnSpPr>
          <a:stCxn id="63" idx="3"/>
          <a:endCxn id="67" idx="1"/>
        </xdr:cNvCxnSpPr>
      </xdr:nvCxnSpPr>
      <xdr:spPr>
        <a:xfrm>
          <a:off x="6671338" y="121672057"/>
          <a:ext cx="1838902" cy="137313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612466</xdr:colOff>
      <xdr:row>495</xdr:row>
      <xdr:rowOff>59645</xdr:rowOff>
    </xdr:from>
    <xdr:to>
      <xdr:col>5</xdr:col>
      <xdr:colOff>614618</xdr:colOff>
      <xdr:row>496</xdr:row>
      <xdr:rowOff>86314</xdr:rowOff>
    </xdr:to>
    <xdr:cxnSp macro="">
      <xdr:nvCxnSpPr>
        <xdr:cNvPr id="548" name="Straight Arrow Connector 547"/>
        <xdr:cNvCxnSpPr>
          <a:stCxn id="62" idx="2"/>
          <a:endCxn id="63" idx="0"/>
        </xdr:cNvCxnSpPr>
      </xdr:nvCxnSpPr>
      <xdr:spPr>
        <a:xfrm>
          <a:off x="4313609" y="120442038"/>
          <a:ext cx="2152" cy="18995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18911</xdr:colOff>
      <xdr:row>505</xdr:row>
      <xdr:rowOff>20242</xdr:rowOff>
    </xdr:from>
    <xdr:to>
      <xdr:col>15</xdr:col>
      <xdr:colOff>18912</xdr:colOff>
      <xdr:row>507</xdr:row>
      <xdr:rowOff>100458</xdr:rowOff>
    </xdr:to>
    <xdr:cxnSp macro="">
      <xdr:nvCxnSpPr>
        <xdr:cNvPr id="551" name="Straight Arrow Connector 550"/>
        <xdr:cNvCxnSpPr>
          <a:stCxn id="66" idx="2"/>
          <a:endCxn id="67" idx="0"/>
        </xdr:cNvCxnSpPr>
      </xdr:nvCxnSpPr>
      <xdr:spPr>
        <a:xfrm>
          <a:off x="10809375" y="122035492"/>
          <a:ext cx="1" cy="4067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581728</xdr:colOff>
      <xdr:row>527</xdr:row>
      <xdr:rowOff>54428</xdr:rowOff>
    </xdr:from>
    <xdr:to>
      <xdr:col>10</xdr:col>
      <xdr:colOff>173513</xdr:colOff>
      <xdr:row>530</xdr:row>
      <xdr:rowOff>13607</xdr:rowOff>
    </xdr:to>
    <xdr:sp macro="" textlink="">
      <xdr:nvSpPr>
        <xdr:cNvPr id="558" name="AutoShape 10"/>
        <xdr:cNvSpPr>
          <a:spLocks noChangeArrowheads="1"/>
        </xdr:cNvSpPr>
      </xdr:nvSpPr>
      <xdr:spPr bwMode="auto">
        <a:xfrm>
          <a:off x="5752442" y="125702785"/>
          <a:ext cx="1551214" cy="449036"/>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Price Setting</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9</xdr:col>
      <xdr:colOff>51049</xdr:colOff>
      <xdr:row>530</xdr:row>
      <xdr:rowOff>13607</xdr:rowOff>
    </xdr:from>
    <xdr:to>
      <xdr:col>9</xdr:col>
      <xdr:colOff>51049</xdr:colOff>
      <xdr:row>531</xdr:row>
      <xdr:rowOff>136072</xdr:rowOff>
    </xdr:to>
    <xdr:cxnSp macro="">
      <xdr:nvCxnSpPr>
        <xdr:cNvPr id="559" name="Straight Arrow Connector 558"/>
        <xdr:cNvCxnSpPr>
          <a:stCxn id="558" idx="2"/>
        </xdr:cNvCxnSpPr>
      </xdr:nvCxnSpPr>
      <xdr:spPr>
        <a:xfrm>
          <a:off x="6528049" y="126151821"/>
          <a:ext cx="0" cy="2857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299357</xdr:colOff>
      <xdr:row>569</xdr:row>
      <xdr:rowOff>136072</xdr:rowOff>
    </xdr:from>
    <xdr:to>
      <xdr:col>16</xdr:col>
      <xdr:colOff>360634</xdr:colOff>
      <xdr:row>601</xdr:row>
      <xdr:rowOff>81643</xdr:rowOff>
    </xdr:to>
    <xdr:sp macro="" textlink="">
      <xdr:nvSpPr>
        <xdr:cNvPr id="563" name="AutoShape 10"/>
        <xdr:cNvSpPr>
          <a:spLocks noChangeArrowheads="1"/>
        </xdr:cNvSpPr>
      </xdr:nvSpPr>
      <xdr:spPr bwMode="auto">
        <a:xfrm>
          <a:off x="1251857" y="132683251"/>
          <a:ext cx="10552384" cy="5170713"/>
        </a:xfrm>
        <a:prstGeom prst="flowChartProcess">
          <a:avLst/>
        </a:prstGeom>
        <a:solidFill>
          <a:srgbClr val="F0AB00">
            <a:lumMod val="40000"/>
            <a:lumOff val="6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F_Outputs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Total Household retail allowed expenditure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unmetered customer (CTS)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water customer (CTS) (Additional metering expenditure  water only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sewerage customer (CTS) Additional metering expenditure  sewerage only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dual service customer (CTS) Additional metering expenditure  water and sewerage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rgbClr val="000000"/>
              </a:solidFill>
              <a:effectLst/>
              <a:uLnTx/>
              <a:uFillTx/>
              <a:latin typeface="Arial" pitchFamily="34" charset="0"/>
              <a:ea typeface="+mn-ea"/>
              <a:cs typeface="Arial" pitchFamily="34" charset="0"/>
            </a:rPr>
            <a:t>Households connected </a:t>
          </a: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water and sewerage - metered*economies of scope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Households connected for water and sewerage - unmetered*economies of scope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Allowed depreciation (post efficiency challenge and adjustments)</a:t>
          </a:r>
          <a:endParaRPr kumimoji="0" lang="en-GB" sz="10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Economies of scope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un-measured (including modification for new costs) (1.2d)</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water only (1.2d Company cost to serve un-measured +1.6c Additional cost of metering per water only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wastewater only (1.2d Company cost to serve un-measured + 1.7c Additional cost of metering per sewerage only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water and wastewater (1.2d Company cost to serve un-measured + 1.8c Additional cost of metering per sewerage and water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unmeasured water and wastewater customers (1.2d *19.1 Economies of scope)</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unmeasured single service customers (1.5a)</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unmeasured water and wastewater customers (1.5a Household retail allowed expenditure plus company specific adjustments and outcomes per customer* 19.1 Economies of Scope)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measured water-only customers (1.6c Allowed additional cost of metering per water only customer + 1.5a Household retail allowed expenditure plus company specific adjustments and outcomes per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measured wastewater-only customers (1.7c Allowed additional cost of metering per sewerage only customer + 1.5a Household retail allowed expenditure plus company specific adjustments and outcomes per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  Allowed cost to serve measured wastewater-only customers ((1.8c Allowed additional cost of metering per water and sewerage only customer + 1.5a Household retail allowed expenditure plus company specific adjustments and outcomes per customer)* Economies of scale)   </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lang="en-GB" sz="1000" b="1" i="0" baseline="0">
              <a:effectLst/>
              <a:latin typeface="+mn-lt"/>
              <a:ea typeface="+mn-ea"/>
              <a:cs typeface="+mn-cs"/>
            </a:rPr>
            <a:t> Modification made to 2013-14 CTS for ACTS calculation = (1.2b Modification for new costs (£/cust))</a:t>
          </a: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Total operating expenditure (excluding exceptional items) (From inputs used)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cs typeface="Arial" pitchFamily="34" charset="0"/>
            </a:rPr>
            <a:t>Operating expenditure - excluded from ACTS (From nputs used)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u="none" strike="noStrike">
              <a:effectLst/>
              <a:latin typeface="+mn-lt"/>
              <a:ea typeface="+mn-ea"/>
              <a:cs typeface="+mn-cs"/>
            </a:rPr>
            <a:t>Industry cost to serve un-measured (including modification for new costs)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b="1">
              <a:latin typeface="+mn-lt"/>
            </a:rPr>
            <a:t> </a:t>
          </a:r>
          <a:r>
            <a:rPr lang="en-GB" sz="1000" b="1" i="0" u="none" strike="noStrike">
              <a:effectLst/>
              <a:latin typeface="+mn-lt"/>
              <a:ea typeface="+mn-ea"/>
              <a:cs typeface="+mn-cs"/>
            </a:rPr>
            <a:t>Industry cost to serve measured water only</a:t>
          </a:r>
          <a:r>
            <a:rPr lang="en-GB" b="1">
              <a:latin typeface="+mn-lt"/>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u="none" strike="noStrike">
              <a:effectLst/>
              <a:latin typeface="+mn-lt"/>
              <a:ea typeface="+mn-ea"/>
              <a:cs typeface="+mn-cs"/>
            </a:rPr>
            <a:t>Industry cost to serve measured wastewater only</a:t>
          </a:r>
          <a:r>
            <a:rPr lang="en-GB" b="1">
              <a:latin typeface="+mn-lt"/>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u="none" strike="noStrike">
              <a:effectLst/>
              <a:latin typeface="+mn-lt"/>
              <a:ea typeface="+mn-ea"/>
              <a:cs typeface="+mn-cs"/>
            </a:rPr>
            <a:t>Industry cost to serve measured water and wastewater</a:t>
          </a:r>
          <a:r>
            <a:rPr lang="en-GB" b="1">
              <a:latin typeface="+mn-lt"/>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000" b="1" i="0" u="none" strike="noStrike">
              <a:effectLst/>
              <a:latin typeface="+mn-lt"/>
              <a:ea typeface="+mn-ea"/>
              <a:cs typeface="+mn-cs"/>
            </a:rPr>
            <a:t>Industry cost to serve unmeasured water and wastewater customers</a:t>
          </a:r>
          <a:r>
            <a:rPr lang="en-GB" b="1">
              <a:latin typeface="+mn-lt"/>
            </a:rPr>
            <a:t> </a:t>
          </a:r>
          <a:endParaRPr kumimoji="0" lang="en-GB" sz="1000" b="1" i="0" u="none" strike="noStrike" kern="0" cap="none" spc="0" normalizeH="0" baseline="0" noProof="0">
            <a:ln>
              <a:noFill/>
            </a:ln>
            <a:solidFill>
              <a:sysClr val="windowText" lastClr="000000"/>
            </a:solidFill>
            <a:effectLst/>
            <a:uLnTx/>
            <a:uFillTx/>
            <a:latin typeface="+mn-lt"/>
            <a:cs typeface="Arial" pitchFamily="34" charset="0"/>
          </a:endParaRPr>
        </a:p>
      </xdr:txBody>
    </xdr:sp>
    <xdr:clientData/>
  </xdr:twoCellAnchor>
  <xdr:twoCellAnchor>
    <xdr:from>
      <xdr:col>7</xdr:col>
      <xdr:colOff>581728</xdr:colOff>
      <xdr:row>565</xdr:row>
      <xdr:rowOff>54428</xdr:rowOff>
    </xdr:from>
    <xdr:to>
      <xdr:col>10</xdr:col>
      <xdr:colOff>173513</xdr:colOff>
      <xdr:row>568</xdr:row>
      <xdr:rowOff>13607</xdr:rowOff>
    </xdr:to>
    <xdr:sp macro="" textlink="">
      <xdr:nvSpPr>
        <xdr:cNvPr id="564" name="AutoShape 10"/>
        <xdr:cNvSpPr>
          <a:spLocks noChangeArrowheads="1"/>
        </xdr:cNvSpPr>
      </xdr:nvSpPr>
      <xdr:spPr bwMode="auto">
        <a:xfrm>
          <a:off x="5752442" y="125702785"/>
          <a:ext cx="1551214" cy="449036"/>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ysClr val="windowText" lastClr="000000"/>
              </a:solidFill>
              <a:effectLst/>
              <a:uLnTx/>
              <a:uFillTx/>
              <a:latin typeface="Arial"/>
              <a:cs typeface="Arial"/>
            </a:rPr>
            <a:t>Price Setting</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9</xdr:col>
      <xdr:colOff>51049</xdr:colOff>
      <xdr:row>568</xdr:row>
      <xdr:rowOff>13607</xdr:rowOff>
    </xdr:from>
    <xdr:to>
      <xdr:col>9</xdr:col>
      <xdr:colOff>51049</xdr:colOff>
      <xdr:row>569</xdr:row>
      <xdr:rowOff>136072</xdr:rowOff>
    </xdr:to>
    <xdr:cxnSp macro="">
      <xdr:nvCxnSpPr>
        <xdr:cNvPr id="565" name="Straight Arrow Connector 564"/>
        <xdr:cNvCxnSpPr>
          <a:stCxn id="564" idx="2"/>
          <a:endCxn id="563" idx="0"/>
        </xdr:cNvCxnSpPr>
      </xdr:nvCxnSpPr>
      <xdr:spPr>
        <a:xfrm>
          <a:off x="6528049" y="132397500"/>
          <a:ext cx="0" cy="2857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306161</xdr:colOff>
      <xdr:row>3</xdr:row>
      <xdr:rowOff>81644</xdr:rowOff>
    </xdr:from>
    <xdr:to>
      <xdr:col>16</xdr:col>
      <xdr:colOff>387804</xdr:colOff>
      <xdr:row>23</xdr:row>
      <xdr:rowOff>68037</xdr:rowOff>
    </xdr:to>
    <xdr:sp macro="" textlink="">
      <xdr:nvSpPr>
        <xdr:cNvPr id="569" name="TextBox 568"/>
        <xdr:cNvSpPr txBox="1"/>
      </xdr:nvSpPr>
      <xdr:spPr>
        <a:xfrm>
          <a:off x="1258661" y="1020537"/>
          <a:ext cx="10572750" cy="3524250"/>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Inputs from fountain database</a:t>
          </a:r>
        </a:p>
        <a:p>
          <a:endParaRPr lang="en-GB" sz="1100" b="1"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 Business plan table R3 - Total operating expenditure (excluding exceptional items)</a:t>
          </a:r>
          <a:r>
            <a:rPr lang="en-GB"/>
            <a:t> </a:t>
          </a:r>
        </a:p>
        <a:p>
          <a:r>
            <a:rPr lang="en-GB" sz="1100" b="1" i="0" u="none" strike="noStrike">
              <a:solidFill>
                <a:schemeClr val="dk1"/>
              </a:solidFill>
              <a:effectLst/>
              <a:latin typeface="+mn-lt"/>
              <a:ea typeface="+mn-ea"/>
              <a:cs typeface="+mn-cs"/>
            </a:rPr>
            <a:t>•</a:t>
          </a:r>
          <a:r>
            <a:rPr lang="en-GB" sz="1100" b="1" i="0" u="none" strike="noStrike" baseline="0">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Business plan table R3 - Total depreciation of assets included in RCV (assets existing before AMP6)</a:t>
          </a:r>
          <a:r>
            <a:rPr lang="en-GB"/>
            <a:t> </a:t>
          </a:r>
        </a:p>
        <a:p>
          <a:r>
            <a:rPr lang="en-GB" sz="1100" b="1" i="0" u="none" strike="noStrike">
              <a:solidFill>
                <a:schemeClr val="dk1"/>
              </a:solidFill>
              <a:effectLst/>
              <a:latin typeface="+mn-lt"/>
              <a:ea typeface="+mn-ea"/>
              <a:cs typeface="+mn-cs"/>
            </a:rPr>
            <a:t>• Business plan table R3 - Total depreciation of assets that are not included in RCV (AMP6 or later assets)</a:t>
          </a:r>
        </a:p>
        <a:p>
          <a:r>
            <a:rPr lang="en-GB" sz="1100" b="1" i="0" u="none" strike="noStrike">
              <a:solidFill>
                <a:schemeClr val="dk1"/>
              </a:solidFill>
              <a:effectLst/>
              <a:latin typeface="+mn-lt"/>
              <a:ea typeface="+mn-ea"/>
              <a:cs typeface="+mn-cs"/>
            </a:rPr>
            <a:t>• Business plan table R3 - Total metering costs - water only customers</a:t>
          </a:r>
          <a:r>
            <a:rPr lang="en-GB"/>
            <a:t> </a:t>
          </a:r>
        </a:p>
        <a:p>
          <a:r>
            <a:rPr lang="en-GB" sz="1100" b="1" i="0" u="none" strike="noStrike">
              <a:solidFill>
                <a:schemeClr val="dk1"/>
              </a:solidFill>
              <a:effectLst/>
              <a:latin typeface="+mn-lt"/>
              <a:ea typeface="+mn-ea"/>
              <a:cs typeface="+mn-cs"/>
            </a:rPr>
            <a:t>• Business plan table R3 - Total metering costs - sewerage only customers</a:t>
          </a:r>
          <a:r>
            <a:rPr lang="en-GB"/>
            <a:t> </a:t>
          </a:r>
        </a:p>
        <a:p>
          <a:r>
            <a:rPr lang="en-GB" sz="1100" b="1" i="0" u="none" strike="noStrike">
              <a:solidFill>
                <a:schemeClr val="dk1"/>
              </a:solidFill>
              <a:effectLst/>
              <a:latin typeface="+mn-lt"/>
              <a:ea typeface="+mn-ea"/>
              <a:cs typeface="+mn-cs"/>
            </a:rPr>
            <a:t>• Business plan table R3 - Total metering costs - water and sewerage customers</a:t>
          </a:r>
          <a:r>
            <a:rPr lang="en-GB"/>
            <a:t> </a:t>
          </a:r>
        </a:p>
        <a:p>
          <a:r>
            <a:rPr lang="en-GB" sz="1100" b="1" i="0" u="none" strike="noStrike">
              <a:solidFill>
                <a:schemeClr val="dk1"/>
              </a:solidFill>
              <a:effectLst/>
              <a:latin typeface="+mn-lt"/>
              <a:ea typeface="+mn-ea"/>
              <a:cs typeface="+mn-cs"/>
            </a:rPr>
            <a:t>• Business plan table R3  - Households connected for water only - unmetered</a:t>
          </a:r>
          <a:r>
            <a:rPr lang="en-GB"/>
            <a:t> </a:t>
          </a:r>
        </a:p>
        <a:p>
          <a:r>
            <a:rPr lang="en-GB" sz="1100" b="1" i="0" u="none" strike="noStrike">
              <a:solidFill>
                <a:schemeClr val="dk1"/>
              </a:solidFill>
              <a:effectLst/>
              <a:latin typeface="+mn-lt"/>
              <a:ea typeface="+mn-ea"/>
              <a:cs typeface="+mn-cs"/>
            </a:rPr>
            <a:t>• Business plan table R3  - Households connected for water only - metered</a:t>
          </a:r>
          <a:r>
            <a:rPr lang="en-GB"/>
            <a:t> </a:t>
          </a:r>
        </a:p>
        <a:p>
          <a:r>
            <a:rPr lang="en-GB" sz="1100" b="1" i="0" u="none" strike="noStrike">
              <a:solidFill>
                <a:schemeClr val="dk1"/>
              </a:solidFill>
              <a:effectLst/>
              <a:latin typeface="+mn-lt"/>
              <a:ea typeface="+mn-ea"/>
              <a:cs typeface="+mn-cs"/>
            </a:rPr>
            <a:t>• Business plan table R3  - Households connected for sewerage only - unmetered</a:t>
          </a:r>
          <a:r>
            <a:rPr lang="en-GB"/>
            <a:t> </a:t>
          </a:r>
        </a:p>
        <a:p>
          <a:r>
            <a:rPr lang="en-GB" sz="1100" b="1" i="0" u="none" strike="noStrike">
              <a:solidFill>
                <a:schemeClr val="dk1"/>
              </a:solidFill>
              <a:effectLst/>
              <a:latin typeface="+mn-lt"/>
              <a:ea typeface="+mn-ea"/>
              <a:cs typeface="+mn-cs"/>
            </a:rPr>
            <a:t>• Business plan table R3  - Households connected for sewerage only - metered</a:t>
          </a:r>
          <a:r>
            <a:rPr lang="en-GB"/>
            <a:t> </a:t>
          </a:r>
        </a:p>
        <a:p>
          <a:r>
            <a:rPr lang="en-GB" sz="1100" b="1" i="0" u="none" strike="noStrike">
              <a:solidFill>
                <a:schemeClr val="dk1"/>
              </a:solidFill>
              <a:effectLst/>
              <a:latin typeface="+mn-lt"/>
              <a:ea typeface="+mn-ea"/>
              <a:cs typeface="+mn-cs"/>
            </a:rPr>
            <a:t>• Business plan table R3  - Households connected for water and sewerage - unmetered</a:t>
          </a:r>
          <a:r>
            <a:rPr lang="en-GB"/>
            <a:t> </a:t>
          </a:r>
        </a:p>
        <a:p>
          <a:r>
            <a:rPr lang="en-GB" sz="1100" b="1" i="0" u="none" strike="noStrike">
              <a:solidFill>
                <a:schemeClr val="dk1"/>
              </a:solidFill>
              <a:effectLst/>
              <a:latin typeface="+mn-lt"/>
              <a:ea typeface="+mn-ea"/>
              <a:cs typeface="+mn-cs"/>
            </a:rPr>
            <a:t>• Business plan table R3  - Households connected for water and sewerage - metered</a:t>
          </a:r>
          <a:r>
            <a:rPr lang="en-GB"/>
            <a:t> </a:t>
          </a:r>
        </a:p>
        <a:p>
          <a:r>
            <a:rPr lang="en-GB" sz="1100" b="1" i="0" u="none" strike="noStrike">
              <a:solidFill>
                <a:schemeClr val="dk1"/>
              </a:solidFill>
              <a:effectLst/>
              <a:latin typeface="+mn-lt"/>
              <a:ea typeface="+mn-ea"/>
              <a:cs typeface="+mn-cs"/>
            </a:rPr>
            <a:t>• Business plan table R1  - Incremental expenditure in addition to retail operating expenditure and depreciation of retail assets - total for all outcomes</a:t>
          </a:r>
        </a:p>
        <a:p>
          <a:r>
            <a:rPr lang="en-GB" sz="1100" b="1" i="0" u="none" strike="noStrike">
              <a:solidFill>
                <a:schemeClr val="dk1"/>
              </a:solidFill>
              <a:effectLst/>
              <a:latin typeface="+mn-lt"/>
              <a:ea typeface="+mn-ea"/>
              <a:cs typeface="+mn-cs"/>
            </a:rPr>
            <a:t>• Business plan table R3  - Operating expenditure - excluded from ACTS</a:t>
          </a:r>
          <a:r>
            <a:rPr lang="en-GB"/>
            <a:t> </a:t>
          </a:r>
        </a:p>
        <a:p>
          <a:r>
            <a:rPr lang="en-GB" sz="1100" b="1" i="0" u="none" strike="noStrike">
              <a:solidFill>
                <a:schemeClr val="dk1"/>
              </a:solidFill>
              <a:effectLst/>
              <a:latin typeface="+mn-lt"/>
              <a:ea typeface="+mn-ea"/>
              <a:cs typeface="+mn-cs"/>
            </a:rPr>
            <a:t>• Business plan table R3  - Total depreciation of assets that are not included in RCV - excluded from ACTS</a:t>
          </a:r>
          <a:r>
            <a:rPr lang="en-GB"/>
            <a:t> </a:t>
          </a:r>
        </a:p>
        <a:p>
          <a:r>
            <a:rPr lang="en-GB" sz="1100" b="1" i="0" u="none" strike="noStrike">
              <a:solidFill>
                <a:schemeClr val="dk1"/>
              </a:solidFill>
              <a:effectLst/>
              <a:latin typeface="+mn-lt"/>
              <a:ea typeface="+mn-ea"/>
              <a:cs typeface="+mn-cs"/>
            </a:rPr>
            <a:t>• Business plan table R3  - Recharge from wholesale for legacy assets principally used by wholesale (assets existing before AMP 6)</a:t>
          </a:r>
          <a:r>
            <a:rPr lang="en-GB"/>
            <a:t> </a:t>
          </a:r>
        </a:p>
        <a:p>
          <a:r>
            <a:rPr lang="en-GB" sz="1100" b="1" i="0" u="none" strike="noStrike">
              <a:solidFill>
                <a:schemeClr val="dk1"/>
              </a:solidFill>
              <a:effectLst/>
              <a:latin typeface="+mn-lt"/>
              <a:ea typeface="+mn-ea"/>
              <a:cs typeface="+mn-cs"/>
            </a:rPr>
            <a:t>• Business plan table R3  - Income from wholesale for legacy assets principally used by retail (assets existing before AMP 6)</a:t>
          </a:r>
          <a:r>
            <a:rPr lang="en-GB"/>
            <a:t> </a:t>
          </a:r>
        </a:p>
        <a:p>
          <a:r>
            <a:rPr lang="en-GB" sz="1100" b="1" i="0" u="none" strike="noStrike">
              <a:solidFill>
                <a:schemeClr val="dk1"/>
              </a:solidFill>
              <a:effectLst/>
              <a:latin typeface="+mn-lt"/>
              <a:ea typeface="+mn-ea"/>
              <a:cs typeface="+mn-cs"/>
            </a:rPr>
            <a:t>• Business plan table R3  - Recharge from wholesale for AMP 6 or later assets principally used by wholesale</a:t>
          </a:r>
          <a:r>
            <a:rPr lang="en-GB"/>
            <a:t> </a:t>
          </a:r>
        </a:p>
        <a:p>
          <a:r>
            <a:rPr lang="en-GB" sz="1100" b="1" i="0" u="none" strike="noStrike">
              <a:solidFill>
                <a:schemeClr val="dk1"/>
              </a:solidFill>
              <a:effectLst/>
              <a:latin typeface="+mn-lt"/>
              <a:ea typeface="+mn-ea"/>
              <a:cs typeface="+mn-cs"/>
            </a:rPr>
            <a:t>• Business plan table R3  - Income from wholesale for AMP 6 or later assets principally used by retail</a:t>
          </a:r>
          <a:r>
            <a:rPr lang="en-GB"/>
            <a:t> </a:t>
          </a:r>
          <a:endParaRPr lang="en-GB" sz="1100" b="0"/>
        </a:p>
      </xdr:txBody>
    </xdr:sp>
    <xdr:clientData/>
  </xdr:twoCellAnchor>
  <xdr:twoCellAnchor>
    <xdr:from>
      <xdr:col>2</xdr:col>
      <xdr:colOff>306161</xdr:colOff>
      <xdr:row>28</xdr:row>
      <xdr:rowOff>81643</xdr:rowOff>
    </xdr:from>
    <xdr:to>
      <xdr:col>16</xdr:col>
      <xdr:colOff>387804</xdr:colOff>
      <xdr:row>37</xdr:row>
      <xdr:rowOff>1</xdr:rowOff>
    </xdr:to>
    <xdr:sp macro="" textlink="">
      <xdr:nvSpPr>
        <xdr:cNvPr id="570" name="TextBox 569"/>
        <xdr:cNvSpPr txBox="1"/>
      </xdr:nvSpPr>
      <xdr:spPr>
        <a:xfrm>
          <a:off x="1258661" y="5606143"/>
          <a:ext cx="10572750" cy="1578429"/>
        </a:xfrm>
        <a:prstGeom prst="rect">
          <a:avLst/>
        </a:prstGeom>
        <a:solidFill>
          <a:schemeClr val="accent1">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Manual inputs</a:t>
          </a:r>
        </a:p>
        <a:p>
          <a:endParaRPr lang="en-GB" sz="1100" b="1"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1.1 Are new costs allowed</a:t>
          </a:r>
          <a:r>
            <a:rPr lang="en-GB"/>
            <a:t> </a:t>
          </a:r>
        </a:p>
        <a:p>
          <a:r>
            <a:rPr lang="en-GB" sz="1100" b="1" i="0" u="none" strike="noStrike">
              <a:solidFill>
                <a:schemeClr val="dk1"/>
              </a:solidFill>
              <a:effectLst/>
              <a:latin typeface="+mn-lt"/>
              <a:ea typeface="+mn-ea"/>
              <a:cs typeface="+mn-cs"/>
            </a:rPr>
            <a:t>1.2 Materiality threshold</a:t>
          </a:r>
          <a:r>
            <a:rPr lang="en-GB"/>
            <a:t> </a:t>
          </a:r>
        </a:p>
        <a:p>
          <a:r>
            <a:rPr lang="en-GB" sz="1100" b="1" i="0" u="none" strike="noStrike">
              <a:solidFill>
                <a:schemeClr val="dk1"/>
              </a:solidFill>
              <a:effectLst/>
              <a:latin typeface="+mn-lt"/>
              <a:ea typeface="+mn-ea"/>
              <a:cs typeface="+mn-cs"/>
            </a:rPr>
            <a:t>1.3 New costs requested as adjustments and outcomes</a:t>
          </a:r>
          <a:r>
            <a:rPr lang="en-GB"/>
            <a:t> </a:t>
          </a:r>
        </a:p>
        <a:p>
          <a:r>
            <a:rPr lang="en-GB" sz="1100" b="1" i="0" u="none" strike="noStrike">
              <a:solidFill>
                <a:schemeClr val="dk1"/>
              </a:solidFill>
              <a:effectLst/>
              <a:latin typeface="+mn-lt"/>
              <a:ea typeface="+mn-ea"/>
              <a:cs typeface="+mn-cs"/>
            </a:rPr>
            <a:t>1.4 Adjustments - pension deficit repair cost override, override of allowed adjustment values and statement of whether adjustments allowed</a:t>
          </a:r>
          <a:r>
            <a:rPr lang="en-GB"/>
            <a:t> </a:t>
          </a:r>
        </a:p>
        <a:p>
          <a:r>
            <a:rPr lang="en-GB" sz="1100" b="1" i="0" u="none" strike="noStrike">
              <a:solidFill>
                <a:schemeClr val="dk1"/>
              </a:solidFill>
              <a:effectLst/>
              <a:latin typeface="+mn-lt"/>
              <a:ea typeface="+mn-ea"/>
              <a:cs typeface="+mn-cs"/>
            </a:rPr>
            <a:t>1.5 Economies of scope factor</a:t>
          </a:r>
          <a:r>
            <a:rPr lang="en-GB"/>
            <a:t> </a:t>
          </a:r>
        </a:p>
        <a:p>
          <a:r>
            <a:rPr lang="en-GB" sz="1100" b="1" i="0" u="none" strike="noStrike">
              <a:solidFill>
                <a:schemeClr val="dk1"/>
              </a:solidFill>
              <a:effectLst/>
              <a:latin typeface="+mn-lt"/>
              <a:ea typeface="+mn-ea"/>
              <a:cs typeface="+mn-cs"/>
            </a:rPr>
            <a:t>1.6 % changes to adjustments (not used - set at 100%)</a:t>
          </a:r>
          <a:r>
            <a:rPr lang="en-GB"/>
            <a:t> </a:t>
          </a:r>
          <a:endParaRPr lang="en-GB" sz="1100" b="1" i="0" u="none" strike="noStrike">
            <a:solidFill>
              <a:schemeClr val="dk1"/>
            </a:solidFill>
            <a:effectLst/>
            <a:latin typeface="+mn-lt"/>
            <a:ea typeface="+mn-ea"/>
            <a:cs typeface="+mn-cs"/>
          </a:endParaRPr>
        </a:p>
      </xdr:txBody>
    </xdr:sp>
    <xdr:clientData/>
  </xdr:twoCellAnchor>
  <xdr:twoCellAnchor>
    <xdr:from>
      <xdr:col>10</xdr:col>
      <xdr:colOff>408214</xdr:colOff>
      <xdr:row>340</xdr:row>
      <xdr:rowOff>176894</xdr:rowOff>
    </xdr:from>
    <xdr:to>
      <xdr:col>13</xdr:col>
      <xdr:colOff>173830</xdr:colOff>
      <xdr:row>342</xdr:row>
      <xdr:rowOff>86283</xdr:rowOff>
    </xdr:to>
    <xdr:sp macro="" textlink="">
      <xdr:nvSpPr>
        <xdr:cNvPr id="572" name="AutoShape 10"/>
        <xdr:cNvSpPr>
          <a:spLocks noChangeArrowheads="1"/>
        </xdr:cNvSpPr>
      </xdr:nvSpPr>
      <xdr:spPr bwMode="auto">
        <a:xfrm>
          <a:off x="7538357" y="95535751"/>
          <a:ext cx="2119652" cy="50810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 X.1 - X.4 </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12</xdr:col>
      <xdr:colOff>655864</xdr:colOff>
      <xdr:row>375</xdr:row>
      <xdr:rowOff>84365</xdr:rowOff>
    </xdr:from>
    <xdr:to>
      <xdr:col>15</xdr:col>
      <xdr:colOff>503123</xdr:colOff>
      <xdr:row>378</xdr:row>
      <xdr:rowOff>102610</xdr:rowOff>
    </xdr:to>
    <xdr:sp macro="" textlink="">
      <xdr:nvSpPr>
        <xdr:cNvPr id="574" name="AutoShape 10"/>
        <xdr:cNvSpPr>
          <a:spLocks noChangeArrowheads="1"/>
        </xdr:cNvSpPr>
      </xdr:nvSpPr>
      <xdr:spPr bwMode="auto">
        <a:xfrm>
          <a:off x="9173935" y="101566436"/>
          <a:ext cx="2119652" cy="50810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 X.1 - X.4 </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9</xdr:col>
      <xdr:colOff>476250</xdr:colOff>
      <xdr:row>469</xdr:row>
      <xdr:rowOff>122464</xdr:rowOff>
    </xdr:from>
    <xdr:to>
      <xdr:col>12</xdr:col>
      <xdr:colOff>554831</xdr:colOff>
      <xdr:row>472</xdr:row>
      <xdr:rowOff>140710</xdr:rowOff>
    </xdr:to>
    <xdr:sp macro="" textlink="">
      <xdr:nvSpPr>
        <xdr:cNvPr id="576" name="AutoShape 10"/>
        <xdr:cNvSpPr>
          <a:spLocks noChangeArrowheads="1"/>
        </xdr:cNvSpPr>
      </xdr:nvSpPr>
      <xdr:spPr bwMode="auto">
        <a:xfrm>
          <a:off x="6953250" y="116953393"/>
          <a:ext cx="2119652" cy="508103"/>
        </a:xfrm>
        <a:prstGeom prst="flowChartProcess">
          <a:avLst/>
        </a:prstGeom>
        <a:solidFill>
          <a:srgbClr val="4B92DB">
            <a:lumMod val="20000"/>
            <a:lumOff val="8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100" b="1" i="0" u="none" strike="noStrike" kern="0" cap="none" spc="0" normalizeH="0" baseline="0" noProof="0">
              <a:ln>
                <a:noFill/>
              </a:ln>
              <a:solidFill>
                <a:srgbClr val="000000"/>
              </a:solidFill>
              <a:effectLst/>
              <a:uLnTx/>
              <a:uFillTx/>
              <a:latin typeface="Arial" pitchFamily="34" charset="0"/>
              <a:cs typeface="Arial" pitchFamily="34" charset="0"/>
            </a:rPr>
            <a:t>Inputs X.1 - X.4 </a:t>
          </a:r>
          <a:endParaRPr kumimoji="0" lang="en-GB"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11</xdr:col>
      <xdr:colOff>229790</xdr:colOff>
      <xdr:row>472</xdr:row>
      <xdr:rowOff>140709</xdr:rowOff>
    </xdr:from>
    <xdr:to>
      <xdr:col>15</xdr:col>
      <xdr:colOff>18911</xdr:colOff>
      <xdr:row>492</xdr:row>
      <xdr:rowOff>123556</xdr:rowOff>
    </xdr:to>
    <xdr:cxnSp macro="">
      <xdr:nvCxnSpPr>
        <xdr:cNvPr id="578" name="Elbow Connector 577"/>
        <xdr:cNvCxnSpPr>
          <a:stCxn id="576" idx="2"/>
          <a:endCxn id="66" idx="0"/>
        </xdr:cNvCxnSpPr>
      </xdr:nvCxnSpPr>
      <xdr:spPr>
        <a:xfrm rot="16200000" flipH="1">
          <a:off x="7786945" y="117687626"/>
          <a:ext cx="3248561" cy="2796299"/>
        </a:xfrm>
        <a:prstGeom prst="bentConnector3">
          <a:avLst>
            <a:gd name="adj1" fmla="val 50838"/>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299358</xdr:colOff>
      <xdr:row>532</xdr:row>
      <xdr:rowOff>27215</xdr:rowOff>
    </xdr:from>
    <xdr:to>
      <xdr:col>16</xdr:col>
      <xdr:colOff>360635</xdr:colOff>
      <xdr:row>559</xdr:row>
      <xdr:rowOff>68037</xdr:rowOff>
    </xdr:to>
    <xdr:sp macro="" textlink="">
      <xdr:nvSpPr>
        <xdr:cNvPr id="585" name="AutoShape 10"/>
        <xdr:cNvSpPr>
          <a:spLocks noChangeArrowheads="1"/>
        </xdr:cNvSpPr>
      </xdr:nvSpPr>
      <xdr:spPr bwMode="auto">
        <a:xfrm>
          <a:off x="1251858" y="127185965"/>
          <a:ext cx="10552384" cy="4449536"/>
        </a:xfrm>
        <a:prstGeom prst="flowChartProcess">
          <a:avLst/>
        </a:prstGeom>
        <a:solidFill>
          <a:srgbClr val="F0AB00">
            <a:lumMod val="40000"/>
            <a:lumOff val="6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1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F_Outputs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Total Household retail allowed expenditure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unmetered customer (CTS)</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water customer (CTS) (Additional metering expenditure  water only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sewerage customer (CTS) Additional metering expenditure  sewerage only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Cost to serve per metered dual service customer (CTS) Additional metering expenditure  water and sewerage customer + Cost to serve per unmetered customer)</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rgbClr val="000000"/>
              </a:solidFill>
              <a:effectLst/>
              <a:uLnTx/>
              <a:uFillTx/>
              <a:latin typeface="Arial" pitchFamily="34" charset="0"/>
              <a:ea typeface="+mn-ea"/>
              <a:cs typeface="Arial" pitchFamily="34" charset="0"/>
            </a:rPr>
            <a:t>Households connected </a:t>
          </a: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water and sewerage - metered*economies of scope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Households connected for water and sewerage - unmetered*economies of scope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Allowed depreciation (post efficiency challenge and adjustments)</a:t>
          </a:r>
          <a:endParaRPr kumimoji="0" lang="en-GB" sz="1000" b="1" i="0" u="none" strike="noStrike" kern="0" cap="none" spc="0" normalizeH="0" baseline="0" noProof="0">
            <a:ln>
              <a:noFill/>
            </a:ln>
            <a:solidFill>
              <a:sysClr val="windowText" lastClr="000000"/>
            </a:solidFill>
            <a:effectLst/>
            <a:uLnTx/>
            <a:uFillTx/>
            <a:latin typeface="Arial"/>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Economies of scope</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un-measured (including modification for new costs) (1.2d)</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water only (1.2d Company cost to serve un-measured +1.6c Additional cost of metering per water only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wastewater only (1.2d Company cost to serve un-measured + 1.7c Additional cost of metering per sewerage only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measured water and wastewater (1.2d Company cost to serve un-measured + 1.8c Additional cost of metering per sewerage and water customer)</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Company cost to serve unmeasured water and wastewater customers (1.2d *19.1 Economies of scope)</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unmeasured single service customers (1.5a)</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unmeasured water and wastewater customers (1.5a Household retail allowed expenditure plus company specific adjustments and outcomes per customer* 19.1 Economies of Scope)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measured water-only customers (1.6c Allowed additional cost of metering per water only customer + 1.5a Household retail allowed expenditure plus company specific adjustments and outcomes per customer)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Allowed cost to serve measured wastewater-only customers (1.7c Allowed additional cost of metering per sewerage only customer + 1.5a Household retail allowed expenditure plus company specific adjustments and outcomes per customer)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  Allowed cost to serve measured wastewater-only customers ((1.8c Allowed additional cost of metering per water and sewerage only customer + 1.5a Household retail allowed expenditure plus company specific adjustments and outcomes per customer)* Economies of scale)   </a:t>
          </a:r>
          <a:b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 Modification made to 2013-14 CTS for ACTS calculation = (1.2b Modification for new costs (£/cust))</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Arial" pitchFamily="34" charset="0"/>
              <a:cs typeface="Arial" pitchFamily="34" charset="0"/>
            </a:rPr>
            <a:t>Total operating expenditure (excluding exceptional items) (From inputs used)</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cs typeface="Arial" pitchFamily="34" charset="0"/>
            </a:rPr>
            <a:t>Operating expenditure - excluded from ACTS (From nputs used)</a:t>
          </a:r>
        </a:p>
      </xdr:txBody>
    </xdr:sp>
    <xdr:clientData/>
  </xdr:twoCellAnchor>
  <xdr:twoCellAnchor>
    <xdr:from>
      <xdr:col>6</xdr:col>
      <xdr:colOff>505446</xdr:colOff>
      <xdr:row>141</xdr:row>
      <xdr:rowOff>299356</xdr:rowOff>
    </xdr:from>
    <xdr:to>
      <xdr:col>13</xdr:col>
      <xdr:colOff>496663</xdr:colOff>
      <xdr:row>144</xdr:row>
      <xdr:rowOff>108856</xdr:rowOff>
    </xdr:to>
    <xdr:cxnSp macro="">
      <xdr:nvCxnSpPr>
        <xdr:cNvPr id="4" name="Elbow Connector 3"/>
        <xdr:cNvCxnSpPr>
          <a:stCxn id="311" idx="2"/>
          <a:endCxn id="155" idx="0"/>
        </xdr:cNvCxnSpPr>
      </xdr:nvCxnSpPr>
      <xdr:spPr>
        <a:xfrm rot="16200000" flipH="1">
          <a:off x="7066501" y="36369480"/>
          <a:ext cx="707571" cy="512111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326573</xdr:colOff>
      <xdr:row>144</xdr:row>
      <xdr:rowOff>108857</xdr:rowOff>
    </xdr:from>
    <xdr:to>
      <xdr:col>15</xdr:col>
      <xdr:colOff>326573</xdr:colOff>
      <xdr:row>147</xdr:row>
      <xdr:rowOff>272143</xdr:rowOff>
    </xdr:to>
    <xdr:sp macro="" textlink="">
      <xdr:nvSpPr>
        <xdr:cNvPr id="155" name="TextBox 154"/>
        <xdr:cNvSpPr txBox="1"/>
      </xdr:nvSpPr>
      <xdr:spPr>
        <a:xfrm>
          <a:off x="8844644" y="39283821"/>
          <a:ext cx="2272393" cy="106135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2.1diAllowed </a:t>
          </a:r>
          <a:r>
            <a:rPr lang="en-GB" sz="1100" b="1" baseline="0"/>
            <a:t> New Costs</a:t>
          </a:r>
        </a:p>
        <a:p>
          <a:r>
            <a:rPr lang="en-GB" sz="1100"/>
            <a:t>EQUALS</a:t>
          </a:r>
        </a:p>
        <a:p>
          <a:r>
            <a:rPr lang="en-GB" sz="1100"/>
            <a:t>Total new costs</a:t>
          </a:r>
          <a:endParaRPr lang="en-GB" sz="1100" baseline="0"/>
        </a:p>
        <a:p>
          <a:r>
            <a:rPr lang="en-GB" sz="1100" baseline="0"/>
            <a:t>SUBTRACT</a:t>
          </a:r>
        </a:p>
        <a:p>
          <a:r>
            <a:rPr lang="en-GB" sz="1100"/>
            <a:t>Disallowed</a:t>
          </a:r>
          <a:r>
            <a:rPr lang="en-GB" sz="1100" baseline="0"/>
            <a:t> new costs</a:t>
          </a:r>
          <a:endParaRPr lang="en-GB" sz="1100"/>
        </a:p>
        <a:p>
          <a:endParaRPr lang="en-GB" sz="1100"/>
        </a:p>
      </xdr:txBody>
    </xdr:sp>
    <xdr:clientData/>
  </xdr:twoCellAnchor>
  <xdr:twoCellAnchor>
    <xdr:from>
      <xdr:col>9</xdr:col>
      <xdr:colOff>316594</xdr:colOff>
      <xdr:row>146</xdr:row>
      <xdr:rowOff>37730</xdr:rowOff>
    </xdr:from>
    <xdr:to>
      <xdr:col>12</xdr:col>
      <xdr:colOff>326573</xdr:colOff>
      <xdr:row>146</xdr:row>
      <xdr:rowOff>40821</xdr:rowOff>
    </xdr:to>
    <xdr:cxnSp macro="">
      <xdr:nvCxnSpPr>
        <xdr:cNvPr id="16" name="Straight Arrow Connector 15"/>
        <xdr:cNvCxnSpPr>
          <a:stCxn id="130" idx="3"/>
          <a:endCxn id="155" idx="1"/>
        </xdr:cNvCxnSpPr>
      </xdr:nvCxnSpPr>
      <xdr:spPr>
        <a:xfrm>
          <a:off x="6793594" y="39811409"/>
          <a:ext cx="2051050" cy="309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13608</xdr:colOff>
      <xdr:row>144</xdr:row>
      <xdr:rowOff>81642</xdr:rowOff>
    </xdr:from>
    <xdr:to>
      <xdr:col>17</xdr:col>
      <xdr:colOff>721179</xdr:colOff>
      <xdr:row>147</xdr:row>
      <xdr:rowOff>285750</xdr:rowOff>
    </xdr:to>
    <xdr:sp macro="" textlink="">
      <xdr:nvSpPr>
        <xdr:cNvPr id="21" name="TextBox 20"/>
        <xdr:cNvSpPr txBox="1"/>
      </xdr:nvSpPr>
      <xdr:spPr>
        <a:xfrm>
          <a:off x="11457215" y="39256606"/>
          <a:ext cx="1360714" cy="110218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2.1b Total customer numbers (sum of all customer numbers) adjusted for EoS</a:t>
          </a:r>
        </a:p>
        <a:p>
          <a:endParaRPr lang="en-GB" sz="1100"/>
        </a:p>
      </xdr:txBody>
    </xdr:sp>
    <xdr:clientData/>
  </xdr:twoCellAnchor>
  <xdr:twoCellAnchor>
    <xdr:from>
      <xdr:col>13</xdr:col>
      <xdr:colOff>496662</xdr:colOff>
      <xdr:row>147</xdr:row>
      <xdr:rowOff>272143</xdr:rowOff>
    </xdr:from>
    <xdr:to>
      <xdr:col>15</xdr:col>
      <xdr:colOff>231321</xdr:colOff>
      <xdr:row>150</xdr:row>
      <xdr:rowOff>285750</xdr:rowOff>
    </xdr:to>
    <xdr:cxnSp macro="">
      <xdr:nvCxnSpPr>
        <xdr:cNvPr id="23" name="Elbow Connector 22"/>
        <xdr:cNvCxnSpPr>
          <a:stCxn id="155" idx="2"/>
          <a:endCxn id="171" idx="0"/>
        </xdr:cNvCxnSpPr>
      </xdr:nvCxnSpPr>
      <xdr:spPr>
        <a:xfrm rot="16200000" flipH="1">
          <a:off x="10045474" y="40280546"/>
          <a:ext cx="911678" cy="1040944"/>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231322</xdr:colOff>
      <xdr:row>147</xdr:row>
      <xdr:rowOff>285750</xdr:rowOff>
    </xdr:from>
    <xdr:to>
      <xdr:col>17</xdr:col>
      <xdr:colOff>40823</xdr:colOff>
      <xdr:row>150</xdr:row>
      <xdr:rowOff>285750</xdr:rowOff>
    </xdr:to>
    <xdr:cxnSp macro="">
      <xdr:nvCxnSpPr>
        <xdr:cNvPr id="25" name="Elbow Connector 24"/>
        <xdr:cNvCxnSpPr>
          <a:stCxn id="21" idx="2"/>
          <a:endCxn id="171" idx="0"/>
        </xdr:cNvCxnSpPr>
      </xdr:nvCxnSpPr>
      <xdr:spPr>
        <a:xfrm rot="5400000">
          <a:off x="11130644" y="40249928"/>
          <a:ext cx="898071" cy="1115787"/>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435427</xdr:colOff>
      <xdr:row>150</xdr:row>
      <xdr:rowOff>285750</xdr:rowOff>
    </xdr:from>
    <xdr:to>
      <xdr:col>17</xdr:col>
      <xdr:colOff>27214</xdr:colOff>
      <xdr:row>155</xdr:row>
      <xdr:rowOff>40821</xdr:rowOff>
    </xdr:to>
    <xdr:sp macro="" textlink="">
      <xdr:nvSpPr>
        <xdr:cNvPr id="171" name="TextBox 170"/>
        <xdr:cNvSpPr txBox="1"/>
      </xdr:nvSpPr>
      <xdr:spPr>
        <a:xfrm>
          <a:off x="9919606" y="41256857"/>
          <a:ext cx="2204358" cy="125185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2.1dii Allowed </a:t>
          </a:r>
          <a:r>
            <a:rPr lang="en-GB" sz="1100" b="1" baseline="0"/>
            <a:t> new Costs per customer</a:t>
          </a:r>
        </a:p>
        <a:p>
          <a:r>
            <a:rPr lang="en-GB" sz="1100"/>
            <a:t>EQUALS</a:t>
          </a:r>
        </a:p>
        <a:p>
          <a:r>
            <a:rPr lang="en-GB" sz="1100"/>
            <a:t>Allowed new costs </a:t>
          </a:r>
        </a:p>
        <a:p>
          <a:r>
            <a:rPr lang="en-GB" sz="1100"/>
            <a:t>DIVIDED BY</a:t>
          </a:r>
        </a:p>
        <a:p>
          <a:r>
            <a:rPr lang="en-GB" sz="1100"/>
            <a:t>Total customer numbers adjusted for EoS</a:t>
          </a:r>
        </a:p>
      </xdr:txBody>
    </xdr:sp>
    <xdr:clientData/>
  </xdr:twoCellAnchor>
  <xdr:twoCellAnchor>
    <xdr:from>
      <xdr:col>15</xdr:col>
      <xdr:colOff>231321</xdr:colOff>
      <xdr:row>155</xdr:row>
      <xdr:rowOff>40821</xdr:rowOff>
    </xdr:from>
    <xdr:to>
      <xdr:col>15</xdr:col>
      <xdr:colOff>231322</xdr:colOff>
      <xdr:row>159</xdr:row>
      <xdr:rowOff>27215</xdr:rowOff>
    </xdr:to>
    <xdr:cxnSp macro="">
      <xdr:nvCxnSpPr>
        <xdr:cNvPr id="30" name="Straight Arrow Connector 29"/>
        <xdr:cNvCxnSpPr>
          <a:stCxn id="171" idx="2"/>
          <a:endCxn id="177" idx="0"/>
        </xdr:cNvCxnSpPr>
      </xdr:nvCxnSpPr>
      <xdr:spPr>
        <a:xfrm>
          <a:off x="11021785" y="42508714"/>
          <a:ext cx="1" cy="1183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54428</xdr:colOff>
      <xdr:row>159</xdr:row>
      <xdr:rowOff>27215</xdr:rowOff>
    </xdr:from>
    <xdr:to>
      <xdr:col>17</xdr:col>
      <xdr:colOff>408214</xdr:colOff>
      <xdr:row>162</xdr:row>
      <xdr:rowOff>108856</xdr:rowOff>
    </xdr:to>
    <xdr:sp macro="" textlink="">
      <xdr:nvSpPr>
        <xdr:cNvPr id="177" name="TextBox 176"/>
        <xdr:cNvSpPr txBox="1"/>
      </xdr:nvSpPr>
      <xdr:spPr>
        <a:xfrm>
          <a:off x="9538607" y="43692536"/>
          <a:ext cx="2966357" cy="97971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2.1diii Modification for new costs (£/cust)</a:t>
          </a:r>
        </a:p>
        <a:p>
          <a:r>
            <a:rPr lang="en-GB" sz="1100" b="0" baseline="0"/>
            <a:t>EQAULS</a:t>
          </a:r>
        </a:p>
        <a:p>
          <a:r>
            <a:rPr lang="en-GB" sz="1100" b="0" baseline="0"/>
            <a:t>AVERAGE OF</a:t>
          </a:r>
        </a:p>
        <a:p>
          <a:r>
            <a:rPr lang="en-GB" sz="1100" b="0" baseline="0"/>
            <a:t>AMP6 Allowed new cost per customer </a:t>
          </a:r>
        </a:p>
        <a:p>
          <a:endParaRPr lang="en-GB" sz="1100"/>
        </a:p>
      </xdr:txBody>
    </xdr:sp>
    <xdr:clientData/>
  </xdr:twoCellAnchor>
  <xdr:twoCellAnchor>
    <xdr:from>
      <xdr:col>9</xdr:col>
      <xdr:colOff>54429</xdr:colOff>
      <xdr:row>239</xdr:row>
      <xdr:rowOff>13607</xdr:rowOff>
    </xdr:from>
    <xdr:to>
      <xdr:col>12</xdr:col>
      <xdr:colOff>598716</xdr:colOff>
      <xdr:row>242</xdr:row>
      <xdr:rowOff>122463</xdr:rowOff>
    </xdr:to>
    <xdr:sp macro="" textlink="">
      <xdr:nvSpPr>
        <xdr:cNvPr id="187" name="TextBox 186"/>
        <xdr:cNvSpPr txBox="1"/>
      </xdr:nvSpPr>
      <xdr:spPr>
        <a:xfrm>
          <a:off x="6531429" y="67627500"/>
          <a:ext cx="2585358" cy="100692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New costs and adjustments 2.1div Modification for new costs (£m)</a:t>
          </a:r>
        </a:p>
        <a:p>
          <a:r>
            <a:rPr lang="en-GB" sz="1100" b="0" baseline="0"/>
            <a:t>EQAULS</a:t>
          </a:r>
        </a:p>
        <a:p>
          <a:r>
            <a:rPr lang="en-GB" sz="1100" b="0" baseline="0"/>
            <a:t>AVERAGE OF</a:t>
          </a:r>
        </a:p>
        <a:p>
          <a:r>
            <a:rPr lang="en-GB" sz="1100" b="0" baseline="0"/>
            <a:t>AMP6 Allowed new cost per customer </a:t>
          </a:r>
        </a:p>
        <a:p>
          <a:endParaRPr lang="en-GB" sz="1100"/>
        </a:p>
      </xdr:txBody>
    </xdr:sp>
    <xdr:clientData/>
  </xdr:twoCellAnchor>
  <xdr:twoCellAnchor>
    <xdr:from>
      <xdr:col>12</xdr:col>
      <xdr:colOff>734787</xdr:colOff>
      <xdr:row>238</xdr:row>
      <xdr:rowOff>299356</xdr:rowOff>
    </xdr:from>
    <xdr:to>
      <xdr:col>15</xdr:col>
      <xdr:colOff>204108</xdr:colOff>
      <xdr:row>242</xdr:row>
      <xdr:rowOff>122464</xdr:rowOff>
    </xdr:to>
    <xdr:sp macro="" textlink="">
      <xdr:nvSpPr>
        <xdr:cNvPr id="188" name="TextBox 187"/>
        <xdr:cNvSpPr txBox="1"/>
      </xdr:nvSpPr>
      <xdr:spPr>
        <a:xfrm>
          <a:off x="9252858" y="67613892"/>
          <a:ext cx="1741714" cy="102053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New costs and adjustments inputs 1.6</a:t>
          </a:r>
        </a:p>
        <a:p>
          <a:r>
            <a:rPr lang="en-GB" sz="1100" b="0" baseline="0"/>
            <a:t>Rebasing to 13-14</a:t>
          </a:r>
        </a:p>
        <a:p>
          <a:endParaRPr lang="en-GB" sz="1100"/>
        </a:p>
      </xdr:txBody>
    </xdr:sp>
    <xdr:clientData/>
  </xdr:twoCellAnchor>
  <xdr:twoCellAnchor>
    <xdr:from>
      <xdr:col>11</xdr:col>
      <xdr:colOff>40821</xdr:colOff>
      <xdr:row>242</xdr:row>
      <xdr:rowOff>122463</xdr:rowOff>
    </xdr:from>
    <xdr:to>
      <xdr:col>12</xdr:col>
      <xdr:colOff>687161</xdr:colOff>
      <xdr:row>243</xdr:row>
      <xdr:rowOff>231320</xdr:rowOff>
    </xdr:to>
    <xdr:cxnSp macro="">
      <xdr:nvCxnSpPr>
        <xdr:cNvPr id="42" name="Elbow Connector 41"/>
        <xdr:cNvCxnSpPr>
          <a:stCxn id="187" idx="2"/>
          <a:endCxn id="111" idx="0"/>
        </xdr:cNvCxnSpPr>
      </xdr:nvCxnSpPr>
      <xdr:spPr>
        <a:xfrm rot="16200000" flipH="1">
          <a:off x="8310563" y="68147971"/>
          <a:ext cx="408214" cy="138112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687163</xdr:colOff>
      <xdr:row>242</xdr:row>
      <xdr:rowOff>122463</xdr:rowOff>
    </xdr:from>
    <xdr:to>
      <xdr:col>13</xdr:col>
      <xdr:colOff>639537</xdr:colOff>
      <xdr:row>243</xdr:row>
      <xdr:rowOff>231319</xdr:rowOff>
    </xdr:to>
    <xdr:cxnSp macro="">
      <xdr:nvCxnSpPr>
        <xdr:cNvPr id="47" name="Elbow Connector 46"/>
        <xdr:cNvCxnSpPr>
          <a:stCxn id="188" idx="2"/>
          <a:endCxn id="111" idx="0"/>
        </xdr:cNvCxnSpPr>
      </xdr:nvCxnSpPr>
      <xdr:spPr>
        <a:xfrm rot="5400000">
          <a:off x="9460368" y="68379293"/>
          <a:ext cx="408213" cy="918482"/>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503465</xdr:colOff>
      <xdr:row>243</xdr:row>
      <xdr:rowOff>231320</xdr:rowOff>
    </xdr:from>
    <xdr:to>
      <xdr:col>15</xdr:col>
      <xdr:colOff>639537</xdr:colOff>
      <xdr:row>247</xdr:row>
      <xdr:rowOff>54429</xdr:rowOff>
    </xdr:to>
    <xdr:sp macro="" textlink="">
      <xdr:nvSpPr>
        <xdr:cNvPr id="111" name="TextBox 110"/>
        <xdr:cNvSpPr txBox="1"/>
      </xdr:nvSpPr>
      <xdr:spPr>
        <a:xfrm>
          <a:off x="6980465" y="69042641"/>
          <a:ext cx="4449536" cy="102053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1.2a Modification </a:t>
          </a:r>
          <a:r>
            <a:rPr lang="en-GB" sz="1100" b="1" baseline="0"/>
            <a:t>for new costs</a:t>
          </a:r>
        </a:p>
        <a:p>
          <a:r>
            <a:rPr lang="en-GB" sz="1100" b="0"/>
            <a:t>New costs and adjustments 2.1div Modification for new costs</a:t>
          </a:r>
        </a:p>
        <a:p>
          <a:r>
            <a:rPr lang="en-GB" sz="1100" b="0"/>
            <a:t>MULTIPLIED BY</a:t>
          </a:r>
        </a:p>
        <a:p>
          <a:r>
            <a:rPr lang="en-GB" sz="1100" b="0"/>
            <a:t>New costs and adjustments inputs 1.6</a:t>
          </a:r>
        </a:p>
        <a:p>
          <a:r>
            <a:rPr lang="en-GB" sz="1100" b="0"/>
            <a:t>Rebasing to 13-14</a:t>
          </a:r>
        </a:p>
        <a:p>
          <a:endParaRPr lang="en-GB" sz="1100" b="0"/>
        </a:p>
        <a:p>
          <a:endParaRPr lang="en-GB" sz="1100" b="1"/>
        </a:p>
      </xdr:txBody>
    </xdr:sp>
    <xdr:clientData/>
  </xdr:twoCellAnchor>
  <xdr:twoCellAnchor>
    <xdr:from>
      <xdr:col>6</xdr:col>
      <xdr:colOff>680357</xdr:colOff>
      <xdr:row>200</xdr:row>
      <xdr:rowOff>68036</xdr:rowOff>
    </xdr:from>
    <xdr:to>
      <xdr:col>9</xdr:col>
      <xdr:colOff>449036</xdr:colOff>
      <xdr:row>203</xdr:row>
      <xdr:rowOff>176893</xdr:rowOff>
    </xdr:to>
    <xdr:sp macro="" textlink="">
      <xdr:nvSpPr>
        <xdr:cNvPr id="229" name="TextBox 228"/>
        <xdr:cNvSpPr txBox="1"/>
      </xdr:nvSpPr>
      <xdr:spPr>
        <a:xfrm>
          <a:off x="5034643" y="56007000"/>
          <a:ext cx="1891393" cy="100692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New costs and adjustments inputs 1.6</a:t>
          </a:r>
        </a:p>
        <a:p>
          <a:r>
            <a:rPr lang="en-GB" sz="1100" b="0" baseline="0"/>
            <a:t>Rebasing to 13-14</a:t>
          </a:r>
        </a:p>
        <a:p>
          <a:endParaRPr lang="en-GB" sz="1100"/>
        </a:p>
      </xdr:txBody>
    </xdr:sp>
    <xdr:clientData/>
  </xdr:twoCellAnchor>
  <xdr:twoCellAnchor>
    <xdr:from>
      <xdr:col>2</xdr:col>
      <xdr:colOff>639536</xdr:colOff>
      <xdr:row>205</xdr:row>
      <xdr:rowOff>258535</xdr:rowOff>
    </xdr:from>
    <xdr:to>
      <xdr:col>5</xdr:col>
      <xdr:colOff>326571</xdr:colOff>
      <xdr:row>209</xdr:row>
      <xdr:rowOff>217713</xdr:rowOff>
    </xdr:to>
    <xdr:sp macro="" textlink="">
      <xdr:nvSpPr>
        <xdr:cNvPr id="142" name="TextBox 141"/>
        <xdr:cNvSpPr txBox="1"/>
      </xdr:nvSpPr>
      <xdr:spPr>
        <a:xfrm>
          <a:off x="1592036" y="57694285"/>
          <a:ext cx="2435678" cy="115660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13-14 Used inputs</a:t>
          </a:r>
        </a:p>
        <a:p>
          <a:endParaRPr lang="en-GB" sz="1100"/>
        </a:p>
        <a:p>
          <a:r>
            <a:rPr lang="en-GB" sz="1100"/>
            <a:t>All companies</a:t>
          </a:r>
          <a:r>
            <a:rPr lang="en-GB" sz="1100" baseline="0"/>
            <a:t> R</a:t>
          </a:r>
          <a:r>
            <a:rPr lang="en-GB" sz="1100"/>
            <a:t>3001, R3002,R3003,R3014, </a:t>
          </a:r>
          <a:r>
            <a:rPr lang="en-GB" sz="1100" baseline="0"/>
            <a:t>R3015, R3016, R3013, R3023</a:t>
          </a:r>
        </a:p>
        <a:p>
          <a:r>
            <a:rPr lang="en-GB" sz="1100" baseline="0"/>
            <a:t>MULTIPLIED BY</a:t>
          </a:r>
        </a:p>
        <a:p>
          <a:r>
            <a:rPr lang="en-GB" sz="1100"/>
            <a:t>Rebasing</a:t>
          </a:r>
        </a:p>
      </xdr:txBody>
    </xdr:sp>
    <xdr:clientData/>
  </xdr:twoCellAnchor>
  <xdr:twoCellAnchor>
    <xdr:from>
      <xdr:col>3</xdr:col>
      <xdr:colOff>499383</xdr:colOff>
      <xdr:row>203</xdr:row>
      <xdr:rowOff>217715</xdr:rowOff>
    </xdr:from>
    <xdr:to>
      <xdr:col>4</xdr:col>
      <xdr:colOff>20412</xdr:colOff>
      <xdr:row>205</xdr:row>
      <xdr:rowOff>258534</xdr:rowOff>
    </xdr:to>
    <xdr:cxnSp macro="">
      <xdr:nvCxnSpPr>
        <xdr:cNvPr id="144" name="Elbow Connector 143"/>
        <xdr:cNvCxnSpPr>
          <a:stCxn id="170" idx="2"/>
          <a:endCxn id="142" idx="0"/>
        </xdr:cNvCxnSpPr>
      </xdr:nvCxnSpPr>
      <xdr:spPr>
        <a:xfrm rot="16200000" flipH="1">
          <a:off x="2437041" y="57321450"/>
          <a:ext cx="639533" cy="106136"/>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20411</xdr:colOff>
      <xdr:row>203</xdr:row>
      <xdr:rowOff>176894</xdr:rowOff>
    </xdr:from>
    <xdr:to>
      <xdr:col>8</xdr:col>
      <xdr:colOff>156483</xdr:colOff>
      <xdr:row>205</xdr:row>
      <xdr:rowOff>258536</xdr:rowOff>
    </xdr:to>
    <xdr:cxnSp macro="">
      <xdr:nvCxnSpPr>
        <xdr:cNvPr id="146" name="Elbow Connector 145"/>
        <xdr:cNvCxnSpPr>
          <a:stCxn id="229" idx="2"/>
          <a:endCxn id="142" idx="0"/>
        </xdr:cNvCxnSpPr>
      </xdr:nvCxnSpPr>
      <xdr:spPr>
        <a:xfrm rot="5400000">
          <a:off x="4054930" y="55768875"/>
          <a:ext cx="680356" cy="3170465"/>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367393</xdr:colOff>
      <xdr:row>238</xdr:row>
      <xdr:rowOff>285750</xdr:rowOff>
    </xdr:from>
    <xdr:to>
      <xdr:col>17</xdr:col>
      <xdr:colOff>1047750</xdr:colOff>
      <xdr:row>245</xdr:row>
      <xdr:rowOff>27214</xdr:rowOff>
    </xdr:to>
    <xdr:sp macro="" textlink="">
      <xdr:nvSpPr>
        <xdr:cNvPr id="175" name="TextBox 174"/>
        <xdr:cNvSpPr txBox="1"/>
      </xdr:nvSpPr>
      <xdr:spPr>
        <a:xfrm>
          <a:off x="11811000" y="67600286"/>
          <a:ext cx="1333500" cy="183696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New costs and adjustments 2.1diii Modification for new costs (£m)</a:t>
          </a:r>
        </a:p>
        <a:p>
          <a:r>
            <a:rPr lang="en-GB" sz="1100" b="0" baseline="0"/>
            <a:t>EQAULS</a:t>
          </a:r>
        </a:p>
        <a:p>
          <a:r>
            <a:rPr lang="en-GB" sz="1100" b="0" baseline="0"/>
            <a:t>AVERAGE OF</a:t>
          </a:r>
        </a:p>
        <a:p>
          <a:r>
            <a:rPr lang="en-GB" sz="1100" b="0" baseline="0"/>
            <a:t>AMP6 Allowed new cost per customer </a:t>
          </a:r>
        </a:p>
        <a:p>
          <a:endParaRPr lang="en-GB" sz="1100"/>
        </a:p>
      </xdr:txBody>
    </xdr:sp>
    <xdr:clientData/>
  </xdr:twoCellAnchor>
  <xdr:twoCellAnchor>
    <xdr:from>
      <xdr:col>6</xdr:col>
      <xdr:colOff>62878</xdr:colOff>
      <xdr:row>247</xdr:row>
      <xdr:rowOff>40822</xdr:rowOff>
    </xdr:from>
    <xdr:to>
      <xdr:col>10</xdr:col>
      <xdr:colOff>183699</xdr:colOff>
      <xdr:row>270</xdr:row>
      <xdr:rowOff>82862</xdr:rowOff>
    </xdr:to>
    <xdr:cxnSp macro="">
      <xdr:nvCxnSpPr>
        <xdr:cNvPr id="182" name="Elbow Connector 181"/>
        <xdr:cNvCxnSpPr>
          <a:endCxn id="45" idx="0"/>
        </xdr:cNvCxnSpPr>
      </xdr:nvCxnSpPr>
      <xdr:spPr>
        <a:xfrm rot="5400000">
          <a:off x="2401876" y="72064860"/>
          <a:ext cx="6927254" cy="2896678"/>
        </a:xfrm>
        <a:prstGeom prst="bentConnector3">
          <a:avLst>
            <a:gd name="adj1" fmla="val 7023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204108</xdr:colOff>
      <xdr:row>240</xdr:row>
      <xdr:rowOff>210910</xdr:rowOff>
    </xdr:from>
    <xdr:to>
      <xdr:col>16</xdr:col>
      <xdr:colOff>217714</xdr:colOff>
      <xdr:row>247</xdr:row>
      <xdr:rowOff>285750</xdr:rowOff>
    </xdr:to>
    <xdr:cxnSp macro="">
      <xdr:nvCxnSpPr>
        <xdr:cNvPr id="186" name="Elbow Connector 185"/>
        <xdr:cNvCxnSpPr>
          <a:stCxn id="188" idx="3"/>
        </xdr:cNvCxnSpPr>
      </xdr:nvCxnSpPr>
      <xdr:spPr>
        <a:xfrm>
          <a:off x="10994572" y="68124160"/>
          <a:ext cx="666749" cy="217034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383722</xdr:colOff>
      <xdr:row>248</xdr:row>
      <xdr:rowOff>16326</xdr:rowOff>
    </xdr:from>
    <xdr:to>
      <xdr:col>17</xdr:col>
      <xdr:colOff>952500</xdr:colOff>
      <xdr:row>251</xdr:row>
      <xdr:rowOff>138792</xdr:rowOff>
    </xdr:to>
    <xdr:sp macro="" textlink="">
      <xdr:nvSpPr>
        <xdr:cNvPr id="189" name="TextBox 188"/>
        <xdr:cNvSpPr txBox="1"/>
      </xdr:nvSpPr>
      <xdr:spPr>
        <a:xfrm>
          <a:off x="8901793" y="70324433"/>
          <a:ext cx="4147457" cy="102053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1.2b Modification</a:t>
          </a:r>
          <a:r>
            <a:rPr lang="en-GB" sz="1100" b="1" baseline="0"/>
            <a:t> for new costs</a:t>
          </a:r>
        </a:p>
        <a:p>
          <a:r>
            <a:rPr lang="en-GB" sz="1100" b="0"/>
            <a:t>New costs and adjustments 2.1diii Modification for new costs</a:t>
          </a:r>
        </a:p>
        <a:p>
          <a:r>
            <a:rPr lang="en-GB" sz="1100" b="0"/>
            <a:t>MULTIPLIED BY</a:t>
          </a:r>
        </a:p>
        <a:p>
          <a:r>
            <a:rPr lang="en-GB" sz="1100" b="0"/>
            <a:t>New costs and adjustments inputs 1.6</a:t>
          </a:r>
        </a:p>
        <a:p>
          <a:r>
            <a:rPr lang="en-GB" sz="1100" b="0"/>
            <a:t>Rebasing to 13-14</a:t>
          </a:r>
        </a:p>
        <a:p>
          <a:endParaRPr lang="en-GB" sz="1100" b="0"/>
        </a:p>
        <a:p>
          <a:endParaRPr lang="en-GB" sz="1100" b="1"/>
        </a:p>
      </xdr:txBody>
    </xdr:sp>
    <xdr:clientData/>
  </xdr:twoCellAnchor>
  <xdr:twoCellAnchor>
    <xdr:from>
      <xdr:col>16</xdr:col>
      <xdr:colOff>217714</xdr:colOff>
      <xdr:row>245</xdr:row>
      <xdr:rowOff>27215</xdr:rowOff>
    </xdr:from>
    <xdr:to>
      <xdr:col>17</xdr:col>
      <xdr:colOff>381000</xdr:colOff>
      <xdr:row>248</xdr:row>
      <xdr:rowOff>4</xdr:rowOff>
    </xdr:to>
    <xdr:cxnSp macro="">
      <xdr:nvCxnSpPr>
        <xdr:cNvPr id="203" name="Elbow Connector 202"/>
        <xdr:cNvCxnSpPr>
          <a:stCxn id="175" idx="2"/>
        </xdr:cNvCxnSpPr>
      </xdr:nvCxnSpPr>
      <xdr:spPr>
        <a:xfrm rot="5400000">
          <a:off x="11634106" y="69464466"/>
          <a:ext cx="870860" cy="816429"/>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54428</xdr:colOff>
      <xdr:row>164</xdr:row>
      <xdr:rowOff>68036</xdr:rowOff>
    </xdr:from>
    <xdr:to>
      <xdr:col>17</xdr:col>
      <xdr:colOff>408214</xdr:colOff>
      <xdr:row>167</xdr:row>
      <xdr:rowOff>149677</xdr:rowOff>
    </xdr:to>
    <xdr:sp macro="" textlink="">
      <xdr:nvSpPr>
        <xdr:cNvPr id="208" name="TextBox 207"/>
        <xdr:cNvSpPr txBox="1"/>
      </xdr:nvSpPr>
      <xdr:spPr>
        <a:xfrm>
          <a:off x="9538607" y="45230143"/>
          <a:ext cx="2966357" cy="97971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2.1div Modification for new costs (£m)</a:t>
          </a:r>
        </a:p>
        <a:p>
          <a:r>
            <a:rPr lang="en-GB" sz="1100" b="0" baseline="0"/>
            <a:t>EQAULS</a:t>
          </a:r>
        </a:p>
        <a:p>
          <a:r>
            <a:rPr lang="en-GB" sz="1100" b="0" baseline="0"/>
            <a:t>AVERAGE OF</a:t>
          </a:r>
        </a:p>
        <a:p>
          <a:r>
            <a:rPr lang="en-GB" sz="1100" b="0" baseline="0"/>
            <a:t>AMP6 Allowed new cost per customer </a:t>
          </a:r>
        </a:p>
        <a:p>
          <a:endParaRPr lang="en-GB" sz="1100"/>
        </a:p>
      </xdr:txBody>
    </xdr:sp>
    <xdr:clientData/>
  </xdr:twoCellAnchor>
  <xdr:twoCellAnchor>
    <xdr:from>
      <xdr:col>15</xdr:col>
      <xdr:colOff>231322</xdr:colOff>
      <xdr:row>162</xdr:row>
      <xdr:rowOff>108856</xdr:rowOff>
    </xdr:from>
    <xdr:to>
      <xdr:col>15</xdr:col>
      <xdr:colOff>231322</xdr:colOff>
      <xdr:row>164</xdr:row>
      <xdr:rowOff>68036</xdr:rowOff>
    </xdr:to>
    <xdr:cxnSp macro="">
      <xdr:nvCxnSpPr>
        <xdr:cNvPr id="209" name="Straight Arrow Connector 208"/>
        <xdr:cNvCxnSpPr>
          <a:stCxn id="177" idx="2"/>
          <a:endCxn id="208" idx="0"/>
        </xdr:cNvCxnSpPr>
      </xdr:nvCxnSpPr>
      <xdr:spPr>
        <a:xfrm>
          <a:off x="11021786" y="44672249"/>
          <a:ext cx="0" cy="5578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299357</xdr:colOff>
      <xdr:row>4</xdr:row>
      <xdr:rowOff>163286</xdr:rowOff>
    </xdr:from>
    <xdr:to>
      <xdr:col>22</xdr:col>
      <xdr:colOff>521607</xdr:colOff>
      <xdr:row>18</xdr:row>
      <xdr:rowOff>147411</xdr:rowOff>
    </xdr:to>
    <xdr:sp macro="" textlink="">
      <xdr:nvSpPr>
        <xdr:cNvPr id="2" name="TextBox 1"/>
        <xdr:cNvSpPr txBox="1"/>
      </xdr:nvSpPr>
      <xdr:spPr>
        <a:xfrm>
          <a:off x="11334750" y="1102179"/>
          <a:ext cx="4508500" cy="246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Are new costs allowed?</a:t>
          </a:r>
          <a:endParaRPr lang="en-GB" sz="1100" b="0"/>
        </a:p>
        <a:p>
          <a:r>
            <a:rPr lang="en-GB" sz="1100" b="0" baseline="0"/>
            <a:t>Note: new costs only marked "Yes" to signify that material new costs are allowed. If our final assessment of materiality states that the new costs are not material, then new costs can be marked as "No" here even if all of the evidence gates have been passed - doing so will have no impact on the outputs of the model. </a:t>
          </a: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422767</xdr:colOff>
      <xdr:row>6</xdr:row>
      <xdr:rowOff>9968</xdr:rowOff>
    </xdr:from>
    <xdr:to>
      <xdr:col>25</xdr:col>
      <xdr:colOff>201051</xdr:colOff>
      <xdr:row>22</xdr:row>
      <xdr:rowOff>16081</xdr:rowOff>
    </xdr:to>
    <xdr:sp macro="" textlink="">
      <xdr:nvSpPr>
        <xdr:cNvPr id="3" name="TextBox 2"/>
        <xdr:cNvSpPr txBox="1"/>
      </xdr:nvSpPr>
      <xdr:spPr>
        <a:xfrm>
          <a:off x="17581374" y="1329861"/>
          <a:ext cx="5044248" cy="283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Input Overides Calculation</a:t>
          </a:r>
        </a:p>
        <a:p>
          <a:r>
            <a:rPr lang="en-GB" sz="1100" b="1"/>
            <a:t>R3002 Legacy depreciation net of recharges </a:t>
          </a:r>
        </a:p>
        <a:p>
          <a:r>
            <a:rPr lang="en-GB" sz="1100"/>
            <a:t>EQUALS</a:t>
          </a:r>
          <a:r>
            <a:rPr lang="en-GB" sz="1100" baseline="0"/>
            <a:t> Input R3002 </a:t>
          </a:r>
          <a:r>
            <a:rPr lang="en-GB" sz="1100"/>
            <a:t>Total depreciation of assets included in RCV (assets existing before AMP6) </a:t>
          </a:r>
        </a:p>
        <a:p>
          <a:r>
            <a:rPr lang="en-GB" sz="1100"/>
            <a:t>SUBRACT R3037 Income from wholesale for legacy assets principally used by retail (assets existing before AMP 6)</a:t>
          </a:r>
          <a:endParaRPr lang="en-GB" sz="1100" b="0"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ADD R3036 Recharge from wholesale for legacy assets principally used by wholesale (assets existing before AMP 6) </a:t>
          </a:r>
        </a:p>
        <a:p>
          <a:endParaRPr lang="en-GB" sz="1100" b="1"/>
        </a:p>
        <a:p>
          <a:r>
            <a:rPr lang="en-GB" sz="1100" b="1"/>
            <a:t>R3003 AMP 6 depreciation net of recharges</a:t>
          </a:r>
          <a:r>
            <a:rPr lang="en-GB" sz="1100" b="1" baseline="0"/>
            <a:t> </a:t>
          </a:r>
        </a:p>
        <a:p>
          <a:r>
            <a:rPr lang="en-GB" sz="1100" b="0" i="0" baseline="0"/>
            <a:t>EQUALS Input R3003 Total depreciation of assets that are not included in RCV (AMP6 or later assets) </a:t>
          </a:r>
        </a:p>
        <a:p>
          <a:r>
            <a:rPr lang="en-GB" sz="1100" b="0" i="0" baseline="0"/>
            <a:t>SUBTRACT R3039 Income from wholesale for AMP 6 or later assets principally used by retail </a:t>
          </a:r>
          <a:endParaRPr lang="en-GB" sz="1100" b="0"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ADD R3038 Recharge from wholesale for AMP 6 or later assets principally used by wholesale </a:t>
          </a:r>
          <a:endParaRPr lang="en-GB" sz="1100" b="0" i="0"/>
        </a:p>
      </xdr:txBody>
    </xdr:sp>
    <xdr:clientData/>
  </xdr:twoCellAnchor>
  <xdr:twoCellAnchor>
    <xdr:from>
      <xdr:col>22</xdr:col>
      <xdr:colOff>67233</xdr:colOff>
      <xdr:row>305</xdr:row>
      <xdr:rowOff>156883</xdr:rowOff>
    </xdr:from>
    <xdr:to>
      <xdr:col>28</xdr:col>
      <xdr:colOff>51954</xdr:colOff>
      <xdr:row>323</xdr:row>
      <xdr:rowOff>86591</xdr:rowOff>
    </xdr:to>
    <xdr:sp macro="" textlink="">
      <xdr:nvSpPr>
        <xdr:cNvPr id="4" name="TextBox 3"/>
        <xdr:cNvSpPr txBox="1"/>
      </xdr:nvSpPr>
      <xdr:spPr>
        <a:xfrm>
          <a:off x="17125642" y="52769519"/>
          <a:ext cx="3621539" cy="304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Unmeasured household retail</a:t>
          </a:r>
          <a:r>
            <a:rPr lang="en-GB" sz="1100" b="1" baseline="0"/>
            <a:t> operating costs</a:t>
          </a:r>
          <a:br>
            <a:rPr lang="en-GB" sz="1100" b="1" baseline="0"/>
          </a:br>
          <a:r>
            <a:rPr lang="en-GB" sz="1100" b="0" baseline="0"/>
            <a:t>EQUALS</a:t>
          </a:r>
        </a:p>
        <a:p>
          <a:r>
            <a:rPr lang="en-GB" sz="1100" baseline="0"/>
            <a:t>R3001 </a:t>
          </a:r>
          <a:r>
            <a:rPr lang="en-GB" sz="1100" b="0" i="0" u="none" strike="noStrike">
              <a:solidFill>
                <a:schemeClr val="dk1"/>
              </a:solidFill>
              <a:effectLst/>
              <a:latin typeface="+mn-lt"/>
              <a:ea typeface="+mn-ea"/>
              <a:cs typeface="+mn-cs"/>
            </a:rPr>
            <a:t>Total operating expenditure (excluding exceptional items)</a:t>
          </a:r>
          <a:r>
            <a:rPr lang="en-GB"/>
            <a:t> </a:t>
          </a:r>
          <a:r>
            <a:rPr lang="en-GB" sz="1100" b="0" i="0" u="none" strike="noStrike">
              <a:solidFill>
                <a:schemeClr val="dk1"/>
              </a:solidFill>
              <a:effectLst/>
              <a:latin typeface="+mn-lt"/>
              <a:ea typeface="+mn-ea"/>
              <a:cs typeface="+mn-cs"/>
            </a:rPr>
            <a:t/>
          </a:r>
          <a:br>
            <a:rPr lang="en-GB" sz="1100" b="0" i="0" u="none" strike="noStrike">
              <a:solidFill>
                <a:schemeClr val="dk1"/>
              </a:solidFill>
              <a:effectLst/>
              <a:latin typeface="+mn-lt"/>
              <a:ea typeface="+mn-ea"/>
              <a:cs typeface="+mn-cs"/>
            </a:rPr>
          </a:br>
          <a:r>
            <a:rPr lang="en-GB" sz="1100" baseline="0"/>
            <a:t>ADD R3002 Total depreciation of assets included in RCV (assets existing before AMP6) </a:t>
          </a:r>
          <a:br>
            <a:rPr lang="en-GB" sz="1100" baseline="0"/>
          </a:br>
          <a:r>
            <a:rPr lang="en-GB" sz="1100" baseline="0"/>
            <a:t>ADD R3003 Total depreciation of assets that are not included in RCV (AMP6 or later assets)  </a:t>
          </a:r>
          <a:br>
            <a:rPr lang="en-GB" sz="1100" baseline="0"/>
          </a:br>
          <a:r>
            <a:rPr lang="en-GB" sz="1100" baseline="0"/>
            <a:t>SUBTRACT R3014 </a:t>
          </a:r>
          <a:r>
            <a:rPr lang="en-GB" sz="1100" b="0" i="0" u="none" strike="noStrike">
              <a:solidFill>
                <a:schemeClr val="dk1"/>
              </a:solidFill>
              <a:effectLst/>
              <a:latin typeface="+mn-lt"/>
              <a:ea typeface="+mn-ea"/>
              <a:cs typeface="+mn-cs"/>
            </a:rPr>
            <a:t>Total retail metering expenditure - water only customers</a:t>
          </a:r>
          <a:r>
            <a:rPr lang="en-GB"/>
            <a:t> </a:t>
          </a:r>
          <a:br>
            <a:rPr lang="en-GB"/>
          </a:br>
          <a:r>
            <a:rPr lang="en-GB"/>
            <a:t>SUBTRACT</a:t>
          </a:r>
          <a:r>
            <a:rPr lang="en-GB" sz="1100" baseline="0"/>
            <a:t> R3015 </a:t>
          </a:r>
          <a:r>
            <a:rPr lang="en-GB" sz="1100" b="0" i="0" u="none" strike="noStrike">
              <a:solidFill>
                <a:schemeClr val="dk1"/>
              </a:solidFill>
              <a:effectLst/>
              <a:latin typeface="+mn-lt"/>
              <a:ea typeface="+mn-ea"/>
              <a:cs typeface="+mn-cs"/>
            </a:rPr>
            <a:t>Total retail metering expenditure - sewerage only customers</a:t>
          </a:r>
          <a:r>
            <a:rPr lang="en-GB"/>
            <a:t> </a:t>
          </a:r>
          <a:r>
            <a:rPr lang="en-GB" sz="1100" baseline="0"/>
            <a:t> </a:t>
          </a:r>
          <a:br>
            <a:rPr lang="en-GB" sz="1100" baseline="0"/>
          </a:br>
          <a:r>
            <a:rPr lang="en-GB" sz="1100" baseline="0"/>
            <a:t>SUBTRACT R3016 </a:t>
          </a:r>
          <a:r>
            <a:rPr lang="en-GB" sz="1100" b="0" i="0" u="none" strike="noStrike">
              <a:solidFill>
                <a:schemeClr val="dk1"/>
              </a:solidFill>
              <a:effectLst/>
              <a:latin typeface="+mn-lt"/>
              <a:ea typeface="+mn-ea"/>
              <a:cs typeface="+mn-cs"/>
            </a:rPr>
            <a:t>Total retail metering expenditure -  water and sewerage customers</a:t>
          </a:r>
          <a:r>
            <a:rPr lang="en-GB"/>
            <a:t> </a:t>
          </a:r>
          <a:endParaRPr lang="en-GB" sz="1100" baseline="0"/>
        </a:p>
        <a:p>
          <a:endParaRPr lang="en-GB" sz="1100"/>
        </a:p>
      </xdr:txBody>
    </xdr:sp>
    <xdr:clientData/>
  </xdr:twoCellAnchor>
  <xdr:twoCellAnchor>
    <xdr:from>
      <xdr:col>22</xdr:col>
      <xdr:colOff>19610</xdr:colOff>
      <xdr:row>326</xdr:row>
      <xdr:rowOff>22412</xdr:rowOff>
    </xdr:from>
    <xdr:to>
      <xdr:col>28</xdr:col>
      <xdr:colOff>30817</xdr:colOff>
      <xdr:row>340</xdr:row>
      <xdr:rowOff>67235</xdr:rowOff>
    </xdr:to>
    <xdr:sp macro="" textlink="">
      <xdr:nvSpPr>
        <xdr:cNvPr id="5" name="TextBox 4"/>
        <xdr:cNvSpPr txBox="1"/>
      </xdr:nvSpPr>
      <xdr:spPr>
        <a:xfrm>
          <a:off x="16989985" y="56743787"/>
          <a:ext cx="3630707" cy="2489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Total customer numbers (sum of all customer numbers) adjusted for EoS</a:t>
          </a:r>
        </a:p>
        <a:p>
          <a:pPr marL="0" marR="0" indent="0" defTabSz="914400" eaLnBrk="1" fontAlgn="auto" latinLnBrk="0" hangingPunct="1">
            <a:lnSpc>
              <a:spcPct val="100000"/>
            </a:lnSpc>
            <a:spcBef>
              <a:spcPts val="0"/>
            </a:spcBef>
            <a:spcAft>
              <a:spcPts val="0"/>
            </a:spcAft>
            <a:buClrTx/>
            <a:buSzTx/>
            <a:buFontTx/>
            <a:buNone/>
            <a:tabLst/>
            <a:defRPr/>
          </a:pPr>
          <a:r>
            <a:rPr lang="en-GB" sz="1100" b="0"/>
            <a:t>R3017 Households connected for water only - unmetered </a:t>
          </a:r>
          <a:br>
            <a:rPr lang="en-GB" sz="1100" b="0"/>
          </a:br>
          <a:r>
            <a:rPr lang="en-GB" sz="1100" b="0"/>
            <a:t>ADD</a:t>
          </a:r>
          <a:r>
            <a:rPr lang="en-GB" sz="1100" b="0" baseline="0"/>
            <a:t> </a:t>
          </a:r>
          <a:r>
            <a:rPr lang="en-GB" sz="1100" b="0"/>
            <a:t>R3018 Households connected for water only - metered</a:t>
          </a:r>
          <a:br>
            <a:rPr lang="en-GB" sz="1100" b="0"/>
          </a:br>
          <a:r>
            <a:rPr lang="en-GB" sz="1100" b="0"/>
            <a:t>ADD </a:t>
          </a:r>
          <a:r>
            <a:rPr lang="en-GB" sz="1100" b="0">
              <a:solidFill>
                <a:schemeClr val="dk1"/>
              </a:solidFill>
              <a:effectLst/>
              <a:latin typeface="+mn-lt"/>
              <a:ea typeface="+mn-ea"/>
              <a:cs typeface="+mn-cs"/>
            </a:rPr>
            <a:t>R3019 Households connected for sewerage only - unmetered  </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ADD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R3020 Households connected for sewerage only - metered </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ADD ((R3021 Households connected for water and sewerage</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only - unmetered  </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ADD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R3022 Households connected for water  and sewerage only - metered )</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MULTIPLY</a:t>
          </a:r>
          <a:r>
            <a:rPr lang="en-GB" sz="1100" b="0" baseline="0">
              <a:solidFill>
                <a:schemeClr val="dk1"/>
              </a:solidFill>
              <a:effectLst/>
              <a:latin typeface="+mn-lt"/>
              <a:ea typeface="+mn-ea"/>
              <a:cs typeface="+mn-cs"/>
            </a:rPr>
            <a:t> BY Economies of scope factor)</a:t>
          </a:r>
          <a:endParaRPr lang="en-GB" b="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b="1"/>
        </a:p>
      </xdr:txBody>
    </xdr:sp>
    <xdr:clientData/>
  </xdr:twoCellAnchor>
  <xdr:twoCellAnchor>
    <xdr:from>
      <xdr:col>15</xdr:col>
      <xdr:colOff>313765</xdr:colOff>
      <xdr:row>346</xdr:row>
      <xdr:rowOff>156883</xdr:rowOff>
    </xdr:from>
    <xdr:to>
      <xdr:col>20</xdr:col>
      <xdr:colOff>358589</xdr:colOff>
      <xdr:row>354</xdr:row>
      <xdr:rowOff>168089</xdr:rowOff>
    </xdr:to>
    <xdr:sp macro="" textlink="">
      <xdr:nvSpPr>
        <xdr:cNvPr id="6" name="TextBox 5"/>
        <xdr:cNvSpPr txBox="1"/>
      </xdr:nvSpPr>
      <xdr:spPr>
        <a:xfrm>
          <a:off x="13166912" y="61946118"/>
          <a:ext cx="3070412" cy="1445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household retail unmeasured costs</a:t>
          </a:r>
          <a:r>
            <a:rPr lang="en-GB" sz="1100"/>
            <a:t/>
          </a:r>
          <a:br>
            <a:rPr lang="en-GB" sz="1100"/>
          </a:br>
          <a:r>
            <a:rPr lang="en-GB" sz="1100"/>
            <a:t>EQUALS</a:t>
          </a:r>
          <a:r>
            <a:rPr lang="en-GB" sz="1100" baseline="0"/>
            <a:t> </a:t>
          </a:r>
          <a:r>
            <a:rPr lang="en-GB" sz="1100"/>
            <a:t>Unmeasured household retail operating costs </a:t>
          </a:r>
        </a:p>
        <a:p>
          <a:r>
            <a:rPr lang="en-GB" sz="1100"/>
            <a:t>SUBTRACT Unmeasured household retail operating costs 13-14</a:t>
          </a:r>
        </a:p>
      </xdr:txBody>
    </xdr:sp>
    <xdr:clientData/>
  </xdr:twoCellAnchor>
  <xdr:twoCellAnchor>
    <xdr:from>
      <xdr:col>15</xdr:col>
      <xdr:colOff>168087</xdr:colOff>
      <xdr:row>366</xdr:row>
      <xdr:rowOff>22411</xdr:rowOff>
    </xdr:from>
    <xdr:to>
      <xdr:col>20</xdr:col>
      <xdr:colOff>311727</xdr:colOff>
      <xdr:row>375</xdr:row>
      <xdr:rowOff>103909</xdr:rowOff>
    </xdr:to>
    <xdr:sp macro="" textlink="">
      <xdr:nvSpPr>
        <xdr:cNvPr id="7" name="TextBox 6"/>
        <xdr:cNvSpPr txBox="1"/>
      </xdr:nvSpPr>
      <xdr:spPr>
        <a:xfrm>
          <a:off x="12983542" y="63199138"/>
          <a:ext cx="3174321" cy="164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household retail unmeasured costs due to change in customer numbers</a:t>
          </a:r>
        </a:p>
        <a:p>
          <a:r>
            <a:rPr lang="en-GB" sz="1100"/>
            <a:t>EQUALS</a:t>
          </a:r>
          <a:r>
            <a:rPr lang="en-GB" sz="1100" baseline="0"/>
            <a:t> Change in household retail unmeasured costs </a:t>
          </a:r>
          <a:br>
            <a:rPr lang="en-GB" sz="1100" baseline="0"/>
          </a:br>
          <a:r>
            <a:rPr lang="en-GB" sz="1100" baseline="0"/>
            <a:t>DIVIDED BY (Unmeasured household retail operating costs 13-14 MULTIPLIED BY Unmeasured household retail operating costs)</a:t>
          </a:r>
          <a:endParaRPr lang="en-GB" sz="1100"/>
        </a:p>
      </xdr:txBody>
    </xdr:sp>
    <xdr:clientData/>
  </xdr:twoCellAnchor>
  <xdr:twoCellAnchor>
    <xdr:from>
      <xdr:col>17</xdr:col>
      <xdr:colOff>605117</xdr:colOff>
      <xdr:row>387</xdr:row>
      <xdr:rowOff>56030</xdr:rowOff>
    </xdr:from>
    <xdr:to>
      <xdr:col>25</xdr:col>
      <xdr:colOff>448234</xdr:colOff>
      <xdr:row>400</xdr:row>
      <xdr:rowOff>168088</xdr:rowOff>
    </xdr:to>
    <xdr:sp macro="" textlink="">
      <xdr:nvSpPr>
        <xdr:cNvPr id="8" name="TextBox 7"/>
        <xdr:cNvSpPr txBox="1"/>
      </xdr:nvSpPr>
      <xdr:spPr>
        <a:xfrm>
          <a:off x="14668499" y="69554912"/>
          <a:ext cx="4684059" cy="2442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water only metered costs due to change in water only metered customers</a:t>
          </a:r>
          <a:br>
            <a:rPr lang="en-GB" sz="1100" b="1"/>
          </a:br>
          <a:r>
            <a:rPr lang="en-GB" sz="1100" b="0"/>
            <a:t>((R3018 </a:t>
          </a:r>
          <a:r>
            <a:rPr lang="en-GB" sz="1100" b="0" i="0" u="none" strike="noStrike">
              <a:solidFill>
                <a:schemeClr val="dk1"/>
              </a:solidFill>
              <a:effectLst/>
              <a:latin typeface="+mn-lt"/>
              <a:ea typeface="+mn-ea"/>
              <a:cs typeface="+mn-cs"/>
            </a:rPr>
            <a:t>Households connected for water only - metered </a:t>
          </a:r>
        </a:p>
        <a:p>
          <a:r>
            <a:rPr lang="en-GB" sz="1100" b="0"/>
            <a:t>SUBTRACT R3018 </a:t>
          </a:r>
          <a:r>
            <a:rPr lang="en-GB" sz="1100" b="0" i="0" u="none" strike="noStrike">
              <a:solidFill>
                <a:schemeClr val="dk1"/>
              </a:solidFill>
              <a:effectLst/>
              <a:latin typeface="+mn-lt"/>
              <a:ea typeface="+mn-ea"/>
              <a:cs typeface="+mn-cs"/>
            </a:rPr>
            <a:t>Households connected for water only - metered 13/14)</a:t>
          </a:r>
          <a:r>
            <a:rPr lang="en-GB" sz="1100" b="0"/>
            <a:t/>
          </a:r>
          <a:br>
            <a:rPr lang="en-GB" sz="1100" b="0"/>
          </a:br>
          <a:r>
            <a:rPr lang="en-GB" sz="1100" b="0"/>
            <a:t>DIVIDED</a:t>
          </a:r>
          <a:r>
            <a:rPr lang="en-GB" sz="1100" b="0" baseline="0"/>
            <a:t> BY</a:t>
          </a:r>
          <a:r>
            <a:rPr lang="en-GB" sz="1100" b="0"/>
            <a:t> </a:t>
          </a:r>
          <a:r>
            <a:rPr lang="en-GB" sz="1100" b="0">
              <a:solidFill>
                <a:schemeClr val="dk1"/>
              </a:solidFill>
              <a:effectLst/>
              <a:latin typeface="+mn-lt"/>
              <a:ea typeface="+mn-ea"/>
              <a:cs typeface="+mn-cs"/>
            </a:rPr>
            <a:t>R3018 Households connected for water only - metered 13/14)</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MULTIPLIED BY R3014 </a:t>
          </a:r>
          <a:r>
            <a:rPr lang="en-GB"/>
            <a:t>Total retail metering expenditure - water only customers  13/14) </a:t>
          </a:r>
          <a:endParaRPr lang="en-GB" sz="1100" b="0"/>
        </a:p>
      </xdr:txBody>
    </xdr:sp>
    <xdr:clientData/>
  </xdr:twoCellAnchor>
  <xdr:twoCellAnchor>
    <xdr:from>
      <xdr:col>17</xdr:col>
      <xdr:colOff>571500</xdr:colOff>
      <xdr:row>406</xdr:row>
      <xdr:rowOff>112059</xdr:rowOff>
    </xdr:from>
    <xdr:to>
      <xdr:col>25</xdr:col>
      <xdr:colOff>414617</xdr:colOff>
      <xdr:row>420</xdr:row>
      <xdr:rowOff>44824</xdr:rowOff>
    </xdr:to>
    <xdr:sp macro="" textlink="">
      <xdr:nvSpPr>
        <xdr:cNvPr id="9" name="TextBox 8"/>
        <xdr:cNvSpPr txBox="1"/>
      </xdr:nvSpPr>
      <xdr:spPr>
        <a:xfrm>
          <a:off x="14634882" y="73196824"/>
          <a:ext cx="4684059" cy="2442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sewerage only metered costs due to change in sewerage only metered customers</a:t>
          </a:r>
          <a:br>
            <a:rPr lang="en-GB" sz="1100" b="1"/>
          </a:br>
          <a:r>
            <a:rPr lang="en-GB" sz="1100" b="0"/>
            <a:t>((R3020 Households connected for sewerage only - metered </a:t>
          </a:r>
        </a:p>
        <a:p>
          <a:r>
            <a:rPr lang="en-GB" sz="1100" b="0"/>
            <a:t>SUBTRACT R3020 Households connected for sewerage only - metered 13/14)</a:t>
          </a:r>
          <a:br>
            <a:rPr lang="en-GB" sz="1100" b="0"/>
          </a:br>
          <a:r>
            <a:rPr lang="en-GB" sz="1100" b="0"/>
            <a:t>DIVIDED BY R3020 Households connected for sewerage only - metered 13/14)</a:t>
          </a:r>
          <a:br>
            <a:rPr lang="en-GB" sz="1100" b="0"/>
          </a:br>
          <a:r>
            <a:rPr lang="en-GB" sz="1100" b="0"/>
            <a:t>MULTIPLIED BY R3015 Total retail metering expenditure - sewerage only customers  13/14) </a:t>
          </a:r>
        </a:p>
      </xdr:txBody>
    </xdr:sp>
    <xdr:clientData/>
  </xdr:twoCellAnchor>
  <xdr:twoCellAnchor>
    <xdr:from>
      <xdr:col>18</xdr:col>
      <xdr:colOff>0</xdr:colOff>
      <xdr:row>427</xdr:row>
      <xdr:rowOff>0</xdr:rowOff>
    </xdr:from>
    <xdr:to>
      <xdr:col>25</xdr:col>
      <xdr:colOff>448235</xdr:colOff>
      <xdr:row>440</xdr:row>
      <xdr:rowOff>112058</xdr:rowOff>
    </xdr:to>
    <xdr:sp macro="" textlink="">
      <xdr:nvSpPr>
        <xdr:cNvPr id="10" name="TextBox 9"/>
        <xdr:cNvSpPr txBox="1"/>
      </xdr:nvSpPr>
      <xdr:spPr>
        <a:xfrm>
          <a:off x="14668500" y="77029235"/>
          <a:ext cx="4684059" cy="2442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water amd sewerage only metered costs due to change in water and sewerage only metered customers</a:t>
          </a:r>
          <a:br>
            <a:rPr lang="en-GB" sz="1100" b="1"/>
          </a:br>
          <a:r>
            <a:rPr lang="en-GB" sz="1100" b="0"/>
            <a:t>EQUALS</a:t>
          </a:r>
        </a:p>
        <a:p>
          <a:r>
            <a:rPr lang="en-GB" sz="1100" b="0"/>
            <a:t>((R3022 Households connected for water and sewerage only - metered </a:t>
          </a:r>
        </a:p>
        <a:p>
          <a:r>
            <a:rPr lang="en-GB" sz="1100" b="0"/>
            <a:t>SUBTRACT R3022 Households connected for water and sewerage only - metered 13/14)</a:t>
          </a:r>
          <a:br>
            <a:rPr lang="en-GB" sz="1100" b="0"/>
          </a:br>
          <a:r>
            <a:rPr lang="en-GB" sz="1100" b="0"/>
            <a:t>DIVIDED BY R3022 Households connected for water and sewerage only - metered 13/14)</a:t>
          </a:r>
          <a:br>
            <a:rPr lang="en-GB" sz="1100" b="0"/>
          </a:br>
          <a:r>
            <a:rPr lang="en-GB" sz="1100" b="0"/>
            <a:t>MULTIPLIED BY R3016 Total retail metering expenditure - water and sewerage only customers  13/14) </a:t>
          </a:r>
        </a:p>
      </xdr:txBody>
    </xdr:sp>
    <xdr:clientData/>
  </xdr:twoCellAnchor>
  <xdr:twoCellAnchor>
    <xdr:from>
      <xdr:col>20</xdr:col>
      <xdr:colOff>89647</xdr:colOff>
      <xdr:row>446</xdr:row>
      <xdr:rowOff>78441</xdr:rowOff>
    </xdr:from>
    <xdr:to>
      <xdr:col>25</xdr:col>
      <xdr:colOff>593911</xdr:colOff>
      <xdr:row>461</xdr:row>
      <xdr:rowOff>78441</xdr:rowOff>
    </xdr:to>
    <xdr:sp macro="" textlink="">
      <xdr:nvSpPr>
        <xdr:cNvPr id="11" name="TextBox 10"/>
        <xdr:cNvSpPr txBox="1"/>
      </xdr:nvSpPr>
      <xdr:spPr>
        <a:xfrm>
          <a:off x="15968382" y="81052147"/>
          <a:ext cx="3529853" cy="2689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Total household retail expenditure (including metering costs)</a:t>
          </a:r>
        </a:p>
        <a:p>
          <a:r>
            <a:rPr lang="en-GB" sz="1100"/>
            <a:t>EQUALS</a:t>
          </a:r>
        </a:p>
        <a:p>
          <a:r>
            <a:rPr lang="en-GB" sz="1100"/>
            <a:t>Unmeasured household retail operating costs</a:t>
          </a:r>
        </a:p>
        <a:p>
          <a:r>
            <a:rPr lang="en-GB" sz="1100"/>
            <a:t>ADD R3014 Total retail metering expenditure - water only customers </a:t>
          </a:r>
        </a:p>
        <a:p>
          <a:r>
            <a:rPr lang="en-GB" sz="1100"/>
            <a:t>ADD R3015 Total retail metering expenditure - sewerage only customers </a:t>
          </a:r>
        </a:p>
        <a:p>
          <a:r>
            <a:rPr lang="en-GB" sz="1100"/>
            <a:t>ADD R3016 Total retail metering expenditure -  water and sewerage customers</a:t>
          </a:r>
        </a:p>
      </xdr:txBody>
    </xdr:sp>
    <xdr:clientData/>
  </xdr:twoCellAnchor>
  <xdr:twoCellAnchor>
    <xdr:from>
      <xdr:col>16</xdr:col>
      <xdr:colOff>0</xdr:colOff>
      <xdr:row>466</xdr:row>
      <xdr:rowOff>100853</xdr:rowOff>
    </xdr:from>
    <xdr:to>
      <xdr:col>23</xdr:col>
      <xdr:colOff>268941</xdr:colOff>
      <xdr:row>482</xdr:row>
      <xdr:rowOff>33618</xdr:rowOff>
    </xdr:to>
    <xdr:sp macro="" textlink="">
      <xdr:nvSpPr>
        <xdr:cNvPr id="12" name="TextBox 11"/>
        <xdr:cNvSpPr txBox="1"/>
      </xdr:nvSpPr>
      <xdr:spPr>
        <a:xfrm>
          <a:off x="13458265" y="84660441"/>
          <a:ext cx="4504764" cy="2801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household retail expenditure</a:t>
          </a:r>
          <a:br>
            <a:rPr lang="en-GB" sz="1100" b="1"/>
          </a:br>
          <a:r>
            <a:rPr lang="en-GB" sz="1100" b="0"/>
            <a:t>EQUALS</a:t>
          </a:r>
        </a:p>
        <a:p>
          <a:r>
            <a:rPr lang="en-GB" sz="1100" b="0"/>
            <a:t>Total household retail expenditure (including metering costs) SUBTRACT</a:t>
          </a:r>
        </a:p>
        <a:p>
          <a:r>
            <a:rPr lang="en-GB" sz="1100" b="0"/>
            <a:t>Total household retail expenditure (including metering costs) 13/14</a:t>
          </a:r>
        </a:p>
      </xdr:txBody>
    </xdr:sp>
    <xdr:clientData/>
  </xdr:twoCellAnchor>
  <xdr:twoCellAnchor>
    <xdr:from>
      <xdr:col>15</xdr:col>
      <xdr:colOff>134471</xdr:colOff>
      <xdr:row>486</xdr:row>
      <xdr:rowOff>123264</xdr:rowOff>
    </xdr:from>
    <xdr:to>
      <xdr:col>24</xdr:col>
      <xdr:colOff>190500</xdr:colOff>
      <xdr:row>498</xdr:row>
      <xdr:rowOff>134471</xdr:rowOff>
    </xdr:to>
    <xdr:sp macro="" textlink="">
      <xdr:nvSpPr>
        <xdr:cNvPr id="13" name="TextBox 12"/>
        <xdr:cNvSpPr txBox="1"/>
      </xdr:nvSpPr>
      <xdr:spPr>
        <a:xfrm>
          <a:off x="12987618" y="88448029"/>
          <a:ext cx="5502088" cy="2162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Total change in household retail expenditure due to change in customer numbers (includes change in metering costs due to change in customer numbers) </a:t>
          </a:r>
          <a:r>
            <a:rPr lang="en-GB" sz="1100"/>
            <a:t/>
          </a:r>
          <a:br>
            <a:rPr lang="en-GB" sz="1100"/>
          </a:br>
          <a:r>
            <a:rPr lang="en-GB" sz="1100"/>
            <a:t>EQUALS</a:t>
          </a:r>
        </a:p>
        <a:p>
          <a:r>
            <a:rPr lang="en-GB" sz="1100"/>
            <a:t>Change in household retail unmeasured costs due to change in customer  numbers</a:t>
          </a:r>
        </a:p>
        <a:p>
          <a:r>
            <a:rPr lang="en-GB" sz="1100"/>
            <a:t>ADD</a:t>
          </a:r>
        </a:p>
        <a:p>
          <a:r>
            <a:rPr lang="en-GB" sz="1100"/>
            <a:t>Change in water only metered costs due to change in water only metered customers</a:t>
          </a:r>
        </a:p>
        <a:p>
          <a:r>
            <a:rPr lang="en-GB" sz="1100"/>
            <a:t>ADD</a:t>
          </a:r>
        </a:p>
        <a:p>
          <a:r>
            <a:rPr lang="en-GB" sz="1100"/>
            <a:t>Change in sewerage only metered costs due to change in sewerage only metered customers</a:t>
          </a:r>
        </a:p>
        <a:p>
          <a:r>
            <a:rPr lang="en-GB" sz="1100"/>
            <a:t> ADD</a:t>
          </a:r>
        </a:p>
        <a:p>
          <a:r>
            <a:rPr lang="en-GB" sz="1100"/>
            <a:t>Change in water &amp; sewerage metered costs due to change in water &amp; sewerage metered customers</a:t>
          </a:r>
        </a:p>
      </xdr:txBody>
    </xdr:sp>
    <xdr:clientData/>
  </xdr:twoCellAnchor>
  <xdr:twoCellAnchor>
    <xdr:from>
      <xdr:col>15</xdr:col>
      <xdr:colOff>493059</xdr:colOff>
      <xdr:row>506</xdr:row>
      <xdr:rowOff>123265</xdr:rowOff>
    </xdr:from>
    <xdr:to>
      <xdr:col>21</xdr:col>
      <xdr:colOff>358588</xdr:colOff>
      <xdr:row>516</xdr:row>
      <xdr:rowOff>123265</xdr:rowOff>
    </xdr:to>
    <xdr:sp macro="" textlink="">
      <xdr:nvSpPr>
        <xdr:cNvPr id="14" name="TextBox 13"/>
        <xdr:cNvSpPr txBox="1"/>
      </xdr:nvSpPr>
      <xdr:spPr>
        <a:xfrm>
          <a:off x="13346206" y="92213206"/>
          <a:ext cx="3496235" cy="179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 in household retail expenditure due to other factors</a:t>
          </a:r>
        </a:p>
        <a:p>
          <a:r>
            <a:rPr lang="en-GB" sz="1100" b="0"/>
            <a:t>EQUALS</a:t>
          </a:r>
        </a:p>
        <a:p>
          <a:r>
            <a:rPr lang="en-GB" sz="1100" b="0"/>
            <a:t>Change in household retail expenditure</a:t>
          </a:r>
        </a:p>
        <a:p>
          <a:r>
            <a:rPr lang="en-GB" sz="1100" b="0"/>
            <a:t>SUBTRACT</a:t>
          </a:r>
        </a:p>
        <a:p>
          <a:r>
            <a:rPr lang="en-GB" sz="1100" b="0"/>
            <a:t>Total change in household retail expenditure due to change in customer numbers</a:t>
          </a:r>
        </a:p>
        <a:p>
          <a:endParaRPr lang="en-GB" sz="1100" b="0"/>
        </a:p>
        <a:p>
          <a:endParaRPr lang="en-GB" sz="1100" b="0"/>
        </a:p>
        <a:p>
          <a:endParaRPr lang="en-GB" sz="1100" b="0"/>
        </a:p>
      </xdr:txBody>
    </xdr:sp>
    <xdr:clientData/>
  </xdr:twoCellAnchor>
  <xdr:twoCellAnchor>
    <xdr:from>
      <xdr:col>16</xdr:col>
      <xdr:colOff>22411</xdr:colOff>
      <xdr:row>526</xdr:row>
      <xdr:rowOff>156881</xdr:rowOff>
    </xdr:from>
    <xdr:to>
      <xdr:col>22</xdr:col>
      <xdr:colOff>226218</xdr:colOff>
      <xdr:row>537</xdr:row>
      <xdr:rowOff>178593</xdr:rowOff>
    </xdr:to>
    <xdr:sp macro="" textlink="">
      <xdr:nvSpPr>
        <xdr:cNvPr id="15" name="TextBox 14"/>
        <xdr:cNvSpPr txBox="1"/>
      </xdr:nvSpPr>
      <xdr:spPr>
        <a:xfrm>
          <a:off x="13405036" y="95823600"/>
          <a:ext cx="3847120" cy="1986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Household retail expenditure excl increase in costs due to increase in customer numbers</a:t>
          </a:r>
          <a:r>
            <a:rPr lang="en-GB" b="1"/>
            <a:t>  </a:t>
          </a:r>
        </a:p>
        <a:p>
          <a:r>
            <a:rPr lang="en-GB" sz="1100"/>
            <a:t>EQUALS</a:t>
          </a:r>
        </a:p>
        <a:p>
          <a:r>
            <a:rPr lang="en-GB" sz="1100"/>
            <a:t>Total household retail expenditure (including metering costs) </a:t>
          </a:r>
        </a:p>
        <a:p>
          <a:r>
            <a:rPr lang="en-GB" sz="1100" b="0" i="0" u="none" strike="noStrike">
              <a:solidFill>
                <a:schemeClr val="dk1"/>
              </a:solidFill>
              <a:effectLst/>
              <a:latin typeface="+mn-lt"/>
              <a:ea typeface="+mn-ea"/>
              <a:cs typeface="+mn-cs"/>
            </a:rPr>
            <a:t>SUBTRACT</a:t>
          </a:r>
        </a:p>
        <a:p>
          <a:r>
            <a:rPr lang="en-GB" sz="1100" b="0" i="0" u="none" strike="noStrike">
              <a:solidFill>
                <a:schemeClr val="dk1"/>
              </a:solidFill>
              <a:effectLst/>
              <a:latin typeface="+mn-lt"/>
              <a:ea typeface="+mn-ea"/>
              <a:cs typeface="+mn-cs"/>
            </a:rPr>
            <a:t>Total change in household retail expenditure due to change in customer numbers (includes change in metering costs due to change in customer numbers)</a:t>
          </a:r>
          <a:r>
            <a:rPr lang="en-GB"/>
            <a:t> </a:t>
          </a:r>
          <a:endParaRPr lang="en-GB" sz="1100"/>
        </a:p>
      </xdr:txBody>
    </xdr:sp>
    <xdr:clientData/>
  </xdr:twoCellAnchor>
  <xdr:twoCellAnchor>
    <xdr:from>
      <xdr:col>14</xdr:col>
      <xdr:colOff>190500</xdr:colOff>
      <xdr:row>574</xdr:row>
      <xdr:rowOff>47625</xdr:rowOff>
    </xdr:from>
    <xdr:to>
      <xdr:col>18</xdr:col>
      <xdr:colOff>508000</xdr:colOff>
      <xdr:row>586</xdr:row>
      <xdr:rowOff>79375</xdr:rowOff>
    </xdr:to>
    <xdr:sp macro="" textlink="">
      <xdr:nvSpPr>
        <xdr:cNvPr id="17" name="TextBox 16"/>
        <xdr:cNvSpPr txBox="1"/>
      </xdr:nvSpPr>
      <xdr:spPr>
        <a:xfrm>
          <a:off x="12287250" y="102266750"/>
          <a:ext cx="2778125" cy="212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Materiality threshold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EQUALS</a:t>
          </a:r>
        </a:p>
        <a:p>
          <a:r>
            <a:rPr lang="en-GB" sz="1100" b="0" i="0" u="none" strike="noStrike">
              <a:solidFill>
                <a:schemeClr val="dk1"/>
              </a:solidFill>
              <a:effectLst/>
              <a:latin typeface="+mn-lt"/>
              <a:ea typeface="+mn-ea"/>
              <a:cs typeface="+mn-cs"/>
            </a:rPr>
            <a:t>(Sum</a:t>
          </a:r>
          <a:r>
            <a:rPr lang="en-GB" sz="1100" b="0" i="0" u="none" strike="noStrike" baseline="0">
              <a:solidFill>
                <a:schemeClr val="dk1"/>
              </a:solidFill>
              <a:effectLst/>
              <a:latin typeface="+mn-lt"/>
              <a:ea typeface="+mn-ea"/>
              <a:cs typeface="+mn-cs"/>
            </a:rPr>
            <a:t> of AMP 6 (Opex and depreciation))</a:t>
          </a:r>
        </a:p>
        <a:p>
          <a:r>
            <a:rPr lang="en-GB" sz="1100" b="0" i="0" u="none" strike="noStrike" baseline="0">
              <a:solidFill>
                <a:schemeClr val="dk1"/>
              </a:solidFill>
              <a:effectLst/>
              <a:latin typeface="+mn-lt"/>
              <a:ea typeface="+mn-ea"/>
              <a:cs typeface="+mn-cs"/>
            </a:rPr>
            <a:t>MULTIPLIED BY </a:t>
          </a:r>
        </a:p>
        <a:p>
          <a:r>
            <a:rPr lang="en-GB" sz="1100" b="0" i="0" u="none" strike="noStrike" baseline="0">
              <a:solidFill>
                <a:schemeClr val="dk1"/>
              </a:solidFill>
              <a:effectLst/>
              <a:latin typeface="+mn-lt"/>
              <a:ea typeface="+mn-ea"/>
              <a:cs typeface="+mn-cs"/>
            </a:rPr>
            <a:t>Materiality threshold</a:t>
          </a:r>
          <a:endParaRPr lang="en-GB" sz="1100" b="1"/>
        </a:p>
      </xdr:txBody>
    </xdr:sp>
    <xdr:clientData/>
  </xdr:twoCellAnchor>
  <xdr:twoCellAnchor>
    <xdr:from>
      <xdr:col>16</xdr:col>
      <xdr:colOff>333375</xdr:colOff>
      <xdr:row>614</xdr:row>
      <xdr:rowOff>158749</xdr:rowOff>
    </xdr:from>
    <xdr:to>
      <xdr:col>22</xdr:col>
      <xdr:colOff>555625</xdr:colOff>
      <xdr:row>628</xdr:row>
      <xdr:rowOff>142874</xdr:rowOff>
    </xdr:to>
    <xdr:sp macro="" textlink="">
      <xdr:nvSpPr>
        <xdr:cNvPr id="18" name="TextBox 17"/>
        <xdr:cNvSpPr txBox="1"/>
      </xdr:nvSpPr>
      <xdr:spPr>
        <a:xfrm>
          <a:off x="13684250" y="112855374"/>
          <a:ext cx="3841750" cy="242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Disallowed </a:t>
          </a:r>
          <a:r>
            <a:rPr lang="en-GB" sz="1100" b="1" baseline="0"/>
            <a:t> New Costs</a:t>
          </a:r>
        </a:p>
        <a:p>
          <a:r>
            <a:rPr lang="en-GB" sz="1100"/>
            <a:t>EQUALS</a:t>
          </a:r>
        </a:p>
        <a:p>
          <a:r>
            <a:rPr lang="en-GB" sz="1100"/>
            <a:t>If new costs are</a:t>
          </a:r>
        </a:p>
        <a:p>
          <a:r>
            <a:rPr lang="en-GB" sz="1100"/>
            <a:t>GREATER THAN</a:t>
          </a:r>
        </a:p>
        <a:p>
          <a:r>
            <a:rPr lang="en-GB" sz="1100"/>
            <a:t>materiality theshold then </a:t>
          </a:r>
        </a:p>
        <a:p>
          <a:r>
            <a:rPr lang="en-GB" sz="1100" baseline="0"/>
            <a:t>new costs</a:t>
          </a:r>
        </a:p>
        <a:p>
          <a:r>
            <a:rPr lang="en-GB" sz="1100" baseline="0"/>
            <a:t>SUBTRACT</a:t>
          </a:r>
        </a:p>
        <a:p>
          <a:r>
            <a:rPr lang="en-GB" sz="1100"/>
            <a:t>materiality  threshold </a:t>
          </a:r>
        </a:p>
        <a:p>
          <a:endParaRPr lang="en-GB" sz="1100"/>
        </a:p>
      </xdr:txBody>
    </xdr:sp>
    <xdr:clientData/>
  </xdr:twoCellAnchor>
  <xdr:twoCellAnchor>
    <xdr:from>
      <xdr:col>21</xdr:col>
      <xdr:colOff>0</xdr:colOff>
      <xdr:row>553</xdr:row>
      <xdr:rowOff>0</xdr:rowOff>
    </xdr:from>
    <xdr:to>
      <xdr:col>27</xdr:col>
      <xdr:colOff>301832</xdr:colOff>
      <xdr:row>565</xdr:row>
      <xdr:rowOff>121225</xdr:rowOff>
    </xdr:to>
    <xdr:sp macro="" textlink="">
      <xdr:nvSpPr>
        <xdr:cNvPr id="20" name="TextBox 19"/>
        <xdr:cNvSpPr txBox="1"/>
      </xdr:nvSpPr>
      <xdr:spPr>
        <a:xfrm>
          <a:off x="19471821" y="98624571"/>
          <a:ext cx="4479225" cy="224394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2.2a Opex + Depreciation</a:t>
          </a:r>
        </a:p>
        <a:p>
          <a:r>
            <a:rPr lang="en-GB" sz="1100" b="0"/>
            <a:t>EQUALS</a:t>
          </a:r>
        </a:p>
        <a:p>
          <a:r>
            <a:rPr lang="en-GB" sz="1100" b="0"/>
            <a:t>R3001 Total operating expenditure (excluding exceptional items)</a:t>
          </a:r>
        </a:p>
        <a:p>
          <a:r>
            <a:rPr lang="en-GB" sz="1100" b="0"/>
            <a:t>ADD</a:t>
          </a:r>
        </a:p>
        <a:p>
          <a:r>
            <a:rPr lang="en-GB" sz="1100" b="0"/>
            <a:t>R3002 Total depreciation of assets included in RCV (assets existing before AMP6)</a:t>
          </a:r>
        </a:p>
        <a:p>
          <a:r>
            <a:rPr lang="en-GB" sz="1100" b="0"/>
            <a:t>ADD</a:t>
          </a:r>
        </a:p>
        <a:p>
          <a:r>
            <a:rPr lang="en-GB" sz="1100" b="0"/>
            <a:t>R3003 Total depreciation of assets that are not included in RCV (AMP6 or later assets)</a:t>
          </a:r>
        </a:p>
        <a:p>
          <a:r>
            <a:rPr lang="en-GB" sz="1100" b="0"/>
            <a:t>ADD</a:t>
          </a:r>
        </a:p>
        <a:p>
          <a:r>
            <a:rPr lang="en-GB" sz="1100" b="0"/>
            <a:t>R3013 Operating expenditure - excluded from ACTS </a:t>
          </a:r>
        </a:p>
        <a:p>
          <a:r>
            <a:rPr lang="en-GB" sz="1100" b="0"/>
            <a:t>ADD</a:t>
          </a:r>
        </a:p>
        <a:p>
          <a:r>
            <a:rPr lang="en-GB" sz="1100" b="0"/>
            <a:t>R3023</a:t>
          </a:r>
          <a:r>
            <a:rPr lang="en-GB" sz="1100" b="0" baseline="0"/>
            <a:t> </a:t>
          </a:r>
          <a:endParaRPr lang="en-GB" sz="1100" b="0"/>
        </a:p>
      </xdr:txBody>
    </xdr:sp>
    <xdr:clientData/>
  </xdr:twoCellAnchor>
  <xdr:twoCellAnchor>
    <xdr:from>
      <xdr:col>23</xdr:col>
      <xdr:colOff>27214</xdr:colOff>
      <xdr:row>595</xdr:row>
      <xdr:rowOff>13608</xdr:rowOff>
    </xdr:from>
    <xdr:to>
      <xdr:col>31</xdr:col>
      <xdr:colOff>371352</xdr:colOff>
      <xdr:row>609</xdr:row>
      <xdr:rowOff>97477</xdr:rowOff>
    </xdr:to>
    <xdr:sp macro="" textlink="">
      <xdr:nvSpPr>
        <xdr:cNvPr id="22" name="TextBox 21"/>
        <xdr:cNvSpPr txBox="1"/>
      </xdr:nvSpPr>
      <xdr:spPr>
        <a:xfrm>
          <a:off x="21023035" y="106067679"/>
          <a:ext cx="5446817" cy="256036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2.2c</a:t>
          </a:r>
          <a:r>
            <a:rPr lang="en-GB" sz="1100" b="1" baseline="0"/>
            <a:t> Total new costs</a:t>
          </a:r>
        </a:p>
        <a:p>
          <a:r>
            <a:rPr lang="en-GB" sz="1100" b="0" baseline="0"/>
            <a:t>EQUALS</a:t>
          </a:r>
        </a:p>
        <a:p>
          <a:r>
            <a:rPr lang="en-GB" sz="1100" b="0" baseline="0"/>
            <a:t>2.3k </a:t>
          </a:r>
          <a:r>
            <a:rPr lang="en-GB" sz="1100" b="0">
              <a:solidFill>
                <a:schemeClr val="dk1"/>
              </a:solidFill>
              <a:effectLst/>
              <a:latin typeface="+mn-lt"/>
              <a:ea typeface="+mn-ea"/>
              <a:cs typeface="+mn-cs"/>
            </a:rPr>
            <a:t>Change in household retail expenditure due to other factors</a:t>
          </a:r>
        </a:p>
        <a:p>
          <a:endParaRPr lang="en-GB" sz="1100" b="0">
            <a:solidFill>
              <a:schemeClr val="dk1"/>
            </a:solidFill>
            <a:effectLst/>
            <a:latin typeface="+mn-lt"/>
            <a:ea typeface="+mn-ea"/>
            <a:cs typeface="+mn-cs"/>
          </a:endParaRPr>
        </a:p>
        <a:p>
          <a:r>
            <a:rPr lang="en-GB" sz="1100" b="0">
              <a:solidFill>
                <a:schemeClr val="dk1"/>
              </a:solidFill>
              <a:effectLst/>
              <a:latin typeface="+mn-lt"/>
              <a:ea typeface="+mn-ea"/>
              <a:cs typeface="+mn-cs"/>
            </a:rPr>
            <a:t>Difference between</a:t>
          </a:r>
          <a:r>
            <a:rPr lang="en-GB" sz="1100" b="0" baseline="0">
              <a:solidFill>
                <a:schemeClr val="dk1"/>
              </a:solidFill>
              <a:effectLst/>
              <a:latin typeface="+mn-lt"/>
              <a:ea typeface="+mn-ea"/>
              <a:cs typeface="+mn-cs"/>
            </a:rPr>
            <a:t> total new costs and new costs materiality threshold </a:t>
          </a:r>
        </a:p>
        <a:p>
          <a:r>
            <a:rPr lang="en-GB" sz="1100" b="0" baseline="0">
              <a:solidFill>
                <a:schemeClr val="dk1"/>
              </a:solidFill>
              <a:effectLst/>
              <a:latin typeface="+mn-lt"/>
              <a:ea typeface="+mn-ea"/>
              <a:cs typeface="+mn-cs"/>
            </a:rPr>
            <a:t>EQUALS</a:t>
          </a:r>
        </a:p>
        <a:p>
          <a:r>
            <a:rPr lang="en-GB" sz="1100" b="0" baseline="0">
              <a:solidFill>
                <a:schemeClr val="dk1"/>
              </a:solidFill>
              <a:effectLst/>
              <a:latin typeface="+mn-lt"/>
              <a:ea typeface="+mn-ea"/>
              <a:cs typeface="+mn-cs"/>
            </a:rPr>
            <a:t>SUM (Change in household retail expenditure due to other factors over 2015-16 to 2019-20) </a:t>
          </a:r>
        </a:p>
        <a:p>
          <a:r>
            <a:rPr lang="en-GB" sz="1100" b="0" baseline="0">
              <a:solidFill>
                <a:schemeClr val="dk1"/>
              </a:solidFill>
              <a:effectLst/>
              <a:latin typeface="+mn-lt"/>
              <a:ea typeface="+mn-ea"/>
              <a:cs typeface="+mn-cs"/>
            </a:rPr>
            <a:t>MINUS</a:t>
          </a:r>
        </a:p>
        <a:p>
          <a:r>
            <a:rPr lang="en-GB" sz="1100" b="0" baseline="0">
              <a:solidFill>
                <a:schemeClr val="dk1"/>
              </a:solidFill>
              <a:effectLst/>
              <a:latin typeface="+mn-lt"/>
              <a:ea typeface="+mn-ea"/>
              <a:cs typeface="+mn-cs"/>
            </a:rPr>
            <a:t>2.4b New costs materiality threshold</a:t>
          </a: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Are new costs material?</a:t>
          </a:r>
        </a:p>
        <a:p>
          <a:r>
            <a:rPr lang="en-GB" sz="1100" b="0" baseline="0">
              <a:solidFill>
                <a:schemeClr val="dk1"/>
              </a:solidFill>
              <a:effectLst/>
              <a:latin typeface="+mn-lt"/>
              <a:ea typeface="+mn-ea"/>
              <a:cs typeface="+mn-cs"/>
            </a:rPr>
            <a:t>IF Difference &gt; 0</a:t>
          </a:r>
        </a:p>
        <a:p>
          <a:r>
            <a:rPr lang="en-GB" sz="1100" b="0" baseline="0">
              <a:solidFill>
                <a:schemeClr val="dk1"/>
              </a:solidFill>
              <a:effectLst/>
              <a:latin typeface="+mn-lt"/>
              <a:ea typeface="+mn-ea"/>
              <a:cs typeface="+mn-cs"/>
            </a:rPr>
            <a:t>THEN "Yes"</a:t>
          </a:r>
        </a:p>
        <a:p>
          <a:r>
            <a:rPr lang="en-GB" sz="1100" b="0" baseline="0">
              <a:solidFill>
                <a:schemeClr val="dk1"/>
              </a:solidFill>
              <a:effectLst/>
              <a:latin typeface="+mn-lt"/>
              <a:ea typeface="+mn-ea"/>
              <a:cs typeface="+mn-cs"/>
            </a:rPr>
            <a:t>ELSE "No"</a:t>
          </a:r>
          <a:endParaRPr lang="en-GB" b="0">
            <a:effectLst/>
          </a:endParaRPr>
        </a:p>
        <a:p>
          <a:endParaRPr lang="en-GB" sz="1100" b="0"/>
        </a:p>
      </xdr:txBody>
    </xdr:sp>
    <xdr:clientData/>
  </xdr:twoCellAnchor>
  <xdr:twoCellAnchor>
    <xdr:from>
      <xdr:col>25</xdr:col>
      <xdr:colOff>0</xdr:colOff>
      <xdr:row>717</xdr:row>
      <xdr:rowOff>0</xdr:rowOff>
    </xdr:from>
    <xdr:to>
      <xdr:col>31</xdr:col>
      <xdr:colOff>193799</xdr:colOff>
      <xdr:row>742</xdr:row>
      <xdr:rowOff>17067</xdr:rowOff>
    </xdr:to>
    <xdr:sp macro="" textlink="">
      <xdr:nvSpPr>
        <xdr:cNvPr id="23" name="TextBox 22"/>
        <xdr:cNvSpPr txBox="1"/>
      </xdr:nvSpPr>
      <xdr:spPr>
        <a:xfrm>
          <a:off x="22424571" y="113483571"/>
          <a:ext cx="3867728" cy="443938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2.2e Adjustments</a:t>
          </a:r>
          <a:endParaRPr lang="en-GB" sz="1100" b="1" baseline="0"/>
        </a:p>
        <a:p>
          <a:r>
            <a:rPr lang="en-GB" sz="1100"/>
            <a:t>For</a:t>
          </a:r>
          <a:r>
            <a:rPr lang="en-GB" sz="1100" baseline="0"/>
            <a:t> each company, adjustment values for each adjustment</a:t>
          </a:r>
        </a:p>
        <a:p>
          <a:r>
            <a:rPr lang="en-GB" sz="1100" baseline="0"/>
            <a:t>EQUALS</a:t>
          </a:r>
        </a:p>
        <a:p>
          <a:r>
            <a:rPr lang="en-GB" sz="1100" baseline="0"/>
            <a:t>[Pension deficit repair cost</a:t>
          </a:r>
        </a:p>
        <a:p>
          <a:r>
            <a:rPr lang="en-GB" sz="1100" baseline="0"/>
            <a:t>Input price pressure</a:t>
          </a:r>
        </a:p>
        <a:p>
          <a:r>
            <a:rPr lang="en-GB" sz="1100" baseline="0"/>
            <a:t>Adjustment 2</a:t>
          </a:r>
        </a:p>
        <a:p>
          <a:r>
            <a:rPr lang="en-GB" sz="1100" baseline="0"/>
            <a:t>Adjustment 3]</a:t>
          </a:r>
        </a:p>
        <a:p>
          <a:r>
            <a:rPr lang="en-GB" sz="1100" baseline="0"/>
            <a:t>MULTIPLIED BY </a:t>
          </a:r>
        </a:p>
        <a:p>
          <a:r>
            <a:rPr lang="en-GB" sz="1100"/>
            <a:t>"New cost and adjustments inputs" 1.6 Changes to adjustments</a:t>
          </a:r>
        </a:p>
        <a:p>
          <a:endParaRPr lang="en-GB" sz="1100"/>
        </a:p>
        <a:p>
          <a:r>
            <a:rPr lang="en-GB" sz="1100"/>
            <a:t>For</a:t>
          </a:r>
          <a:r>
            <a:rPr lang="en-GB" sz="1100" baseline="0"/>
            <a:t> each company, </a:t>
          </a:r>
          <a:r>
            <a:rPr lang="en-GB" sz="1100"/>
            <a:t>Sum</a:t>
          </a:r>
          <a:r>
            <a:rPr lang="en-GB" sz="1100" baseline="0"/>
            <a:t> of accepted adjustments</a:t>
          </a:r>
        </a:p>
        <a:p>
          <a:r>
            <a:rPr lang="en-GB" sz="1100" baseline="0"/>
            <a:t>EQUALS</a:t>
          </a:r>
        </a:p>
        <a:p>
          <a:r>
            <a:rPr lang="en-GB" sz="1100" baseline="0"/>
            <a:t>IF(Input price pressure accepted = "Yes",</a:t>
          </a:r>
        </a:p>
        <a:p>
          <a:r>
            <a:rPr lang="en-GB" sz="1100" baseline="0"/>
            <a:t>THEN + Input price pressure adjustment</a:t>
          </a:r>
        </a:p>
        <a:p>
          <a:r>
            <a:rPr lang="en-GB" sz="1100" baseline="0"/>
            <a:t>ELSE + 0</a:t>
          </a:r>
        </a:p>
        <a:p>
          <a:r>
            <a:rPr lang="en-GB" sz="1100" baseline="0"/>
            <a:t>ADD</a:t>
          </a:r>
          <a:br>
            <a:rPr lang="en-GB" sz="1100" baseline="0"/>
          </a:br>
          <a:r>
            <a:rPr lang="en-GB" sz="1100" baseline="0"/>
            <a:t>IF (Adjustment 2 accpeted = "Yes",</a:t>
          </a:r>
        </a:p>
        <a:p>
          <a:r>
            <a:rPr lang="en-GB" sz="1100" baseline="0"/>
            <a:t>THEN + Adjustment 2</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ELSE + 0</a:t>
          </a:r>
          <a:endParaRPr lang="en-GB">
            <a:effectLst/>
          </a:endParaRPr>
        </a:p>
        <a:p>
          <a:r>
            <a:rPr lang="en-GB" sz="1100" baseline="0"/>
            <a:t>ADD</a:t>
          </a:r>
        </a:p>
        <a:p>
          <a:r>
            <a:rPr lang="en-GB" sz="1100" baseline="0"/>
            <a:t>IF(Adjustment 3 accepted = "Yes"</a:t>
          </a:r>
        </a:p>
        <a:p>
          <a:r>
            <a:rPr lang="en-GB" sz="1100" baseline="0"/>
            <a:t>THEN + Adjustment 3</a:t>
          </a:r>
        </a:p>
        <a:p>
          <a:r>
            <a:rPr lang="en-GB" sz="1100" baseline="0"/>
            <a:t>ELSE + 0</a:t>
          </a:r>
        </a:p>
        <a:p>
          <a:r>
            <a:rPr lang="en-GB" sz="1100" baseline="0"/>
            <a:t>ADD </a:t>
          </a:r>
        </a:p>
        <a:p>
          <a:r>
            <a:rPr lang="en-GB" sz="1100" baseline="0"/>
            <a:t>Pension deficit repair cost</a:t>
          </a:r>
          <a:endParaRPr lang="en-GB" sz="1100"/>
        </a:p>
      </xdr:txBody>
    </xdr:sp>
    <xdr:clientData/>
  </xdr:twoCellAnchor>
  <xdr:twoCellAnchor>
    <xdr:from>
      <xdr:col>16</xdr:col>
      <xdr:colOff>333375</xdr:colOff>
      <xdr:row>634</xdr:row>
      <xdr:rowOff>158749</xdr:rowOff>
    </xdr:from>
    <xdr:to>
      <xdr:col>22</xdr:col>
      <xdr:colOff>555625</xdr:colOff>
      <xdr:row>648</xdr:row>
      <xdr:rowOff>142874</xdr:rowOff>
    </xdr:to>
    <xdr:sp macro="" textlink="">
      <xdr:nvSpPr>
        <xdr:cNvPr id="21" name="TextBox 20"/>
        <xdr:cNvSpPr txBox="1"/>
      </xdr:nvSpPr>
      <xdr:spPr>
        <a:xfrm>
          <a:off x="16661946" y="109573785"/>
          <a:ext cx="4508500" cy="246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Allowed </a:t>
          </a:r>
          <a:r>
            <a:rPr lang="en-GB" sz="1100" b="1" baseline="0"/>
            <a:t> New Costs</a:t>
          </a:r>
        </a:p>
        <a:p>
          <a:r>
            <a:rPr lang="en-GB" sz="1100"/>
            <a:t>EQUALS</a:t>
          </a:r>
        </a:p>
        <a:p>
          <a:r>
            <a:rPr lang="en-GB" sz="1100"/>
            <a:t>Total new costs</a:t>
          </a:r>
          <a:endParaRPr lang="en-GB" sz="1100" baseline="0"/>
        </a:p>
        <a:p>
          <a:r>
            <a:rPr lang="en-GB" sz="1100" baseline="0"/>
            <a:t>SUBTRACT</a:t>
          </a:r>
        </a:p>
        <a:p>
          <a:r>
            <a:rPr lang="en-GB" sz="1100"/>
            <a:t>Disallowed</a:t>
          </a:r>
          <a:r>
            <a:rPr lang="en-GB" sz="1100" baseline="0"/>
            <a:t> new costs</a:t>
          </a:r>
          <a:endParaRPr lang="en-GB" sz="1100"/>
        </a:p>
        <a:p>
          <a:endParaRPr lang="en-GB" sz="1100"/>
        </a:p>
      </xdr:txBody>
    </xdr:sp>
    <xdr:clientData/>
  </xdr:twoCellAnchor>
  <xdr:twoCellAnchor>
    <xdr:from>
      <xdr:col>16</xdr:col>
      <xdr:colOff>333375</xdr:colOff>
      <xdr:row>654</xdr:row>
      <xdr:rowOff>158749</xdr:rowOff>
    </xdr:from>
    <xdr:to>
      <xdr:col>22</xdr:col>
      <xdr:colOff>555625</xdr:colOff>
      <xdr:row>668</xdr:row>
      <xdr:rowOff>142874</xdr:rowOff>
    </xdr:to>
    <xdr:sp macro="" textlink="">
      <xdr:nvSpPr>
        <xdr:cNvPr id="25" name="TextBox 24"/>
        <xdr:cNvSpPr txBox="1"/>
      </xdr:nvSpPr>
      <xdr:spPr>
        <a:xfrm>
          <a:off x="16661946" y="113111642"/>
          <a:ext cx="4508500" cy="246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Allowed </a:t>
          </a:r>
          <a:r>
            <a:rPr lang="en-GB" sz="1100" b="1" baseline="0"/>
            <a:t> new Costs per customer</a:t>
          </a:r>
        </a:p>
        <a:p>
          <a:r>
            <a:rPr lang="en-GB" sz="1100"/>
            <a:t>EQUALS</a:t>
          </a:r>
        </a:p>
        <a:p>
          <a:r>
            <a:rPr lang="en-GB" sz="1100"/>
            <a:t>Allowed new costs </a:t>
          </a:r>
        </a:p>
        <a:p>
          <a:r>
            <a:rPr lang="en-GB" sz="1100"/>
            <a:t>DIVIDED BY</a:t>
          </a:r>
        </a:p>
        <a:p>
          <a:r>
            <a:rPr lang="en-GB" sz="1100"/>
            <a:t>Total customer numbers adjusted for EoS</a:t>
          </a:r>
        </a:p>
      </xdr:txBody>
    </xdr:sp>
    <xdr:clientData/>
  </xdr:twoCellAnchor>
  <xdr:twoCellAnchor>
    <xdr:from>
      <xdr:col>16</xdr:col>
      <xdr:colOff>333375</xdr:colOff>
      <xdr:row>674</xdr:row>
      <xdr:rowOff>158749</xdr:rowOff>
    </xdr:from>
    <xdr:to>
      <xdr:col>22</xdr:col>
      <xdr:colOff>555625</xdr:colOff>
      <xdr:row>688</xdr:row>
      <xdr:rowOff>142874</xdr:rowOff>
    </xdr:to>
    <xdr:sp macro="" textlink="">
      <xdr:nvSpPr>
        <xdr:cNvPr id="26" name="TextBox 25"/>
        <xdr:cNvSpPr txBox="1"/>
      </xdr:nvSpPr>
      <xdr:spPr>
        <a:xfrm>
          <a:off x="16661946" y="116649499"/>
          <a:ext cx="4508500" cy="246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Modification for new costs (£/cust)</a:t>
          </a:r>
        </a:p>
        <a:p>
          <a:r>
            <a:rPr lang="en-GB" sz="1100" b="0" baseline="0"/>
            <a:t>EQAULS</a:t>
          </a:r>
        </a:p>
        <a:p>
          <a:r>
            <a:rPr lang="en-GB" sz="1100" b="0" baseline="0"/>
            <a:t>MAX(</a:t>
          </a:r>
        </a:p>
        <a:p>
          <a:r>
            <a:rPr lang="en-GB" sz="1100" b="0" baseline="0"/>
            <a:t>0,</a:t>
          </a:r>
        </a:p>
        <a:p>
          <a:r>
            <a:rPr lang="en-GB" sz="1100" b="0" baseline="0"/>
            <a:t>AVERAGE OF</a:t>
          </a:r>
        </a:p>
        <a:p>
          <a:r>
            <a:rPr lang="en-GB" sz="1100" b="0" baseline="0"/>
            <a:t>AMP6 Allowed new cost per customer)</a:t>
          </a:r>
        </a:p>
        <a:p>
          <a:endParaRPr lang="en-GB" sz="1100"/>
        </a:p>
      </xdr:txBody>
    </xdr:sp>
    <xdr:clientData/>
  </xdr:twoCellAnchor>
  <xdr:twoCellAnchor>
    <xdr:from>
      <xdr:col>16</xdr:col>
      <xdr:colOff>333375</xdr:colOff>
      <xdr:row>694</xdr:row>
      <xdr:rowOff>158749</xdr:rowOff>
    </xdr:from>
    <xdr:to>
      <xdr:col>22</xdr:col>
      <xdr:colOff>555625</xdr:colOff>
      <xdr:row>708</xdr:row>
      <xdr:rowOff>142874</xdr:rowOff>
    </xdr:to>
    <xdr:sp macro="" textlink="">
      <xdr:nvSpPr>
        <xdr:cNvPr id="27" name="TextBox 26"/>
        <xdr:cNvSpPr txBox="1"/>
      </xdr:nvSpPr>
      <xdr:spPr>
        <a:xfrm>
          <a:off x="16661946" y="120187356"/>
          <a:ext cx="4508500" cy="246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Modification for new costs (£m)</a:t>
          </a:r>
        </a:p>
        <a:p>
          <a:r>
            <a:rPr lang="en-GB" sz="1100" b="0" baseline="0"/>
            <a:t>Modification for new costs per customer</a:t>
          </a:r>
        </a:p>
        <a:p>
          <a:r>
            <a:rPr lang="en-GB" sz="1100" b="0" baseline="0"/>
            <a:t>MULTIPLIED BY</a:t>
          </a:r>
        </a:p>
        <a:p>
          <a:r>
            <a:rPr lang="en-GB" sz="1100" b="0" baseline="0"/>
            <a:t>Number of customers adjusted for Eos (2013-14)</a:t>
          </a:r>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kspace.wessexcloud.net/CCB/Draft%20Business%20Plan%202003/Part%20C/DBP03%20-%20new%20CB%20comparison%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WW.LOCAL\DCCS_Shared\Documents%20and%20Settings\U103280\desktop\waste%20desktop\waste%20desktop%20v1\waste%20desktop%20v1\regulation%202011\ABC\ABC%20table%20new\2010.11%20ABCnew%20v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ubble.live.sharepoint.ofwat.net/Documents%20and%20Settings/WellerGJ/Local%20Settings/Temporary%20Internet%20Files/OLK2/Data%20Conversion/Thames%20Data%20examples/GL%20-%20Chart%20of%20Accounts/DCCS%20(SAP%20System)/DCCS%20CoA%20Mapping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ubble.live.sharepoint.ofwat.net/Finance/Management%20Accounts/MANACC/0PAULW/03/P4/Apr_03_Man_Ac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BARTON\Desktop\AMP%206%20Retail%20Cost%20Plan%20after%20DD%2014093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ubble.live.sharepoint.ofwat.net/TEMP/3e8/people4_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ubble.live.sharepoint.ofwat.net/Finance/Group%20Accounting/Zoe/VWIOL/2007/VWIOL/Feb-07/Journals/VWIOL%20Feb-07%20Jnls_G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ubble.live.sharepoint.ofwat.net/Finance/Budget/BUDGET%202011/Budget2011_VWE/Capex/Capex%20forecast%20AMP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ubble.live.sharepoint.ofwat.net/Finance/Group%20Accounting/Jane/Payroll%20Jnls/VWIOL/2003/Dec03_VWIOLPayro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ubble.live.sharepoint.ofwat.net/Finance/Jane/VWIOL/Project_Analysis/Jul00_Oct00_Bill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ariffs\PRINCIPAL%20STATEMENTS\2009-2010\Final%20Submission\Ofwat\PS09TMS-04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S05\Old%20versions\PS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CL02\APPS\Economic%20Reg\Regulatory%20Finance\WWSL%20Mini%20Model\AMP6%20model\June%20Resubmission%20models\Version%206\Pr14%20Ofwat%20financialmodel%20v6%20-%20wc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arun.quayum\Desktop\Jake%20Mat\Materiality%20Model%20v%202%20SE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ubble.live.sharepoint.ofwat.net/TRC%20Datafiles/tvw/Final%20K/Summary%20tom%201412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bubble.live.sharepoint.ofwat.net/Finance/Group%20Finance/Payroll/2008/Nov%2008/Nov08_Payro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ubble.live.sharepoint.ofwat.net/Finance/Capital/2010_2011/Reporting/Capital%20Report%20Exc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Documents%20and%20Settings\yeowella\My%20Documents\MEAV\updated%20cost%20models\Water%20%20Sewerage%20Networks_V2.0_06.06.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ubble.live.sharepoint.ofwat.net/Programme%20Office%20Reports/AWSE%20Capital%20Delivery%20Programme/Programmes/AMP5%20Authorised%20expenditure%20workbook%2031%20October%202012%20Delink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bestpracticemodelling.com/files/example_models/bpmToolbox%206.0-Multi-Stack%20Waterfall%20Chart%20Exampl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CWW.LOCAL\DCCS_Shared\Documents%20and%20Settings\e004383\Desktop\Copy%20of%20DCWW_MEA_Valuation_Model_rev%206.9%2028.0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nalkatr\AppData\Local\Microsoft\Windows\Temporary%20Internet%20Files\Content.Outlook\919691YT\ALASDAIR\Credit%20Svces%20F-cast\Fcast%2000-01%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et%20Management%20Team%20New%20Structure\Demand%20Planning\Solar%20&amp;%20Populations\Population%20Projections\CC%20PE%20forcasts\supply%20demand\Copy%20of%20Adjustment%20at%20parish%20level%20from%20CC%20to%20TWU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AG\ACC\MTaylor\MANAGEME\2001-2002\Fixed%20Assets\2002Dep'nOc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LASDAIR\Credit%20Svces%20F-cast\Fcast%2000-01%20Version%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ales%20And%20Debt\Sales%200304\Month%202\Unmeasured\TRENDUNM%20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dfiwp03\fin01_nc-shared\DOCUME~1\rdunmore\LOCALS~1\Temp\c.notes.data\source%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by subservice"/>
      <sheetName val="T21 in line"/>
      <sheetName val="22a "/>
      <sheetName val="21b "/>
      <sheetName val="21a "/>
      <sheetName val="Appendix workings"/>
      <sheetName val="commentaries"/>
      <sheetName val="22a variance"/>
      <sheetName val="21b variance"/>
      <sheetName val="21a variance "/>
      <sheetName val="commentry"/>
      <sheetName val="rec"/>
      <sheetName val="master"/>
      <sheetName val="presentation"/>
      <sheetName val="21a"/>
      <sheetName val="21b"/>
      <sheetName val="22a"/>
      <sheetName val="TOTAL"/>
      <sheetName val="Third party"/>
      <sheetName val="Business cost detailed"/>
      <sheetName val="T22 Split"/>
      <sheetName val="T17b"/>
      <sheetName val="Summary"/>
      <sheetName val="DCWW Input Sheet"/>
      <sheetName val="Other direct costs"/>
      <sheetName val="revised customer services"/>
      <sheetName val="Customer services"/>
      <sheetName val="Clean Input sheet"/>
      <sheetName val="Waste input sheet"/>
      <sheetName val="Develops Mike area"/>
      <sheetName val="Amanda "/>
      <sheetName val="DCWW Direct Costs"/>
      <sheetName val="Third Party#Ins#CFD#Leakage"/>
      <sheetName val="DCWW General and Support"/>
      <sheetName val="IT"/>
      <sheetName val="Appointed"/>
      <sheetName val="Non-Appointed"/>
      <sheetName val="Infra Proof"/>
      <sheetName val="Capital Costs Calcn"/>
      <sheetName val="JR11 T25 Acc Sep"/>
      <sheetName val="Maintenance"/>
      <sheetName val="Commen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5">
          <cell r="R25">
            <v>0.54600000000000004</v>
          </cell>
        </row>
      </sheetData>
      <sheetData sheetId="26"/>
      <sheetData sheetId="27"/>
      <sheetData sheetId="28"/>
      <sheetData sheetId="29"/>
      <sheetData sheetId="30"/>
      <sheetData sheetId="31">
        <row r="10">
          <cell r="AE10">
            <v>9640.8439999999991</v>
          </cell>
          <cell r="AF10">
            <v>-38.806209999999737</v>
          </cell>
        </row>
        <row r="17">
          <cell r="AE17">
            <v>20190.803100000001</v>
          </cell>
          <cell r="AF17">
            <v>3858.0732599999997</v>
          </cell>
          <cell r="AG17">
            <v>92</v>
          </cell>
          <cell r="AH17">
            <v>542.49279999999999</v>
          </cell>
          <cell r="AI17">
            <v>69.947000000000003</v>
          </cell>
          <cell r="AJ17">
            <v>56.77055100000004</v>
          </cell>
        </row>
        <row r="19">
          <cell r="AP19">
            <v>8.7759815242494224E-2</v>
          </cell>
          <cell r="AQ19">
            <v>0</v>
          </cell>
        </row>
        <row r="26">
          <cell r="AE26">
            <v>138</v>
          </cell>
        </row>
      </sheetData>
      <sheetData sheetId="32"/>
      <sheetData sheetId="33"/>
      <sheetData sheetId="34"/>
      <sheetData sheetId="35"/>
      <sheetData sheetId="36"/>
      <sheetData sheetId="37">
        <row r="9">
          <cell r="H9">
            <v>1713</v>
          </cell>
        </row>
      </sheetData>
      <sheetData sheetId="38"/>
      <sheetData sheetId="39">
        <row r="54">
          <cell r="R54">
            <v>0</v>
          </cell>
        </row>
      </sheetData>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efreshError="1">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efreshError="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refreshError="1"/>
      <sheetData sheetId="3" refreshError="1"/>
      <sheetData sheetId="4" refreshError="1"/>
      <sheetData sheetId="5" refreshError="1"/>
      <sheetData sheetId="6" refreshError="1">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t="str">
            <v/>
          </cell>
        </row>
        <row r="21">
          <cell r="C21" t="str">
            <v/>
          </cell>
        </row>
        <row r="25">
          <cell r="C25" t="str">
            <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3 Post DD"/>
      <sheetName val="Post DD changes"/>
      <sheetName val="Transience"/>
      <sheetName val="R4 Post DD"/>
      <sheetName val="R4 Post DD for tariffs"/>
      <sheetName val="Ref  &gt; Alloc12-13"/>
      <sheetName val="R3"/>
      <sheetName val="R4"/>
      <sheetName val="HH Cost"/>
      <sheetName val="Ref &gt; Act11-12-13"/>
      <sheetName val="Ref &gt; Hist chnges JR11 and 12 "/>
      <sheetName val="NHH Cost"/>
      <sheetName val="WOC Com"/>
      <sheetName val="New BU transfers"/>
      <sheetName val="TTT DD"/>
      <sheetName val="ACTS v2"/>
      <sheetName val="ACTS 1"/>
      <sheetName val="Opex New Change Control items"/>
      <sheetName val="HH Metering (2)"/>
      <sheetName val="Props-Calls (2)"/>
      <sheetName val="Props-Calls orig"/>
      <sheetName val="R4 (TTT adj)"/>
      <sheetName val="HH Metering orig"/>
      <sheetName val="Ref  &gt;T21b AR14"/>
      <sheetName val="WOC ACTS"/>
      <sheetName val="Cost allocations 1"/>
      <sheetName val="Ref &gt; Commissions"/>
      <sheetName val="FTE"/>
      <sheetName val="Opex Previous change items"/>
      <sheetName val="Baseline 13-14"/>
      <sheetName val="HH Mov Sum"/>
      <sheetName val="Metering"/>
      <sheetName val="Ref &gt; Opex Input"/>
      <sheetName val="AMP5 v AMP6"/>
      <sheetName val="NHH Mov Sum"/>
      <sheetName val="NHH H&amp;C breakdown"/>
      <sheetName val="Baseline adjustments"/>
      <sheetName val="Budget 14_15 adjustments"/>
      <sheetName val="Budget transfers"/>
      <sheetName val="R4 supporting detail"/>
      <sheetName val="HH Bridge"/>
      <sheetName val="Ref  &gt; App H output 20_05_2014"/>
      <sheetName val="AMP 6 Retail capex"/>
      <sheetName val="LINE 2 DEPN "/>
      <sheetName val="LINE 3 DEPN"/>
      <sheetName val="Ref &gt; Baseline Summary"/>
      <sheetName val="CSL Jun 14"/>
      <sheetName val="People and Outsourcing"/>
      <sheetName val="Ref &gt; Debt Management"/>
      <sheetName val="D Debts v1"/>
      <sheetName val="Debt Mgt Ret Query"/>
      <sheetName val="Doubtful Debts v2"/>
      <sheetName val="Doubtful Debts v3"/>
      <sheetName val="Ref &gt; ADR"/>
      <sheetName val="Ref  &gt; Prev PR14 13-14"/>
      <sheetName val="AMP5 &amp; 6 Rec"/>
      <sheetName val="Ref &gt; CS Opex"/>
      <sheetName val="Ref &gt; HH-NHH %"/>
      <sheetName val="AMP 5 Fixed Asset Register"/>
      <sheetName val="Ref &gt; Change Control 1213"/>
      <sheetName val="13-14"/>
      <sheetName val="14-15"/>
      <sheetName val="15-16"/>
      <sheetName val="16-17"/>
      <sheetName val="17-18"/>
      <sheetName val="18-19"/>
      <sheetName val="19-20"/>
      <sheetName val="Cost allocation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P1">
            <v>1.0275340969279601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D2">
            <v>1.028847791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tatement"/>
      <sheetName val="Additional Information"/>
      <sheetName val="Differential calculations"/>
      <sheetName val="Data"/>
    </sheetNames>
    <sheetDataSet>
      <sheetData sheetId="0">
        <row r="6">
          <cell r="I6" t="str">
            <v>Thames Water Utilities Ltd</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refreshError="1"/>
      <sheetData sheetId="1" refreshError="1"/>
      <sheetData sheetId="2" refreshError="1">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 0304 Summary"/>
      <sheetName val="Differential summary"/>
      <sheetName val="PS03"/>
      <sheetName val="PS04"/>
      <sheetName val="Principal Statement 05"/>
      <sheetName val="New Differential - actual"/>
      <sheetName val="Formula sheet"/>
      <sheetName val="Annex 1"/>
      <sheetName val="Appendix 1"/>
      <sheetName val="Sheet2"/>
      <sheetName val="Appendix 2"/>
      <sheetName val="Meter Sizes Ave Year 03-04 Dan"/>
      <sheetName val="Large users fixed charges "/>
      <sheetName val="Volume data 2002-03"/>
      <sheetName val="Volume data 2003-04"/>
      <sheetName val="Large User Tariffs"/>
      <sheetName val="MUD calcs"/>
      <sheetName val="Average Bills"/>
      <sheetName val="New Differential - target"/>
      <sheetName val="Differential"/>
      <sheetName val="DB80 Input 031203"/>
      <sheetName val="Headroom25031129"/>
      <sheetName val="Headroom25031203"/>
      <sheetName val="Meter Sizes Ave Year 02-03 Mark"/>
      <sheetName val="Middle User Tariffs"/>
      <sheetName val="GHDB007 Summary"/>
      <sheetName val="GHDB007 Summary 0304"/>
      <sheetName val="TE Summary 02-03"/>
      <sheetName val="TE Strengths"/>
      <sheetName val="Large Users 02-03 Sales"/>
      <sheetName val="Large user 03-04 Sales"/>
      <sheetName val="Large Users 02-03"/>
      <sheetName val="Council Voids"/>
      <sheetName val="VGT"/>
      <sheetName val="DD"/>
      <sheetName val="OWC Data"/>
      <sheetName val="OWC Data 0304"/>
      <sheetName val="MenuSheet"/>
      <sheetName val="Large Users 03-04"/>
      <sheetName val="Users 50 - 100 ml 03-04"/>
      <sheetName val="Volumes from database"/>
      <sheetName val="Reconcilliation to sales"/>
      <sheetName val="Measured volumes 0304 summary"/>
      <sheetName val="Data"/>
    </sheetNames>
    <sheetDataSet>
      <sheetData sheetId="0" refreshError="1"/>
      <sheetData sheetId="1" refreshError="1"/>
      <sheetData sheetId="2" refreshError="1"/>
      <sheetData sheetId="3" refreshError="1"/>
      <sheetData sheetId="4" refreshError="1">
        <row r="1">
          <cell r="B1" t="str">
            <v>2005-06</v>
          </cell>
        </row>
        <row r="66">
          <cell r="D66">
            <v>1.0289999999999999</v>
          </cell>
          <cell r="E66" t="str">
            <v>Rateable Value Charges</v>
          </cell>
        </row>
        <row r="68">
          <cell r="H68">
            <v>1.03</v>
          </cell>
          <cell r="I68" t="str">
            <v>UWRV01</v>
          </cell>
          <cell r="J68" t="str">
            <v>General</v>
          </cell>
          <cell r="K68">
            <v>0.57799999999999996</v>
          </cell>
          <cell r="L68">
            <v>0.57799999999999996</v>
          </cell>
          <cell r="M68">
            <v>0</v>
          </cell>
          <cell r="N68">
            <v>399463535</v>
          </cell>
          <cell r="O68">
            <v>390722862</v>
          </cell>
          <cell r="P68">
            <v>230889923.22999999</v>
          </cell>
          <cell r="Q68">
            <v>225837814.23599997</v>
          </cell>
        </row>
        <row r="70">
          <cell r="D70">
            <v>1.0469999999999999</v>
          </cell>
          <cell r="E70" t="str">
            <v>Fixed Fee for Properties with no or zero RV</v>
          </cell>
        </row>
        <row r="72">
          <cell r="H72">
            <v>1.048</v>
          </cell>
          <cell r="I72" t="str">
            <v>UWNORV01</v>
          </cell>
          <cell r="J72" t="str">
            <v>General</v>
          </cell>
          <cell r="M72" t="str">
            <v/>
          </cell>
          <cell r="P72" t="str">
            <v/>
          </cell>
          <cell r="Q72" t="str">
            <v/>
          </cell>
        </row>
        <row r="73">
          <cell r="H73">
            <v>1.0489999999999999</v>
          </cell>
          <cell r="I73" t="str">
            <v>UWNORV02</v>
          </cell>
          <cell r="J73" t="str">
            <v>Domestic</v>
          </cell>
          <cell r="M73" t="str">
            <v/>
          </cell>
          <cell r="P73" t="str">
            <v/>
          </cell>
          <cell r="Q73" t="str">
            <v/>
          </cell>
        </row>
        <row r="74">
          <cell r="H74">
            <v>1.05</v>
          </cell>
          <cell r="I74" t="str">
            <v>UWNORV03</v>
          </cell>
          <cell r="J74" t="str">
            <v>Mixed</v>
          </cell>
          <cell r="M74" t="str">
            <v/>
          </cell>
          <cell r="P74" t="str">
            <v/>
          </cell>
          <cell r="Q74" t="str">
            <v/>
          </cell>
        </row>
        <row r="75">
          <cell r="H75">
            <v>1.0509999999999999</v>
          </cell>
          <cell r="I75" t="str">
            <v>UWNORV10</v>
          </cell>
          <cell r="J75" t="str">
            <v>Domestic (Zero RV)</v>
          </cell>
          <cell r="M75" t="str">
            <v/>
          </cell>
          <cell r="P75" t="str">
            <v/>
          </cell>
          <cell r="Q75" t="str">
            <v/>
          </cell>
        </row>
        <row r="76">
          <cell r="H76">
            <v>1.052</v>
          </cell>
          <cell r="I76" t="str">
            <v>UWNORV11</v>
          </cell>
          <cell r="J76" t="str">
            <v>Domestic (No RV)</v>
          </cell>
          <cell r="M76" t="str">
            <v/>
          </cell>
          <cell r="P76" t="str">
            <v/>
          </cell>
          <cell r="Q76" t="str">
            <v/>
          </cell>
        </row>
        <row r="77">
          <cell r="H77">
            <v>1.0529999999999999</v>
          </cell>
          <cell r="I77" t="str">
            <v>UWNORV12</v>
          </cell>
          <cell r="J77" t="str">
            <v>Non-domestic (Zero RV)</v>
          </cell>
          <cell r="M77" t="str">
            <v/>
          </cell>
          <cell r="P77" t="str">
            <v/>
          </cell>
          <cell r="Q77" t="str">
            <v/>
          </cell>
        </row>
        <row r="78">
          <cell r="H78">
            <v>1.054</v>
          </cell>
          <cell r="I78" t="str">
            <v>UWNORV13</v>
          </cell>
          <cell r="J78" t="str">
            <v>Non-domestic (No RV)</v>
          </cell>
          <cell r="M78" t="str">
            <v/>
          </cell>
          <cell r="P78" t="str">
            <v/>
          </cell>
          <cell r="Q78" t="str">
            <v/>
          </cell>
        </row>
        <row r="80">
          <cell r="D80">
            <v>1.0549999999999999</v>
          </cell>
          <cell r="E80" t="str">
            <v>Minimum Charges</v>
          </cell>
        </row>
        <row r="82">
          <cell r="H82">
            <v>1.056</v>
          </cell>
          <cell r="I82" t="str">
            <v>UWMIN01</v>
          </cell>
          <cell r="J82" t="str">
            <v>General</v>
          </cell>
          <cell r="M82" t="str">
            <v/>
          </cell>
          <cell r="P82" t="str">
            <v/>
          </cell>
          <cell r="Q82" t="str">
            <v/>
          </cell>
        </row>
        <row r="84">
          <cell r="D84">
            <v>1.0569999999999999</v>
          </cell>
          <cell r="E84" t="str">
            <v>Maximum Charges</v>
          </cell>
        </row>
        <row r="86">
          <cell r="H86">
            <v>1.0580000000000001</v>
          </cell>
          <cell r="I86" t="str">
            <v>UWMAX01</v>
          </cell>
          <cell r="J86" t="str">
            <v>General</v>
          </cell>
          <cell r="M86" t="str">
            <v/>
          </cell>
          <cell r="P86" t="str">
            <v/>
          </cell>
          <cell r="Q86" t="str">
            <v/>
          </cell>
        </row>
        <row r="88">
          <cell r="D88">
            <v>1.0589999999999999</v>
          </cell>
          <cell r="E88" t="str">
            <v>Fixed Fee Items</v>
          </cell>
        </row>
        <row r="90">
          <cell r="H90">
            <v>1.06</v>
          </cell>
          <cell r="I90" t="str">
            <v>UWFEE01</v>
          </cell>
          <cell r="J90" t="str">
            <v>Single lock-up garage</v>
          </cell>
          <cell r="M90" t="str">
            <v/>
          </cell>
          <cell r="P90" t="str">
            <v/>
          </cell>
          <cell r="Q90" t="str">
            <v/>
          </cell>
        </row>
        <row r="91">
          <cell r="H91">
            <v>1.0609999999999999</v>
          </cell>
          <cell r="I91" t="str">
            <v>UWFEE02</v>
          </cell>
          <cell r="J91" t="str">
            <v>Block lock-up garages (&lt;=20)</v>
          </cell>
          <cell r="M91" t="str">
            <v/>
          </cell>
          <cell r="P91" t="str">
            <v/>
          </cell>
          <cell r="Q91" t="str">
            <v/>
          </cell>
        </row>
        <row r="92">
          <cell r="H92">
            <v>1.0620000000000001</v>
          </cell>
          <cell r="I92" t="str">
            <v>UWFEE03</v>
          </cell>
          <cell r="J92" t="str">
            <v>Churches/Charities</v>
          </cell>
          <cell r="M92" t="str">
            <v/>
          </cell>
          <cell r="P92" t="str">
            <v/>
          </cell>
          <cell r="Q92" t="str">
            <v/>
          </cell>
        </row>
        <row r="93">
          <cell r="H93">
            <v>1.0629999999999999</v>
          </cell>
          <cell r="I93" t="str">
            <v>UWFEE04</v>
          </cell>
          <cell r="J93" t="str">
            <v>Student rooms</v>
          </cell>
          <cell r="M93" t="str">
            <v/>
          </cell>
          <cell r="P93" t="str">
            <v/>
          </cell>
          <cell r="Q93" t="str">
            <v/>
          </cell>
        </row>
        <row r="94">
          <cell r="H94">
            <v>1.0640000000000001</v>
          </cell>
          <cell r="I94" t="str">
            <v>UWFEE05</v>
          </cell>
          <cell r="J94" t="str">
            <v>Automatic cisterns</v>
          </cell>
          <cell r="M94" t="str">
            <v/>
          </cell>
          <cell r="P94" t="str">
            <v/>
          </cell>
          <cell r="Q94" t="str">
            <v/>
          </cell>
        </row>
        <row r="95">
          <cell r="H95">
            <v>1.0649999999999999</v>
          </cell>
          <cell r="I95" t="str">
            <v>UWFEE07</v>
          </cell>
          <cell r="J95" t="str">
            <v>Cricket Pitch</v>
          </cell>
          <cell r="M95" t="str">
            <v/>
          </cell>
          <cell r="P95" t="str">
            <v/>
          </cell>
          <cell r="Q95" t="str">
            <v/>
          </cell>
        </row>
        <row r="96">
          <cell r="H96">
            <v>1.0660000000000001</v>
          </cell>
          <cell r="I96" t="str">
            <v>UWFEE08</v>
          </cell>
          <cell r="J96" t="str">
            <v>Tennis Court</v>
          </cell>
          <cell r="M96" t="str">
            <v/>
          </cell>
          <cell r="P96" t="str">
            <v/>
          </cell>
          <cell r="Q96" t="str">
            <v/>
          </cell>
        </row>
        <row r="97">
          <cell r="H97">
            <v>1.0669999999999999</v>
          </cell>
          <cell r="I97" t="str">
            <v>UWFEE09</v>
          </cell>
          <cell r="J97" t="str">
            <v>Ornamental Pond/Fountain</v>
          </cell>
          <cell r="M97" t="str">
            <v/>
          </cell>
          <cell r="P97" t="str">
            <v/>
          </cell>
          <cell r="Q97" t="str">
            <v/>
          </cell>
        </row>
        <row r="98">
          <cell r="H98">
            <v>1.0680000000000001</v>
          </cell>
          <cell r="I98" t="str">
            <v>UWFEE11</v>
          </cell>
          <cell r="J98" t="str">
            <v>Hosepipe General</v>
          </cell>
          <cell r="M98" t="str">
            <v/>
          </cell>
          <cell r="P98" t="str">
            <v/>
          </cell>
          <cell r="Q98" t="str">
            <v/>
          </cell>
        </row>
        <row r="99">
          <cell r="H99">
            <v>1.069</v>
          </cell>
          <cell r="I99" t="str">
            <v>UWFEE14</v>
          </cell>
          <cell r="J99" t="str">
            <v>Sprinkler General</v>
          </cell>
          <cell r="M99" t="str">
            <v/>
          </cell>
          <cell r="P99" t="str">
            <v/>
          </cell>
          <cell r="Q99" t="str">
            <v/>
          </cell>
        </row>
        <row r="100">
          <cell r="H100">
            <v>1.07</v>
          </cell>
          <cell r="I100" t="str">
            <v>UWFEE15</v>
          </cell>
          <cell r="J100" t="str">
            <v>Sprinkler Allotment</v>
          </cell>
          <cell r="M100" t="str">
            <v/>
          </cell>
          <cell r="P100" t="str">
            <v/>
          </cell>
          <cell r="Q100" t="str">
            <v/>
          </cell>
        </row>
        <row r="101">
          <cell r="H101">
            <v>1.071</v>
          </cell>
          <cell r="I101" t="str">
            <v>UWFEE16</v>
          </cell>
          <cell r="J101" t="str">
            <v>Hosepipe/Sprinkler</v>
          </cell>
          <cell r="M101" t="str">
            <v/>
          </cell>
          <cell r="P101" t="str">
            <v/>
          </cell>
          <cell r="Q101" t="str">
            <v/>
          </cell>
        </row>
        <row r="102">
          <cell r="H102">
            <v>1.0720000000000001</v>
          </cell>
          <cell r="I102" t="str">
            <v>UWFEE17</v>
          </cell>
          <cell r="J102" t="str">
            <v>Check Meter Charge 1</v>
          </cell>
          <cell r="M102" t="str">
            <v/>
          </cell>
          <cell r="P102" t="str">
            <v/>
          </cell>
          <cell r="Q102" t="str">
            <v/>
          </cell>
        </row>
        <row r="103">
          <cell r="H103">
            <v>1.073</v>
          </cell>
          <cell r="I103" t="str">
            <v>UWFEE18</v>
          </cell>
          <cell r="J103" t="str">
            <v>Check Meter Charge 2</v>
          </cell>
          <cell r="M103" t="str">
            <v/>
          </cell>
          <cell r="P103" t="str">
            <v/>
          </cell>
          <cell r="Q103" t="str">
            <v/>
          </cell>
        </row>
        <row r="104">
          <cell r="H104">
            <v>1.0740000000000001</v>
          </cell>
          <cell r="I104" t="str">
            <v>UWFEE19</v>
          </cell>
          <cell r="J104" t="str">
            <v>Check Meter Charge 3</v>
          </cell>
          <cell r="M104" t="str">
            <v/>
          </cell>
          <cell r="P104" t="str">
            <v/>
          </cell>
          <cell r="Q104" t="str">
            <v/>
          </cell>
        </row>
        <row r="105">
          <cell r="H105">
            <v>1.075</v>
          </cell>
          <cell r="I105" t="str">
            <v>UWFEE20</v>
          </cell>
          <cell r="J105" t="str">
            <v>Check Meter Charge 4</v>
          </cell>
          <cell r="M105" t="str">
            <v/>
          </cell>
          <cell r="P105" t="str">
            <v/>
          </cell>
          <cell r="Q105" t="str">
            <v/>
          </cell>
        </row>
        <row r="106">
          <cell r="H106">
            <v>1.0760000000000001</v>
          </cell>
          <cell r="I106" t="str">
            <v>UWFEE21</v>
          </cell>
          <cell r="J106" t="str">
            <v>Check Meter Charge 5</v>
          </cell>
          <cell r="M106" t="str">
            <v/>
          </cell>
          <cell r="P106" t="str">
            <v/>
          </cell>
          <cell r="Q106" t="str">
            <v/>
          </cell>
        </row>
        <row r="107">
          <cell r="H107">
            <v>1.077</v>
          </cell>
          <cell r="I107" t="str">
            <v>UWFEE22</v>
          </cell>
          <cell r="J107" t="str">
            <v>Water/washdown Points 1</v>
          </cell>
          <cell r="M107" t="str">
            <v/>
          </cell>
          <cell r="P107" t="str">
            <v/>
          </cell>
          <cell r="Q107" t="str">
            <v/>
          </cell>
        </row>
        <row r="108">
          <cell r="H108">
            <v>1.0780000000000001</v>
          </cell>
          <cell r="I108" t="str">
            <v>UWFEE23</v>
          </cell>
          <cell r="J108" t="str">
            <v>Water/washdown Points 2</v>
          </cell>
          <cell r="M108" t="str">
            <v/>
          </cell>
          <cell r="P108" t="str">
            <v/>
          </cell>
          <cell r="Q108" t="str">
            <v/>
          </cell>
        </row>
        <row r="109">
          <cell r="H109">
            <v>1.079</v>
          </cell>
          <cell r="I109" t="str">
            <v>UWFEE24</v>
          </cell>
          <cell r="J109" t="str">
            <v>Water/washdown Points 3</v>
          </cell>
          <cell r="M109" t="str">
            <v/>
          </cell>
          <cell r="P109" t="str">
            <v/>
          </cell>
          <cell r="Q109" t="str">
            <v/>
          </cell>
        </row>
        <row r="110">
          <cell r="H110">
            <v>1.08</v>
          </cell>
          <cell r="I110" t="str">
            <v>UWFEE25</v>
          </cell>
          <cell r="J110" t="str">
            <v>Water/washdown Points 4</v>
          </cell>
          <cell r="M110" t="str">
            <v/>
          </cell>
          <cell r="P110" t="str">
            <v/>
          </cell>
          <cell r="Q110" t="str">
            <v/>
          </cell>
        </row>
        <row r="111">
          <cell r="H111">
            <v>1.081</v>
          </cell>
          <cell r="I111" t="str">
            <v>UWFEE26</v>
          </cell>
          <cell r="J111" t="str">
            <v>Water/washdown Points 5</v>
          </cell>
          <cell r="M111" t="str">
            <v/>
          </cell>
          <cell r="P111" t="str">
            <v/>
          </cell>
          <cell r="Q111" t="str">
            <v/>
          </cell>
        </row>
        <row r="112">
          <cell r="H112">
            <v>1.0820000000000001</v>
          </cell>
          <cell r="I112" t="str">
            <v>UWFEE27</v>
          </cell>
          <cell r="J112" t="str">
            <v>Water/washdown Points 6</v>
          </cell>
          <cell r="M112" t="str">
            <v/>
          </cell>
          <cell r="P112" t="str">
            <v/>
          </cell>
          <cell r="Q112" t="str">
            <v/>
          </cell>
        </row>
        <row r="113">
          <cell r="H113">
            <v>1.083</v>
          </cell>
          <cell r="I113" t="str">
            <v>UWFEE28</v>
          </cell>
          <cell r="J113" t="str">
            <v>Water/washdown Points 7</v>
          </cell>
          <cell r="M113" t="str">
            <v/>
          </cell>
          <cell r="P113" t="str">
            <v/>
          </cell>
          <cell r="Q113" t="str">
            <v/>
          </cell>
        </row>
        <row r="114">
          <cell r="H114">
            <v>1.0840000000000001</v>
          </cell>
          <cell r="I114" t="str">
            <v>UWFEE29</v>
          </cell>
          <cell r="J114" t="str">
            <v>Water/washdown Points 8</v>
          </cell>
          <cell r="M114" t="str">
            <v/>
          </cell>
          <cell r="P114" t="str">
            <v/>
          </cell>
          <cell r="Q114" t="str">
            <v/>
          </cell>
        </row>
        <row r="115">
          <cell r="H115">
            <v>1.085</v>
          </cell>
          <cell r="I115" t="str">
            <v>UWFEE30</v>
          </cell>
          <cell r="J115" t="str">
            <v>Allotment Tanks 1</v>
          </cell>
          <cell r="M115" t="str">
            <v/>
          </cell>
          <cell r="P115" t="str">
            <v/>
          </cell>
          <cell r="Q115" t="str">
            <v/>
          </cell>
        </row>
        <row r="116">
          <cell r="H116">
            <v>1.0860000000000001</v>
          </cell>
          <cell r="I116" t="str">
            <v>UWFEE31</v>
          </cell>
          <cell r="J116" t="str">
            <v>Allotment Tanks 2</v>
          </cell>
          <cell r="M116" t="str">
            <v/>
          </cell>
          <cell r="P116" t="str">
            <v/>
          </cell>
          <cell r="Q116" t="str">
            <v/>
          </cell>
        </row>
        <row r="117">
          <cell r="H117">
            <v>1.087</v>
          </cell>
          <cell r="I117" t="str">
            <v>UWFEE32</v>
          </cell>
          <cell r="J117" t="str">
            <v>Allotment Tanks 3</v>
          </cell>
          <cell r="M117" t="str">
            <v/>
          </cell>
          <cell r="P117" t="str">
            <v/>
          </cell>
          <cell r="Q117" t="str">
            <v/>
          </cell>
        </row>
        <row r="118">
          <cell r="H118">
            <v>1.0880000000000001</v>
          </cell>
          <cell r="I118" t="str">
            <v>UWFEE33</v>
          </cell>
          <cell r="J118" t="str">
            <v>Allotment Tanks 4</v>
          </cell>
          <cell r="M118" t="str">
            <v/>
          </cell>
          <cell r="P118" t="str">
            <v/>
          </cell>
          <cell r="Q118" t="str">
            <v/>
          </cell>
        </row>
        <row r="119">
          <cell r="H119">
            <v>1.089</v>
          </cell>
          <cell r="I119" t="str">
            <v>UWFEE34</v>
          </cell>
          <cell r="J119" t="str">
            <v>Allotment Tanks 5</v>
          </cell>
          <cell r="M119" t="str">
            <v/>
          </cell>
          <cell r="P119" t="str">
            <v/>
          </cell>
          <cell r="Q119" t="str">
            <v/>
          </cell>
        </row>
        <row r="120">
          <cell r="H120">
            <v>1.0900000000000001</v>
          </cell>
          <cell r="I120" t="str">
            <v>UWFEE35</v>
          </cell>
          <cell r="J120" t="str">
            <v>Allotment Tanks 6</v>
          </cell>
          <cell r="M120" t="str">
            <v/>
          </cell>
          <cell r="P120" t="str">
            <v/>
          </cell>
          <cell r="Q120" t="str">
            <v/>
          </cell>
        </row>
        <row r="121">
          <cell r="H121">
            <v>1.091</v>
          </cell>
          <cell r="I121" t="str">
            <v>UWFEE36</v>
          </cell>
          <cell r="J121" t="str">
            <v>Allotment Tanks 7</v>
          </cell>
          <cell r="M121" t="str">
            <v/>
          </cell>
          <cell r="P121" t="str">
            <v/>
          </cell>
          <cell r="Q121" t="str">
            <v/>
          </cell>
        </row>
        <row r="122">
          <cell r="H122">
            <v>1.0920000000000001</v>
          </cell>
          <cell r="I122" t="str">
            <v>UWFEE38</v>
          </cell>
          <cell r="J122" t="str">
            <v>Meter minimum equivalent</v>
          </cell>
          <cell r="M122" t="str">
            <v/>
          </cell>
          <cell r="P122" t="str">
            <v/>
          </cell>
          <cell r="Q122" t="str">
            <v/>
          </cell>
        </row>
        <row r="124">
          <cell r="D124">
            <v>1.093</v>
          </cell>
          <cell r="E124" t="str">
            <v>Swimming Pool Charges</v>
          </cell>
        </row>
        <row r="126">
          <cell r="F126" t="str">
            <v>GENERAL</v>
          </cell>
        </row>
        <row r="127">
          <cell r="H127">
            <v>1.0940000000000001</v>
          </cell>
          <cell r="I127" t="str">
            <v>UWSWIM01</v>
          </cell>
          <cell r="J127" t="str">
            <v>General general</v>
          </cell>
          <cell r="M127" t="str">
            <v/>
          </cell>
          <cell r="P127" t="str">
            <v/>
          </cell>
          <cell r="Q127" t="str">
            <v/>
          </cell>
        </row>
        <row r="128">
          <cell r="H128">
            <v>1.095</v>
          </cell>
          <cell r="I128" t="str">
            <v>UWSWIM02</v>
          </cell>
          <cell r="J128" t="str">
            <v>General &lt; 25 m3</v>
          </cell>
          <cell r="M128" t="str">
            <v/>
          </cell>
          <cell r="P128" t="str">
            <v/>
          </cell>
          <cell r="Q128" t="str">
            <v/>
          </cell>
        </row>
        <row r="129">
          <cell r="H129">
            <v>1.0960000000000001</v>
          </cell>
          <cell r="I129" t="str">
            <v>UWSWIM03</v>
          </cell>
          <cell r="J129" t="str">
            <v>General 25 - 50 m3</v>
          </cell>
          <cell r="M129" t="str">
            <v/>
          </cell>
          <cell r="P129" t="str">
            <v/>
          </cell>
          <cell r="Q129" t="str">
            <v/>
          </cell>
        </row>
        <row r="130">
          <cell r="H130">
            <v>1.097</v>
          </cell>
          <cell r="I130" t="str">
            <v>UWSWIM04</v>
          </cell>
          <cell r="J130" t="str">
            <v>General 50 - 75 m3</v>
          </cell>
          <cell r="M130" t="str">
            <v/>
          </cell>
          <cell r="P130" t="str">
            <v/>
          </cell>
          <cell r="Q130" t="str">
            <v/>
          </cell>
        </row>
        <row r="131">
          <cell r="H131">
            <v>1.0980000000000001</v>
          </cell>
          <cell r="I131" t="str">
            <v>UWSWIM05</v>
          </cell>
          <cell r="J131" t="str">
            <v>General 75 - 100 m3</v>
          </cell>
          <cell r="M131" t="str">
            <v/>
          </cell>
          <cell r="P131" t="str">
            <v/>
          </cell>
          <cell r="Q131" t="str">
            <v/>
          </cell>
        </row>
        <row r="132">
          <cell r="H132">
            <v>1.099</v>
          </cell>
          <cell r="I132" t="str">
            <v>UWSWIM06</v>
          </cell>
          <cell r="J132" t="str">
            <v>General 100 - 150 m3</v>
          </cell>
          <cell r="M132" t="str">
            <v/>
          </cell>
          <cell r="P132" t="str">
            <v/>
          </cell>
          <cell r="Q132" t="str">
            <v/>
          </cell>
        </row>
        <row r="133">
          <cell r="H133">
            <v>1.1000000000000001</v>
          </cell>
          <cell r="I133" t="str">
            <v>UWSWIM06A</v>
          </cell>
          <cell r="J133" t="str">
            <v>General 20 - 75 m3</v>
          </cell>
          <cell r="M133" t="str">
            <v/>
          </cell>
          <cell r="P133" t="str">
            <v/>
          </cell>
          <cell r="Q133" t="str">
            <v/>
          </cell>
        </row>
        <row r="134">
          <cell r="H134">
            <v>1.101</v>
          </cell>
          <cell r="I134" t="str">
            <v>UWSWIM06B</v>
          </cell>
          <cell r="J134" t="str">
            <v>General 100 - 125 m3</v>
          </cell>
          <cell r="M134" t="str">
            <v/>
          </cell>
          <cell r="P134" t="str">
            <v/>
          </cell>
          <cell r="Q134" t="str">
            <v/>
          </cell>
        </row>
        <row r="136">
          <cell r="F136" t="str">
            <v>CIRCULATING</v>
          </cell>
        </row>
        <row r="137">
          <cell r="H137">
            <v>1.1020000000000001</v>
          </cell>
          <cell r="I137" t="str">
            <v>UWSWIM07</v>
          </cell>
          <cell r="J137" t="str">
            <v>Circulating General</v>
          </cell>
          <cell r="M137" t="str">
            <v/>
          </cell>
          <cell r="P137" t="str">
            <v/>
          </cell>
          <cell r="Q137" t="str">
            <v/>
          </cell>
        </row>
        <row r="138">
          <cell r="H138">
            <v>1.103</v>
          </cell>
          <cell r="I138" t="str">
            <v>UWSWIM08</v>
          </cell>
          <cell r="J138" t="str">
            <v>Circulating &lt; 9 m3</v>
          </cell>
          <cell r="M138" t="str">
            <v/>
          </cell>
          <cell r="P138" t="str">
            <v/>
          </cell>
          <cell r="Q138" t="str">
            <v/>
          </cell>
        </row>
        <row r="139">
          <cell r="H139">
            <v>1.1040000000000001</v>
          </cell>
          <cell r="I139" t="str">
            <v>UWSWIM09</v>
          </cell>
          <cell r="J139" t="str">
            <v>Circulating 9 - 27 m3</v>
          </cell>
          <cell r="M139" t="str">
            <v/>
          </cell>
          <cell r="P139" t="str">
            <v/>
          </cell>
          <cell r="Q139" t="str">
            <v/>
          </cell>
        </row>
        <row r="140">
          <cell r="H140">
            <v>1.105</v>
          </cell>
          <cell r="I140" t="str">
            <v>UWSWIM10</v>
          </cell>
          <cell r="J140" t="str">
            <v>Circulating 27 - 45 m3</v>
          </cell>
          <cell r="M140" t="str">
            <v/>
          </cell>
          <cell r="P140" t="str">
            <v/>
          </cell>
          <cell r="Q140" t="str">
            <v/>
          </cell>
        </row>
        <row r="141">
          <cell r="H141">
            <v>1.1060000000000001</v>
          </cell>
          <cell r="I141" t="str">
            <v>UWSWIM11</v>
          </cell>
          <cell r="J141" t="str">
            <v>Circulating 9 - 45 m3</v>
          </cell>
          <cell r="M141" t="str">
            <v/>
          </cell>
          <cell r="P141" t="str">
            <v/>
          </cell>
          <cell r="Q141" t="str">
            <v/>
          </cell>
        </row>
        <row r="142">
          <cell r="H142">
            <v>1.107</v>
          </cell>
          <cell r="I142" t="str">
            <v>UWSWIM12</v>
          </cell>
          <cell r="J142" t="str">
            <v>Circulating &gt; 45 m3</v>
          </cell>
          <cell r="M142" t="str">
            <v/>
          </cell>
          <cell r="P142" t="str">
            <v/>
          </cell>
          <cell r="Q142" t="str">
            <v/>
          </cell>
        </row>
        <row r="143">
          <cell r="H143">
            <v>1.1080000000000001</v>
          </cell>
          <cell r="I143" t="str">
            <v>UWSWIM13</v>
          </cell>
          <cell r="J143" t="str">
            <v>Circulating 45 - 91 m3</v>
          </cell>
          <cell r="M143" t="str">
            <v/>
          </cell>
          <cell r="P143" t="str">
            <v/>
          </cell>
          <cell r="Q143" t="str">
            <v/>
          </cell>
        </row>
        <row r="144">
          <cell r="H144">
            <v>1.109</v>
          </cell>
          <cell r="I144" t="str">
            <v>UWSWIM14</v>
          </cell>
          <cell r="J144" t="str">
            <v>Circulating &lt; = 10 m3</v>
          </cell>
          <cell r="M144" t="str">
            <v/>
          </cell>
          <cell r="P144" t="str">
            <v/>
          </cell>
          <cell r="Q144" t="str">
            <v/>
          </cell>
        </row>
        <row r="145">
          <cell r="H145">
            <v>1.1100000000000001</v>
          </cell>
          <cell r="I145" t="str">
            <v>UWSWIM15</v>
          </cell>
          <cell r="J145" t="str">
            <v>Circulating &gt; 10 m3</v>
          </cell>
          <cell r="M145" t="str">
            <v/>
          </cell>
          <cell r="P145" t="str">
            <v/>
          </cell>
          <cell r="Q145" t="str">
            <v/>
          </cell>
        </row>
        <row r="146">
          <cell r="H146">
            <v>1.111</v>
          </cell>
          <cell r="I146" t="str">
            <v>UWSWIM17</v>
          </cell>
          <cell r="J146" t="str">
            <v>Circulating 20 - 90 m3</v>
          </cell>
          <cell r="M146" t="str">
            <v/>
          </cell>
          <cell r="P146" t="str">
            <v/>
          </cell>
          <cell r="Q146" t="str">
            <v/>
          </cell>
        </row>
        <row r="147">
          <cell r="H147">
            <v>1.1120000000000001</v>
          </cell>
          <cell r="I147" t="str">
            <v>UWSWIM18</v>
          </cell>
          <cell r="J147" t="str">
            <v>Circulating &gt; 90 m3</v>
          </cell>
          <cell r="M147" t="str">
            <v/>
          </cell>
          <cell r="P147" t="str">
            <v/>
          </cell>
          <cell r="Q147" t="str">
            <v/>
          </cell>
        </row>
        <row r="148">
          <cell r="H148">
            <v>1.113</v>
          </cell>
          <cell r="I148" t="str">
            <v>UWSWIM19</v>
          </cell>
          <cell r="J148" t="str">
            <v>Circulating &lt; 23 m3</v>
          </cell>
          <cell r="M148" t="str">
            <v/>
          </cell>
          <cell r="P148" t="str">
            <v/>
          </cell>
          <cell r="Q148" t="str">
            <v/>
          </cell>
        </row>
        <row r="149">
          <cell r="H149">
            <v>1.1140000000000001</v>
          </cell>
          <cell r="I149" t="str">
            <v>UWSWIM20</v>
          </cell>
          <cell r="J149" t="str">
            <v>Circulating &gt; 23 m3</v>
          </cell>
          <cell r="M149" t="str">
            <v/>
          </cell>
          <cell r="P149" t="str">
            <v/>
          </cell>
          <cell r="Q149" t="str">
            <v/>
          </cell>
        </row>
        <row r="150">
          <cell r="H150">
            <v>1.115</v>
          </cell>
          <cell r="I150" t="str">
            <v>UWSWIM21</v>
          </cell>
          <cell r="J150" t="str">
            <v>Circulating &lt; = 25 m3</v>
          </cell>
          <cell r="M150" t="str">
            <v/>
          </cell>
          <cell r="P150" t="str">
            <v/>
          </cell>
          <cell r="Q150" t="str">
            <v/>
          </cell>
        </row>
        <row r="151">
          <cell r="H151">
            <v>1.1160000000000001</v>
          </cell>
          <cell r="I151" t="str">
            <v>UWSWIM22</v>
          </cell>
          <cell r="J151" t="str">
            <v>Circulating &gt; 25 m3</v>
          </cell>
          <cell r="M151" t="str">
            <v/>
          </cell>
          <cell r="P151" t="str">
            <v/>
          </cell>
          <cell r="Q151" t="str">
            <v/>
          </cell>
        </row>
        <row r="152">
          <cell r="H152">
            <v>1.117</v>
          </cell>
          <cell r="I152" t="str">
            <v>UWSWIM23</v>
          </cell>
          <cell r="J152" t="str">
            <v>Circulating &lt; = 36 m3</v>
          </cell>
          <cell r="M152" t="str">
            <v/>
          </cell>
          <cell r="P152" t="str">
            <v/>
          </cell>
          <cell r="Q152" t="str">
            <v/>
          </cell>
        </row>
        <row r="153">
          <cell r="H153">
            <v>1.1180000000000001</v>
          </cell>
          <cell r="I153" t="str">
            <v>UWSWIM24</v>
          </cell>
          <cell r="J153" t="str">
            <v>Circulating 36 - 73 m3</v>
          </cell>
          <cell r="M153" t="str">
            <v/>
          </cell>
          <cell r="P153" t="str">
            <v/>
          </cell>
          <cell r="Q153" t="str">
            <v/>
          </cell>
        </row>
        <row r="154">
          <cell r="H154">
            <v>1.119</v>
          </cell>
          <cell r="I154" t="str">
            <v>UWSWIM25</v>
          </cell>
          <cell r="J154" t="str">
            <v>Circulating &gt; 73 m3</v>
          </cell>
          <cell r="M154" t="str">
            <v/>
          </cell>
          <cell r="P154" t="str">
            <v/>
          </cell>
          <cell r="Q154" t="str">
            <v/>
          </cell>
        </row>
        <row r="155">
          <cell r="H155">
            <v>1.1200000000000001</v>
          </cell>
          <cell r="I155" t="str">
            <v>UWSWIM25A</v>
          </cell>
          <cell r="J155" t="str">
            <v>Circulating &lt; = 70 m3</v>
          </cell>
          <cell r="M155" t="str">
            <v/>
          </cell>
          <cell r="P155" t="str">
            <v/>
          </cell>
          <cell r="Q155" t="str">
            <v/>
          </cell>
        </row>
        <row r="156">
          <cell r="H156">
            <v>1.121</v>
          </cell>
          <cell r="I156" t="str">
            <v>UWSWIM25B</v>
          </cell>
          <cell r="J156" t="str">
            <v>Circulating 71 - 90 m3</v>
          </cell>
          <cell r="M156" t="str">
            <v/>
          </cell>
          <cell r="P156" t="str">
            <v/>
          </cell>
          <cell r="Q156" t="str">
            <v/>
          </cell>
        </row>
        <row r="157">
          <cell r="H157">
            <v>1.1220000000000001</v>
          </cell>
          <cell r="I157" t="str">
            <v>UWSWIM25C</v>
          </cell>
          <cell r="J157" t="str">
            <v>Circulating &gt; 90 m3</v>
          </cell>
          <cell r="M157" t="str">
            <v/>
          </cell>
          <cell r="P157" t="str">
            <v/>
          </cell>
          <cell r="Q157" t="str">
            <v/>
          </cell>
        </row>
        <row r="159">
          <cell r="F159" t="str">
            <v>NON-CIRCULATING</v>
          </cell>
        </row>
        <row r="160">
          <cell r="H160">
            <v>1.123</v>
          </cell>
          <cell r="I160" t="str">
            <v>UWSWIM26</v>
          </cell>
          <cell r="J160" t="str">
            <v>Non-circulating General</v>
          </cell>
          <cell r="M160" t="str">
            <v/>
          </cell>
          <cell r="P160" t="str">
            <v/>
          </cell>
          <cell r="Q160" t="str">
            <v/>
          </cell>
        </row>
        <row r="161">
          <cell r="H161">
            <v>1.1240000000000001</v>
          </cell>
          <cell r="I161" t="str">
            <v>UWSWIM27</v>
          </cell>
          <cell r="J161" t="str">
            <v>Non-circulating &lt; 9 m3</v>
          </cell>
          <cell r="M161" t="str">
            <v/>
          </cell>
          <cell r="P161" t="str">
            <v/>
          </cell>
          <cell r="Q161" t="str">
            <v/>
          </cell>
        </row>
        <row r="162">
          <cell r="H162">
            <v>1.125</v>
          </cell>
          <cell r="I162" t="str">
            <v>UWSWIM28</v>
          </cell>
          <cell r="J162" t="str">
            <v>Non-circulating 9 - 27 m3</v>
          </cell>
          <cell r="M162" t="str">
            <v/>
          </cell>
          <cell r="P162" t="str">
            <v/>
          </cell>
          <cell r="Q162" t="str">
            <v/>
          </cell>
        </row>
        <row r="163">
          <cell r="H163">
            <v>1.1259999999999999</v>
          </cell>
          <cell r="I163" t="str">
            <v>UWSWIM29</v>
          </cell>
          <cell r="J163" t="str">
            <v>Non-circulating 27 - 45 m3</v>
          </cell>
          <cell r="M163" t="str">
            <v/>
          </cell>
          <cell r="P163" t="str">
            <v/>
          </cell>
          <cell r="Q163" t="str">
            <v/>
          </cell>
        </row>
        <row r="164">
          <cell r="H164">
            <v>1.127</v>
          </cell>
          <cell r="I164" t="str">
            <v>UWSWIM30</v>
          </cell>
          <cell r="J164" t="str">
            <v>Non-circulating 9 - 45 m3</v>
          </cell>
          <cell r="M164" t="str">
            <v/>
          </cell>
          <cell r="P164" t="str">
            <v/>
          </cell>
          <cell r="Q164" t="str">
            <v/>
          </cell>
        </row>
        <row r="165">
          <cell r="H165">
            <v>1.1279999999999999</v>
          </cell>
          <cell r="I165" t="str">
            <v>UWSWIM31</v>
          </cell>
          <cell r="J165" t="str">
            <v>Non-circulating &gt; 45 m3</v>
          </cell>
          <cell r="M165" t="str">
            <v/>
          </cell>
          <cell r="P165" t="str">
            <v/>
          </cell>
          <cell r="Q165" t="str">
            <v/>
          </cell>
        </row>
        <row r="166">
          <cell r="H166">
            <v>1.129</v>
          </cell>
          <cell r="I166" t="str">
            <v>UWSWIM32</v>
          </cell>
          <cell r="J166" t="str">
            <v>Non-circulating 45 - 91 m3</v>
          </cell>
          <cell r="M166" t="str">
            <v/>
          </cell>
          <cell r="P166" t="str">
            <v/>
          </cell>
          <cell r="Q166" t="str">
            <v/>
          </cell>
        </row>
        <row r="167">
          <cell r="H167">
            <v>1.1299999999999999</v>
          </cell>
          <cell r="I167" t="str">
            <v>UWSWIM33</v>
          </cell>
          <cell r="J167" t="str">
            <v>Non-circulating &lt; = 10 m3</v>
          </cell>
          <cell r="M167" t="str">
            <v/>
          </cell>
          <cell r="P167" t="str">
            <v/>
          </cell>
          <cell r="Q167" t="str">
            <v/>
          </cell>
        </row>
        <row r="168">
          <cell r="H168">
            <v>1.131</v>
          </cell>
          <cell r="I168" t="str">
            <v>UWSWIM34</v>
          </cell>
          <cell r="J168" t="str">
            <v>Non-circulating &gt; 10 m3</v>
          </cell>
          <cell r="M168" t="str">
            <v/>
          </cell>
          <cell r="P168" t="str">
            <v/>
          </cell>
          <cell r="Q168" t="str">
            <v/>
          </cell>
        </row>
        <row r="169">
          <cell r="H169">
            <v>1.1319999999999999</v>
          </cell>
          <cell r="I169" t="str">
            <v>UWSWIM35</v>
          </cell>
          <cell r="J169" t="str">
            <v>Non-circulating &lt; 20 m3</v>
          </cell>
          <cell r="M169" t="str">
            <v/>
          </cell>
          <cell r="P169" t="str">
            <v/>
          </cell>
          <cell r="Q169" t="str">
            <v/>
          </cell>
        </row>
        <row r="170">
          <cell r="H170">
            <v>1.133</v>
          </cell>
          <cell r="I170" t="str">
            <v>UWSWIM36</v>
          </cell>
          <cell r="J170" t="str">
            <v>Non-circulating 20 - 90 m3</v>
          </cell>
          <cell r="M170" t="str">
            <v/>
          </cell>
          <cell r="P170" t="str">
            <v/>
          </cell>
          <cell r="Q170" t="str">
            <v/>
          </cell>
        </row>
        <row r="171">
          <cell r="H171">
            <v>1.1339999999999999</v>
          </cell>
          <cell r="I171" t="str">
            <v>UWSWIM37</v>
          </cell>
          <cell r="J171" t="str">
            <v>Non-circulating &gt; 90 m3</v>
          </cell>
          <cell r="M171" t="str">
            <v/>
          </cell>
          <cell r="P171" t="str">
            <v/>
          </cell>
          <cell r="Q171" t="str">
            <v/>
          </cell>
        </row>
        <row r="172">
          <cell r="H172">
            <v>1.135</v>
          </cell>
          <cell r="I172" t="str">
            <v>UWSWIM38</v>
          </cell>
          <cell r="J172" t="str">
            <v>Non-circulating &lt; 23 m3</v>
          </cell>
          <cell r="M172" t="str">
            <v/>
          </cell>
          <cell r="P172" t="str">
            <v/>
          </cell>
          <cell r="Q172" t="str">
            <v/>
          </cell>
        </row>
        <row r="173">
          <cell r="H173">
            <v>1.1359999999999999</v>
          </cell>
          <cell r="I173" t="str">
            <v>UWSWIM39</v>
          </cell>
          <cell r="J173" t="str">
            <v>Non-circulating &gt; 23 m3</v>
          </cell>
          <cell r="M173" t="str">
            <v/>
          </cell>
          <cell r="P173" t="str">
            <v/>
          </cell>
          <cell r="Q173" t="str">
            <v/>
          </cell>
        </row>
        <row r="174">
          <cell r="H174">
            <v>1.137</v>
          </cell>
          <cell r="I174" t="str">
            <v>UWSWIM40</v>
          </cell>
          <cell r="J174" t="str">
            <v>Non-circulating &lt; = 25 m3</v>
          </cell>
          <cell r="M174" t="str">
            <v/>
          </cell>
          <cell r="P174" t="str">
            <v/>
          </cell>
          <cell r="Q174" t="str">
            <v/>
          </cell>
        </row>
        <row r="175">
          <cell r="H175">
            <v>1.1379999999999999</v>
          </cell>
          <cell r="I175" t="str">
            <v>UWSWIM41</v>
          </cell>
          <cell r="J175" t="str">
            <v>Non-circulating &gt; 25 m3</v>
          </cell>
          <cell r="M175" t="str">
            <v/>
          </cell>
          <cell r="P175" t="str">
            <v/>
          </cell>
          <cell r="Q175" t="str">
            <v/>
          </cell>
        </row>
        <row r="176">
          <cell r="H176">
            <v>1.139</v>
          </cell>
          <cell r="I176" t="str">
            <v>UWSWIM42</v>
          </cell>
          <cell r="J176" t="str">
            <v>Non-circulating &lt; = 36 m3</v>
          </cell>
          <cell r="M176" t="str">
            <v/>
          </cell>
          <cell r="P176" t="str">
            <v/>
          </cell>
          <cell r="Q176" t="str">
            <v/>
          </cell>
        </row>
        <row r="177">
          <cell r="H177">
            <v>1.1399999999999999</v>
          </cell>
          <cell r="I177" t="str">
            <v>UWSWIM43</v>
          </cell>
          <cell r="J177" t="str">
            <v>Non-circulating 36 - 73 m3</v>
          </cell>
          <cell r="M177" t="str">
            <v/>
          </cell>
          <cell r="P177" t="str">
            <v/>
          </cell>
          <cell r="Q177" t="str">
            <v/>
          </cell>
        </row>
        <row r="178">
          <cell r="H178">
            <v>1.141</v>
          </cell>
          <cell r="I178" t="str">
            <v>UWSWIM44</v>
          </cell>
          <cell r="J178" t="str">
            <v>Non-circulating &gt; 73 m3</v>
          </cell>
          <cell r="M178" t="str">
            <v/>
          </cell>
          <cell r="P178" t="str">
            <v/>
          </cell>
          <cell r="Q178" t="str">
            <v/>
          </cell>
        </row>
        <row r="179">
          <cell r="H179">
            <v>1.1419999999999999</v>
          </cell>
          <cell r="I179" t="str">
            <v>UWSWIM45</v>
          </cell>
          <cell r="J179" t="str">
            <v>Non-circulating &lt; = 70 m3</v>
          </cell>
          <cell r="M179" t="str">
            <v/>
          </cell>
          <cell r="P179" t="str">
            <v/>
          </cell>
          <cell r="Q179" t="str">
            <v/>
          </cell>
        </row>
        <row r="180">
          <cell r="H180">
            <v>1.143</v>
          </cell>
          <cell r="I180" t="str">
            <v>UWSWIM46</v>
          </cell>
          <cell r="J180" t="str">
            <v>Non-circulating 71 - 90 m3</v>
          </cell>
          <cell r="M180" t="str">
            <v/>
          </cell>
          <cell r="P180" t="str">
            <v/>
          </cell>
          <cell r="Q180" t="str">
            <v/>
          </cell>
        </row>
        <row r="181">
          <cell r="H181">
            <v>1.1439999999999999</v>
          </cell>
          <cell r="I181" t="str">
            <v>UWSWIM47</v>
          </cell>
          <cell r="J181" t="str">
            <v>Non-circulating &gt; 90 m3</v>
          </cell>
          <cell r="M181" t="str">
            <v/>
          </cell>
          <cell r="P181" t="str">
            <v/>
          </cell>
          <cell r="Q181" t="str">
            <v/>
          </cell>
        </row>
        <row r="184">
          <cell r="D184">
            <v>1.145</v>
          </cell>
          <cell r="E184" t="str">
            <v>Assessed Volumetric Standing Charge</v>
          </cell>
        </row>
        <row r="186">
          <cell r="F186" t="str">
            <v>STANDING CHARGES</v>
          </cell>
        </row>
        <row r="187">
          <cell r="H187">
            <v>1.1459999999999999</v>
          </cell>
          <cell r="I187" t="str">
            <v>UWASSC01</v>
          </cell>
          <cell r="J187" t="str">
            <v>Assessed - General</v>
          </cell>
          <cell r="M187" t="str">
            <v/>
          </cell>
          <cell r="P187" t="str">
            <v/>
          </cell>
          <cell r="Q187" t="str">
            <v/>
          </cell>
        </row>
        <row r="188">
          <cell r="H188">
            <v>1.147</v>
          </cell>
          <cell r="I188" t="str">
            <v>UWASSC01A</v>
          </cell>
          <cell r="J188" t="str">
            <v>Assessed - Household</v>
          </cell>
          <cell r="M188" t="str">
            <v/>
          </cell>
          <cell r="P188" t="str">
            <v/>
          </cell>
          <cell r="Q188" t="str">
            <v/>
          </cell>
        </row>
        <row r="189">
          <cell r="H189">
            <v>1.1479999999999999</v>
          </cell>
          <cell r="I189" t="str">
            <v>UWASSC01B</v>
          </cell>
          <cell r="J189" t="str">
            <v>Assessed - Non-household</v>
          </cell>
          <cell r="M189" t="str">
            <v/>
          </cell>
          <cell r="P189" t="str">
            <v/>
          </cell>
          <cell r="Q189" t="str">
            <v/>
          </cell>
        </row>
        <row r="190">
          <cell r="H190">
            <v>1.149</v>
          </cell>
          <cell r="I190" t="str">
            <v>UWASSC02</v>
          </cell>
          <cell r="J190" t="str">
            <v>Assessed &lt;=12/15 mm (&lt;=0.5")</v>
          </cell>
          <cell r="M190" t="str">
            <v/>
          </cell>
          <cell r="P190" t="str">
            <v/>
          </cell>
          <cell r="Q190" t="str">
            <v/>
          </cell>
        </row>
        <row r="191">
          <cell r="H191">
            <v>1.1499999999999999</v>
          </cell>
          <cell r="I191" t="str">
            <v>UWASSC03</v>
          </cell>
          <cell r="J191" t="str">
            <v>Assessed &gt; 12/15 mm (&gt;0.5")</v>
          </cell>
          <cell r="M191" t="str">
            <v/>
          </cell>
          <cell r="P191" t="str">
            <v/>
          </cell>
          <cell r="Q191" t="str">
            <v/>
          </cell>
        </row>
        <row r="192">
          <cell r="H192">
            <v>1.151</v>
          </cell>
          <cell r="I192" t="str">
            <v>UWASSC04</v>
          </cell>
          <cell r="J192" t="str">
            <v>Assessed 20/22 mm (0.75")</v>
          </cell>
          <cell r="M192" t="str">
            <v/>
          </cell>
          <cell r="P192" t="str">
            <v/>
          </cell>
          <cell r="Q192" t="str">
            <v/>
          </cell>
        </row>
        <row r="193">
          <cell r="H193">
            <v>1.1519999999999999</v>
          </cell>
          <cell r="I193" t="str">
            <v>UWASSC05</v>
          </cell>
          <cell r="J193" t="str">
            <v>Assessed 25/28 mm (1")</v>
          </cell>
          <cell r="M193" t="str">
            <v/>
          </cell>
          <cell r="P193" t="str">
            <v/>
          </cell>
          <cell r="Q193" t="str">
            <v/>
          </cell>
        </row>
        <row r="194">
          <cell r="H194">
            <v>1.153</v>
          </cell>
          <cell r="I194" t="str">
            <v>UWASSC05A</v>
          </cell>
          <cell r="J194" t="str">
            <v>Assessed 30/32/35mm (1.25")</v>
          </cell>
          <cell r="M194" t="str">
            <v/>
          </cell>
          <cell r="P194" t="str">
            <v/>
          </cell>
          <cell r="Q194" t="str">
            <v/>
          </cell>
        </row>
        <row r="195">
          <cell r="H195">
            <v>1.1539999999999999</v>
          </cell>
          <cell r="I195" t="str">
            <v>UWASSC06</v>
          </cell>
          <cell r="J195" t="str">
            <v>Assessed 40/42 mm (1.5")</v>
          </cell>
          <cell r="M195" t="str">
            <v/>
          </cell>
          <cell r="P195" t="str">
            <v/>
          </cell>
          <cell r="Q195" t="str">
            <v/>
          </cell>
        </row>
        <row r="196">
          <cell r="H196">
            <v>1.155</v>
          </cell>
          <cell r="I196" t="str">
            <v>UWASSC07</v>
          </cell>
          <cell r="J196" t="str">
            <v>Assessed 50/54mm  (2")</v>
          </cell>
          <cell r="M196" t="str">
            <v/>
          </cell>
          <cell r="P196" t="str">
            <v/>
          </cell>
          <cell r="Q196" t="str">
            <v/>
          </cell>
        </row>
        <row r="197">
          <cell r="H197">
            <v>1.1559999999999999</v>
          </cell>
          <cell r="I197" t="str">
            <v>UWASSC08</v>
          </cell>
          <cell r="J197" t="str">
            <v>Assessed 65mm  (2.5")</v>
          </cell>
          <cell r="M197" t="str">
            <v/>
          </cell>
          <cell r="P197" t="str">
            <v/>
          </cell>
          <cell r="Q197" t="str">
            <v/>
          </cell>
        </row>
        <row r="198">
          <cell r="H198">
            <v>1.157</v>
          </cell>
          <cell r="I198" t="str">
            <v>UWASSC09</v>
          </cell>
          <cell r="J198" t="str">
            <v>Assessed 75/80mm  (3")</v>
          </cell>
          <cell r="M198" t="str">
            <v/>
          </cell>
          <cell r="P198" t="str">
            <v/>
          </cell>
          <cell r="Q198" t="str">
            <v/>
          </cell>
        </row>
        <row r="199">
          <cell r="H199">
            <v>1.1579999999999999</v>
          </cell>
          <cell r="I199" t="str">
            <v>UWASSC10</v>
          </cell>
          <cell r="J199" t="str">
            <v>Assessed 100mm  (4")</v>
          </cell>
          <cell r="M199" t="str">
            <v/>
          </cell>
          <cell r="P199" t="str">
            <v/>
          </cell>
          <cell r="Q199" t="str">
            <v/>
          </cell>
        </row>
        <row r="202">
          <cell r="D202">
            <v>1.159</v>
          </cell>
          <cell r="E202" t="str">
            <v>Assessed Volumetric Charge</v>
          </cell>
        </row>
        <row r="204">
          <cell r="F204" t="str">
            <v>VOLUMETRIC CHARGES</v>
          </cell>
        </row>
        <row r="205">
          <cell r="H205">
            <v>1.1599999999999999</v>
          </cell>
          <cell r="I205" t="str">
            <v>UWASVOL01</v>
          </cell>
          <cell r="J205" t="str">
            <v>Assessed - general</v>
          </cell>
          <cell r="M205" t="str">
            <v/>
          </cell>
          <cell r="P205" t="str">
            <v/>
          </cell>
          <cell r="Q205" t="str">
            <v/>
          </cell>
        </row>
        <row r="206">
          <cell r="H206">
            <v>1.161</v>
          </cell>
          <cell r="I206" t="str">
            <v>UWASVOL02</v>
          </cell>
          <cell r="J206" t="str">
            <v>Assessed - household</v>
          </cell>
          <cell r="M206" t="str">
            <v/>
          </cell>
          <cell r="P206" t="str">
            <v/>
          </cell>
          <cell r="Q206" t="str">
            <v/>
          </cell>
        </row>
        <row r="207">
          <cell r="H207">
            <v>1.1619999999999999</v>
          </cell>
          <cell r="I207" t="str">
            <v>UWASVOL03</v>
          </cell>
          <cell r="J207" t="str">
            <v>Assessed - non-household</v>
          </cell>
          <cell r="M207" t="str">
            <v/>
          </cell>
          <cell r="P207" t="str">
            <v/>
          </cell>
          <cell r="Q207" t="str">
            <v/>
          </cell>
        </row>
        <row r="210">
          <cell r="D210">
            <v>1.163</v>
          </cell>
          <cell r="E210" t="str">
            <v>Assessed Fixed Charge</v>
          </cell>
        </row>
        <row r="212">
          <cell r="H212">
            <v>1.1639999999999999</v>
          </cell>
          <cell r="I212" t="str">
            <v>UWASFC02</v>
          </cell>
          <cell r="J212" t="str">
            <v>Household</v>
          </cell>
          <cell r="M212" t="str">
            <v/>
          </cell>
          <cell r="P212" t="str">
            <v/>
          </cell>
          <cell r="Q212" t="str">
            <v/>
          </cell>
        </row>
        <row r="213">
          <cell r="H213">
            <v>1.165</v>
          </cell>
          <cell r="I213" t="str">
            <v>UWASFC03</v>
          </cell>
          <cell r="J213" t="str">
            <v>Non-household</v>
          </cell>
          <cell r="M213" t="str">
            <v/>
          </cell>
          <cell r="P213" t="str">
            <v/>
          </cell>
          <cell r="Q213" t="str">
            <v/>
          </cell>
        </row>
        <row r="214">
          <cell r="H214">
            <v>1.1659999999999999</v>
          </cell>
          <cell r="I214" t="str">
            <v>UWASFC04</v>
          </cell>
          <cell r="J214" t="str">
            <v>Per employee</v>
          </cell>
          <cell r="M214" t="str">
            <v/>
          </cell>
          <cell r="P214" t="str">
            <v/>
          </cell>
          <cell r="Q214" t="str">
            <v/>
          </cell>
        </row>
        <row r="216">
          <cell r="D216">
            <v>1.167</v>
          </cell>
          <cell r="E216" t="str">
            <v>Assessed Banded Charge</v>
          </cell>
        </row>
        <row r="218">
          <cell r="H218">
            <v>1.1679999999999999</v>
          </cell>
          <cell r="I218" t="str">
            <v>UWASBC01A</v>
          </cell>
          <cell r="J218" t="str">
            <v>Property type - Other</v>
          </cell>
          <cell r="K218">
            <v>138.51</v>
          </cell>
          <cell r="L218">
            <v>138.51</v>
          </cell>
          <cell r="M218">
            <v>0</v>
          </cell>
          <cell r="N218">
            <v>1611</v>
          </cell>
          <cell r="O218">
            <v>2160</v>
          </cell>
          <cell r="P218">
            <v>223139.61</v>
          </cell>
          <cell r="Q218">
            <v>299181.59999999998</v>
          </cell>
          <cell r="R218">
            <v>1611</v>
          </cell>
          <cell r="S218">
            <v>2160</v>
          </cell>
        </row>
        <row r="219">
          <cell r="H219">
            <v>1.169</v>
          </cell>
          <cell r="I219" t="str">
            <v>UWASBC01B</v>
          </cell>
          <cell r="J219" t="str">
            <v>Property type - Semi detached</v>
          </cell>
          <cell r="K219">
            <v>186.26</v>
          </cell>
          <cell r="L219">
            <v>186.26</v>
          </cell>
          <cell r="M219">
            <v>0</v>
          </cell>
          <cell r="N219">
            <v>456</v>
          </cell>
          <cell r="O219">
            <v>597</v>
          </cell>
          <cell r="P219">
            <v>84934.56</v>
          </cell>
          <cell r="Q219">
            <v>111197.22</v>
          </cell>
          <cell r="R219">
            <v>456</v>
          </cell>
          <cell r="S219">
            <v>597</v>
          </cell>
        </row>
        <row r="220">
          <cell r="H220">
            <v>1.17</v>
          </cell>
          <cell r="I220" t="str">
            <v>UWASBC01C</v>
          </cell>
          <cell r="J220" t="str">
            <v>Property type - detached</v>
          </cell>
          <cell r="K220">
            <v>216.82</v>
          </cell>
          <cell r="L220">
            <v>216.82</v>
          </cell>
          <cell r="M220">
            <v>0</v>
          </cell>
          <cell r="N220">
            <v>671</v>
          </cell>
          <cell r="O220">
            <v>785</v>
          </cell>
          <cell r="P220">
            <v>145486.22</v>
          </cell>
          <cell r="Q220">
            <v>170203.69999999998</v>
          </cell>
          <cell r="R220">
            <v>671</v>
          </cell>
          <cell r="S220">
            <v>785</v>
          </cell>
        </row>
        <row r="222">
          <cell r="D222">
            <v>1.1910000000000001</v>
          </cell>
          <cell r="E222" t="str">
            <v>Discounts</v>
          </cell>
        </row>
        <row r="224">
          <cell r="H224">
            <v>1.1919999999999999</v>
          </cell>
          <cell r="I224" t="str">
            <v>UWDIS01</v>
          </cell>
          <cell r="J224" t="str">
            <v>Direct Debit</v>
          </cell>
          <cell r="K224">
            <v>-2.5</v>
          </cell>
          <cell r="L224">
            <v>-2.5</v>
          </cell>
          <cell r="M224">
            <v>0</v>
          </cell>
          <cell r="N224">
            <v>1161296</v>
          </cell>
          <cell r="O224">
            <v>1142893</v>
          </cell>
          <cell r="P224">
            <v>-2903240</v>
          </cell>
          <cell r="Q224">
            <v>-2857232.5</v>
          </cell>
          <cell r="R224">
            <v>0</v>
          </cell>
        </row>
        <row r="232">
          <cell r="D232">
            <v>1.1930000000000001</v>
          </cell>
          <cell r="E232" t="str">
            <v>Other Charges</v>
          </cell>
        </row>
        <row r="233">
          <cell r="M233" t="str">
            <v/>
          </cell>
          <cell r="P233" t="str">
            <v/>
          </cell>
          <cell r="Q233" t="str">
            <v/>
          </cell>
        </row>
        <row r="234">
          <cell r="M234" t="str">
            <v/>
          </cell>
          <cell r="P234" t="str">
            <v/>
          </cell>
          <cell r="Q234" t="str">
            <v/>
          </cell>
        </row>
        <row r="235">
          <cell r="M235" t="str">
            <v/>
          </cell>
          <cell r="P235" t="str">
            <v/>
          </cell>
          <cell r="Q235" t="str">
            <v/>
          </cell>
        </row>
        <row r="236">
          <cell r="M236" t="str">
            <v/>
          </cell>
          <cell r="P236" t="str">
            <v/>
          </cell>
          <cell r="Q236" t="str">
            <v/>
          </cell>
        </row>
        <row r="237">
          <cell r="M237" t="str">
            <v/>
          </cell>
          <cell r="P237" t="str">
            <v/>
          </cell>
          <cell r="Q237" t="str">
            <v/>
          </cell>
        </row>
        <row r="238">
          <cell r="M238" t="str">
            <v/>
          </cell>
          <cell r="P238" t="str">
            <v/>
          </cell>
          <cell r="Q238" t="str">
            <v/>
          </cell>
        </row>
        <row r="239">
          <cell r="M239" t="str">
            <v/>
          </cell>
          <cell r="P239" t="str">
            <v/>
          </cell>
          <cell r="Q239" t="str">
            <v/>
          </cell>
        </row>
        <row r="240">
          <cell r="M240" t="str">
            <v/>
          </cell>
          <cell r="P240" t="str">
            <v/>
          </cell>
          <cell r="Q240" t="str">
            <v/>
          </cell>
        </row>
        <row r="241">
          <cell r="M241" t="str">
            <v/>
          </cell>
          <cell r="P241" t="str">
            <v/>
          </cell>
          <cell r="Q241" t="str">
            <v/>
          </cell>
        </row>
        <row r="242">
          <cell r="M242" t="str">
            <v/>
          </cell>
          <cell r="P242" t="str">
            <v/>
          </cell>
          <cell r="Q242" t="str">
            <v/>
          </cell>
        </row>
        <row r="243">
          <cell r="M243" t="str">
            <v/>
          </cell>
          <cell r="P243" t="str">
            <v/>
          </cell>
          <cell r="Q243" t="str">
            <v/>
          </cell>
        </row>
        <row r="244">
          <cell r="M244" t="str">
            <v/>
          </cell>
          <cell r="P244" t="str">
            <v/>
          </cell>
          <cell r="Q244" t="str">
            <v/>
          </cell>
        </row>
        <row r="245">
          <cell r="M245" t="str">
            <v/>
          </cell>
          <cell r="P245" t="str">
            <v/>
          </cell>
          <cell r="Q245" t="str">
            <v/>
          </cell>
        </row>
        <row r="246">
          <cell r="M246" t="str">
            <v/>
          </cell>
          <cell r="P246" t="str">
            <v/>
          </cell>
          <cell r="Q246" t="str">
            <v/>
          </cell>
        </row>
        <row r="247">
          <cell r="M247" t="str">
            <v/>
          </cell>
          <cell r="P247" t="str">
            <v/>
          </cell>
          <cell r="Q247" t="str">
            <v/>
          </cell>
        </row>
        <row r="248">
          <cell r="M248" t="str">
            <v/>
          </cell>
          <cell r="P248" t="str">
            <v/>
          </cell>
          <cell r="Q248" t="str">
            <v/>
          </cell>
        </row>
        <row r="249">
          <cell r="M249" t="str">
            <v/>
          </cell>
          <cell r="P249" t="str">
            <v/>
          </cell>
          <cell r="Q249" t="str">
            <v/>
          </cell>
        </row>
        <row r="250">
          <cell r="M250" t="str">
            <v/>
          </cell>
          <cell r="P250" t="str">
            <v/>
          </cell>
          <cell r="Q250" t="str">
            <v/>
          </cell>
        </row>
        <row r="251">
          <cell r="M251" t="str">
            <v/>
          </cell>
          <cell r="P251" t="str">
            <v/>
          </cell>
          <cell r="Q251" t="str">
            <v/>
          </cell>
        </row>
        <row r="252">
          <cell r="M252" t="str">
            <v/>
          </cell>
          <cell r="P252" t="str">
            <v/>
          </cell>
          <cell r="Q252" t="str">
            <v/>
          </cell>
        </row>
        <row r="253">
          <cell r="M253" t="str">
            <v/>
          </cell>
          <cell r="P253" t="str">
            <v/>
          </cell>
          <cell r="Q253" t="str">
            <v/>
          </cell>
        </row>
        <row r="254">
          <cell r="M254" t="str">
            <v/>
          </cell>
          <cell r="P254" t="str">
            <v/>
          </cell>
          <cell r="Q254" t="str">
            <v/>
          </cell>
        </row>
        <row r="255">
          <cell r="M255" t="str">
            <v/>
          </cell>
          <cell r="P255" t="str">
            <v/>
          </cell>
          <cell r="Q255" t="str">
            <v/>
          </cell>
        </row>
        <row r="256">
          <cell r="M256" t="str">
            <v/>
          </cell>
          <cell r="P256" t="str">
            <v/>
          </cell>
          <cell r="Q256" t="str">
            <v/>
          </cell>
        </row>
        <row r="257">
          <cell r="M257" t="str">
            <v/>
          </cell>
          <cell r="P257" t="str">
            <v/>
          </cell>
          <cell r="Q257" t="str">
            <v/>
          </cell>
        </row>
        <row r="258">
          <cell r="M258" t="str">
            <v/>
          </cell>
          <cell r="P258" t="str">
            <v/>
          </cell>
          <cell r="Q258" t="str">
            <v/>
          </cell>
        </row>
        <row r="259">
          <cell r="M259" t="str">
            <v/>
          </cell>
          <cell r="P259" t="str">
            <v/>
          </cell>
          <cell r="Q259" t="str">
            <v/>
          </cell>
        </row>
        <row r="260">
          <cell r="M260" t="str">
            <v/>
          </cell>
          <cell r="P260" t="str">
            <v/>
          </cell>
          <cell r="Q260" t="str">
            <v/>
          </cell>
        </row>
        <row r="261">
          <cell r="M261" t="str">
            <v/>
          </cell>
          <cell r="P261" t="str">
            <v/>
          </cell>
          <cell r="Q261" t="str">
            <v/>
          </cell>
        </row>
        <row r="262">
          <cell r="M262" t="str">
            <v/>
          </cell>
          <cell r="P262" t="str">
            <v/>
          </cell>
          <cell r="Q262" t="str">
            <v/>
          </cell>
        </row>
        <row r="263">
          <cell r="M263" t="str">
            <v/>
          </cell>
          <cell r="P263" t="str">
            <v/>
          </cell>
          <cell r="Q263" t="str">
            <v/>
          </cell>
        </row>
        <row r="264">
          <cell r="M264" t="str">
            <v/>
          </cell>
          <cell r="P264" t="str">
            <v/>
          </cell>
          <cell r="Q264" t="str">
            <v/>
          </cell>
        </row>
        <row r="265">
          <cell r="M265" t="str">
            <v/>
          </cell>
          <cell r="P265" t="str">
            <v/>
          </cell>
          <cell r="Q265" t="str">
            <v/>
          </cell>
        </row>
        <row r="266">
          <cell r="M266" t="str">
            <v/>
          </cell>
          <cell r="P266" t="str">
            <v/>
          </cell>
          <cell r="Q266" t="str">
            <v/>
          </cell>
        </row>
        <row r="267">
          <cell r="M267" t="str">
            <v/>
          </cell>
          <cell r="P267" t="str">
            <v/>
          </cell>
          <cell r="Q267" t="str">
            <v/>
          </cell>
        </row>
        <row r="268">
          <cell r="M268" t="str">
            <v/>
          </cell>
          <cell r="P268" t="str">
            <v/>
          </cell>
          <cell r="Q268" t="str">
            <v/>
          </cell>
        </row>
        <row r="269">
          <cell r="M269" t="str">
            <v/>
          </cell>
          <cell r="P269" t="str">
            <v/>
          </cell>
          <cell r="Q269" t="str">
            <v/>
          </cell>
        </row>
        <row r="270">
          <cell r="M270" t="str">
            <v/>
          </cell>
          <cell r="P270" t="str">
            <v/>
          </cell>
          <cell r="Q270" t="str">
            <v/>
          </cell>
        </row>
        <row r="273">
          <cell r="J273" t="str">
            <v>TOTALS</v>
          </cell>
          <cell r="K273" t="str">
            <v>-</v>
          </cell>
          <cell r="L273" t="str">
            <v>-</v>
          </cell>
          <cell r="M273" t="str">
            <v>-</v>
          </cell>
          <cell r="N273" t="str">
            <v>-</v>
          </cell>
          <cell r="O273" t="str">
            <v>-</v>
          </cell>
          <cell r="P273">
            <v>322156563.62000006</v>
          </cell>
          <cell r="Q273">
            <v>315614164.25599998</v>
          </cell>
          <cell r="R273">
            <v>2345646</v>
          </cell>
          <cell r="S273">
            <v>2304867</v>
          </cell>
        </row>
        <row r="274">
          <cell r="J274" t="str">
            <v xml:space="preserve">AVERAGE CHARGE PER CHARGEABLE SUPPLY </v>
          </cell>
          <cell r="P274">
            <v>137.34236266683041</v>
          </cell>
          <cell r="Q274">
            <v>136.93378587831748</v>
          </cell>
        </row>
        <row r="275">
          <cell r="J275" t="str">
            <v xml:space="preserve">RATIO OF AVERAGE CHARGES PER CHARGEABLE SUPPLY </v>
          </cell>
        </row>
        <row r="277">
          <cell r="J277" t="str">
            <v>At(1)/At-1(1) = (VI x VII) / (VIII x V) =</v>
          </cell>
          <cell r="N277">
            <v>0.99702512188825487</v>
          </cell>
        </row>
        <row r="280">
          <cell r="B280">
            <v>2</v>
          </cell>
          <cell r="C280" t="str">
            <v>Unmeasured Sewerage</v>
          </cell>
        </row>
        <row r="281">
          <cell r="G281" t="str">
            <v>Standing Charges</v>
          </cell>
          <cell r="K281" t="str">
            <v>Charges(£.p)</v>
          </cell>
          <cell r="N281" t="str">
            <v>Charge</v>
          </cell>
          <cell r="P281" t="str">
            <v>Revenue "As If..."</v>
          </cell>
          <cell r="R281" t="str">
            <v>Chargeable</v>
          </cell>
        </row>
        <row r="282">
          <cell r="K282" t="str">
            <v>prior</v>
          </cell>
          <cell r="L282" t="str">
            <v>charging</v>
          </cell>
          <cell r="N282" t="str">
            <v>Multiplier</v>
          </cell>
          <cell r="P282" t="str">
            <v>prior</v>
          </cell>
          <cell r="Q282" t="str">
            <v>charging</v>
          </cell>
          <cell r="R282" t="str">
            <v>Supplies</v>
          </cell>
        </row>
        <row r="283">
          <cell r="K283" t="str">
            <v>year</v>
          </cell>
          <cell r="L283" t="str">
            <v>year</v>
          </cell>
          <cell r="N283" t="str">
            <v>at</v>
          </cell>
          <cell r="O283" t="str">
            <v>at</v>
          </cell>
          <cell r="P283" t="str">
            <v>year</v>
          </cell>
          <cell r="Q283" t="str">
            <v>year</v>
          </cell>
          <cell r="R283" t="str">
            <v>at</v>
          </cell>
          <cell r="S283" t="str">
            <v>at</v>
          </cell>
        </row>
        <row r="284">
          <cell r="I284" t="str">
            <v>Line</v>
          </cell>
          <cell r="J284" t="str">
            <v>Description</v>
          </cell>
          <cell r="K284" t="str">
            <v>2004-05</v>
          </cell>
          <cell r="L284" t="str">
            <v>2005-06</v>
          </cell>
          <cell r="M284" t="str">
            <v>% Change</v>
          </cell>
          <cell r="N284" t="str">
            <v>1-12-03</v>
          </cell>
          <cell r="O284" t="str">
            <v>1-12-04</v>
          </cell>
          <cell r="P284" t="str">
            <v>2004-05</v>
          </cell>
          <cell r="Q284" t="str">
            <v>2005-06</v>
          </cell>
          <cell r="R284" t="str">
            <v>1-12-03</v>
          </cell>
          <cell r="S284" t="str">
            <v>1-12-04</v>
          </cell>
        </row>
        <row r="293">
          <cell r="F293" t="str">
            <v>No Surface Drainage</v>
          </cell>
        </row>
        <row r="294">
          <cell r="H294">
            <v>2.0329999999999999</v>
          </cell>
          <cell r="I294" t="str">
            <v>USSC40</v>
          </cell>
          <cell r="J294" t="str">
            <v>General</v>
          </cell>
          <cell r="M294" t="str">
            <v/>
          </cell>
          <cell r="P294" t="str">
            <v/>
          </cell>
          <cell r="Q294" t="str">
            <v/>
          </cell>
        </row>
        <row r="295">
          <cell r="H295">
            <v>2.0339999999999998</v>
          </cell>
          <cell r="I295" t="str">
            <v>USSC40A</v>
          </cell>
          <cell r="J295" t="str">
            <v>General (No RV)</v>
          </cell>
          <cell r="M295" t="str">
            <v/>
          </cell>
          <cell r="P295" t="str">
            <v/>
          </cell>
          <cell r="Q295" t="str">
            <v/>
          </cell>
        </row>
        <row r="296">
          <cell r="H296">
            <v>2.0350000000000001</v>
          </cell>
          <cell r="I296" t="str">
            <v>USSC41</v>
          </cell>
          <cell r="J296" t="str">
            <v>Household</v>
          </cell>
          <cell r="M296" t="str">
            <v/>
          </cell>
          <cell r="P296" t="str">
            <v/>
          </cell>
          <cell r="Q296" t="str">
            <v/>
          </cell>
        </row>
        <row r="297">
          <cell r="H297">
            <v>2.036</v>
          </cell>
          <cell r="I297" t="str">
            <v>USSC43</v>
          </cell>
          <cell r="J297" t="str">
            <v>RV &lt;= £1,000</v>
          </cell>
          <cell r="M297" t="str">
            <v/>
          </cell>
          <cell r="P297" t="str">
            <v/>
          </cell>
          <cell r="Q297" t="str">
            <v/>
          </cell>
        </row>
        <row r="298">
          <cell r="H298">
            <v>2.0369999999999999</v>
          </cell>
          <cell r="I298" t="str">
            <v>USSC44</v>
          </cell>
          <cell r="J298" t="str">
            <v>RV £1,001 - £5,000</v>
          </cell>
          <cell r="M298" t="str">
            <v/>
          </cell>
          <cell r="P298" t="str">
            <v/>
          </cell>
          <cell r="Q298" t="str">
            <v/>
          </cell>
        </row>
        <row r="299">
          <cell r="H299">
            <v>2.0379999999999998</v>
          </cell>
          <cell r="I299" t="str">
            <v>USSC45</v>
          </cell>
          <cell r="J299" t="str">
            <v>RV £5,001 - £50,000</v>
          </cell>
          <cell r="M299" t="str">
            <v/>
          </cell>
          <cell r="P299" t="str">
            <v/>
          </cell>
          <cell r="Q299" t="str">
            <v/>
          </cell>
        </row>
        <row r="300">
          <cell r="H300">
            <v>2.0390000000000001</v>
          </cell>
          <cell r="I300" t="str">
            <v>USSC46</v>
          </cell>
          <cell r="J300" t="str">
            <v>RV &gt; £50,000</v>
          </cell>
          <cell r="M300" t="str">
            <v/>
          </cell>
          <cell r="P300" t="str">
            <v/>
          </cell>
          <cell r="Q300" t="str">
            <v/>
          </cell>
        </row>
        <row r="303">
          <cell r="D303">
            <v>2.04</v>
          </cell>
          <cell r="E303" t="str">
            <v>Rateable Value Charges</v>
          </cell>
        </row>
        <row r="305">
          <cell r="F305" t="str">
            <v>FULL DRAINAGE</v>
          </cell>
        </row>
        <row r="306">
          <cell r="H306">
            <v>2.0409999999999999</v>
          </cell>
          <cell r="I306" t="str">
            <v>USRV01</v>
          </cell>
          <cell r="J306" t="str">
            <v>Full General</v>
          </cell>
          <cell r="K306">
            <v>0.85099999999999998</v>
          </cell>
          <cell r="L306">
            <v>0.85099999999999998</v>
          </cell>
          <cell r="M306">
            <v>0</v>
          </cell>
          <cell r="N306">
            <v>391979052</v>
          </cell>
          <cell r="O306">
            <v>383467502</v>
          </cell>
          <cell r="P306">
            <v>333574173.25199997</v>
          </cell>
          <cell r="Q306">
            <v>326330844.20199996</v>
          </cell>
          <cell r="R306">
            <v>2313652</v>
          </cell>
          <cell r="S306">
            <v>2273101</v>
          </cell>
          <cell r="T306" t="str">
            <v>RV</v>
          </cell>
        </row>
        <row r="307">
          <cell r="H307" t="str">
            <v>2.041a</v>
          </cell>
          <cell r="T307" t="str">
            <v>Nos</v>
          </cell>
        </row>
        <row r="308">
          <cell r="F308" t="str">
            <v>SURFACE DRAINAGE</v>
          </cell>
        </row>
        <row r="309">
          <cell r="H309">
            <v>2.0550000000000002</v>
          </cell>
          <cell r="I309" t="str">
            <v>USRV10</v>
          </cell>
          <cell r="J309" t="str">
            <v>Surface General</v>
          </cell>
          <cell r="M309" t="str">
            <v/>
          </cell>
          <cell r="P309" t="str">
            <v/>
          </cell>
          <cell r="Q309" t="str">
            <v/>
          </cell>
        </row>
        <row r="310">
          <cell r="H310">
            <v>2.056</v>
          </cell>
          <cell r="I310" t="str">
            <v>USRV11</v>
          </cell>
          <cell r="J310" t="str">
            <v>Surface Area/Zone 1</v>
          </cell>
          <cell r="M310" t="str">
            <v/>
          </cell>
          <cell r="P310" t="str">
            <v/>
          </cell>
          <cell r="Q310" t="str">
            <v/>
          </cell>
        </row>
        <row r="311">
          <cell r="H311">
            <v>2.0569999999999999</v>
          </cell>
          <cell r="I311" t="str">
            <v>USRV12</v>
          </cell>
          <cell r="J311" t="str">
            <v>Surface Area/Zone 2</v>
          </cell>
          <cell r="M311" t="str">
            <v/>
          </cell>
          <cell r="P311" t="str">
            <v/>
          </cell>
          <cell r="Q311" t="str">
            <v/>
          </cell>
        </row>
        <row r="312">
          <cell r="H312">
            <v>2.0579999999999998</v>
          </cell>
          <cell r="I312" t="str">
            <v>USRV13</v>
          </cell>
          <cell r="J312" t="str">
            <v>Surface Area/Zone 3</v>
          </cell>
          <cell r="M312" t="str">
            <v/>
          </cell>
          <cell r="P312" t="str">
            <v/>
          </cell>
          <cell r="Q312" t="str">
            <v/>
          </cell>
        </row>
        <row r="313">
          <cell r="H313">
            <v>2.0590000000000002</v>
          </cell>
          <cell r="I313" t="str">
            <v>USRV14</v>
          </cell>
          <cell r="J313" t="str">
            <v>Surface Area/Zone 4</v>
          </cell>
          <cell r="M313" t="str">
            <v/>
          </cell>
          <cell r="P313" t="str">
            <v/>
          </cell>
          <cell r="Q313" t="str">
            <v/>
          </cell>
        </row>
        <row r="314">
          <cell r="H314">
            <v>2.06</v>
          </cell>
          <cell r="I314" t="str">
            <v>USRV15</v>
          </cell>
          <cell r="J314" t="str">
            <v>Surface Area/Zone 5</v>
          </cell>
          <cell r="M314" t="str">
            <v/>
          </cell>
          <cell r="P314" t="str">
            <v/>
          </cell>
          <cell r="Q314" t="str">
            <v/>
          </cell>
        </row>
        <row r="315">
          <cell r="H315">
            <v>2.0609999999999999</v>
          </cell>
          <cell r="I315" t="str">
            <v>USRV16</v>
          </cell>
          <cell r="J315" t="str">
            <v>Surface Area/Zone 6</v>
          </cell>
          <cell r="M315" t="str">
            <v/>
          </cell>
          <cell r="P315" t="str">
            <v/>
          </cell>
          <cell r="Q315" t="str">
            <v/>
          </cell>
        </row>
        <row r="316">
          <cell r="H316">
            <v>2.0619999999999998</v>
          </cell>
          <cell r="I316" t="str">
            <v>USRV17</v>
          </cell>
          <cell r="J316" t="str">
            <v>Surface Area/Zone 7</v>
          </cell>
          <cell r="M316" t="str">
            <v/>
          </cell>
          <cell r="P316" t="str">
            <v/>
          </cell>
          <cell r="Q316" t="str">
            <v/>
          </cell>
        </row>
        <row r="317">
          <cell r="H317">
            <v>2.0630000000000002</v>
          </cell>
          <cell r="I317" t="str">
            <v>USRV18</v>
          </cell>
          <cell r="J317" t="str">
            <v>Surface Area/Zone 8</v>
          </cell>
          <cell r="M317" t="str">
            <v/>
          </cell>
          <cell r="P317" t="str">
            <v/>
          </cell>
          <cell r="Q317" t="str">
            <v/>
          </cell>
        </row>
        <row r="319">
          <cell r="F319" t="str">
            <v>NO SURFACE DRAINAGE</v>
          </cell>
        </row>
        <row r="320">
          <cell r="H320">
            <v>2.0640000000000001</v>
          </cell>
          <cell r="I320" t="str">
            <v>USRV19</v>
          </cell>
          <cell r="J320" t="str">
            <v>No Surface General</v>
          </cell>
          <cell r="K320">
            <v>0.63400000000000001</v>
          </cell>
          <cell r="L320">
            <v>0.63400000000000001</v>
          </cell>
          <cell r="M320">
            <v>0</v>
          </cell>
          <cell r="N320">
            <v>1845959</v>
          </cell>
          <cell r="O320">
            <v>1786516</v>
          </cell>
          <cell r="P320">
            <v>1170338.0060000001</v>
          </cell>
          <cell r="Q320">
            <v>1132651.1440000001</v>
          </cell>
          <cell r="R320">
            <v>9010</v>
          </cell>
          <cell r="S320">
            <v>8861</v>
          </cell>
          <cell r="T320" t="str">
            <v>RV</v>
          </cell>
        </row>
        <row r="321">
          <cell r="H321" t="str">
            <v>2.064a</v>
          </cell>
          <cell r="T321" t="str">
            <v>Nos</v>
          </cell>
        </row>
        <row r="323">
          <cell r="D323">
            <v>2.0739999999999998</v>
          </cell>
          <cell r="E323" t="str">
            <v>Properties No RV Fixed Fee</v>
          </cell>
        </row>
        <row r="325">
          <cell r="H325">
            <v>2.0750000000000002</v>
          </cell>
          <cell r="I325" t="str">
            <v>USNORV01</v>
          </cell>
          <cell r="J325" t="str">
            <v>General (No RV)</v>
          </cell>
          <cell r="M325" t="str">
            <v/>
          </cell>
          <cell r="P325" t="str">
            <v/>
          </cell>
          <cell r="Q325" t="str">
            <v/>
          </cell>
        </row>
        <row r="326">
          <cell r="H326">
            <v>2.0760000000000001</v>
          </cell>
          <cell r="I326" t="str">
            <v>USNORV01A</v>
          </cell>
          <cell r="J326" t="str">
            <v>General (Zero RV)</v>
          </cell>
          <cell r="M326" t="str">
            <v/>
          </cell>
          <cell r="P326" t="str">
            <v/>
          </cell>
          <cell r="Q326" t="str">
            <v/>
          </cell>
        </row>
        <row r="327">
          <cell r="H327">
            <v>2.077</v>
          </cell>
          <cell r="I327" t="str">
            <v>USNORV03</v>
          </cell>
          <cell r="J327" t="str">
            <v>Non-domestic</v>
          </cell>
          <cell r="M327" t="str">
            <v/>
          </cell>
          <cell r="P327" t="str">
            <v/>
          </cell>
          <cell r="Q327" t="str">
            <v/>
          </cell>
        </row>
        <row r="328">
          <cell r="H328">
            <v>2.0779999999999998</v>
          </cell>
          <cell r="I328" t="str">
            <v>USNORV11</v>
          </cell>
          <cell r="J328" t="str">
            <v>Full Band 1</v>
          </cell>
          <cell r="M328" t="str">
            <v/>
          </cell>
          <cell r="P328" t="str">
            <v/>
          </cell>
          <cell r="Q328" t="str">
            <v/>
          </cell>
        </row>
        <row r="329">
          <cell r="H329">
            <v>2.0790000000000002</v>
          </cell>
          <cell r="I329" t="str">
            <v>USNORV12</v>
          </cell>
          <cell r="J329" t="str">
            <v>Full Band 2</v>
          </cell>
          <cell r="M329" t="str">
            <v/>
          </cell>
          <cell r="P329" t="str">
            <v/>
          </cell>
          <cell r="Q329" t="str">
            <v/>
          </cell>
        </row>
        <row r="330">
          <cell r="H330">
            <v>2.08</v>
          </cell>
          <cell r="I330" t="str">
            <v>USNORV13</v>
          </cell>
          <cell r="J330" t="str">
            <v>Full Band 3</v>
          </cell>
          <cell r="M330" t="str">
            <v/>
          </cell>
          <cell r="P330" t="str">
            <v/>
          </cell>
          <cell r="Q330" t="str">
            <v/>
          </cell>
        </row>
        <row r="331">
          <cell r="H331">
            <v>2.081</v>
          </cell>
          <cell r="I331" t="str">
            <v>USNORV14</v>
          </cell>
          <cell r="J331" t="str">
            <v>Full Band 4</v>
          </cell>
          <cell r="M331" t="str">
            <v/>
          </cell>
          <cell r="P331" t="str">
            <v/>
          </cell>
          <cell r="Q331" t="str">
            <v/>
          </cell>
        </row>
        <row r="332">
          <cell r="H332">
            <v>2.0819999999999999</v>
          </cell>
          <cell r="I332" t="str">
            <v>USNORV15</v>
          </cell>
          <cell r="J332" t="str">
            <v>Full Band 5</v>
          </cell>
          <cell r="M332" t="str">
            <v/>
          </cell>
          <cell r="P332" t="str">
            <v/>
          </cell>
          <cell r="Q332" t="str">
            <v/>
          </cell>
        </row>
        <row r="333">
          <cell r="H333">
            <v>2.0830000000000002</v>
          </cell>
          <cell r="I333" t="str">
            <v>USNORV16</v>
          </cell>
          <cell r="J333" t="str">
            <v>Full Band 6</v>
          </cell>
          <cell r="M333" t="str">
            <v/>
          </cell>
          <cell r="P333" t="str">
            <v/>
          </cell>
          <cell r="Q333" t="str">
            <v/>
          </cell>
        </row>
        <row r="334">
          <cell r="H334">
            <v>2.0840000000000001</v>
          </cell>
          <cell r="I334" t="str">
            <v>USNORV17</v>
          </cell>
          <cell r="J334" t="str">
            <v>Full Band 7</v>
          </cell>
          <cell r="M334" t="str">
            <v/>
          </cell>
          <cell r="P334" t="str">
            <v/>
          </cell>
          <cell r="Q334" t="str">
            <v/>
          </cell>
        </row>
        <row r="335">
          <cell r="H335">
            <v>2.085</v>
          </cell>
          <cell r="I335" t="str">
            <v>USNORV18</v>
          </cell>
          <cell r="J335" t="str">
            <v>Full Band 8</v>
          </cell>
          <cell r="M335" t="str">
            <v/>
          </cell>
          <cell r="P335" t="str">
            <v/>
          </cell>
          <cell r="Q335" t="str">
            <v/>
          </cell>
        </row>
        <row r="336">
          <cell r="H336">
            <v>2.0859999999999999</v>
          </cell>
          <cell r="I336" t="str">
            <v>USNORV19</v>
          </cell>
          <cell r="J336" t="str">
            <v>Full Band 9</v>
          </cell>
          <cell r="M336" t="str">
            <v/>
          </cell>
          <cell r="P336" t="str">
            <v/>
          </cell>
          <cell r="Q336" t="str">
            <v/>
          </cell>
        </row>
        <row r="337">
          <cell r="H337">
            <v>2.0870000000000002</v>
          </cell>
          <cell r="I337" t="str">
            <v>USNORV20</v>
          </cell>
          <cell r="J337" t="str">
            <v>Full Band 10</v>
          </cell>
          <cell r="M337" t="str">
            <v/>
          </cell>
          <cell r="P337" t="str">
            <v/>
          </cell>
          <cell r="Q337" t="str">
            <v/>
          </cell>
        </row>
        <row r="338">
          <cell r="H338">
            <v>2.0880000000000001</v>
          </cell>
          <cell r="I338" t="str">
            <v>USNORV21</v>
          </cell>
          <cell r="J338" t="str">
            <v>Full Band 11</v>
          </cell>
          <cell r="M338" t="str">
            <v/>
          </cell>
          <cell r="P338" t="str">
            <v/>
          </cell>
          <cell r="Q338" t="str">
            <v/>
          </cell>
        </row>
        <row r="339">
          <cell r="H339">
            <v>2.089</v>
          </cell>
          <cell r="I339" t="str">
            <v>USNORV22</v>
          </cell>
          <cell r="J339" t="str">
            <v>Full Band 12</v>
          </cell>
          <cell r="M339" t="str">
            <v/>
          </cell>
          <cell r="P339" t="str">
            <v/>
          </cell>
          <cell r="Q339" t="str">
            <v/>
          </cell>
        </row>
        <row r="340">
          <cell r="H340">
            <v>2.09</v>
          </cell>
          <cell r="I340" t="str">
            <v>USNORV23</v>
          </cell>
          <cell r="J340" t="str">
            <v>Full Band 13</v>
          </cell>
          <cell r="M340" t="str">
            <v/>
          </cell>
          <cell r="P340" t="str">
            <v/>
          </cell>
          <cell r="Q340" t="str">
            <v/>
          </cell>
        </row>
        <row r="341">
          <cell r="H341">
            <v>2.0910000000000002</v>
          </cell>
          <cell r="I341" t="str">
            <v>USNORV24</v>
          </cell>
          <cell r="J341" t="str">
            <v>Full Band 14</v>
          </cell>
          <cell r="M341" t="str">
            <v/>
          </cell>
          <cell r="P341" t="str">
            <v/>
          </cell>
          <cell r="Q341" t="str">
            <v/>
          </cell>
        </row>
        <row r="342">
          <cell r="H342">
            <v>2.0920000000000001</v>
          </cell>
          <cell r="I342" t="str">
            <v>USNORV25</v>
          </cell>
          <cell r="J342" t="str">
            <v>Full Band 15</v>
          </cell>
          <cell r="M342" t="str">
            <v/>
          </cell>
          <cell r="P342" t="str">
            <v/>
          </cell>
          <cell r="Q342" t="str">
            <v/>
          </cell>
        </row>
        <row r="343">
          <cell r="H343">
            <v>2.093</v>
          </cell>
          <cell r="I343" t="str">
            <v>USNORV26</v>
          </cell>
          <cell r="J343" t="str">
            <v>Full Band 16</v>
          </cell>
          <cell r="M343" t="str">
            <v/>
          </cell>
          <cell r="P343" t="str">
            <v/>
          </cell>
          <cell r="Q343" t="str">
            <v/>
          </cell>
        </row>
        <row r="344">
          <cell r="H344">
            <v>2.0939999999999999</v>
          </cell>
          <cell r="I344" t="str">
            <v>USNORV27</v>
          </cell>
          <cell r="J344" t="str">
            <v>Full Band 17</v>
          </cell>
          <cell r="M344" t="str">
            <v/>
          </cell>
          <cell r="P344" t="str">
            <v/>
          </cell>
          <cell r="Q344" t="str">
            <v/>
          </cell>
        </row>
        <row r="345">
          <cell r="H345">
            <v>2.0950000000000002</v>
          </cell>
          <cell r="I345" t="str">
            <v>USNORV28</v>
          </cell>
          <cell r="J345" t="str">
            <v>Full Band 18</v>
          </cell>
          <cell r="M345" t="str">
            <v/>
          </cell>
          <cell r="P345" t="str">
            <v/>
          </cell>
          <cell r="Q345" t="str">
            <v/>
          </cell>
        </row>
        <row r="346">
          <cell r="H346">
            <v>2.0960000000000001</v>
          </cell>
          <cell r="I346" t="str">
            <v>USNORV29</v>
          </cell>
          <cell r="J346" t="str">
            <v>Full Band 19</v>
          </cell>
          <cell r="M346" t="str">
            <v/>
          </cell>
          <cell r="P346" t="str">
            <v/>
          </cell>
          <cell r="Q346" t="str">
            <v/>
          </cell>
        </row>
        <row r="347">
          <cell r="H347">
            <v>2.097</v>
          </cell>
          <cell r="I347" t="str">
            <v>USNORV30</v>
          </cell>
          <cell r="J347" t="str">
            <v>Full Band 20</v>
          </cell>
          <cell r="M347" t="str">
            <v/>
          </cell>
          <cell r="P347" t="str">
            <v/>
          </cell>
          <cell r="Q347" t="str">
            <v/>
          </cell>
        </row>
        <row r="348">
          <cell r="H348">
            <v>2.0979999999999999</v>
          </cell>
          <cell r="I348" t="str">
            <v>USNORV31</v>
          </cell>
          <cell r="J348" t="str">
            <v>Full Band 21</v>
          </cell>
          <cell r="M348" t="str">
            <v/>
          </cell>
          <cell r="P348" t="str">
            <v/>
          </cell>
          <cell r="Q348" t="str">
            <v/>
          </cell>
        </row>
        <row r="349">
          <cell r="H349">
            <v>2.0990000000000002</v>
          </cell>
          <cell r="I349" t="str">
            <v>USNORV32</v>
          </cell>
          <cell r="J349" t="str">
            <v>Full Band 22</v>
          </cell>
          <cell r="M349" t="str">
            <v/>
          </cell>
          <cell r="P349" t="str">
            <v/>
          </cell>
          <cell r="Q349" t="str">
            <v/>
          </cell>
        </row>
        <row r="351">
          <cell r="D351">
            <v>2.1</v>
          </cell>
          <cell r="E351" t="str">
            <v>Minimum Charges</v>
          </cell>
        </row>
        <row r="353">
          <cell r="H353">
            <v>2.101</v>
          </cell>
          <cell r="I353" t="str">
            <v>USMIN01</v>
          </cell>
          <cell r="J353" t="str">
            <v>General</v>
          </cell>
          <cell r="M353" t="str">
            <v/>
          </cell>
          <cell r="P353" t="str">
            <v/>
          </cell>
          <cell r="Q353" t="str">
            <v/>
          </cell>
        </row>
        <row r="355">
          <cell r="D355">
            <v>2.1019999999999999</v>
          </cell>
          <cell r="E355" t="str">
            <v>Maximum Charges</v>
          </cell>
        </row>
        <row r="357">
          <cell r="H357">
            <v>2.1030000000000002</v>
          </cell>
          <cell r="I357" t="str">
            <v>USMAX02</v>
          </cell>
          <cell r="J357" t="str">
            <v>Surface water only</v>
          </cell>
          <cell r="M357" t="str">
            <v/>
          </cell>
          <cell r="P357" t="str">
            <v/>
          </cell>
          <cell r="Q357" t="str">
            <v/>
          </cell>
        </row>
        <row r="359">
          <cell r="D359">
            <v>2.1040000000000001</v>
          </cell>
          <cell r="E359" t="str">
            <v>Assessed Volumetric Standing Charge</v>
          </cell>
        </row>
        <row r="361">
          <cell r="F361" t="str">
            <v>STANDING CHARGES</v>
          </cell>
        </row>
        <row r="362">
          <cell r="H362">
            <v>2.105</v>
          </cell>
          <cell r="I362" t="str">
            <v>USASSC01</v>
          </cell>
          <cell r="J362" t="str">
            <v>Assessed Meter&lt;=12/15mm(0.5")</v>
          </cell>
          <cell r="M362" t="str">
            <v/>
          </cell>
          <cell r="P362" t="str">
            <v/>
          </cell>
          <cell r="Q362" t="str">
            <v/>
          </cell>
        </row>
        <row r="363">
          <cell r="H363">
            <v>2.1059999999999999</v>
          </cell>
          <cell r="I363" t="str">
            <v>USASSC02</v>
          </cell>
          <cell r="J363" t="str">
            <v>Assessed Meter&gt;12/15mm(&gt;0.5")</v>
          </cell>
          <cell r="M363" t="str">
            <v/>
          </cell>
          <cell r="P363" t="str">
            <v/>
          </cell>
          <cell r="Q363" t="str">
            <v/>
          </cell>
        </row>
        <row r="364">
          <cell r="H364">
            <v>2.1070000000000002</v>
          </cell>
          <cell r="I364" t="str">
            <v>USASSC03</v>
          </cell>
          <cell r="J364" t="str">
            <v>Assessed 20/22mm  (0.75")</v>
          </cell>
          <cell r="M364" t="str">
            <v/>
          </cell>
          <cell r="P364" t="str">
            <v/>
          </cell>
          <cell r="Q364" t="str">
            <v/>
          </cell>
        </row>
        <row r="365">
          <cell r="H365">
            <v>2.1080000000000001</v>
          </cell>
          <cell r="I365" t="str">
            <v>USASSC04</v>
          </cell>
          <cell r="J365" t="str">
            <v>Assessed 25/28mm  (1")</v>
          </cell>
          <cell r="M365" t="str">
            <v/>
          </cell>
          <cell r="P365" t="str">
            <v/>
          </cell>
          <cell r="Q365" t="str">
            <v/>
          </cell>
        </row>
        <row r="366">
          <cell r="H366">
            <v>2.109</v>
          </cell>
          <cell r="I366" t="str">
            <v>USASSC05</v>
          </cell>
          <cell r="J366" t="str">
            <v>Assessed 30/32/35mm  (1.25")</v>
          </cell>
          <cell r="M366" t="str">
            <v/>
          </cell>
          <cell r="P366" t="str">
            <v/>
          </cell>
          <cell r="Q366" t="str">
            <v/>
          </cell>
        </row>
        <row r="367">
          <cell r="H367">
            <v>2.11</v>
          </cell>
          <cell r="I367" t="str">
            <v>USASSC06</v>
          </cell>
          <cell r="J367" t="str">
            <v>Assessed 40/42mm  (1.5")</v>
          </cell>
          <cell r="M367" t="str">
            <v/>
          </cell>
          <cell r="P367" t="str">
            <v/>
          </cell>
          <cell r="Q367" t="str">
            <v/>
          </cell>
        </row>
        <row r="368">
          <cell r="H368">
            <v>2.1110000000000002</v>
          </cell>
          <cell r="I368" t="str">
            <v>USASSC07</v>
          </cell>
          <cell r="J368" t="str">
            <v>Assessed 50/54mm  (2")</v>
          </cell>
          <cell r="M368" t="str">
            <v/>
          </cell>
          <cell r="P368" t="str">
            <v/>
          </cell>
          <cell r="Q368" t="str">
            <v/>
          </cell>
        </row>
        <row r="369">
          <cell r="H369">
            <v>2.1120000000000001</v>
          </cell>
          <cell r="I369" t="str">
            <v>USASSC07A</v>
          </cell>
          <cell r="J369" t="str">
            <v>Assessed 65mm (2.5")</v>
          </cell>
          <cell r="M369" t="str">
            <v/>
          </cell>
          <cell r="P369" t="str">
            <v/>
          </cell>
          <cell r="Q369" t="str">
            <v/>
          </cell>
        </row>
        <row r="370">
          <cell r="H370">
            <v>2.113</v>
          </cell>
          <cell r="I370" t="str">
            <v>USASSC08</v>
          </cell>
          <cell r="J370" t="str">
            <v>Assessed 75/80mm   (3")</v>
          </cell>
          <cell r="M370" t="str">
            <v/>
          </cell>
          <cell r="P370" t="str">
            <v/>
          </cell>
          <cell r="Q370" t="str">
            <v/>
          </cell>
        </row>
        <row r="371">
          <cell r="H371">
            <v>2.1139999999999999</v>
          </cell>
          <cell r="I371" t="str">
            <v>USASSC08A</v>
          </cell>
          <cell r="J371" t="str">
            <v>Assessed 100mm (4")</v>
          </cell>
          <cell r="M371" t="str">
            <v/>
          </cell>
          <cell r="P371" t="str">
            <v/>
          </cell>
          <cell r="Q371" t="str">
            <v/>
          </cell>
        </row>
        <row r="372">
          <cell r="H372">
            <v>2.1150000000000002</v>
          </cell>
          <cell r="I372" t="str">
            <v>USASSC12</v>
          </cell>
          <cell r="J372" t="str">
            <v>Assessed SWD Band 1</v>
          </cell>
          <cell r="M372" t="str">
            <v/>
          </cell>
          <cell r="P372" t="str">
            <v/>
          </cell>
          <cell r="Q372" t="str">
            <v/>
          </cell>
        </row>
        <row r="373">
          <cell r="H373">
            <v>2.1160000000000001</v>
          </cell>
          <cell r="I373" t="str">
            <v>USASSC13</v>
          </cell>
          <cell r="J373" t="str">
            <v>Assessed SWD Band 2</v>
          </cell>
          <cell r="M373" t="str">
            <v/>
          </cell>
          <cell r="P373" t="str">
            <v/>
          </cell>
          <cell r="Q373" t="str">
            <v/>
          </cell>
        </row>
        <row r="374">
          <cell r="H374">
            <v>2.117</v>
          </cell>
          <cell r="I374" t="str">
            <v>USASSC14</v>
          </cell>
          <cell r="J374" t="str">
            <v>Assessed SWD Band 3</v>
          </cell>
          <cell r="M374" t="str">
            <v/>
          </cell>
          <cell r="P374" t="str">
            <v/>
          </cell>
          <cell r="Q374" t="str">
            <v/>
          </cell>
        </row>
        <row r="375">
          <cell r="H375">
            <v>2.1179999999999999</v>
          </cell>
          <cell r="I375" t="str">
            <v>USASSC15</v>
          </cell>
          <cell r="J375" t="str">
            <v>Assessed SWD Band 4</v>
          </cell>
          <cell r="M375" t="str">
            <v/>
          </cell>
          <cell r="P375" t="str">
            <v/>
          </cell>
          <cell r="Q375" t="str">
            <v/>
          </cell>
        </row>
        <row r="376">
          <cell r="H376">
            <v>2.1190000000000002</v>
          </cell>
          <cell r="I376" t="str">
            <v>USASSC16</v>
          </cell>
          <cell r="J376" t="str">
            <v>Assessed SWD Band 5</v>
          </cell>
          <cell r="M376" t="str">
            <v/>
          </cell>
          <cell r="P376" t="str">
            <v/>
          </cell>
          <cell r="Q376" t="str">
            <v/>
          </cell>
        </row>
        <row r="377">
          <cell r="H377">
            <v>2.12</v>
          </cell>
          <cell r="I377" t="str">
            <v>USASSC17</v>
          </cell>
          <cell r="J377" t="str">
            <v>Assessed SWD Band 6</v>
          </cell>
          <cell r="M377" t="str">
            <v/>
          </cell>
          <cell r="P377" t="str">
            <v/>
          </cell>
          <cell r="Q377" t="str">
            <v/>
          </cell>
        </row>
        <row r="378">
          <cell r="H378">
            <v>2.121</v>
          </cell>
          <cell r="I378" t="str">
            <v>USASSC18</v>
          </cell>
          <cell r="J378" t="str">
            <v>Assessed SWD Band 7</v>
          </cell>
          <cell r="M378" t="str">
            <v/>
          </cell>
          <cell r="P378" t="str">
            <v/>
          </cell>
          <cell r="Q378" t="str">
            <v/>
          </cell>
        </row>
        <row r="379">
          <cell r="H379">
            <v>2.1219999999999999</v>
          </cell>
          <cell r="I379" t="str">
            <v>USASSC19</v>
          </cell>
          <cell r="J379" t="str">
            <v>Assessed SWD Band 8</v>
          </cell>
          <cell r="M379" t="str">
            <v/>
          </cell>
          <cell r="P379" t="str">
            <v/>
          </cell>
          <cell r="Q379" t="str">
            <v/>
          </cell>
        </row>
        <row r="381">
          <cell r="F381" t="str">
            <v>NO SURFACE DRAINAGE</v>
          </cell>
        </row>
        <row r="382">
          <cell r="H382">
            <v>2.1230000000000002</v>
          </cell>
          <cell r="I382" t="str">
            <v>USASSC21</v>
          </cell>
          <cell r="J382" t="str">
            <v>No SWD &lt;=12/15mm (0.5")</v>
          </cell>
          <cell r="M382" t="str">
            <v/>
          </cell>
          <cell r="P382" t="str">
            <v/>
          </cell>
          <cell r="Q382" t="str">
            <v/>
          </cell>
        </row>
        <row r="383">
          <cell r="H383">
            <v>2.1240000000000001</v>
          </cell>
          <cell r="I383" t="str">
            <v>USASSC22</v>
          </cell>
          <cell r="J383" t="str">
            <v>No SWD &gt;12/15mm (&gt;0.5")</v>
          </cell>
          <cell r="M383" t="str">
            <v/>
          </cell>
          <cell r="P383" t="str">
            <v/>
          </cell>
          <cell r="Q383" t="str">
            <v/>
          </cell>
        </row>
        <row r="384">
          <cell r="H384">
            <v>2.125</v>
          </cell>
          <cell r="I384" t="str">
            <v>USASSC23</v>
          </cell>
          <cell r="J384" t="str">
            <v>No SWD 20/22mm (0.75")</v>
          </cell>
          <cell r="M384" t="str">
            <v/>
          </cell>
          <cell r="P384" t="str">
            <v/>
          </cell>
          <cell r="Q384" t="str">
            <v/>
          </cell>
        </row>
        <row r="385">
          <cell r="H385">
            <v>2.1259999999999999</v>
          </cell>
          <cell r="I385" t="str">
            <v>USASSC24</v>
          </cell>
          <cell r="J385" t="str">
            <v>No SWD 25/28mm (1")</v>
          </cell>
          <cell r="M385" t="str">
            <v/>
          </cell>
          <cell r="P385" t="str">
            <v/>
          </cell>
          <cell r="Q385" t="str">
            <v/>
          </cell>
        </row>
        <row r="386">
          <cell r="H386">
            <v>2.1269999999999998</v>
          </cell>
          <cell r="I386" t="str">
            <v>USASSC25</v>
          </cell>
          <cell r="J386" t="str">
            <v>No SWD 30/32/35mm (1.25")</v>
          </cell>
          <cell r="M386" t="str">
            <v/>
          </cell>
          <cell r="P386" t="str">
            <v/>
          </cell>
          <cell r="Q386" t="str">
            <v/>
          </cell>
        </row>
        <row r="387">
          <cell r="H387">
            <v>2.1280000000000001</v>
          </cell>
          <cell r="I387" t="str">
            <v>USASSC26</v>
          </cell>
          <cell r="J387" t="str">
            <v>No SWD 40/42mm (1.5")</v>
          </cell>
          <cell r="M387" t="str">
            <v/>
          </cell>
          <cell r="P387" t="str">
            <v/>
          </cell>
          <cell r="Q387" t="str">
            <v/>
          </cell>
        </row>
        <row r="388">
          <cell r="H388">
            <v>2.129</v>
          </cell>
          <cell r="I388" t="str">
            <v>USASSC27</v>
          </cell>
          <cell r="J388" t="str">
            <v>No SWD 50/54mm (2")</v>
          </cell>
          <cell r="M388" t="str">
            <v/>
          </cell>
          <cell r="P388" t="str">
            <v/>
          </cell>
          <cell r="Q388" t="str">
            <v/>
          </cell>
        </row>
        <row r="389">
          <cell r="H389">
            <v>2.13</v>
          </cell>
          <cell r="I389" t="str">
            <v>USASSC27A</v>
          </cell>
          <cell r="J389" t="str">
            <v>No SWD 65mm (2.5")</v>
          </cell>
          <cell r="M389" t="str">
            <v/>
          </cell>
          <cell r="P389" t="str">
            <v/>
          </cell>
          <cell r="Q389" t="str">
            <v/>
          </cell>
        </row>
        <row r="390">
          <cell r="H390">
            <v>2.1309999999999998</v>
          </cell>
          <cell r="I390" t="str">
            <v>USASSC28</v>
          </cell>
          <cell r="J390" t="str">
            <v>No SWD 75/80mm (3")</v>
          </cell>
          <cell r="M390" t="str">
            <v/>
          </cell>
          <cell r="P390" t="str">
            <v/>
          </cell>
          <cell r="Q390" t="str">
            <v/>
          </cell>
        </row>
        <row r="391">
          <cell r="H391">
            <v>2.1320000000000001</v>
          </cell>
          <cell r="I391" t="str">
            <v>USASSC28A</v>
          </cell>
          <cell r="J391" t="str">
            <v>No SWD 100mm (4")</v>
          </cell>
          <cell r="M391" t="str">
            <v/>
          </cell>
          <cell r="P391" t="str">
            <v/>
          </cell>
          <cell r="Q391" t="str">
            <v/>
          </cell>
        </row>
        <row r="394">
          <cell r="D394">
            <v>2.133</v>
          </cell>
          <cell r="E394" t="str">
            <v>Assessed Volumetric Charge</v>
          </cell>
        </row>
        <row r="396">
          <cell r="F396" t="str">
            <v>VOLUMETRIC CHARGES</v>
          </cell>
        </row>
        <row r="397">
          <cell r="H397">
            <v>2.1339999999999999</v>
          </cell>
          <cell r="I397" t="str">
            <v>USASVOL03</v>
          </cell>
          <cell r="J397" t="str">
            <v>Assessed - non-household</v>
          </cell>
          <cell r="M397" t="str">
            <v/>
          </cell>
          <cell r="P397" t="str">
            <v/>
          </cell>
          <cell r="Q397" t="str">
            <v/>
          </cell>
        </row>
        <row r="400">
          <cell r="D400">
            <v>2.1349999999999998</v>
          </cell>
          <cell r="E400" t="str">
            <v>Assessed Fixed Charge</v>
          </cell>
        </row>
        <row r="402">
          <cell r="H402">
            <v>2.1360000000000001</v>
          </cell>
          <cell r="I402" t="str">
            <v>USASFC01</v>
          </cell>
          <cell r="J402" t="str">
            <v>General</v>
          </cell>
          <cell r="M402" t="str">
            <v/>
          </cell>
          <cell r="P402" t="str">
            <v/>
          </cell>
          <cell r="Q402" t="str">
            <v/>
          </cell>
        </row>
        <row r="403">
          <cell r="H403">
            <v>2.137</v>
          </cell>
          <cell r="I403" t="str">
            <v>USASFC02</v>
          </cell>
          <cell r="J403" t="str">
            <v>Household</v>
          </cell>
          <cell r="M403" t="str">
            <v/>
          </cell>
          <cell r="P403" t="str">
            <v/>
          </cell>
          <cell r="Q403" t="str">
            <v/>
          </cell>
        </row>
        <row r="404">
          <cell r="H404">
            <v>2.1379999999999999</v>
          </cell>
          <cell r="I404" t="str">
            <v>USASFC03</v>
          </cell>
          <cell r="J404" t="str">
            <v>Non-household</v>
          </cell>
          <cell r="M404" t="str">
            <v/>
          </cell>
          <cell r="P404" t="str">
            <v/>
          </cell>
          <cell r="Q404" t="str">
            <v/>
          </cell>
        </row>
        <row r="405">
          <cell r="H405">
            <v>2.1389999999999998</v>
          </cell>
          <cell r="I405" t="str">
            <v>USASFC04</v>
          </cell>
          <cell r="J405" t="str">
            <v>Per employee</v>
          </cell>
          <cell r="M405" t="str">
            <v/>
          </cell>
          <cell r="P405" t="str">
            <v/>
          </cell>
          <cell r="Q405" t="str">
            <v/>
          </cell>
        </row>
        <row r="406">
          <cell r="H406">
            <v>2.14</v>
          </cell>
          <cell r="I406" t="str">
            <v>USASFC05</v>
          </cell>
          <cell r="J406" t="str">
            <v>No surface drainage</v>
          </cell>
          <cell r="M406" t="str">
            <v/>
          </cell>
          <cell r="P406" t="str">
            <v/>
          </cell>
          <cell r="Q406" t="str">
            <v/>
          </cell>
        </row>
        <row r="408">
          <cell r="D408">
            <v>2.141</v>
          </cell>
          <cell r="E408" t="str">
            <v>Assessed Banded Charge</v>
          </cell>
        </row>
        <row r="410">
          <cell r="F410" t="str">
            <v>FULL DRAINAGE</v>
          </cell>
        </row>
        <row r="411">
          <cell r="H411">
            <v>2.1419999999999999</v>
          </cell>
          <cell r="I411" t="str">
            <v>USASBC01A</v>
          </cell>
          <cell r="J411" t="str">
            <v>Property type - Other</v>
          </cell>
          <cell r="K411">
            <v>143.32</v>
          </cell>
          <cell r="L411">
            <v>143.32</v>
          </cell>
          <cell r="M411">
            <v>0</v>
          </cell>
          <cell r="N411">
            <v>1609</v>
          </cell>
          <cell r="O411">
            <v>2159</v>
          </cell>
          <cell r="P411">
            <v>230601.87999999998</v>
          </cell>
          <cell r="Q411">
            <v>309427.88</v>
          </cell>
          <cell r="R411">
            <v>1609</v>
          </cell>
          <cell r="S411">
            <v>2159</v>
          </cell>
          <cell r="T411" t="str">
            <v>Nos</v>
          </cell>
        </row>
        <row r="412">
          <cell r="H412">
            <v>2.1429999999999998</v>
          </cell>
          <cell r="I412" t="str">
            <v>USASBC01B</v>
          </cell>
          <cell r="J412" t="str">
            <v>Property type - Semi detached</v>
          </cell>
          <cell r="K412">
            <v>177.47</v>
          </cell>
          <cell r="L412">
            <v>177.47</v>
          </cell>
          <cell r="M412">
            <v>0</v>
          </cell>
          <cell r="N412">
            <v>457</v>
          </cell>
          <cell r="O412">
            <v>597</v>
          </cell>
          <cell r="P412">
            <v>81103.789999999994</v>
          </cell>
          <cell r="Q412">
            <v>105949.59</v>
          </cell>
          <cell r="R412">
            <v>457</v>
          </cell>
          <cell r="S412">
            <v>597</v>
          </cell>
          <cell r="T412" t="str">
            <v>Nos</v>
          </cell>
        </row>
        <row r="413">
          <cell r="H413">
            <v>2.1440000000000001</v>
          </cell>
          <cell r="I413" t="str">
            <v>USASBC01C</v>
          </cell>
          <cell r="J413" t="str">
            <v>Property type - Detached</v>
          </cell>
          <cell r="K413">
            <v>199.33</v>
          </cell>
          <cell r="L413">
            <v>199.33</v>
          </cell>
          <cell r="M413">
            <v>0</v>
          </cell>
          <cell r="N413">
            <v>666</v>
          </cell>
          <cell r="O413">
            <v>780</v>
          </cell>
          <cell r="P413">
            <v>132753.78</v>
          </cell>
          <cell r="Q413">
            <v>155477.40000000002</v>
          </cell>
          <cell r="R413">
            <v>666</v>
          </cell>
          <cell r="S413">
            <v>780</v>
          </cell>
          <cell r="T413" t="str">
            <v>Nos</v>
          </cell>
        </row>
        <row r="415">
          <cell r="F415" t="str">
            <v>NO SURFACE DRAINAGE</v>
          </cell>
        </row>
        <row r="416">
          <cell r="H416">
            <v>2.1749999999999998</v>
          </cell>
          <cell r="I416" t="str">
            <v>USASBC05A</v>
          </cell>
          <cell r="J416" t="str">
            <v>Single person household</v>
          </cell>
          <cell r="M416" t="str">
            <v/>
          </cell>
          <cell r="P416" t="str">
            <v/>
          </cell>
          <cell r="Q416" t="str">
            <v/>
          </cell>
        </row>
        <row r="417">
          <cell r="H417">
            <v>2.1760000000000002</v>
          </cell>
          <cell r="I417" t="str">
            <v>USASBC05B</v>
          </cell>
          <cell r="J417" t="str">
            <v>Single person, low usage</v>
          </cell>
          <cell r="M417" t="str">
            <v/>
          </cell>
          <cell r="P417" t="str">
            <v/>
          </cell>
          <cell r="Q417" t="str">
            <v/>
          </cell>
        </row>
        <row r="418">
          <cell r="H418">
            <v>2.177</v>
          </cell>
          <cell r="I418" t="str">
            <v>USASBC06A</v>
          </cell>
          <cell r="J418" t="str">
            <v>Two person household</v>
          </cell>
          <cell r="M418" t="str">
            <v/>
          </cell>
          <cell r="P418" t="str">
            <v/>
          </cell>
          <cell r="Q418" t="str">
            <v/>
          </cell>
        </row>
        <row r="419">
          <cell r="H419">
            <v>2.1779999999999999</v>
          </cell>
          <cell r="I419" t="str">
            <v>USASBC06B</v>
          </cell>
          <cell r="J419" t="str">
            <v>Two person, low usage</v>
          </cell>
          <cell r="M419" t="str">
            <v/>
          </cell>
          <cell r="P419" t="str">
            <v/>
          </cell>
          <cell r="Q419" t="str">
            <v/>
          </cell>
        </row>
        <row r="420">
          <cell r="H420">
            <v>2.1789999999999998</v>
          </cell>
          <cell r="I420" t="str">
            <v>USASBC07A</v>
          </cell>
          <cell r="J420" t="str">
            <v>Three person household</v>
          </cell>
          <cell r="M420" t="str">
            <v/>
          </cell>
          <cell r="P420" t="str">
            <v/>
          </cell>
          <cell r="Q420" t="str">
            <v/>
          </cell>
        </row>
        <row r="421">
          <cell r="H421">
            <v>2.1800000000000002</v>
          </cell>
          <cell r="I421" t="str">
            <v>USASBC07B</v>
          </cell>
          <cell r="J421" t="str">
            <v>Three person, low usage</v>
          </cell>
          <cell r="M421" t="str">
            <v/>
          </cell>
          <cell r="P421" t="str">
            <v/>
          </cell>
          <cell r="Q421" t="str">
            <v/>
          </cell>
        </row>
        <row r="424">
          <cell r="D424">
            <v>2.181</v>
          </cell>
          <cell r="E424" t="str">
            <v>Discounts</v>
          </cell>
        </row>
        <row r="426">
          <cell r="H426">
            <v>2.1819999999999999</v>
          </cell>
          <cell r="I426" t="str">
            <v>USDIS01</v>
          </cell>
          <cell r="J426" t="str">
            <v>Direct Debit</v>
          </cell>
          <cell r="K426">
            <v>-2.5</v>
          </cell>
          <cell r="L426">
            <v>-2.5</v>
          </cell>
          <cell r="M426">
            <v>0</v>
          </cell>
          <cell r="N426">
            <v>1161296</v>
          </cell>
          <cell r="O426">
            <v>1142893</v>
          </cell>
          <cell r="P426">
            <v>-2903240</v>
          </cell>
          <cell r="Q426">
            <v>-2857232.5</v>
          </cell>
          <cell r="T426" t="str">
            <v>Nos</v>
          </cell>
        </row>
        <row r="428">
          <cell r="D428">
            <v>2.1829999999999998</v>
          </cell>
          <cell r="E428" t="str">
            <v>Other Charges</v>
          </cell>
        </row>
        <row r="429">
          <cell r="M429" t="str">
            <v/>
          </cell>
          <cell r="P429" t="str">
            <v/>
          </cell>
          <cell r="Q429" t="str">
            <v/>
          </cell>
        </row>
        <row r="430">
          <cell r="M430" t="str">
            <v/>
          </cell>
          <cell r="P430" t="str">
            <v/>
          </cell>
          <cell r="Q430" t="str">
            <v/>
          </cell>
        </row>
        <row r="431">
          <cell r="M431" t="str">
            <v/>
          </cell>
          <cell r="P431" t="str">
            <v/>
          </cell>
          <cell r="Q431" t="str">
            <v/>
          </cell>
        </row>
        <row r="432">
          <cell r="M432" t="str">
            <v/>
          </cell>
          <cell r="P432" t="str">
            <v/>
          </cell>
          <cell r="Q432" t="str">
            <v/>
          </cell>
        </row>
        <row r="433">
          <cell r="M433" t="str">
            <v/>
          </cell>
          <cell r="P433" t="str">
            <v/>
          </cell>
          <cell r="Q433" t="str">
            <v/>
          </cell>
        </row>
        <row r="434">
          <cell r="M434" t="str">
            <v/>
          </cell>
          <cell r="P434" t="str">
            <v/>
          </cell>
          <cell r="Q434" t="str">
            <v/>
          </cell>
        </row>
        <row r="435">
          <cell r="M435" t="str">
            <v/>
          </cell>
          <cell r="P435" t="str">
            <v/>
          </cell>
          <cell r="Q435" t="str">
            <v/>
          </cell>
        </row>
        <row r="436">
          <cell r="M436" t="str">
            <v/>
          </cell>
          <cell r="P436" t="str">
            <v/>
          </cell>
          <cell r="Q436" t="str">
            <v/>
          </cell>
        </row>
        <row r="437">
          <cell r="M437" t="str">
            <v/>
          </cell>
          <cell r="P437" t="str">
            <v/>
          </cell>
          <cell r="Q437" t="str">
            <v/>
          </cell>
        </row>
        <row r="438">
          <cell r="M438" t="str">
            <v/>
          </cell>
          <cell r="P438" t="str">
            <v/>
          </cell>
          <cell r="Q438" t="str">
            <v/>
          </cell>
        </row>
        <row r="439">
          <cell r="M439" t="str">
            <v/>
          </cell>
          <cell r="P439" t="str">
            <v/>
          </cell>
          <cell r="Q439" t="str">
            <v/>
          </cell>
        </row>
        <row r="440">
          <cell r="M440" t="str">
            <v/>
          </cell>
          <cell r="P440" t="str">
            <v/>
          </cell>
          <cell r="Q440" t="str">
            <v/>
          </cell>
        </row>
        <row r="441">
          <cell r="M441" t="str">
            <v/>
          </cell>
          <cell r="P441" t="str">
            <v/>
          </cell>
          <cell r="Q441" t="str">
            <v/>
          </cell>
        </row>
        <row r="442">
          <cell r="M442" t="str">
            <v/>
          </cell>
          <cell r="P442" t="str">
            <v/>
          </cell>
          <cell r="Q442" t="str">
            <v/>
          </cell>
        </row>
        <row r="443">
          <cell r="M443" t="str">
            <v/>
          </cell>
          <cell r="P443" t="str">
            <v/>
          </cell>
          <cell r="Q443" t="str">
            <v/>
          </cell>
        </row>
        <row r="444">
          <cell r="M444" t="str">
            <v/>
          </cell>
          <cell r="P444" t="str">
            <v/>
          </cell>
          <cell r="Q444" t="str">
            <v/>
          </cell>
        </row>
        <row r="445">
          <cell r="M445" t="str">
            <v/>
          </cell>
          <cell r="P445" t="str">
            <v/>
          </cell>
          <cell r="Q445" t="str">
            <v/>
          </cell>
        </row>
        <row r="446">
          <cell r="M446" t="str">
            <v/>
          </cell>
          <cell r="P446" t="str">
            <v/>
          </cell>
          <cell r="Q446" t="str">
            <v/>
          </cell>
        </row>
        <row r="447">
          <cell r="M447" t="str">
            <v/>
          </cell>
          <cell r="P447" t="str">
            <v/>
          </cell>
          <cell r="Q447" t="str">
            <v/>
          </cell>
        </row>
        <row r="448">
          <cell r="M448" t="str">
            <v/>
          </cell>
          <cell r="P448" t="str">
            <v/>
          </cell>
          <cell r="Q448" t="str">
            <v/>
          </cell>
        </row>
        <row r="449">
          <cell r="M449" t="str">
            <v/>
          </cell>
          <cell r="P449" t="str">
            <v/>
          </cell>
          <cell r="Q449" t="str">
            <v/>
          </cell>
        </row>
        <row r="450">
          <cell r="M450" t="str">
            <v/>
          </cell>
          <cell r="P450" t="str">
            <v/>
          </cell>
          <cell r="Q450" t="str">
            <v/>
          </cell>
        </row>
        <row r="451">
          <cell r="M451" t="str">
            <v/>
          </cell>
          <cell r="P451" t="str">
            <v/>
          </cell>
          <cell r="Q451" t="str">
            <v/>
          </cell>
        </row>
        <row r="452">
          <cell r="M452" t="str">
            <v/>
          </cell>
          <cell r="P452" t="str">
            <v/>
          </cell>
          <cell r="Q452" t="str">
            <v/>
          </cell>
        </row>
        <row r="453">
          <cell r="M453" t="str">
            <v/>
          </cell>
          <cell r="P453" t="str">
            <v/>
          </cell>
          <cell r="Q453" t="str">
            <v/>
          </cell>
        </row>
        <row r="454">
          <cell r="M454" t="str">
            <v/>
          </cell>
          <cell r="P454" t="str">
            <v/>
          </cell>
          <cell r="Q454" t="str">
            <v/>
          </cell>
        </row>
        <row r="455">
          <cell r="M455" t="str">
            <v/>
          </cell>
          <cell r="P455" t="str">
            <v/>
          </cell>
          <cell r="Q455" t="str">
            <v/>
          </cell>
        </row>
        <row r="456">
          <cell r="M456" t="str">
            <v/>
          </cell>
          <cell r="P456" t="str">
            <v/>
          </cell>
          <cell r="Q456" t="str">
            <v/>
          </cell>
        </row>
        <row r="457">
          <cell r="M457" t="str">
            <v/>
          </cell>
          <cell r="P457" t="str">
            <v/>
          </cell>
          <cell r="Q457" t="str">
            <v/>
          </cell>
        </row>
        <row r="458">
          <cell r="M458" t="str">
            <v/>
          </cell>
          <cell r="P458" t="str">
            <v/>
          </cell>
          <cell r="Q458" t="str">
            <v/>
          </cell>
        </row>
        <row r="459">
          <cell r="M459" t="str">
            <v/>
          </cell>
          <cell r="P459" t="str">
            <v/>
          </cell>
          <cell r="Q459" t="str">
            <v/>
          </cell>
        </row>
        <row r="460">
          <cell r="M460" t="str">
            <v/>
          </cell>
          <cell r="P460" t="str">
            <v/>
          </cell>
          <cell r="Q460" t="str">
            <v/>
          </cell>
        </row>
        <row r="461">
          <cell r="M461" t="str">
            <v/>
          </cell>
          <cell r="P461" t="str">
            <v/>
          </cell>
          <cell r="Q461" t="str">
            <v/>
          </cell>
        </row>
        <row r="462">
          <cell r="M462" t="str">
            <v/>
          </cell>
          <cell r="P462" t="str">
            <v/>
          </cell>
          <cell r="Q462" t="str">
            <v/>
          </cell>
        </row>
        <row r="463">
          <cell r="M463" t="str">
            <v/>
          </cell>
          <cell r="P463" t="str">
            <v/>
          </cell>
          <cell r="Q463" t="str">
            <v/>
          </cell>
        </row>
        <row r="464">
          <cell r="M464" t="str">
            <v/>
          </cell>
          <cell r="P464" t="str">
            <v/>
          </cell>
          <cell r="Q464" t="str">
            <v/>
          </cell>
        </row>
        <row r="465">
          <cell r="M465" t="str">
            <v/>
          </cell>
          <cell r="P465" t="str">
            <v/>
          </cell>
          <cell r="Q465" t="str">
            <v/>
          </cell>
        </row>
        <row r="466">
          <cell r="M466" t="str">
            <v/>
          </cell>
          <cell r="P466" t="str">
            <v/>
          </cell>
          <cell r="Q466" t="str">
            <v/>
          </cell>
        </row>
        <row r="469">
          <cell r="J469" t="str">
            <v>TOTALS</v>
          </cell>
          <cell r="K469" t="str">
            <v>-</v>
          </cell>
          <cell r="L469" t="str">
            <v>-</v>
          </cell>
          <cell r="M469" t="str">
            <v>-</v>
          </cell>
          <cell r="N469" t="str">
            <v>-</v>
          </cell>
          <cell r="O469" t="str">
            <v>-</v>
          </cell>
          <cell r="P469">
            <v>332344508.70799994</v>
          </cell>
          <cell r="Q469">
            <v>325246950.7159999</v>
          </cell>
          <cell r="R469">
            <v>2326854</v>
          </cell>
          <cell r="S469">
            <v>2287043</v>
          </cell>
        </row>
        <row r="470">
          <cell r="J470" t="str">
            <v xml:space="preserve">AVERAGE CHARGE PER CHARGEABLE SUPPLY </v>
          </cell>
          <cell r="P470">
            <v>142.82997932315476</v>
          </cell>
          <cell r="Q470">
            <v>142.21287081878211</v>
          </cell>
        </row>
        <row r="471">
          <cell r="J471" t="str">
            <v xml:space="preserve">RATIO OF AVERAGE CHARGES PER CHARGEABLE SUPPLY </v>
          </cell>
        </row>
        <row r="473">
          <cell r="J473" t="str">
            <v>At(1)/At-1(1) = (VI x VII) / (VIII x V) =</v>
          </cell>
          <cell r="N473">
            <v>0.99567941893363687</v>
          </cell>
        </row>
        <row r="476">
          <cell r="B476">
            <v>3</v>
          </cell>
          <cell r="C476" t="str">
            <v>Measured Water</v>
          </cell>
        </row>
        <row r="477">
          <cell r="G477" t="str">
            <v>Standing Charges</v>
          </cell>
          <cell r="K477" t="str">
            <v>Charges(£.p)</v>
          </cell>
          <cell r="N477" t="str">
            <v>Charge</v>
          </cell>
          <cell r="O477" t="str">
            <v>Weighting Year Revenue</v>
          </cell>
        </row>
        <row r="478">
          <cell r="K478" t="str">
            <v>prior</v>
          </cell>
          <cell r="L478" t="str">
            <v>charging</v>
          </cell>
          <cell r="N478" t="str">
            <v>Multiplier</v>
          </cell>
          <cell r="O478" t="str">
            <v>prior</v>
          </cell>
          <cell r="P478" t="str">
            <v>charging</v>
          </cell>
        </row>
        <row r="479">
          <cell r="K479" t="str">
            <v>year</v>
          </cell>
          <cell r="L479" t="str">
            <v>year</v>
          </cell>
          <cell r="O479" t="str">
            <v>year</v>
          </cell>
          <cell r="P479" t="str">
            <v>year</v>
          </cell>
        </row>
        <row r="480">
          <cell r="I480" t="str">
            <v>Line</v>
          </cell>
          <cell r="J480" t="str">
            <v>Description</v>
          </cell>
          <cell r="K480" t="str">
            <v>2004-05</v>
          </cell>
          <cell r="L480" t="str">
            <v>2005-06</v>
          </cell>
          <cell r="M480" t="str">
            <v>% Change</v>
          </cell>
          <cell r="N480" t="str">
            <v>2003-04</v>
          </cell>
          <cell r="O480" t="str">
            <v>2004-05</v>
          </cell>
          <cell r="P480" t="str">
            <v>2005-06</v>
          </cell>
        </row>
        <row r="493">
          <cell r="F493" t="str">
            <v>COMMERCIAL - POTABLE WATER</v>
          </cell>
        </row>
        <row r="494">
          <cell r="H494">
            <v>3.008</v>
          </cell>
          <cell r="I494" t="str">
            <v>MWSC01A</v>
          </cell>
          <cell r="J494" t="str">
            <v>General</v>
          </cell>
          <cell r="M494" t="str">
            <v/>
          </cell>
          <cell r="O494" t="str">
            <v/>
          </cell>
          <cell r="P494" t="str">
            <v/>
          </cell>
          <cell r="Q494" t="str">
            <v>Code</v>
          </cell>
          <cell r="R494" t="str">
            <v>Meter</v>
          </cell>
        </row>
        <row r="495">
          <cell r="H495">
            <v>3.0089999999999999</v>
          </cell>
          <cell r="I495" t="str">
            <v>MWSC01</v>
          </cell>
          <cell r="J495" t="str">
            <v>12/15 mm  (0.5")</v>
          </cell>
          <cell r="K495">
            <v>38</v>
          </cell>
          <cell r="L495">
            <v>38</v>
          </cell>
          <cell r="M495">
            <v>0</v>
          </cell>
          <cell r="N495">
            <v>81660.5</v>
          </cell>
          <cell r="O495">
            <v>3103099</v>
          </cell>
          <cell r="P495">
            <v>3103099</v>
          </cell>
          <cell r="Q495" t="str">
            <v>WCS</v>
          </cell>
          <cell r="R495">
            <v>15</v>
          </cell>
          <cell r="S495">
            <v>81722</v>
          </cell>
          <cell r="T495">
            <v>0</v>
          </cell>
        </row>
        <row r="496">
          <cell r="H496">
            <v>3.01</v>
          </cell>
          <cell r="I496" t="str">
            <v>MWSC02</v>
          </cell>
          <cell r="J496" t="str">
            <v>12/15&amp;20/22 mm (0.5" &amp; 0.75")</v>
          </cell>
          <cell r="M496" t="str">
            <v/>
          </cell>
          <cell r="O496" t="str">
            <v/>
          </cell>
          <cell r="P496" t="str">
            <v/>
          </cell>
        </row>
        <row r="497">
          <cell r="H497">
            <v>3.0110000000000001</v>
          </cell>
          <cell r="I497" t="str">
            <v>MWSC02A</v>
          </cell>
          <cell r="J497" t="str">
            <v>12/15 &amp; 20/22mm (0.5" &amp; 0.75") (Water service only)</v>
          </cell>
          <cell r="M497" t="str">
            <v/>
          </cell>
          <cell r="O497" t="str">
            <v/>
          </cell>
          <cell r="P497" t="str">
            <v/>
          </cell>
        </row>
        <row r="498">
          <cell r="H498">
            <v>3.012</v>
          </cell>
          <cell r="I498" t="str">
            <v>MWSC03</v>
          </cell>
          <cell r="J498" t="str">
            <v>20/22 mm  (0.75")</v>
          </cell>
          <cell r="K498">
            <v>55</v>
          </cell>
          <cell r="L498">
            <v>55</v>
          </cell>
          <cell r="M498">
            <v>0</v>
          </cell>
          <cell r="N498">
            <v>42833</v>
          </cell>
          <cell r="O498">
            <v>2355815</v>
          </cell>
          <cell r="P498">
            <v>2355815</v>
          </cell>
          <cell r="Q498" t="str">
            <v>WCS</v>
          </cell>
          <cell r="R498">
            <v>20</v>
          </cell>
          <cell r="S498">
            <v>42909</v>
          </cell>
          <cell r="T498">
            <v>0</v>
          </cell>
        </row>
        <row r="499">
          <cell r="H499">
            <v>3.0129999999999999</v>
          </cell>
          <cell r="I499" t="str">
            <v>MWSC04</v>
          </cell>
          <cell r="J499" t="str">
            <v>25/28 mm  (1")</v>
          </cell>
          <cell r="K499">
            <v>67</v>
          </cell>
          <cell r="L499">
            <v>67</v>
          </cell>
          <cell r="M499">
            <v>0</v>
          </cell>
          <cell r="N499">
            <v>17086.5</v>
          </cell>
          <cell r="O499">
            <v>1144795.5</v>
          </cell>
          <cell r="P499">
            <v>1144795.5</v>
          </cell>
          <cell r="Q499" t="str">
            <v>WCS</v>
          </cell>
          <cell r="R499">
            <v>25</v>
          </cell>
          <cell r="S499">
            <v>17174</v>
          </cell>
          <cell r="T499">
            <v>0</v>
          </cell>
        </row>
        <row r="500">
          <cell r="H500">
            <v>3.0139999999999998</v>
          </cell>
          <cell r="I500" t="str">
            <v>MWSC05</v>
          </cell>
          <cell r="J500" t="str">
            <v>25/28&amp;30/32/35mm (1" &amp; 1.25")</v>
          </cell>
          <cell r="M500" t="str">
            <v/>
          </cell>
          <cell r="O500" t="str">
            <v/>
          </cell>
          <cell r="P500" t="str">
            <v/>
          </cell>
        </row>
        <row r="501">
          <cell r="H501">
            <v>3.0150000000000001</v>
          </cell>
          <cell r="I501" t="str">
            <v>MWSC06</v>
          </cell>
          <cell r="J501" t="str">
            <v>30/32/35 mm  (1.25")</v>
          </cell>
          <cell r="K501">
            <v>67</v>
          </cell>
          <cell r="L501">
            <v>67</v>
          </cell>
          <cell r="M501">
            <v>0</v>
          </cell>
          <cell r="N501">
            <v>122.5</v>
          </cell>
          <cell r="O501">
            <v>8207.5</v>
          </cell>
          <cell r="P501">
            <v>8207.5</v>
          </cell>
          <cell r="Q501" t="str">
            <v>WCS</v>
          </cell>
          <cell r="R501">
            <v>30</v>
          </cell>
          <cell r="S501">
            <v>123</v>
          </cell>
          <cell r="T501">
            <v>0</v>
          </cell>
        </row>
        <row r="502">
          <cell r="H502">
            <v>3.016</v>
          </cell>
          <cell r="I502" t="str">
            <v>MWSC07</v>
          </cell>
          <cell r="J502" t="str">
            <v>30/32/35&amp;40/42mm (1.25"&amp;1.5")</v>
          </cell>
          <cell r="M502" t="str">
            <v/>
          </cell>
          <cell r="O502" t="str">
            <v/>
          </cell>
          <cell r="P502" t="str">
            <v/>
          </cell>
        </row>
        <row r="503">
          <cell r="H503">
            <v>3.0169999999999999</v>
          </cell>
          <cell r="I503" t="str">
            <v>MWSC08</v>
          </cell>
          <cell r="J503" t="str">
            <v>40/42 mm  (1.5")</v>
          </cell>
          <cell r="K503">
            <v>93</v>
          </cell>
          <cell r="L503">
            <v>93</v>
          </cell>
          <cell r="M503">
            <v>0</v>
          </cell>
          <cell r="N503">
            <v>3857.5</v>
          </cell>
          <cell r="O503">
            <v>358747.5</v>
          </cell>
          <cell r="P503">
            <v>358747.5</v>
          </cell>
          <cell r="Q503" t="str">
            <v>WCS</v>
          </cell>
          <cell r="R503">
            <v>40</v>
          </cell>
          <cell r="S503">
            <v>3954</v>
          </cell>
          <cell r="T503">
            <v>0</v>
          </cell>
        </row>
        <row r="504">
          <cell r="H504">
            <v>3.0179999999999998</v>
          </cell>
          <cell r="I504" t="str">
            <v>MWSC09</v>
          </cell>
          <cell r="J504" t="str">
            <v>50/54 mm  (2")</v>
          </cell>
          <cell r="K504">
            <v>140</v>
          </cell>
          <cell r="L504">
            <v>140</v>
          </cell>
          <cell r="M504">
            <v>0</v>
          </cell>
          <cell r="N504">
            <v>2195.5</v>
          </cell>
          <cell r="O504">
            <v>307370</v>
          </cell>
          <cell r="P504">
            <v>307370</v>
          </cell>
          <cell r="Q504" t="str">
            <v>WCS</v>
          </cell>
          <cell r="R504">
            <v>50</v>
          </cell>
          <cell r="S504">
            <v>2311</v>
          </cell>
          <cell r="T504">
            <v>0</v>
          </cell>
        </row>
        <row r="505">
          <cell r="H505">
            <v>3.0190000000000001</v>
          </cell>
          <cell r="I505" t="str">
            <v>MWSC09S</v>
          </cell>
          <cell r="J505" t="str">
            <v>Standby tariff - meter size 50/54mm (2")</v>
          </cell>
          <cell r="M505" t="str">
            <v/>
          </cell>
          <cell r="O505" t="str">
            <v/>
          </cell>
          <cell r="P505" t="str">
            <v/>
          </cell>
        </row>
        <row r="506">
          <cell r="H506">
            <v>3.02</v>
          </cell>
          <cell r="I506" t="str">
            <v>MWSC10</v>
          </cell>
          <cell r="J506" t="str">
            <v>50/54 &amp; 65 mm  (2" &amp; 2.5")</v>
          </cell>
          <cell r="M506" t="str">
            <v/>
          </cell>
          <cell r="O506" t="str">
            <v/>
          </cell>
          <cell r="P506" t="str">
            <v/>
          </cell>
        </row>
        <row r="507">
          <cell r="H507">
            <v>3.0209999999999999</v>
          </cell>
          <cell r="I507" t="str">
            <v>MWSC11</v>
          </cell>
          <cell r="J507" t="str">
            <v>65 mm  (2.5")</v>
          </cell>
          <cell r="M507" t="str">
            <v/>
          </cell>
          <cell r="O507" t="str">
            <v/>
          </cell>
          <cell r="P507" t="str">
            <v/>
          </cell>
        </row>
        <row r="508">
          <cell r="H508">
            <v>3.0219999999999998</v>
          </cell>
          <cell r="I508" t="str">
            <v>MWSC12</v>
          </cell>
          <cell r="J508" t="str">
            <v>75/80 mm  (3")</v>
          </cell>
          <cell r="K508">
            <v>458</v>
          </cell>
          <cell r="L508">
            <v>458</v>
          </cell>
          <cell r="M508">
            <v>0</v>
          </cell>
          <cell r="N508">
            <v>879</v>
          </cell>
          <cell r="O508">
            <v>402582</v>
          </cell>
          <cell r="P508">
            <v>402582</v>
          </cell>
          <cell r="Q508" t="str">
            <v>WCS</v>
          </cell>
          <cell r="R508">
            <v>80</v>
          </cell>
          <cell r="S508">
            <v>1055</v>
          </cell>
          <cell r="T508">
            <v>0</v>
          </cell>
        </row>
        <row r="509">
          <cell r="H509">
            <v>3.0230000000000001</v>
          </cell>
          <cell r="I509" t="str">
            <v>MWSC12S</v>
          </cell>
          <cell r="J509" t="str">
            <v>Standby tariff - meter size 75/80mm (3")</v>
          </cell>
          <cell r="M509" t="str">
            <v/>
          </cell>
          <cell r="O509" t="str">
            <v/>
          </cell>
          <cell r="P509" t="str">
            <v/>
          </cell>
        </row>
        <row r="510">
          <cell r="H510">
            <v>3.024</v>
          </cell>
          <cell r="I510" t="str">
            <v>MWSC13</v>
          </cell>
          <cell r="J510" t="str">
            <v>100 mm  (4")</v>
          </cell>
          <cell r="K510">
            <v>783</v>
          </cell>
          <cell r="L510">
            <v>783</v>
          </cell>
          <cell r="M510">
            <v>0</v>
          </cell>
          <cell r="N510">
            <v>337</v>
          </cell>
          <cell r="O510">
            <v>263871</v>
          </cell>
          <cell r="P510">
            <v>263871</v>
          </cell>
          <cell r="Q510" t="str">
            <v>WCS</v>
          </cell>
          <cell r="R510">
            <v>100</v>
          </cell>
          <cell r="S510">
            <v>499</v>
          </cell>
          <cell r="T510">
            <v>0</v>
          </cell>
        </row>
        <row r="511">
          <cell r="H511">
            <v>3.0249999999999999</v>
          </cell>
          <cell r="I511" t="str">
            <v>MWSC13S</v>
          </cell>
          <cell r="J511" t="str">
            <v>Standby tariff - meter size 100mm (4")</v>
          </cell>
          <cell r="M511" t="str">
            <v/>
          </cell>
          <cell r="O511" t="str">
            <v/>
          </cell>
          <cell r="P511" t="str">
            <v/>
          </cell>
        </row>
        <row r="512">
          <cell r="H512">
            <v>3.0259999999999998</v>
          </cell>
          <cell r="I512" t="str">
            <v>MWSC15</v>
          </cell>
          <cell r="J512" t="str">
            <v>125 mm  (5")</v>
          </cell>
          <cell r="M512" t="str">
            <v/>
          </cell>
          <cell r="O512" t="str">
            <v/>
          </cell>
          <cell r="P512" t="str">
            <v/>
          </cell>
        </row>
        <row r="513">
          <cell r="H513">
            <v>3.0270000000000001</v>
          </cell>
          <cell r="I513" t="str">
            <v>MWSC16</v>
          </cell>
          <cell r="J513" t="str">
            <v>125 &amp; 150 mm  (5" &amp; 6 ")</v>
          </cell>
          <cell r="M513" t="str">
            <v/>
          </cell>
          <cell r="O513" t="str">
            <v/>
          </cell>
          <cell r="P513" t="str">
            <v/>
          </cell>
        </row>
        <row r="514">
          <cell r="H514">
            <v>3.028</v>
          </cell>
          <cell r="I514" t="str">
            <v>MWSC17</v>
          </cell>
          <cell r="J514" t="str">
            <v>150 mm  (6")</v>
          </cell>
          <cell r="K514">
            <v>1342</v>
          </cell>
          <cell r="L514">
            <v>1342</v>
          </cell>
          <cell r="M514">
            <v>0</v>
          </cell>
          <cell r="N514">
            <v>42</v>
          </cell>
          <cell r="O514">
            <v>56364</v>
          </cell>
          <cell r="P514">
            <v>56364</v>
          </cell>
          <cell r="Q514" t="str">
            <v>WCS</v>
          </cell>
          <cell r="R514">
            <v>150</v>
          </cell>
          <cell r="S514">
            <v>148</v>
          </cell>
          <cell r="T514">
            <v>0</v>
          </cell>
        </row>
        <row r="515">
          <cell r="H515">
            <v>3.0289999999999999</v>
          </cell>
          <cell r="I515" t="str">
            <v>MWSC17S</v>
          </cell>
          <cell r="J515" t="str">
            <v>Standby tariff - meter size 150mm (6")</v>
          </cell>
          <cell r="M515" t="str">
            <v/>
          </cell>
          <cell r="O515" t="str">
            <v/>
          </cell>
          <cell r="P515" t="str">
            <v/>
          </cell>
        </row>
        <row r="516">
          <cell r="H516">
            <v>3.03</v>
          </cell>
          <cell r="I516" t="str">
            <v>MWSC17A</v>
          </cell>
          <cell r="J516" t="str">
            <v>&gt; = 150 mm (&gt; = 6")</v>
          </cell>
          <cell r="M516" t="str">
            <v/>
          </cell>
          <cell r="O516" t="str">
            <v/>
          </cell>
          <cell r="P516" t="str">
            <v/>
          </cell>
        </row>
        <row r="517">
          <cell r="H517">
            <v>3.0310000000000001</v>
          </cell>
          <cell r="I517" t="str">
            <v>MWSC18S</v>
          </cell>
          <cell r="J517" t="str">
            <v>Standby tariff-meter size &gt;= 150mm</v>
          </cell>
          <cell r="M517" t="str">
            <v/>
          </cell>
          <cell r="O517" t="str">
            <v/>
          </cell>
          <cell r="P517" t="str">
            <v/>
          </cell>
        </row>
        <row r="518">
          <cell r="H518">
            <v>3.032</v>
          </cell>
          <cell r="I518" t="str">
            <v>MWSC18</v>
          </cell>
          <cell r="J518" t="str">
            <v>&gt; 150 mm  (&gt; 6")</v>
          </cell>
          <cell r="M518" t="str">
            <v/>
          </cell>
          <cell r="O518" t="str">
            <v/>
          </cell>
          <cell r="P518" t="str">
            <v/>
          </cell>
        </row>
        <row r="519">
          <cell r="H519">
            <v>3.0329999999999999</v>
          </cell>
          <cell r="I519" t="str">
            <v>MWSC19</v>
          </cell>
          <cell r="J519" t="str">
            <v>200 mm  (8")</v>
          </cell>
          <cell r="K519">
            <v>1342</v>
          </cell>
          <cell r="L519">
            <v>1342</v>
          </cell>
          <cell r="M519">
            <v>0</v>
          </cell>
          <cell r="N519">
            <v>2</v>
          </cell>
          <cell r="O519">
            <v>2684</v>
          </cell>
          <cell r="P519">
            <v>2684</v>
          </cell>
          <cell r="Q519" t="str">
            <v>WCS</v>
          </cell>
          <cell r="R519">
            <v>200</v>
          </cell>
          <cell r="S519">
            <v>19</v>
          </cell>
          <cell r="T519">
            <v>0</v>
          </cell>
        </row>
        <row r="520">
          <cell r="H520">
            <v>3.0339999999999998</v>
          </cell>
          <cell r="I520" t="str">
            <v>MWSC20</v>
          </cell>
          <cell r="J520" t="str">
            <v>&gt; = 200 mm  (&gt; = 8")</v>
          </cell>
          <cell r="M520" t="str">
            <v/>
          </cell>
          <cell r="O520" t="str">
            <v/>
          </cell>
          <cell r="P520" t="str">
            <v/>
          </cell>
        </row>
        <row r="521">
          <cell r="H521">
            <v>3.0350000000000001</v>
          </cell>
          <cell r="I521" t="str">
            <v>MWSC21</v>
          </cell>
          <cell r="J521" t="str">
            <v>250 mm  (10")</v>
          </cell>
          <cell r="K521">
            <v>1342</v>
          </cell>
          <cell r="L521">
            <v>1342</v>
          </cell>
          <cell r="M521">
            <v>0</v>
          </cell>
          <cell r="N521">
            <v>0</v>
          </cell>
          <cell r="O521">
            <v>0</v>
          </cell>
          <cell r="P521">
            <v>0</v>
          </cell>
          <cell r="Q521" t="str">
            <v>WCS</v>
          </cell>
          <cell r="R521">
            <v>250</v>
          </cell>
          <cell r="S521">
            <v>1</v>
          </cell>
          <cell r="T521">
            <v>0</v>
          </cell>
        </row>
        <row r="522">
          <cell r="H522">
            <v>3.036</v>
          </cell>
          <cell r="I522" t="str">
            <v>MWSC22</v>
          </cell>
          <cell r="J522" t="str">
            <v>&gt; = 250 mm  (&gt; = 10")</v>
          </cell>
          <cell r="M522" t="str">
            <v/>
          </cell>
          <cell r="O522" t="str">
            <v/>
          </cell>
          <cell r="P522" t="str">
            <v/>
          </cell>
        </row>
        <row r="523">
          <cell r="H523">
            <v>3.0369999999999999</v>
          </cell>
          <cell r="I523" t="str">
            <v>MWSC23</v>
          </cell>
          <cell r="J523" t="str">
            <v>300 mm  (12")</v>
          </cell>
          <cell r="M523" t="str">
            <v/>
          </cell>
          <cell r="O523" t="str">
            <v/>
          </cell>
          <cell r="P523" t="str">
            <v/>
          </cell>
        </row>
        <row r="524">
          <cell r="H524">
            <v>3.0379999999999998</v>
          </cell>
          <cell r="I524" t="str">
            <v>MWSC24</v>
          </cell>
          <cell r="J524" t="str">
            <v>&gt; = 300 mm  (&gt; = 12")</v>
          </cell>
          <cell r="K524">
            <v>1342</v>
          </cell>
          <cell r="L524">
            <v>1342</v>
          </cell>
          <cell r="M524">
            <v>0</v>
          </cell>
          <cell r="N524">
            <v>2</v>
          </cell>
          <cell r="O524">
            <v>2684</v>
          </cell>
          <cell r="P524">
            <v>2684</v>
          </cell>
          <cell r="Q524" t="str">
            <v>WCS</v>
          </cell>
          <cell r="R524">
            <v>300</v>
          </cell>
          <cell r="S524">
            <v>9</v>
          </cell>
          <cell r="T524">
            <v>0</v>
          </cell>
        </row>
        <row r="525">
          <cell r="H525">
            <v>3.0390000000000001</v>
          </cell>
          <cell r="I525" t="str">
            <v>MWSC26</v>
          </cell>
          <cell r="J525" t="str">
            <v>80 mm RP&amp; 50 mminf (3RP&amp;2"inf)</v>
          </cell>
          <cell r="M525" t="str">
            <v/>
          </cell>
          <cell r="O525" t="str">
            <v/>
          </cell>
          <cell r="P525" t="str">
            <v/>
          </cell>
        </row>
        <row r="526">
          <cell r="H526">
            <v>3.04</v>
          </cell>
          <cell r="I526" t="str">
            <v>MWSC27</v>
          </cell>
          <cell r="J526" t="str">
            <v>100 mm RP&amp;80mm inf (4RP&amp;3"inf)</v>
          </cell>
          <cell r="M526" t="str">
            <v/>
          </cell>
          <cell r="O526" t="str">
            <v/>
          </cell>
          <cell r="P526" t="str">
            <v/>
          </cell>
        </row>
        <row r="527">
          <cell r="H527">
            <v>3.0409999999999999</v>
          </cell>
          <cell r="I527" t="str">
            <v>MWSC28</v>
          </cell>
          <cell r="J527" t="str">
            <v>150mm RP&amp;100mminf (6RP&amp;4"inf)</v>
          </cell>
          <cell r="M527" t="str">
            <v/>
          </cell>
          <cell r="O527" t="str">
            <v/>
          </cell>
          <cell r="P527" t="str">
            <v/>
          </cell>
        </row>
        <row r="528">
          <cell r="H528">
            <v>3.0419999999999998</v>
          </cell>
          <cell r="I528" t="str">
            <v>MWSC28A</v>
          </cell>
          <cell r="J528" t="str">
            <v>200mm RP&amp;150mminf (8RP&amp;6"inf)</v>
          </cell>
          <cell r="M528" t="str">
            <v/>
          </cell>
          <cell r="O528" t="str">
            <v/>
          </cell>
          <cell r="P528" t="str">
            <v/>
          </cell>
        </row>
        <row r="529">
          <cell r="H529">
            <v>3.0430000000000001</v>
          </cell>
          <cell r="I529" t="str">
            <v>MWSC28B</v>
          </cell>
          <cell r="J529" t="str">
            <v>200 mm inf (8"inf)</v>
          </cell>
          <cell r="M529" t="str">
            <v/>
          </cell>
          <cell r="O529" t="str">
            <v/>
          </cell>
          <cell r="P529" t="str">
            <v/>
          </cell>
        </row>
        <row r="530">
          <cell r="H530">
            <v>3.044</v>
          </cell>
          <cell r="I530" t="str">
            <v>MWSC28C</v>
          </cell>
          <cell r="J530" t="str">
            <v>250 mm inf (10" inf)</v>
          </cell>
          <cell r="M530" t="str">
            <v/>
          </cell>
          <cell r="O530" t="str">
            <v/>
          </cell>
          <cell r="P530" t="str">
            <v/>
          </cell>
        </row>
        <row r="531">
          <cell r="H531">
            <v>3.0449999999999999</v>
          </cell>
          <cell r="I531" t="str">
            <v>MWSC29A</v>
          </cell>
          <cell r="J531" t="str">
            <v>Streamline Green (potable)</v>
          </cell>
          <cell r="M531" t="str">
            <v/>
          </cell>
          <cell r="O531" t="str">
            <v/>
          </cell>
          <cell r="P531" t="str">
            <v/>
          </cell>
        </row>
        <row r="532">
          <cell r="H532">
            <v>3.0459999999999998</v>
          </cell>
          <cell r="I532" t="str">
            <v>MWSC29AA</v>
          </cell>
          <cell r="J532" t="str">
            <v>Streamline Orange (Potable)</v>
          </cell>
          <cell r="M532" t="str">
            <v/>
          </cell>
          <cell r="O532" t="str">
            <v/>
          </cell>
          <cell r="P532" t="str">
            <v/>
          </cell>
        </row>
        <row r="533">
          <cell r="H533">
            <v>3.0470000000000002</v>
          </cell>
          <cell r="I533" t="str">
            <v>MWSC29B</v>
          </cell>
          <cell r="J533" t="str">
            <v>Streamline Blue (potable)</v>
          </cell>
          <cell r="M533" t="str">
            <v/>
          </cell>
          <cell r="O533" t="str">
            <v/>
          </cell>
          <cell r="P533" t="str">
            <v/>
          </cell>
        </row>
        <row r="534">
          <cell r="H534">
            <v>3.048</v>
          </cell>
          <cell r="I534" t="str">
            <v>MWSC29C</v>
          </cell>
          <cell r="J534" t="str">
            <v>Streamline Industrial (potable)</v>
          </cell>
          <cell r="M534" t="str">
            <v/>
          </cell>
          <cell r="O534" t="str">
            <v/>
          </cell>
          <cell r="P534" t="str">
            <v/>
          </cell>
        </row>
        <row r="535">
          <cell r="H535">
            <v>3.0489999999999999</v>
          </cell>
          <cell r="I535" t="str">
            <v>MWSC29CA</v>
          </cell>
          <cell r="J535" t="str">
            <v>Streamline Industrial MDD (potable)</v>
          </cell>
          <cell r="M535" t="str">
            <v/>
          </cell>
          <cell r="O535" t="str">
            <v/>
          </cell>
          <cell r="P535" t="str">
            <v/>
          </cell>
        </row>
        <row r="536">
          <cell r="H536">
            <v>3.05</v>
          </cell>
          <cell r="I536" t="str">
            <v>MWSC29D</v>
          </cell>
          <cell r="J536" t="str">
            <v>Streamline Industrial Interruptible (potable)</v>
          </cell>
          <cell r="M536" t="str">
            <v/>
          </cell>
          <cell r="O536" t="str">
            <v/>
          </cell>
          <cell r="P536" t="str">
            <v/>
          </cell>
        </row>
        <row r="537">
          <cell r="H537">
            <v>3.0510000000000002</v>
          </cell>
          <cell r="I537" t="str">
            <v>MWSC29DA</v>
          </cell>
          <cell r="J537" t="str">
            <v>Strreamline Interruptible MDD</v>
          </cell>
          <cell r="M537" t="str">
            <v/>
          </cell>
          <cell r="O537" t="str">
            <v/>
          </cell>
          <cell r="P537" t="str">
            <v/>
          </cell>
        </row>
        <row r="538">
          <cell r="H538">
            <v>3.052</v>
          </cell>
          <cell r="I538" t="str">
            <v>MWSC29E</v>
          </cell>
          <cell r="J538" t="str">
            <v>Streamline Industrial Plus (potable)</v>
          </cell>
          <cell r="M538" t="str">
            <v/>
          </cell>
          <cell r="O538" t="str">
            <v/>
          </cell>
          <cell r="P538" t="str">
            <v/>
          </cell>
        </row>
        <row r="539">
          <cell r="H539">
            <v>3.0529999999999999</v>
          </cell>
          <cell r="I539" t="str">
            <v>MWSC82</v>
          </cell>
          <cell r="J539" t="str">
            <v>Large user</v>
          </cell>
          <cell r="M539" t="str">
            <v/>
          </cell>
          <cell r="O539" t="str">
            <v/>
          </cell>
          <cell r="P539" t="str">
            <v/>
          </cell>
        </row>
        <row r="540">
          <cell r="H540">
            <v>3.0539999999999998</v>
          </cell>
          <cell r="I540" t="str">
            <v>MWSC82a</v>
          </cell>
          <cell r="J540" t="str">
            <v>Large user - &gt;10 Ml</v>
          </cell>
          <cell r="M540" t="str">
            <v/>
          </cell>
          <cell r="O540" t="str">
            <v/>
          </cell>
          <cell r="P540" t="str">
            <v/>
          </cell>
        </row>
        <row r="541">
          <cell r="H541">
            <v>3.0550000000000002</v>
          </cell>
          <cell r="I541" t="str">
            <v>MWSC82A</v>
          </cell>
          <cell r="J541" t="str">
            <v>Large user - &gt;50 Ml</v>
          </cell>
          <cell r="K541">
            <v>7150</v>
          </cell>
          <cell r="L541">
            <v>7150</v>
          </cell>
          <cell r="M541">
            <v>0</v>
          </cell>
          <cell r="N541">
            <v>79</v>
          </cell>
          <cell r="O541">
            <v>564850</v>
          </cell>
          <cell r="P541">
            <v>564850</v>
          </cell>
          <cell r="Q541" t="str">
            <v>WCS</v>
          </cell>
          <cell r="R541">
            <v>375</v>
          </cell>
          <cell r="S541">
            <v>1</v>
          </cell>
          <cell r="T541">
            <v>0</v>
          </cell>
        </row>
        <row r="542">
          <cell r="H542">
            <v>3.056</v>
          </cell>
          <cell r="I542" t="str">
            <v>MWSC82AB</v>
          </cell>
          <cell r="J542" t="str">
            <v>Option 100</v>
          </cell>
          <cell r="M542" t="str">
            <v/>
          </cell>
          <cell r="O542" t="str">
            <v/>
          </cell>
          <cell r="P542" t="str">
            <v/>
          </cell>
        </row>
        <row r="543">
          <cell r="H543">
            <v>3.0569999999999999</v>
          </cell>
          <cell r="I543" t="str">
            <v>MWSC82G</v>
          </cell>
          <cell r="J543" t="str">
            <v>Large user - &gt;50 Ml (Suffolk)</v>
          </cell>
          <cell r="M543" t="str">
            <v/>
          </cell>
          <cell r="O543" t="str">
            <v/>
          </cell>
          <cell r="P543" t="str">
            <v/>
          </cell>
        </row>
        <row r="544">
          <cell r="H544">
            <v>3.0579999999999998</v>
          </cell>
          <cell r="I544" t="str">
            <v>MWSC84</v>
          </cell>
          <cell r="J544" t="str">
            <v>Large user supplement</v>
          </cell>
          <cell r="M544" t="str">
            <v/>
          </cell>
          <cell r="O544" t="str">
            <v/>
          </cell>
          <cell r="P544" t="str">
            <v/>
          </cell>
        </row>
        <row r="545">
          <cell r="H545">
            <v>3.0590000000000002</v>
          </cell>
          <cell r="I545" t="str">
            <v>MWSC85</v>
          </cell>
          <cell r="J545" t="str">
            <v>Large user supplement (20 - 50Ml)</v>
          </cell>
          <cell r="M545" t="str">
            <v/>
          </cell>
          <cell r="O545" t="str">
            <v/>
          </cell>
          <cell r="P545" t="str">
            <v/>
          </cell>
        </row>
        <row r="546">
          <cell r="H546">
            <v>3.06</v>
          </cell>
          <cell r="I546" t="str">
            <v>MWSC86</v>
          </cell>
          <cell r="J546" t="str">
            <v>Large user supplement (50 - 100Ml)</v>
          </cell>
          <cell r="M546" t="str">
            <v/>
          </cell>
          <cell r="O546" t="str">
            <v/>
          </cell>
          <cell r="P546" t="str">
            <v/>
          </cell>
        </row>
        <row r="547">
          <cell r="H547">
            <v>3.0609999999999999</v>
          </cell>
          <cell r="I547" t="str">
            <v>MWSC88A</v>
          </cell>
          <cell r="J547" t="str">
            <v>Saffron Walden Meter size 12/15mm (0.5")</v>
          </cell>
          <cell r="M547" t="str">
            <v/>
          </cell>
          <cell r="O547" t="str">
            <v/>
          </cell>
          <cell r="P547" t="str">
            <v/>
          </cell>
        </row>
        <row r="548">
          <cell r="H548">
            <v>3.0619999999999998</v>
          </cell>
          <cell r="I548" t="str">
            <v>MWSC88B</v>
          </cell>
          <cell r="J548" t="str">
            <v>Saffron Walden Meter size 20/22 mm (0.75")</v>
          </cell>
          <cell r="M548" t="str">
            <v/>
          </cell>
          <cell r="O548" t="str">
            <v/>
          </cell>
          <cell r="P548" t="str">
            <v/>
          </cell>
        </row>
        <row r="549">
          <cell r="H549">
            <v>3.0630000000000002</v>
          </cell>
          <cell r="I549" t="str">
            <v>MWSC88C</v>
          </cell>
          <cell r="J549" t="str">
            <v>Saffron Walden Meter size 25/28 mm (1")</v>
          </cell>
          <cell r="M549" t="str">
            <v/>
          </cell>
          <cell r="O549" t="str">
            <v/>
          </cell>
          <cell r="P549" t="str">
            <v/>
          </cell>
        </row>
        <row r="550">
          <cell r="H550">
            <v>3.0640000000000001</v>
          </cell>
          <cell r="I550" t="str">
            <v>MWSC88D</v>
          </cell>
          <cell r="J550" t="str">
            <v>Saffron Walden Meter size 30/32/35 mm (1.25")</v>
          </cell>
          <cell r="M550" t="str">
            <v/>
          </cell>
          <cell r="O550" t="str">
            <v/>
          </cell>
          <cell r="P550" t="str">
            <v/>
          </cell>
        </row>
        <row r="551">
          <cell r="H551">
            <v>3.0649999999999999</v>
          </cell>
          <cell r="I551" t="str">
            <v>MWSC88E</v>
          </cell>
          <cell r="J551" t="str">
            <v>Saffron Walden Meter size 40/42 mm (1.5")</v>
          </cell>
          <cell r="M551" t="str">
            <v/>
          </cell>
          <cell r="O551" t="str">
            <v/>
          </cell>
          <cell r="P551" t="str">
            <v/>
          </cell>
        </row>
        <row r="552">
          <cell r="H552">
            <v>3.0659999999999998</v>
          </cell>
          <cell r="I552" t="str">
            <v>MWSC88F</v>
          </cell>
          <cell r="J552" t="str">
            <v>Saffron walden Meter size 50/54 mm (2")</v>
          </cell>
          <cell r="M552" t="str">
            <v/>
          </cell>
          <cell r="O552" t="str">
            <v/>
          </cell>
          <cell r="P552" t="str">
            <v/>
          </cell>
        </row>
        <row r="553">
          <cell r="H553">
            <v>3.0670000000000002</v>
          </cell>
          <cell r="I553" t="str">
            <v>MWSC88G</v>
          </cell>
          <cell r="J553" t="str">
            <v>Saffron Walden Meter size 75/80 mm (3")</v>
          </cell>
          <cell r="M553" t="str">
            <v/>
          </cell>
          <cell r="O553" t="str">
            <v/>
          </cell>
          <cell r="P553" t="str">
            <v/>
          </cell>
        </row>
        <row r="554">
          <cell r="H554">
            <v>3.0680000000000001</v>
          </cell>
          <cell r="I554" t="str">
            <v>MWSC88H</v>
          </cell>
          <cell r="J554" t="str">
            <v>Saffron Walden Meter size 100 mm (4")</v>
          </cell>
          <cell r="M554" t="str">
            <v/>
          </cell>
          <cell r="O554" t="str">
            <v/>
          </cell>
          <cell r="P554" t="str">
            <v/>
          </cell>
        </row>
        <row r="555">
          <cell r="H555">
            <v>3.069</v>
          </cell>
          <cell r="I555" t="str">
            <v>MWSC88I</v>
          </cell>
          <cell r="J555" t="str">
            <v>Saffron Walden Meter size 150 mm (6")</v>
          </cell>
          <cell r="M555" t="str">
            <v/>
          </cell>
          <cell r="O555" t="str">
            <v/>
          </cell>
          <cell r="P555" t="str">
            <v/>
          </cell>
        </row>
        <row r="556">
          <cell r="H556">
            <v>3.07</v>
          </cell>
          <cell r="I556" t="str">
            <v>MWSC88J</v>
          </cell>
          <cell r="J556" t="str">
            <v>Saffron Walden Meter size 200 mm (8")</v>
          </cell>
          <cell r="M556" t="str">
            <v/>
          </cell>
          <cell r="O556" t="str">
            <v/>
          </cell>
          <cell r="P556" t="str">
            <v/>
          </cell>
        </row>
        <row r="557">
          <cell r="H557">
            <v>3.0710000000000002</v>
          </cell>
          <cell r="I557" t="str">
            <v>MWSC88K</v>
          </cell>
          <cell r="J557" t="str">
            <v>Saffron Walden Meter size &gt;=250 mm (&gt;=10")</v>
          </cell>
          <cell r="M557" t="str">
            <v/>
          </cell>
          <cell r="O557" t="str">
            <v/>
          </cell>
          <cell r="P557" t="str">
            <v/>
          </cell>
        </row>
        <row r="558">
          <cell r="H558">
            <v>3.0720000000000001</v>
          </cell>
          <cell r="I558" t="str">
            <v>MWSC90A</v>
          </cell>
          <cell r="J558" t="str">
            <v>Inset (Rate A) - meter size 12/15mm (0.5")</v>
          </cell>
          <cell r="M558" t="str">
            <v/>
          </cell>
          <cell r="O558" t="str">
            <v/>
          </cell>
          <cell r="P558" t="str">
            <v/>
          </cell>
        </row>
        <row r="559">
          <cell r="H559">
            <v>3.073</v>
          </cell>
          <cell r="I559" t="str">
            <v>MWSC90B</v>
          </cell>
          <cell r="J559" t="str">
            <v>Inset (Rate A) - meter size 20/22mm (0.75")</v>
          </cell>
          <cell r="M559" t="str">
            <v/>
          </cell>
          <cell r="O559" t="str">
            <v/>
          </cell>
          <cell r="P559" t="str">
            <v/>
          </cell>
        </row>
        <row r="560">
          <cell r="H560">
            <v>3.0739999999999998</v>
          </cell>
          <cell r="I560" t="str">
            <v>MWSC90C</v>
          </cell>
          <cell r="J560" t="str">
            <v>Inset (Rate A) - meter size 25/28mm (1")</v>
          </cell>
          <cell r="M560" t="str">
            <v/>
          </cell>
          <cell r="O560" t="str">
            <v/>
          </cell>
          <cell r="P560" t="str">
            <v/>
          </cell>
        </row>
        <row r="561">
          <cell r="H561">
            <v>3.0750000000000002</v>
          </cell>
          <cell r="I561" t="str">
            <v>MWSC90D</v>
          </cell>
          <cell r="J561" t="str">
            <v>Inset (Rate A) - meter size 30/32/35mm (1.25")</v>
          </cell>
          <cell r="M561" t="str">
            <v/>
          </cell>
          <cell r="O561" t="str">
            <v/>
          </cell>
          <cell r="P561" t="str">
            <v/>
          </cell>
        </row>
        <row r="562">
          <cell r="H562">
            <v>3.0760000000000001</v>
          </cell>
          <cell r="I562" t="str">
            <v>MWSC90E</v>
          </cell>
          <cell r="J562" t="str">
            <v>Inset (Rate A) - meter size 40/42mm (1.5")</v>
          </cell>
          <cell r="M562" t="str">
            <v/>
          </cell>
          <cell r="O562" t="str">
            <v/>
          </cell>
          <cell r="P562" t="str">
            <v/>
          </cell>
        </row>
        <row r="563">
          <cell r="H563">
            <v>3.077</v>
          </cell>
          <cell r="I563" t="str">
            <v>MWSC90F</v>
          </cell>
          <cell r="J563" t="str">
            <v>Inset (Rate A) - meter size 50/54mm (2")</v>
          </cell>
          <cell r="M563" t="str">
            <v/>
          </cell>
          <cell r="O563" t="str">
            <v/>
          </cell>
          <cell r="P563" t="str">
            <v/>
          </cell>
        </row>
        <row r="564">
          <cell r="H564">
            <v>3.0779999999999998</v>
          </cell>
          <cell r="I564" t="str">
            <v>MWSC90G</v>
          </cell>
          <cell r="J564" t="str">
            <v>Inset (Rate A) - meter size 65mm (2.5")</v>
          </cell>
          <cell r="M564" t="str">
            <v/>
          </cell>
          <cell r="O564" t="str">
            <v/>
          </cell>
          <cell r="P564" t="str">
            <v/>
          </cell>
        </row>
        <row r="565">
          <cell r="H565">
            <v>3.0790000000000002</v>
          </cell>
          <cell r="I565" t="str">
            <v>MWSC90H</v>
          </cell>
          <cell r="J565" t="str">
            <v>Inset (Rate A) - meter size 75/80mm (3")</v>
          </cell>
          <cell r="M565" t="str">
            <v/>
          </cell>
          <cell r="O565" t="str">
            <v/>
          </cell>
          <cell r="P565" t="str">
            <v/>
          </cell>
        </row>
        <row r="566">
          <cell r="H566">
            <v>3.08</v>
          </cell>
          <cell r="I566" t="str">
            <v>MWSC90I</v>
          </cell>
          <cell r="J566" t="str">
            <v>Inset (Rate A) - meter size 100mm (4")</v>
          </cell>
          <cell r="M566" t="str">
            <v/>
          </cell>
          <cell r="O566" t="str">
            <v/>
          </cell>
          <cell r="P566" t="str">
            <v/>
          </cell>
        </row>
        <row r="567">
          <cell r="H567">
            <v>3.081</v>
          </cell>
          <cell r="I567" t="str">
            <v>MWSC90J</v>
          </cell>
          <cell r="J567" t="str">
            <v>Inset (Rate A) - meter size 125mm (5")</v>
          </cell>
          <cell r="M567" t="str">
            <v/>
          </cell>
          <cell r="O567" t="str">
            <v/>
          </cell>
          <cell r="P567" t="str">
            <v/>
          </cell>
        </row>
        <row r="568">
          <cell r="H568">
            <v>3.0819999999999999</v>
          </cell>
          <cell r="I568" t="str">
            <v>MWSC90K</v>
          </cell>
          <cell r="J568" t="str">
            <v>Inset (Rate A) - meter size 150mm (6")</v>
          </cell>
          <cell r="M568" t="str">
            <v/>
          </cell>
          <cell r="O568" t="str">
            <v/>
          </cell>
          <cell r="P568" t="str">
            <v/>
          </cell>
        </row>
        <row r="569">
          <cell r="H569">
            <v>3.0830000000000002</v>
          </cell>
          <cell r="I569" t="str">
            <v>MWSC90L</v>
          </cell>
          <cell r="J569" t="str">
            <v>Inset (Rate A) - meter size 200mm (8")</v>
          </cell>
          <cell r="M569" t="str">
            <v/>
          </cell>
          <cell r="O569" t="str">
            <v/>
          </cell>
          <cell r="P569" t="str">
            <v/>
          </cell>
        </row>
        <row r="570">
          <cell r="H570">
            <v>3.0840000000000001</v>
          </cell>
          <cell r="I570" t="str">
            <v>MWSC91A</v>
          </cell>
          <cell r="J570" t="str">
            <v>Inset (Rate B) - meter size 12/15mm (0.5")</v>
          </cell>
          <cell r="M570" t="str">
            <v/>
          </cell>
          <cell r="O570" t="str">
            <v/>
          </cell>
          <cell r="P570" t="str">
            <v/>
          </cell>
        </row>
        <row r="571">
          <cell r="H571">
            <v>3.085</v>
          </cell>
          <cell r="I571" t="str">
            <v>MWSC91B</v>
          </cell>
          <cell r="J571" t="str">
            <v>Inset (Rate B) - meter size 20/22mm (0.75")</v>
          </cell>
          <cell r="M571" t="str">
            <v/>
          </cell>
          <cell r="O571" t="str">
            <v/>
          </cell>
          <cell r="P571" t="str">
            <v/>
          </cell>
        </row>
        <row r="572">
          <cell r="H572">
            <v>3.0859999999999999</v>
          </cell>
          <cell r="I572" t="str">
            <v>MWSC91C</v>
          </cell>
          <cell r="J572" t="str">
            <v>Inset (Rate B) - meter size 25/28mm (1")</v>
          </cell>
          <cell r="M572" t="str">
            <v/>
          </cell>
          <cell r="O572" t="str">
            <v/>
          </cell>
          <cell r="P572" t="str">
            <v/>
          </cell>
        </row>
        <row r="573">
          <cell r="H573">
            <v>3.0870000000000002</v>
          </cell>
          <cell r="I573" t="str">
            <v>MWSC91D</v>
          </cell>
          <cell r="J573" t="str">
            <v>Inset (Rate B) - meter size 40/42 mm (1.5")</v>
          </cell>
          <cell r="M573" t="str">
            <v/>
          </cell>
          <cell r="O573" t="str">
            <v/>
          </cell>
          <cell r="P573" t="str">
            <v/>
          </cell>
        </row>
        <row r="574">
          <cell r="H574">
            <v>3.0880000000000001</v>
          </cell>
          <cell r="I574" t="str">
            <v>MWSC91E</v>
          </cell>
          <cell r="J574" t="str">
            <v>Inset (Rate B) - meter size 50/54 mm (2")</v>
          </cell>
          <cell r="M574" t="str">
            <v/>
          </cell>
          <cell r="O574" t="str">
            <v/>
          </cell>
          <cell r="P574" t="str">
            <v/>
          </cell>
        </row>
        <row r="575">
          <cell r="H575">
            <v>3.089</v>
          </cell>
          <cell r="I575" t="str">
            <v>MWSC102A</v>
          </cell>
          <cell r="J575" t="str">
            <v>30 Ml reserved capacity (50mm meter)</v>
          </cell>
          <cell r="K575">
            <v>3864</v>
          </cell>
          <cell r="L575">
            <v>3864</v>
          </cell>
          <cell r="M575">
            <v>0</v>
          </cell>
          <cell r="O575">
            <v>0</v>
          </cell>
          <cell r="P575">
            <v>0</v>
          </cell>
        </row>
        <row r="576">
          <cell r="H576">
            <v>3.09</v>
          </cell>
          <cell r="I576" t="str">
            <v>MWSC102B</v>
          </cell>
          <cell r="J576" t="str">
            <v>50 Ml reserved capacity (80mm meter)</v>
          </cell>
          <cell r="M576" t="str">
            <v/>
          </cell>
          <cell r="O576" t="str">
            <v/>
          </cell>
          <cell r="P576" t="str">
            <v/>
          </cell>
        </row>
        <row r="577">
          <cell r="H577">
            <v>3.0910000000000002</v>
          </cell>
          <cell r="I577" t="str">
            <v>MWSC102C</v>
          </cell>
          <cell r="J577" t="str">
            <v>80 Ml reserved capacity (80mm meter)</v>
          </cell>
          <cell r="K577">
            <v>10331</v>
          </cell>
          <cell r="L577">
            <v>10331</v>
          </cell>
          <cell r="M577">
            <v>0</v>
          </cell>
          <cell r="O577">
            <v>0</v>
          </cell>
          <cell r="P577">
            <v>0</v>
          </cell>
          <cell r="Q577" t="str">
            <v>Middle user tariff</v>
          </cell>
          <cell r="S577">
            <v>79</v>
          </cell>
        </row>
        <row r="578">
          <cell r="H578">
            <v>3.0920000000000001</v>
          </cell>
          <cell r="I578" t="str">
            <v>MWSC102D</v>
          </cell>
          <cell r="J578" t="str">
            <v>50 Ml reserved capacity (100mm meter)</v>
          </cell>
          <cell r="M578" t="str">
            <v/>
          </cell>
          <cell r="O578" t="str">
            <v/>
          </cell>
          <cell r="P578" t="str">
            <v/>
          </cell>
        </row>
        <row r="579">
          <cell r="H579">
            <v>3.093</v>
          </cell>
          <cell r="I579" t="str">
            <v>MWSC102E</v>
          </cell>
          <cell r="J579" t="str">
            <v>100 Ml reserved capacity (100mm meter)</v>
          </cell>
          <cell r="K579">
            <v>15497</v>
          </cell>
          <cell r="L579">
            <v>15497</v>
          </cell>
          <cell r="M579">
            <v>0</v>
          </cell>
          <cell r="O579">
            <v>0</v>
          </cell>
          <cell r="P579">
            <v>0</v>
          </cell>
        </row>
        <row r="580">
          <cell r="H580">
            <v>3.0939999999999999</v>
          </cell>
          <cell r="I580" t="str">
            <v>MWSC102F</v>
          </cell>
          <cell r="J580" t="str">
            <v>130 Ml reserved capacity (100mm meter)</v>
          </cell>
          <cell r="M580" t="str">
            <v/>
          </cell>
          <cell r="O580" t="str">
            <v/>
          </cell>
          <cell r="P580" t="str">
            <v/>
          </cell>
        </row>
        <row r="581">
          <cell r="H581">
            <v>3.0950000000000002</v>
          </cell>
          <cell r="I581" t="str">
            <v>MWSC102H</v>
          </cell>
          <cell r="J581" t="str">
            <v>Reserved capacity - Over 100mm</v>
          </cell>
          <cell r="K581">
            <v>38741</v>
          </cell>
          <cell r="L581">
            <v>38741</v>
          </cell>
          <cell r="M581">
            <v>0</v>
          </cell>
          <cell r="O581">
            <v>0</v>
          </cell>
          <cell r="P581">
            <v>0</v>
          </cell>
        </row>
        <row r="582">
          <cell r="H582">
            <v>3.0960000000000001</v>
          </cell>
          <cell r="I582" t="str">
            <v>MWSC103</v>
          </cell>
          <cell r="J582" t="str">
            <v>Interruptible</v>
          </cell>
          <cell r="M582" t="str">
            <v/>
          </cell>
          <cell r="O582" t="str">
            <v/>
          </cell>
          <cell r="P582" t="str">
            <v/>
          </cell>
        </row>
        <row r="583">
          <cell r="H583">
            <v>3.097</v>
          </cell>
          <cell r="I583" t="str">
            <v>MWSC103A</v>
          </cell>
          <cell r="J583" t="str">
            <v>Interruptible &gt;20 Ml</v>
          </cell>
          <cell r="M583" t="str">
            <v/>
          </cell>
          <cell r="O583" t="str">
            <v/>
          </cell>
          <cell r="P583" t="str">
            <v/>
          </cell>
        </row>
        <row r="585">
          <cell r="F585" t="str">
            <v>COMMERCIAL - NON-POTABLE WATER</v>
          </cell>
        </row>
        <row r="586">
          <cell r="H586">
            <v>3.0979999999999999</v>
          </cell>
          <cell r="I586" t="str">
            <v>MWSC01N</v>
          </cell>
          <cell r="J586" t="str">
            <v>NP 12/15 mm  (0.5")</v>
          </cell>
          <cell r="M586" t="str">
            <v/>
          </cell>
          <cell r="O586" t="str">
            <v/>
          </cell>
          <cell r="P586" t="str">
            <v/>
          </cell>
        </row>
        <row r="587">
          <cell r="H587">
            <v>3.0990000000000002</v>
          </cell>
          <cell r="I587" t="str">
            <v>MWSC03N</v>
          </cell>
          <cell r="J587" t="str">
            <v>NP 20/22 mm  (0.75")</v>
          </cell>
          <cell r="M587" t="str">
            <v/>
          </cell>
          <cell r="O587" t="str">
            <v/>
          </cell>
          <cell r="P587" t="str">
            <v/>
          </cell>
        </row>
        <row r="588">
          <cell r="H588">
            <v>3.1</v>
          </cell>
          <cell r="I588" t="str">
            <v>MWSC04N</v>
          </cell>
          <cell r="J588" t="str">
            <v>NP 25/28 mm  (1")</v>
          </cell>
          <cell r="M588" t="str">
            <v/>
          </cell>
          <cell r="O588" t="str">
            <v/>
          </cell>
          <cell r="P588" t="str">
            <v/>
          </cell>
        </row>
        <row r="589">
          <cell r="H589">
            <v>3.101</v>
          </cell>
          <cell r="I589" t="str">
            <v>MWSC06N</v>
          </cell>
          <cell r="J589" t="str">
            <v>NP 30/32/35 mm  (1.25")</v>
          </cell>
          <cell r="M589" t="str">
            <v/>
          </cell>
          <cell r="O589" t="str">
            <v/>
          </cell>
          <cell r="P589" t="str">
            <v/>
          </cell>
        </row>
        <row r="590">
          <cell r="H590">
            <v>3.1019999999999999</v>
          </cell>
          <cell r="I590" t="str">
            <v>MWSC08AN</v>
          </cell>
          <cell r="J590" t="str">
            <v>NP 40/42 &amp; 50/54 mm (1.5" &amp; 2")</v>
          </cell>
          <cell r="M590" t="str">
            <v/>
          </cell>
          <cell r="O590" t="str">
            <v/>
          </cell>
          <cell r="P590" t="str">
            <v/>
          </cell>
        </row>
        <row r="591">
          <cell r="H591">
            <v>3.1030000000000002</v>
          </cell>
          <cell r="I591" t="str">
            <v>MWSC09N</v>
          </cell>
          <cell r="J591" t="str">
            <v>NP 50/54 mm  (2")</v>
          </cell>
          <cell r="M591" t="str">
            <v/>
          </cell>
          <cell r="O591" t="str">
            <v/>
          </cell>
          <cell r="P591" t="str">
            <v/>
          </cell>
        </row>
        <row r="592">
          <cell r="H592">
            <v>3.1040000000000001</v>
          </cell>
          <cell r="I592" t="str">
            <v>MWSC12N</v>
          </cell>
          <cell r="J592" t="str">
            <v>NP 75/80 mm  (3")</v>
          </cell>
          <cell r="M592" t="str">
            <v/>
          </cell>
          <cell r="O592" t="str">
            <v/>
          </cell>
          <cell r="P592" t="str">
            <v/>
          </cell>
        </row>
        <row r="593">
          <cell r="H593">
            <v>3.105</v>
          </cell>
          <cell r="I593" t="str">
            <v>MWSC13N</v>
          </cell>
          <cell r="J593" t="str">
            <v>NP 100 mm  (4")</v>
          </cell>
          <cell r="M593" t="str">
            <v/>
          </cell>
          <cell r="O593" t="str">
            <v/>
          </cell>
          <cell r="P593" t="str">
            <v/>
          </cell>
        </row>
        <row r="594">
          <cell r="H594">
            <v>3.1059999999999999</v>
          </cell>
          <cell r="I594" t="str">
            <v>MWSC29</v>
          </cell>
          <cell r="J594" t="str">
            <v>NP 150 mm  (6")</v>
          </cell>
          <cell r="M594" t="str">
            <v/>
          </cell>
          <cell r="O594" t="str">
            <v/>
          </cell>
          <cell r="P594" t="str">
            <v/>
          </cell>
        </row>
        <row r="595">
          <cell r="H595">
            <v>3.1070000000000002</v>
          </cell>
          <cell r="I595" t="str">
            <v>MWSC30</v>
          </cell>
          <cell r="J595" t="str">
            <v>NP 200 mm  (8")</v>
          </cell>
          <cell r="M595" t="str">
            <v/>
          </cell>
          <cell r="O595" t="str">
            <v/>
          </cell>
          <cell r="P595" t="str">
            <v/>
          </cell>
        </row>
        <row r="596">
          <cell r="H596">
            <v>3.1080000000000001</v>
          </cell>
          <cell r="I596" t="str">
            <v>MWSC21N</v>
          </cell>
          <cell r="J596" t="str">
            <v>NP 250 mm  (10")</v>
          </cell>
          <cell r="M596" t="str">
            <v/>
          </cell>
          <cell r="O596" t="str">
            <v/>
          </cell>
          <cell r="P596" t="str">
            <v/>
          </cell>
        </row>
        <row r="597">
          <cell r="H597">
            <v>3.109</v>
          </cell>
          <cell r="I597" t="str">
            <v>MWSC29AN</v>
          </cell>
          <cell r="J597" t="str">
            <v>Streamline Orange (non-potable)</v>
          </cell>
          <cell r="M597" t="str">
            <v/>
          </cell>
          <cell r="O597" t="str">
            <v/>
          </cell>
          <cell r="P597" t="str">
            <v/>
          </cell>
        </row>
        <row r="598">
          <cell r="H598">
            <v>3.11</v>
          </cell>
          <cell r="I598" t="str">
            <v>MWSC29BN</v>
          </cell>
          <cell r="J598" t="str">
            <v>Streamline Blue (non-potable)</v>
          </cell>
          <cell r="M598" t="str">
            <v/>
          </cell>
          <cell r="O598" t="str">
            <v/>
          </cell>
          <cell r="P598" t="str">
            <v/>
          </cell>
        </row>
        <row r="599">
          <cell r="H599">
            <v>3.1110000000000002</v>
          </cell>
          <cell r="I599" t="str">
            <v>MWSC29CN</v>
          </cell>
          <cell r="J599" t="str">
            <v>Streamline Industrial (non-potable)</v>
          </cell>
          <cell r="M599" t="str">
            <v/>
          </cell>
          <cell r="O599" t="str">
            <v/>
          </cell>
          <cell r="P599" t="str">
            <v/>
          </cell>
        </row>
        <row r="600">
          <cell r="H600">
            <v>3.1120000000000001</v>
          </cell>
          <cell r="I600" t="str">
            <v>MWSC29CAN</v>
          </cell>
          <cell r="J600" t="str">
            <v>Streamline Industrial MDD (non-potable)</v>
          </cell>
          <cell r="M600" t="str">
            <v/>
          </cell>
          <cell r="O600" t="str">
            <v/>
          </cell>
          <cell r="P600" t="str">
            <v/>
          </cell>
        </row>
        <row r="601">
          <cell r="H601">
            <v>3.113</v>
          </cell>
          <cell r="I601" t="str">
            <v>MWSC29DN</v>
          </cell>
          <cell r="J601" t="str">
            <v>Streamline Industrial Plus (non-potable)</v>
          </cell>
          <cell r="M601" t="str">
            <v/>
          </cell>
          <cell r="O601" t="str">
            <v/>
          </cell>
          <cell r="P601" t="str">
            <v/>
          </cell>
        </row>
        <row r="602">
          <cell r="H602">
            <v>3.1139999999999999</v>
          </cell>
          <cell r="I602" t="str">
            <v>MWSC29DAN</v>
          </cell>
          <cell r="J602" t="str">
            <v>Streamline Industrial plus MDD</v>
          </cell>
          <cell r="M602" t="str">
            <v/>
          </cell>
          <cell r="O602" t="str">
            <v/>
          </cell>
          <cell r="P602" t="str">
            <v/>
          </cell>
        </row>
        <row r="604">
          <cell r="F604" t="str">
            <v>REDUCED (for 2nd &amp; subsequent meters)</v>
          </cell>
        </row>
        <row r="605">
          <cell r="H605">
            <v>3.1150000000000002</v>
          </cell>
          <cell r="I605" t="str">
            <v>MWSC57</v>
          </cell>
          <cell r="J605" t="str">
            <v>Red30/32/35&amp;40/42mm(1.25&amp;1.5")</v>
          </cell>
          <cell r="M605" t="str">
            <v/>
          </cell>
          <cell r="O605" t="str">
            <v/>
          </cell>
          <cell r="P605" t="str">
            <v/>
          </cell>
        </row>
        <row r="606">
          <cell r="H606">
            <v>3.1160000000000001</v>
          </cell>
          <cell r="I606" t="str">
            <v>MWSC65</v>
          </cell>
          <cell r="J606" t="str">
            <v>Red 125 mm (5")</v>
          </cell>
          <cell r="M606" t="str">
            <v/>
          </cell>
          <cell r="O606" t="str">
            <v/>
          </cell>
          <cell r="P606" t="str">
            <v/>
          </cell>
        </row>
        <row r="608">
          <cell r="F608" t="str">
            <v>OTHER</v>
          </cell>
        </row>
        <row r="609">
          <cell r="H609">
            <v>3.117</v>
          </cell>
          <cell r="I609" t="str">
            <v>MWSC38</v>
          </cell>
          <cell r="J609" t="str">
            <v>Garden 12/15mm (0.5")</v>
          </cell>
          <cell r="M609" t="str">
            <v/>
          </cell>
          <cell r="O609" t="str">
            <v/>
          </cell>
          <cell r="P609" t="str">
            <v/>
          </cell>
        </row>
        <row r="610">
          <cell r="H610">
            <v>3.1179999999999999</v>
          </cell>
          <cell r="I610" t="str">
            <v>MWSC39</v>
          </cell>
          <cell r="J610" t="str">
            <v>Garden 20/22 mm (0.75")</v>
          </cell>
          <cell r="M610" t="str">
            <v/>
          </cell>
          <cell r="O610" t="str">
            <v/>
          </cell>
          <cell r="P610" t="str">
            <v/>
          </cell>
        </row>
        <row r="611">
          <cell r="H611">
            <v>3.1190000000000002</v>
          </cell>
          <cell r="I611" t="str">
            <v>MWSC40</v>
          </cell>
          <cell r="J611" t="str">
            <v>Garden 25/28 mm (1")</v>
          </cell>
          <cell r="M611" t="str">
            <v/>
          </cell>
          <cell r="O611" t="str">
            <v/>
          </cell>
          <cell r="P611" t="str">
            <v/>
          </cell>
        </row>
        <row r="612">
          <cell r="H612">
            <v>3.12</v>
          </cell>
          <cell r="I612" t="str">
            <v>MWSC41</v>
          </cell>
          <cell r="J612" t="str">
            <v>Ship water Day</v>
          </cell>
          <cell r="M612" t="str">
            <v/>
          </cell>
          <cell r="O612" t="str">
            <v/>
          </cell>
          <cell r="P612" t="str">
            <v/>
          </cell>
        </row>
        <row r="613">
          <cell r="H613">
            <v>3.121</v>
          </cell>
          <cell r="I613" t="str">
            <v>MWSC42</v>
          </cell>
          <cell r="J613" t="str">
            <v>Ship water Night</v>
          </cell>
          <cell r="M613" t="str">
            <v/>
          </cell>
          <cell r="O613" t="str">
            <v/>
          </cell>
          <cell r="P613" t="str">
            <v/>
          </cell>
        </row>
        <row r="614">
          <cell r="H614">
            <v>3.1219999999999999</v>
          </cell>
          <cell r="I614" t="str">
            <v>MWSC43</v>
          </cell>
          <cell r="J614" t="str">
            <v>Cattle trough</v>
          </cell>
          <cell r="K614">
            <v>53</v>
          </cell>
          <cell r="L614">
            <v>53</v>
          </cell>
          <cell r="M614">
            <v>0</v>
          </cell>
          <cell r="N614">
            <v>7183</v>
          </cell>
          <cell r="O614">
            <v>380699</v>
          </cell>
          <cell r="P614">
            <v>380699</v>
          </cell>
          <cell r="Q614" t="str">
            <v>WCS</v>
          </cell>
          <cell r="R614">
            <v>99</v>
          </cell>
          <cell r="S614">
            <v>7183</v>
          </cell>
        </row>
        <row r="615">
          <cell r="H615">
            <v>3.1230000000000002</v>
          </cell>
          <cell r="I615" t="str">
            <v>MWSC44</v>
          </cell>
          <cell r="J615" t="str">
            <v>Cattle trough 12/15mm (0.5")</v>
          </cell>
          <cell r="M615" t="str">
            <v/>
          </cell>
          <cell r="O615" t="str">
            <v/>
          </cell>
          <cell r="P615" t="str">
            <v/>
          </cell>
        </row>
        <row r="616">
          <cell r="H616">
            <v>3.1240000000000001</v>
          </cell>
          <cell r="I616" t="str">
            <v>MWSC45</v>
          </cell>
          <cell r="J616" t="str">
            <v>Cattle trough 20/22mm (0.75")</v>
          </cell>
          <cell r="M616" t="str">
            <v/>
          </cell>
          <cell r="O616" t="str">
            <v/>
          </cell>
          <cell r="P616" t="str">
            <v/>
          </cell>
        </row>
        <row r="617">
          <cell r="H617">
            <v>3.125</v>
          </cell>
          <cell r="I617" t="str">
            <v>MWSC46</v>
          </cell>
          <cell r="J617" t="str">
            <v>Cattle trough 25/28mm (1")</v>
          </cell>
          <cell r="M617" t="str">
            <v/>
          </cell>
          <cell r="O617" t="str">
            <v/>
          </cell>
          <cell r="P617" t="str">
            <v/>
          </cell>
        </row>
        <row r="618">
          <cell r="H618">
            <v>3.1259999999999999</v>
          </cell>
          <cell r="I618" t="str">
            <v>MWSC47</v>
          </cell>
          <cell r="J618" t="str">
            <v>Double cattle trough</v>
          </cell>
          <cell r="M618" t="str">
            <v/>
          </cell>
          <cell r="O618" t="str">
            <v/>
          </cell>
          <cell r="P618" t="str">
            <v/>
          </cell>
        </row>
        <row r="619">
          <cell r="H619">
            <v>3.1269999999999998</v>
          </cell>
          <cell r="I619" t="str">
            <v>MWSC48</v>
          </cell>
          <cell r="J619" t="str">
            <v>Multiple cattle trough</v>
          </cell>
          <cell r="M619" t="str">
            <v/>
          </cell>
          <cell r="O619" t="str">
            <v/>
          </cell>
          <cell r="P619" t="str">
            <v/>
          </cell>
        </row>
        <row r="620">
          <cell r="H620">
            <v>3.1280000000000001</v>
          </cell>
          <cell r="I620" t="str">
            <v>MWSC49</v>
          </cell>
          <cell r="J620" t="str">
            <v>Crop rotation meter</v>
          </cell>
          <cell r="M620" t="str">
            <v/>
          </cell>
          <cell r="O620" t="str">
            <v/>
          </cell>
          <cell r="P620" t="str">
            <v/>
          </cell>
        </row>
        <row r="623">
          <cell r="D623">
            <v>3.129</v>
          </cell>
          <cell r="E623" t="str">
            <v>Volumetric Charges</v>
          </cell>
        </row>
        <row r="624">
          <cell r="S624" t="str">
            <v>From JR03</v>
          </cell>
        </row>
        <row r="625">
          <cell r="F625" t="str">
            <v>FULL</v>
          </cell>
          <cell r="S625" t="str">
            <v>Domestic</v>
          </cell>
          <cell r="T625" t="str">
            <v>Non-house</v>
          </cell>
        </row>
        <row r="626">
          <cell r="H626">
            <v>3.13</v>
          </cell>
          <cell r="I626" t="str">
            <v>MWVOL01</v>
          </cell>
          <cell r="J626" t="str">
            <v>General</v>
          </cell>
          <cell r="K626">
            <v>0.95499999999999996</v>
          </cell>
          <cell r="L626">
            <v>0.95499999999999996</v>
          </cell>
          <cell r="M626">
            <v>0</v>
          </cell>
          <cell r="N626">
            <v>142921540</v>
          </cell>
          <cell r="O626">
            <v>136490070.69999999</v>
          </cell>
          <cell r="P626">
            <v>136490070.69999999</v>
          </cell>
          <cell r="S626">
            <v>44287224.509903923</v>
          </cell>
          <cell r="T626">
            <v>101184380.739649</v>
          </cell>
        </row>
        <row r="627">
          <cell r="H627">
            <v>3.1309999999999998</v>
          </cell>
          <cell r="I627" t="str">
            <v>MWVOL02</v>
          </cell>
          <cell r="J627" t="str">
            <v>Domestic</v>
          </cell>
          <cell r="M627" t="str">
            <v/>
          </cell>
          <cell r="O627" t="str">
            <v/>
          </cell>
          <cell r="P627" t="str">
            <v/>
          </cell>
        </row>
        <row r="628">
          <cell r="H628">
            <v>3.1320000000000001</v>
          </cell>
          <cell r="I628" t="str">
            <v>MWVOL02A</v>
          </cell>
          <cell r="J628" t="str">
            <v>Low User</v>
          </cell>
          <cell r="M628" t="str">
            <v/>
          </cell>
          <cell r="O628" t="str">
            <v/>
          </cell>
          <cell r="P628" t="str">
            <v/>
          </cell>
        </row>
        <row r="629">
          <cell r="H629">
            <v>3.133</v>
          </cell>
          <cell r="I629" t="str">
            <v>MWVOL02B</v>
          </cell>
          <cell r="J629" t="str">
            <v>Social</v>
          </cell>
          <cell r="M629" t="str">
            <v/>
          </cell>
          <cell r="O629" t="str">
            <v/>
          </cell>
          <cell r="P629" t="str">
            <v/>
          </cell>
        </row>
        <row r="630">
          <cell r="H630">
            <v>3.1339999999999999</v>
          </cell>
          <cell r="I630" t="str">
            <v>MWVOL02C</v>
          </cell>
          <cell r="J630" t="str">
            <v>Peak tariff</v>
          </cell>
          <cell r="M630" t="str">
            <v/>
          </cell>
          <cell r="O630" t="str">
            <v/>
          </cell>
          <cell r="P630" t="str">
            <v/>
          </cell>
        </row>
        <row r="631">
          <cell r="H631">
            <v>3.1349999999999998</v>
          </cell>
          <cell r="I631" t="str">
            <v>MWVOL02D</v>
          </cell>
          <cell r="J631" t="str">
            <v>Potable water - &gt;3 Ml</v>
          </cell>
          <cell r="M631" t="str">
            <v/>
          </cell>
          <cell r="O631" t="str">
            <v/>
          </cell>
          <cell r="P631" t="str">
            <v/>
          </cell>
        </row>
        <row r="632">
          <cell r="H632">
            <v>3.1360000000000001</v>
          </cell>
          <cell r="I632" t="str">
            <v>MWVOL02DA</v>
          </cell>
          <cell r="J632" t="str">
            <v>Potable water - &gt;3Ml Saffron Walden</v>
          </cell>
          <cell r="M632" t="str">
            <v/>
          </cell>
          <cell r="O632" t="str">
            <v/>
          </cell>
          <cell r="P632" t="str">
            <v/>
          </cell>
        </row>
        <row r="633">
          <cell r="H633">
            <v>3.137</v>
          </cell>
          <cell r="I633" t="str">
            <v>MWVOL02E</v>
          </cell>
          <cell r="J633" t="str">
            <v>Seasonal tariff - &gt;3 Ml (Summer)</v>
          </cell>
          <cell r="M633" t="str">
            <v/>
          </cell>
          <cell r="O633" t="str">
            <v/>
          </cell>
          <cell r="P633" t="str">
            <v/>
          </cell>
        </row>
        <row r="634">
          <cell r="H634">
            <v>3.1379999999999999</v>
          </cell>
          <cell r="I634" t="str">
            <v>MWVOL02F</v>
          </cell>
          <cell r="J634" t="str">
            <v>Seasonal tariff - 10-20 Ml (Peak)</v>
          </cell>
          <cell r="M634" t="str">
            <v/>
          </cell>
          <cell r="O634" t="str">
            <v/>
          </cell>
          <cell r="P634" t="str">
            <v/>
          </cell>
        </row>
        <row r="635">
          <cell r="H635">
            <v>3.1389999999999998</v>
          </cell>
          <cell r="I635" t="str">
            <v>MWVOL02G</v>
          </cell>
          <cell r="J635" t="str">
            <v>Seasonal tariff - 10-20 Ml (Off Peak)</v>
          </cell>
          <cell r="M635" t="str">
            <v/>
          </cell>
          <cell r="O635" t="str">
            <v/>
          </cell>
          <cell r="P635" t="str">
            <v/>
          </cell>
        </row>
        <row r="636">
          <cell r="H636">
            <v>3.14</v>
          </cell>
          <cell r="I636" t="str">
            <v>MWVOL03</v>
          </cell>
          <cell r="J636" t="str">
            <v>Commercial - normal</v>
          </cell>
          <cell r="M636" t="str">
            <v/>
          </cell>
          <cell r="O636" t="str">
            <v/>
          </cell>
          <cell r="P636" t="str">
            <v/>
          </cell>
        </row>
        <row r="637">
          <cell r="H637">
            <v>3.141</v>
          </cell>
          <cell r="I637" t="str">
            <v>MWVOL03A</v>
          </cell>
          <cell r="J637" t="str">
            <v>Commercial - other</v>
          </cell>
          <cell r="M637" t="str">
            <v/>
          </cell>
          <cell r="O637" t="str">
            <v/>
          </cell>
          <cell r="P637" t="str">
            <v/>
          </cell>
        </row>
        <row r="638">
          <cell r="H638">
            <v>3.1419999999999999</v>
          </cell>
          <cell r="I638" t="str">
            <v>MWVOL03B</v>
          </cell>
          <cell r="J638" t="str">
            <v>Streamline Green (potable)</v>
          </cell>
          <cell r="M638" t="str">
            <v/>
          </cell>
          <cell r="O638" t="str">
            <v/>
          </cell>
          <cell r="P638" t="str">
            <v/>
          </cell>
        </row>
        <row r="639">
          <cell r="H639">
            <v>3.1429999999999998</v>
          </cell>
          <cell r="I639" t="str">
            <v>MWVOL03BO</v>
          </cell>
          <cell r="J639" t="str">
            <v>Streamline Orange (potable)</v>
          </cell>
          <cell r="M639" t="str">
            <v/>
          </cell>
          <cell r="O639" t="str">
            <v/>
          </cell>
          <cell r="P639" t="str">
            <v/>
          </cell>
        </row>
        <row r="640">
          <cell r="H640">
            <v>3.1440000000000001</v>
          </cell>
          <cell r="I640" t="str">
            <v>MWVOL03C</v>
          </cell>
          <cell r="J640" t="str">
            <v>Streamline Blue (potable)</v>
          </cell>
          <cell r="M640" t="str">
            <v/>
          </cell>
          <cell r="O640" t="str">
            <v/>
          </cell>
          <cell r="P640" t="str">
            <v/>
          </cell>
        </row>
        <row r="641">
          <cell r="H641">
            <v>3.145</v>
          </cell>
          <cell r="I641" t="str">
            <v>MWVOL03D</v>
          </cell>
          <cell r="J641" t="str">
            <v>Streamline Industrial (potable)</v>
          </cell>
          <cell r="M641" t="str">
            <v/>
          </cell>
          <cell r="O641" t="str">
            <v/>
          </cell>
          <cell r="P641" t="str">
            <v/>
          </cell>
        </row>
        <row r="642">
          <cell r="H642">
            <v>3.1459999999999999</v>
          </cell>
          <cell r="I642" t="str">
            <v>MWVOL03E</v>
          </cell>
          <cell r="J642" t="str">
            <v>Streamline Industrial Interruptible (potable)</v>
          </cell>
          <cell r="M642" t="str">
            <v/>
          </cell>
          <cell r="O642" t="str">
            <v/>
          </cell>
          <cell r="P642" t="str">
            <v/>
          </cell>
        </row>
        <row r="643">
          <cell r="H643">
            <v>3.1469999999999998</v>
          </cell>
          <cell r="I643" t="str">
            <v>MWVOL03F</v>
          </cell>
          <cell r="J643" t="str">
            <v>Streamline Industrial Plus (potable)</v>
          </cell>
          <cell r="M643" t="str">
            <v/>
          </cell>
          <cell r="O643" t="str">
            <v/>
          </cell>
          <cell r="P643" t="str">
            <v/>
          </cell>
        </row>
        <row r="644">
          <cell r="H644">
            <v>3.1480000000000001</v>
          </cell>
          <cell r="I644" t="str">
            <v>MWVOL04</v>
          </cell>
          <cell r="J644" t="str">
            <v>Potable water</v>
          </cell>
          <cell r="M644" t="str">
            <v/>
          </cell>
          <cell r="O644" t="str">
            <v/>
          </cell>
          <cell r="P644" t="str">
            <v/>
          </cell>
        </row>
        <row r="645">
          <cell r="H645">
            <v>3.149</v>
          </cell>
          <cell r="I645" t="str">
            <v>MWVOL04a</v>
          </cell>
          <cell r="J645" t="str">
            <v>Potable Water - &gt;10 Ml</v>
          </cell>
          <cell r="M645" t="str">
            <v/>
          </cell>
          <cell r="O645" t="str">
            <v/>
          </cell>
          <cell r="P645" t="str">
            <v/>
          </cell>
        </row>
        <row r="646">
          <cell r="H646">
            <v>3.15</v>
          </cell>
          <cell r="I646" t="str">
            <v>MWVOL04A</v>
          </cell>
          <cell r="J646" t="str">
            <v>Potable water - &gt;20 Ml</v>
          </cell>
          <cell r="M646" t="str">
            <v/>
          </cell>
          <cell r="O646" t="str">
            <v/>
          </cell>
          <cell r="P646" t="str">
            <v/>
          </cell>
        </row>
        <row r="647">
          <cell r="H647">
            <v>3.1509999999999998</v>
          </cell>
          <cell r="I647" t="str">
            <v>MWVOL04AA</v>
          </cell>
          <cell r="J647" t="str">
            <v>Seasonal Tariff 25 - 50 MI customers (Summer)</v>
          </cell>
          <cell r="M647" t="str">
            <v/>
          </cell>
          <cell r="O647" t="str">
            <v/>
          </cell>
          <cell r="P647" t="str">
            <v/>
          </cell>
        </row>
        <row r="648">
          <cell r="H648">
            <v>3.1520000000000001</v>
          </cell>
          <cell r="I648" t="str">
            <v>MWVOL04Aa</v>
          </cell>
          <cell r="J648" t="str">
            <v>Seasonal Tariff 20 - 50 Ml (Summer)</v>
          </cell>
          <cell r="M648" t="str">
            <v/>
          </cell>
          <cell r="O648" t="str">
            <v/>
          </cell>
          <cell r="P648" t="str">
            <v/>
          </cell>
        </row>
        <row r="649">
          <cell r="H649">
            <v>3.153</v>
          </cell>
          <cell r="I649" t="str">
            <v>MWVOL04AB</v>
          </cell>
          <cell r="J649" t="str">
            <v>Off peak (20 - 50Ml)</v>
          </cell>
          <cell r="M649" t="str">
            <v/>
          </cell>
          <cell r="O649" t="str">
            <v/>
          </cell>
          <cell r="P649" t="str">
            <v/>
          </cell>
        </row>
        <row r="650">
          <cell r="H650">
            <v>3.1539999999999999</v>
          </cell>
          <cell r="I650" t="str">
            <v>MWVOL04B</v>
          </cell>
          <cell r="J650" t="str">
            <v>Potable water - &gt;50 Ml</v>
          </cell>
          <cell r="K650">
            <v>0.81200000000000006</v>
          </cell>
          <cell r="L650">
            <v>0.81200000000000006</v>
          </cell>
          <cell r="M650">
            <v>0</v>
          </cell>
          <cell r="N650">
            <v>6225408</v>
          </cell>
          <cell r="O650">
            <v>5055031.2960000001</v>
          </cell>
          <cell r="P650">
            <v>5055031.2960000001</v>
          </cell>
          <cell r="T650">
            <v>19268738</v>
          </cell>
        </row>
        <row r="651">
          <cell r="H651">
            <v>3.1549999999999998</v>
          </cell>
          <cell r="I651" t="str">
            <v>MWVOL04BA</v>
          </cell>
          <cell r="J651" t="str">
            <v>Banded tariff - &gt;50Ml</v>
          </cell>
          <cell r="M651" t="str">
            <v/>
          </cell>
          <cell r="O651" t="str">
            <v/>
          </cell>
          <cell r="P651" t="str">
            <v/>
          </cell>
        </row>
        <row r="652">
          <cell r="H652">
            <v>3.1560000000000001</v>
          </cell>
          <cell r="I652" t="str">
            <v>MWVOL04BC</v>
          </cell>
          <cell r="J652" t="str">
            <v>Seasonal Tariff 50 - 100 MI customers (Summer)</v>
          </cell>
          <cell r="M652" t="str">
            <v/>
          </cell>
          <cell r="O652" t="str">
            <v/>
          </cell>
          <cell r="P652" t="str">
            <v/>
          </cell>
        </row>
        <row r="653">
          <cell r="H653">
            <v>3.157</v>
          </cell>
          <cell r="I653" t="str">
            <v>MWVOL04BD</v>
          </cell>
          <cell r="J653" t="str">
            <v>Off peak (50 - 100Ml)</v>
          </cell>
          <cell r="M653" t="str">
            <v/>
          </cell>
          <cell r="O653" t="str">
            <v/>
          </cell>
          <cell r="P653" t="str">
            <v/>
          </cell>
        </row>
        <row r="654">
          <cell r="H654">
            <v>3.1579999999999999</v>
          </cell>
          <cell r="I654" t="str">
            <v>MWVOL04C</v>
          </cell>
          <cell r="J654" t="str">
            <v>Potable water - &gt;94 Ml</v>
          </cell>
          <cell r="M654" t="str">
            <v/>
          </cell>
          <cell r="O654" t="str">
            <v/>
          </cell>
          <cell r="P654" t="str">
            <v/>
          </cell>
        </row>
        <row r="655">
          <cell r="H655">
            <v>3.1589999999999998</v>
          </cell>
          <cell r="I655" t="str">
            <v>MWVOL04L</v>
          </cell>
          <cell r="J655" t="str">
            <v>Streamline Orange (non-potable)</v>
          </cell>
          <cell r="M655" t="str">
            <v/>
          </cell>
          <cell r="O655" t="str">
            <v/>
          </cell>
          <cell r="P655" t="str">
            <v/>
          </cell>
        </row>
        <row r="656">
          <cell r="H656">
            <v>3.16</v>
          </cell>
          <cell r="I656" t="str">
            <v>MWVOL04M</v>
          </cell>
          <cell r="J656" t="str">
            <v>Streamline Blue (non-potable)</v>
          </cell>
          <cell r="M656" t="str">
            <v/>
          </cell>
          <cell r="O656" t="str">
            <v/>
          </cell>
          <cell r="P656" t="str">
            <v/>
          </cell>
        </row>
        <row r="657">
          <cell r="H657">
            <v>3.161</v>
          </cell>
          <cell r="I657" t="str">
            <v>MWVOL04N</v>
          </cell>
          <cell r="J657" t="str">
            <v>Streamline Industrial (non-potable)</v>
          </cell>
          <cell r="M657" t="str">
            <v/>
          </cell>
          <cell r="O657" t="str">
            <v/>
          </cell>
          <cell r="P657" t="str">
            <v/>
          </cell>
        </row>
        <row r="658">
          <cell r="H658">
            <v>3.1619999999999999</v>
          </cell>
          <cell r="I658" t="str">
            <v>MWVOL04O</v>
          </cell>
          <cell r="J658" t="str">
            <v>Streamline Industrial Plus (non-potable)</v>
          </cell>
          <cell r="M658" t="str">
            <v/>
          </cell>
          <cell r="O658" t="str">
            <v/>
          </cell>
          <cell r="P658" t="str">
            <v/>
          </cell>
        </row>
        <row r="659">
          <cell r="H659">
            <v>3.1629999999999998</v>
          </cell>
          <cell r="I659" t="str">
            <v>MWVOL05</v>
          </cell>
          <cell r="J659" t="str">
            <v>Non-potable water</v>
          </cell>
          <cell r="K659">
            <v>0.313</v>
          </cell>
          <cell r="L659">
            <v>0.32200000000000001</v>
          </cell>
          <cell r="M659">
            <v>2.8753993610223683E-2</v>
          </cell>
          <cell r="N659">
            <v>66997</v>
          </cell>
          <cell r="O659">
            <v>20970.061000000002</v>
          </cell>
          <cell r="P659">
            <v>21573.034</v>
          </cell>
          <cell r="T659">
            <v>14984670.852459</v>
          </cell>
        </row>
        <row r="660">
          <cell r="H660">
            <v>3.1640000000000001</v>
          </cell>
          <cell r="I660" t="str">
            <v>MWVOL05A</v>
          </cell>
          <cell r="J660" t="str">
            <v>Non-potable water - &gt;50 Ml</v>
          </cell>
          <cell r="M660" t="str">
            <v/>
          </cell>
          <cell r="O660" t="str">
            <v/>
          </cell>
          <cell r="P660" t="str">
            <v/>
          </cell>
        </row>
        <row r="661">
          <cell r="H661">
            <v>3.165</v>
          </cell>
          <cell r="I661" t="str">
            <v>MWVOL06</v>
          </cell>
          <cell r="J661" t="str">
            <v>Ship water</v>
          </cell>
          <cell r="K661">
            <v>1.913</v>
          </cell>
          <cell r="L661">
            <v>1.913</v>
          </cell>
          <cell r="M661">
            <v>0</v>
          </cell>
          <cell r="N661">
            <v>71292</v>
          </cell>
          <cell r="O661">
            <v>136381.59599999999</v>
          </cell>
          <cell r="P661">
            <v>136381.59599999999</v>
          </cell>
          <cell r="T661">
            <v>71291.899094097011</v>
          </cell>
        </row>
        <row r="662">
          <cell r="H662">
            <v>3.1659999999999999</v>
          </cell>
          <cell r="I662" t="str">
            <v>MWVOL07</v>
          </cell>
          <cell r="J662" t="str">
            <v>Ship water day rate</v>
          </cell>
          <cell r="M662" t="str">
            <v/>
          </cell>
          <cell r="O662" t="str">
            <v/>
          </cell>
          <cell r="P662" t="str">
            <v/>
          </cell>
        </row>
        <row r="663">
          <cell r="H663">
            <v>3.1669999999999998</v>
          </cell>
          <cell r="I663" t="str">
            <v>MWVOL08</v>
          </cell>
          <cell r="J663" t="str">
            <v>Ship water night rate</v>
          </cell>
          <cell r="M663" t="str">
            <v/>
          </cell>
          <cell r="O663" t="str">
            <v/>
          </cell>
          <cell r="P663" t="str">
            <v/>
          </cell>
        </row>
        <row r="664">
          <cell r="H664">
            <v>3.1680000000000001</v>
          </cell>
          <cell r="I664" t="str">
            <v>MWVOL09</v>
          </cell>
          <cell r="J664" t="str">
            <v>Hydrant supply</v>
          </cell>
          <cell r="M664" t="str">
            <v/>
          </cell>
          <cell r="O664" t="str">
            <v/>
          </cell>
          <cell r="P664" t="str">
            <v/>
          </cell>
        </row>
        <row r="665">
          <cell r="H665">
            <v>3.169</v>
          </cell>
          <cell r="I665" t="str">
            <v>MWVOL10</v>
          </cell>
          <cell r="J665" t="str">
            <v>Damp and Dust</v>
          </cell>
          <cell r="K665">
            <v>1.417</v>
          </cell>
          <cell r="L665">
            <v>1.417</v>
          </cell>
          <cell r="M665">
            <v>0</v>
          </cell>
          <cell r="N665">
            <v>5603</v>
          </cell>
          <cell r="O665">
            <v>7939.451</v>
          </cell>
          <cell r="P665">
            <v>7939.451</v>
          </cell>
          <cell r="T665">
            <v>5603.3075374901346</v>
          </cell>
        </row>
        <row r="666">
          <cell r="H666">
            <v>3.17</v>
          </cell>
          <cell r="I666" t="str">
            <v>MWVOL11</v>
          </cell>
          <cell r="J666" t="str">
            <v>Building Water</v>
          </cell>
          <cell r="M666" t="str">
            <v/>
          </cell>
          <cell r="O666" t="str">
            <v/>
          </cell>
          <cell r="P666" t="str">
            <v/>
          </cell>
        </row>
        <row r="667">
          <cell r="H667">
            <v>3.1709999999999998</v>
          </cell>
          <cell r="I667" t="str">
            <v>MWVOL12C</v>
          </cell>
          <cell r="J667" t="str">
            <v>Saffron Walden (domestic)</v>
          </cell>
          <cell r="M667" t="str">
            <v/>
          </cell>
          <cell r="O667" t="str">
            <v/>
          </cell>
          <cell r="P667" t="str">
            <v/>
          </cell>
        </row>
        <row r="668">
          <cell r="H668">
            <v>3.1720000000000002</v>
          </cell>
          <cell r="I668" t="str">
            <v>MWVOL12D</v>
          </cell>
          <cell r="J668" t="str">
            <v>Saffron Walden (commercial)</v>
          </cell>
          <cell r="M668" t="str">
            <v/>
          </cell>
          <cell r="O668" t="str">
            <v/>
          </cell>
          <cell r="P668" t="str">
            <v/>
          </cell>
        </row>
        <row r="669">
          <cell r="H669">
            <v>3.173</v>
          </cell>
          <cell r="I669" t="str">
            <v>MWVOL12F</v>
          </cell>
          <cell r="J669" t="str">
            <v>Low User (40)</v>
          </cell>
          <cell r="M669" t="str">
            <v/>
          </cell>
          <cell r="O669" t="str">
            <v/>
          </cell>
          <cell r="P669" t="str">
            <v/>
          </cell>
        </row>
        <row r="670">
          <cell r="H670">
            <v>3.1739999999999999</v>
          </cell>
          <cell r="I670" t="str">
            <v>MWVOL12G</v>
          </cell>
          <cell r="J670" t="str">
            <v>Low User (80)</v>
          </cell>
          <cell r="M670" t="str">
            <v/>
          </cell>
          <cell r="O670" t="str">
            <v/>
          </cell>
          <cell r="P670" t="str">
            <v/>
          </cell>
        </row>
        <row r="671">
          <cell r="H671">
            <v>3.1749999999999998</v>
          </cell>
          <cell r="I671" t="str">
            <v>MWVOL12J</v>
          </cell>
          <cell r="J671" t="str">
            <v>Croyden (domestic)</v>
          </cell>
          <cell r="M671" t="str">
            <v/>
          </cell>
          <cell r="O671" t="str">
            <v/>
          </cell>
          <cell r="P671" t="str">
            <v/>
          </cell>
        </row>
        <row r="672">
          <cell r="H672">
            <v>3.1760000000000002</v>
          </cell>
          <cell r="I672" t="str">
            <v>MWVOL12K</v>
          </cell>
          <cell r="J672" t="str">
            <v>Croyden (Commercial)</v>
          </cell>
          <cell r="M672" t="str">
            <v/>
          </cell>
          <cell r="O672" t="str">
            <v/>
          </cell>
          <cell r="P672" t="str">
            <v/>
          </cell>
        </row>
        <row r="673">
          <cell r="H673">
            <v>3.177</v>
          </cell>
          <cell r="I673" t="str">
            <v>MWVOL12M</v>
          </cell>
          <cell r="J673" t="str">
            <v>Inset (Rate A)</v>
          </cell>
          <cell r="M673" t="str">
            <v/>
          </cell>
          <cell r="O673" t="str">
            <v/>
          </cell>
          <cell r="P673" t="str">
            <v/>
          </cell>
        </row>
        <row r="674">
          <cell r="H674">
            <v>3.1779999999999999</v>
          </cell>
          <cell r="I674" t="str">
            <v>MWVOL12N</v>
          </cell>
          <cell r="J674" t="str">
            <v>Inset (Rate B)</v>
          </cell>
          <cell r="M674" t="str">
            <v/>
          </cell>
          <cell r="O674" t="str">
            <v/>
          </cell>
          <cell r="P674" t="str">
            <v/>
          </cell>
        </row>
        <row r="675">
          <cell r="H675">
            <v>3.1789999999999998</v>
          </cell>
          <cell r="I675" t="str">
            <v>MWVOL12O</v>
          </cell>
          <cell r="J675" t="str">
            <v>Annual Subscription Band 1</v>
          </cell>
          <cell r="M675" t="str">
            <v/>
          </cell>
          <cell r="O675" t="str">
            <v/>
          </cell>
          <cell r="P675" t="str">
            <v/>
          </cell>
        </row>
        <row r="676">
          <cell r="H676">
            <v>3.18</v>
          </cell>
          <cell r="I676" t="str">
            <v>MWVOL12P</v>
          </cell>
          <cell r="J676" t="str">
            <v>Annual Subscription Band 2</v>
          </cell>
          <cell r="M676" t="str">
            <v/>
          </cell>
          <cell r="O676" t="str">
            <v/>
          </cell>
          <cell r="P676" t="str">
            <v/>
          </cell>
        </row>
        <row r="677">
          <cell r="H677">
            <v>3.181</v>
          </cell>
          <cell r="I677" t="str">
            <v>MWVOL12Q</v>
          </cell>
          <cell r="J677" t="str">
            <v>Subscription Volumetric Charge</v>
          </cell>
          <cell r="M677" t="str">
            <v/>
          </cell>
          <cell r="O677" t="str">
            <v/>
          </cell>
          <cell r="P677" t="str">
            <v/>
          </cell>
        </row>
        <row r="678">
          <cell r="H678">
            <v>3.1819999999999999</v>
          </cell>
          <cell r="I678" t="str">
            <v>MWVOL17AA</v>
          </cell>
          <cell r="J678" t="str">
            <v>Peak 30 Ml reserved capacity (50mm meter)</v>
          </cell>
          <cell r="M678" t="str">
            <v/>
          </cell>
          <cell r="O678" t="str">
            <v/>
          </cell>
          <cell r="P678" t="str">
            <v/>
          </cell>
        </row>
        <row r="679">
          <cell r="H679">
            <v>3.1829999999999998</v>
          </cell>
          <cell r="I679" t="str">
            <v>MWVOL17AB</v>
          </cell>
          <cell r="J679" t="str">
            <v>Off peak 30 Ml reserved capacity (50mm meter)</v>
          </cell>
          <cell r="M679" t="str">
            <v/>
          </cell>
          <cell r="O679" t="str">
            <v/>
          </cell>
          <cell r="P679" t="str">
            <v/>
          </cell>
        </row>
        <row r="680">
          <cell r="H680">
            <v>3.1840000000000002</v>
          </cell>
          <cell r="I680" t="str">
            <v>MWVOL17BA</v>
          </cell>
          <cell r="J680" t="str">
            <v>Peak 50 Ml reserved capacity (80mm meter)</v>
          </cell>
          <cell r="M680" t="str">
            <v/>
          </cell>
          <cell r="O680" t="str">
            <v/>
          </cell>
          <cell r="P680" t="str">
            <v/>
          </cell>
        </row>
        <row r="681">
          <cell r="H681">
            <v>3.1850000000000001</v>
          </cell>
          <cell r="I681" t="str">
            <v>MWVOL17BB</v>
          </cell>
          <cell r="J681" t="str">
            <v>Off peak 50 Ml reserved capacity (80mm meter)</v>
          </cell>
          <cell r="M681" t="str">
            <v/>
          </cell>
          <cell r="O681" t="str">
            <v/>
          </cell>
          <cell r="P681" t="str">
            <v/>
          </cell>
        </row>
        <row r="682">
          <cell r="H682">
            <v>3.1859999999999999</v>
          </cell>
          <cell r="I682" t="str">
            <v>MWVOL17CA</v>
          </cell>
          <cell r="J682" t="str">
            <v>Peak 80 Ml reserved capacity (80mm meter)</v>
          </cell>
          <cell r="M682" t="str">
            <v/>
          </cell>
          <cell r="O682" t="str">
            <v/>
          </cell>
          <cell r="P682" t="str">
            <v/>
          </cell>
        </row>
        <row r="683">
          <cell r="H683">
            <v>3.1869999999999998</v>
          </cell>
          <cell r="I683" t="str">
            <v>MWVOL17CB</v>
          </cell>
          <cell r="J683" t="str">
            <v>Off peak 80 Ml reserved capacity (80mm meter)</v>
          </cell>
          <cell r="M683" t="str">
            <v/>
          </cell>
          <cell r="O683" t="str">
            <v/>
          </cell>
          <cell r="P683" t="str">
            <v/>
          </cell>
        </row>
        <row r="684">
          <cell r="H684">
            <v>3.1880000000000002</v>
          </cell>
          <cell r="I684" t="str">
            <v>MWVOL17DA</v>
          </cell>
          <cell r="J684" t="str">
            <v>Peak 50 Ml reserved capacity (100mm meter)</v>
          </cell>
          <cell r="M684" t="str">
            <v/>
          </cell>
          <cell r="O684" t="str">
            <v/>
          </cell>
          <cell r="P684" t="str">
            <v/>
          </cell>
        </row>
        <row r="685">
          <cell r="H685">
            <v>3.1890000000000001</v>
          </cell>
          <cell r="I685" t="str">
            <v>MWVOL17DB</v>
          </cell>
          <cell r="J685" t="str">
            <v>Off peak 50 Ml reserved capacity (100mm meter)</v>
          </cell>
          <cell r="M685" t="str">
            <v/>
          </cell>
          <cell r="O685" t="str">
            <v/>
          </cell>
          <cell r="P685" t="str">
            <v/>
          </cell>
        </row>
        <row r="686">
          <cell r="H686">
            <v>3.19</v>
          </cell>
          <cell r="I686" t="str">
            <v>MWVOL17EA</v>
          </cell>
          <cell r="J686" t="str">
            <v>Peak 100 Ml reserved capacity (100mm meter)</v>
          </cell>
          <cell r="M686" t="str">
            <v/>
          </cell>
          <cell r="O686" t="str">
            <v/>
          </cell>
          <cell r="P686" t="str">
            <v/>
          </cell>
        </row>
        <row r="687">
          <cell r="H687">
            <v>3.1909999999999998</v>
          </cell>
          <cell r="I687" t="str">
            <v>MWVOL17EB</v>
          </cell>
          <cell r="J687" t="str">
            <v>Off peak 100 Ml reserved capacity (100mm meter)</v>
          </cell>
          <cell r="M687" t="str">
            <v/>
          </cell>
          <cell r="O687" t="str">
            <v/>
          </cell>
          <cell r="P687" t="str">
            <v/>
          </cell>
        </row>
        <row r="688">
          <cell r="H688">
            <v>3.1920000000000002</v>
          </cell>
          <cell r="I688" t="str">
            <v>MWVOL17FA</v>
          </cell>
          <cell r="J688" t="str">
            <v>Peak 130 Ml reserved capacity (100mm meter)</v>
          </cell>
          <cell r="M688" t="str">
            <v/>
          </cell>
          <cell r="O688" t="str">
            <v/>
          </cell>
          <cell r="P688" t="str">
            <v/>
          </cell>
        </row>
        <row r="689">
          <cell r="H689">
            <v>3.1930000000000001</v>
          </cell>
          <cell r="I689" t="str">
            <v>MWVOL17FB</v>
          </cell>
          <cell r="J689" t="str">
            <v>Off peak 130 Ml reserved capacity (100mm meter)</v>
          </cell>
          <cell r="M689" t="str">
            <v/>
          </cell>
          <cell r="O689" t="str">
            <v/>
          </cell>
          <cell r="P689" t="str">
            <v/>
          </cell>
        </row>
        <row r="690">
          <cell r="H690">
            <v>3.194</v>
          </cell>
          <cell r="I690" t="str">
            <v>MWVOL18A</v>
          </cell>
          <cell r="J690" t="str">
            <v>Interruptible &lt; 20 Ml</v>
          </cell>
          <cell r="M690" t="str">
            <v/>
          </cell>
          <cell r="O690" t="str">
            <v/>
          </cell>
          <cell r="P690" t="str">
            <v/>
          </cell>
        </row>
        <row r="691">
          <cell r="H691">
            <v>3.1949999999999998</v>
          </cell>
          <cell r="I691" t="str">
            <v>MWVOL18B</v>
          </cell>
          <cell r="J691" t="str">
            <v>Interruptible &gt; 20 Ml</v>
          </cell>
          <cell r="M691" t="str">
            <v/>
          </cell>
          <cell r="O691" t="str">
            <v/>
          </cell>
          <cell r="P691" t="str">
            <v/>
          </cell>
        </row>
        <row r="692">
          <cell r="H692">
            <v>3.1960000000000002</v>
          </cell>
          <cell r="I692" t="str">
            <v>MWVOL19A</v>
          </cell>
          <cell r="J692" t="str">
            <v>Reserved capacity 20-54 Ml (Peak)</v>
          </cell>
          <cell r="M692" t="str">
            <v/>
          </cell>
          <cell r="O692" t="str">
            <v/>
          </cell>
          <cell r="P692" t="str">
            <v/>
          </cell>
        </row>
        <row r="693">
          <cell r="H693">
            <v>3.1970000000000001</v>
          </cell>
          <cell r="I693" t="str">
            <v>MWVOL19B</v>
          </cell>
          <cell r="J693" t="str">
            <v>Reserved capacity 20-54 Ml (Off Peak)</v>
          </cell>
          <cell r="M693" t="str">
            <v/>
          </cell>
          <cell r="O693" t="str">
            <v/>
          </cell>
          <cell r="P693" t="str">
            <v/>
          </cell>
        </row>
        <row r="694">
          <cell r="H694">
            <v>3.198</v>
          </cell>
          <cell r="I694" t="str">
            <v>MWVOL19C</v>
          </cell>
          <cell r="J694" t="str">
            <v>Reserved capacity 20-54 Ml Premium (Peak)</v>
          </cell>
          <cell r="M694" t="str">
            <v/>
          </cell>
          <cell r="O694" t="str">
            <v/>
          </cell>
          <cell r="P694" t="str">
            <v/>
          </cell>
        </row>
        <row r="695">
          <cell r="H695">
            <v>3.1989999999999998</v>
          </cell>
          <cell r="I695" t="str">
            <v>MWVOL19D</v>
          </cell>
          <cell r="J695" t="str">
            <v>Reserved capacity 20-54 Ml Premium (Off peak)</v>
          </cell>
          <cell r="M695" t="str">
            <v/>
          </cell>
          <cell r="O695" t="str">
            <v/>
          </cell>
          <cell r="P695" t="str">
            <v/>
          </cell>
        </row>
        <row r="696">
          <cell r="H696">
            <v>3.2</v>
          </cell>
          <cell r="I696" t="str">
            <v>MWVOL19E</v>
          </cell>
          <cell r="J696" t="str">
            <v>Reserved capacity 54-108 Ml (Peak)</v>
          </cell>
          <cell r="M696" t="str">
            <v/>
          </cell>
          <cell r="O696" t="str">
            <v/>
          </cell>
          <cell r="P696" t="str">
            <v/>
          </cell>
        </row>
        <row r="697">
          <cell r="H697">
            <v>3.2010000000000001</v>
          </cell>
          <cell r="I697" t="str">
            <v>MWVOL19F</v>
          </cell>
          <cell r="J697" t="str">
            <v>Reserved capacity 54-108 Ml (Off Peak)</v>
          </cell>
          <cell r="M697" t="str">
            <v/>
          </cell>
          <cell r="O697" t="str">
            <v/>
          </cell>
          <cell r="P697" t="str">
            <v/>
          </cell>
        </row>
        <row r="698">
          <cell r="H698">
            <v>3.202</v>
          </cell>
          <cell r="I698" t="str">
            <v>MWVOL19G</v>
          </cell>
          <cell r="J698" t="str">
            <v>Reserved capacity 54-108 Ml Premium (Peak)</v>
          </cell>
          <cell r="M698" t="str">
            <v/>
          </cell>
          <cell r="O698" t="str">
            <v/>
          </cell>
          <cell r="P698" t="str">
            <v/>
          </cell>
        </row>
        <row r="699">
          <cell r="H699">
            <v>3.2029999999999998</v>
          </cell>
          <cell r="I699" t="str">
            <v>MWVOL19H</v>
          </cell>
          <cell r="J699" t="str">
            <v>Reserved capacity 54-108 Ml Premium (Off Peak)</v>
          </cell>
          <cell r="M699" t="str">
            <v/>
          </cell>
          <cell r="O699" t="str">
            <v/>
          </cell>
          <cell r="P699" t="str">
            <v/>
          </cell>
        </row>
        <row r="700">
          <cell r="H700">
            <v>3.2040000000000002</v>
          </cell>
          <cell r="I700" t="str">
            <v>MWVOL19I</v>
          </cell>
          <cell r="J700" t="str">
            <v>Reserved capacity 108-150 Ml (Peak)</v>
          </cell>
          <cell r="M700" t="str">
            <v/>
          </cell>
          <cell r="O700" t="str">
            <v/>
          </cell>
          <cell r="P700" t="str">
            <v/>
          </cell>
        </row>
        <row r="701">
          <cell r="H701">
            <v>3.2050000000000001</v>
          </cell>
          <cell r="I701" t="str">
            <v>MWVOL19J</v>
          </cell>
          <cell r="J701" t="str">
            <v>Reserved capacity 108-150Ml (Off Peak)</v>
          </cell>
          <cell r="M701" t="str">
            <v/>
          </cell>
          <cell r="O701" t="str">
            <v/>
          </cell>
          <cell r="P701" t="str">
            <v/>
          </cell>
        </row>
        <row r="702">
          <cell r="H702">
            <v>3.206</v>
          </cell>
          <cell r="I702" t="str">
            <v>MWVOL19K</v>
          </cell>
          <cell r="J702" t="str">
            <v>Reserved capacity 108-150 Ml Premium (Peak)</v>
          </cell>
          <cell r="M702" t="str">
            <v/>
          </cell>
          <cell r="O702" t="str">
            <v/>
          </cell>
          <cell r="P702" t="str">
            <v/>
          </cell>
        </row>
        <row r="703">
          <cell r="H703">
            <v>3.2069999999999999</v>
          </cell>
          <cell r="I703" t="str">
            <v>MWVOL19L</v>
          </cell>
          <cell r="J703" t="str">
            <v>Reserved capacity 108-150 Ml Premium (Off Peak)</v>
          </cell>
          <cell r="M703" t="str">
            <v/>
          </cell>
          <cell r="O703" t="str">
            <v/>
          </cell>
          <cell r="P703" t="str">
            <v/>
          </cell>
        </row>
        <row r="705">
          <cell r="F705" t="str">
            <v>ABATED</v>
          </cell>
        </row>
        <row r="707">
          <cell r="F707" t="str">
            <v>OTHER</v>
          </cell>
        </row>
        <row r="710">
          <cell r="D710">
            <v>3.2080000000000002</v>
          </cell>
          <cell r="E710" t="str">
            <v>Minimum Charges</v>
          </cell>
        </row>
        <row r="712">
          <cell r="H712">
            <v>3.2090000000000001</v>
          </cell>
          <cell r="I712" t="str">
            <v>MWMIN04</v>
          </cell>
          <cell r="J712" t="str">
            <v>20/22 mm (0.75")</v>
          </cell>
          <cell r="M712" t="str">
            <v/>
          </cell>
          <cell r="O712" t="str">
            <v/>
          </cell>
          <cell r="P712" t="str">
            <v/>
          </cell>
        </row>
        <row r="713">
          <cell r="H713">
            <v>3.21</v>
          </cell>
          <cell r="I713" t="str">
            <v>MWMIN05</v>
          </cell>
          <cell r="J713" t="str">
            <v>25/28 mm (1")</v>
          </cell>
          <cell r="M713" t="str">
            <v/>
          </cell>
          <cell r="O713" t="str">
            <v/>
          </cell>
          <cell r="P713" t="str">
            <v/>
          </cell>
        </row>
        <row r="714">
          <cell r="H714">
            <v>3.2109999999999999</v>
          </cell>
          <cell r="I714" t="str">
            <v>MWMIN07</v>
          </cell>
          <cell r="J714" t="str">
            <v>30/32/35mm (1.25")</v>
          </cell>
          <cell r="M714" t="str">
            <v/>
          </cell>
          <cell r="O714" t="str">
            <v/>
          </cell>
          <cell r="P714" t="str">
            <v/>
          </cell>
        </row>
        <row r="715">
          <cell r="H715">
            <v>3.2120000000000002</v>
          </cell>
          <cell r="I715" t="str">
            <v>MWMIN09</v>
          </cell>
          <cell r="J715" t="str">
            <v>40/42mm (1.5")</v>
          </cell>
          <cell r="M715" t="str">
            <v/>
          </cell>
          <cell r="O715" t="str">
            <v/>
          </cell>
          <cell r="P715" t="str">
            <v/>
          </cell>
        </row>
        <row r="716">
          <cell r="H716">
            <v>3.2130000000000001</v>
          </cell>
          <cell r="I716" t="str">
            <v>MWMIN10</v>
          </cell>
          <cell r="J716" t="str">
            <v>50/54 mm (2")</v>
          </cell>
          <cell r="M716" t="str">
            <v/>
          </cell>
          <cell r="O716" t="str">
            <v/>
          </cell>
          <cell r="P716" t="str">
            <v/>
          </cell>
        </row>
        <row r="717">
          <cell r="H717">
            <v>3.214</v>
          </cell>
          <cell r="I717" t="str">
            <v>MWMIN13</v>
          </cell>
          <cell r="J717" t="str">
            <v>75/80 mm (3")</v>
          </cell>
          <cell r="M717" t="str">
            <v/>
          </cell>
          <cell r="O717" t="str">
            <v/>
          </cell>
          <cell r="P717" t="str">
            <v/>
          </cell>
        </row>
        <row r="718">
          <cell r="H718">
            <v>3.2149999999999999</v>
          </cell>
          <cell r="I718" t="str">
            <v>MWMIN14</v>
          </cell>
          <cell r="J718" t="str">
            <v>100 mm (4")</v>
          </cell>
          <cell r="M718" t="str">
            <v/>
          </cell>
          <cell r="O718" t="str">
            <v/>
          </cell>
          <cell r="P718" t="str">
            <v/>
          </cell>
        </row>
        <row r="719">
          <cell r="H719">
            <v>3.2160000000000002</v>
          </cell>
          <cell r="I719" t="str">
            <v>MWMIN18</v>
          </cell>
          <cell r="J719" t="str">
            <v>150 mm (6")</v>
          </cell>
          <cell r="M719" t="str">
            <v/>
          </cell>
          <cell r="O719" t="str">
            <v/>
          </cell>
          <cell r="P719" t="str">
            <v/>
          </cell>
        </row>
        <row r="720">
          <cell r="H720">
            <v>3.2170000000000001</v>
          </cell>
          <cell r="I720" t="str">
            <v>MWMIN20</v>
          </cell>
          <cell r="J720" t="str">
            <v>200 mm (8")</v>
          </cell>
          <cell r="M720" t="str">
            <v/>
          </cell>
          <cell r="O720" t="str">
            <v/>
          </cell>
          <cell r="P720" t="str">
            <v/>
          </cell>
        </row>
        <row r="721">
          <cell r="H721">
            <v>3.218</v>
          </cell>
          <cell r="I721" t="str">
            <v>MWMIN22</v>
          </cell>
          <cell r="J721" t="str">
            <v>250 mm (10")</v>
          </cell>
          <cell r="M721" t="str">
            <v/>
          </cell>
          <cell r="O721" t="str">
            <v/>
          </cell>
          <cell r="P721" t="str">
            <v/>
          </cell>
        </row>
        <row r="722">
          <cell r="H722">
            <v>3.2189999999999999</v>
          </cell>
          <cell r="I722" t="str">
            <v>MWMIN24</v>
          </cell>
          <cell r="J722" t="str">
            <v>300 mm (12")</v>
          </cell>
          <cell r="M722" t="str">
            <v/>
          </cell>
          <cell r="O722" t="str">
            <v/>
          </cell>
          <cell r="P722" t="str">
            <v/>
          </cell>
        </row>
        <row r="723">
          <cell r="H723">
            <v>3.22</v>
          </cell>
          <cell r="I723" t="str">
            <v>MWMIN35</v>
          </cell>
          <cell r="J723" t="str">
            <v>Low User (40)</v>
          </cell>
          <cell r="M723" t="str">
            <v/>
          </cell>
          <cell r="O723" t="str">
            <v/>
          </cell>
          <cell r="P723" t="str">
            <v/>
          </cell>
        </row>
        <row r="724">
          <cell r="H724">
            <v>3.2210000000000001</v>
          </cell>
          <cell r="I724" t="str">
            <v>MWMIN36</v>
          </cell>
          <cell r="J724" t="str">
            <v>Low User (80)</v>
          </cell>
          <cell r="M724" t="str">
            <v/>
          </cell>
          <cell r="O724" t="str">
            <v/>
          </cell>
          <cell r="P724" t="str">
            <v/>
          </cell>
        </row>
        <row r="726">
          <cell r="D726">
            <v>3.222</v>
          </cell>
          <cell r="E726" t="str">
            <v>Fixed Charges</v>
          </cell>
        </row>
        <row r="729">
          <cell r="D729">
            <v>3.2229999999999999</v>
          </cell>
          <cell r="E729" t="str">
            <v>Vulnerable Group Tariff</v>
          </cell>
        </row>
        <row r="731">
          <cell r="H731">
            <v>3.2240000000000002</v>
          </cell>
          <cell r="I731" t="str">
            <v>MWVGT01</v>
          </cell>
          <cell r="J731" t="str">
            <v>General</v>
          </cell>
          <cell r="K731">
            <v>133</v>
          </cell>
          <cell r="L731">
            <v>133</v>
          </cell>
          <cell r="M731">
            <v>0</v>
          </cell>
          <cell r="N731">
            <v>1236</v>
          </cell>
          <cell r="O731">
            <v>164388</v>
          </cell>
          <cell r="P731">
            <v>164388</v>
          </cell>
          <cell r="S731">
            <v>842</v>
          </cell>
        </row>
        <row r="733">
          <cell r="D733">
            <v>3.2250000000000001</v>
          </cell>
          <cell r="E733" t="str">
            <v>Discounts</v>
          </cell>
          <cell r="S733" t="str">
            <v>Raw numbers</v>
          </cell>
        </row>
        <row r="734">
          <cell r="S734" t="str">
            <v>Banner</v>
          </cell>
          <cell r="T734" t="str">
            <v>ICL</v>
          </cell>
        </row>
        <row r="735">
          <cell r="H735">
            <v>3.226</v>
          </cell>
          <cell r="I735" t="str">
            <v>MWDIS01</v>
          </cell>
          <cell r="J735" t="str">
            <v>Direct Debit</v>
          </cell>
          <cell r="K735">
            <v>-2.5</v>
          </cell>
          <cell r="L735">
            <v>-2.5</v>
          </cell>
          <cell r="M735">
            <v>0</v>
          </cell>
          <cell r="N735">
            <v>282785</v>
          </cell>
          <cell r="O735">
            <v>-706962.5</v>
          </cell>
          <cell r="P735">
            <v>-706962.5</v>
          </cell>
          <cell r="S735">
            <v>282785</v>
          </cell>
        </row>
        <row r="736">
          <cell r="H736">
            <v>3.2269999999999999</v>
          </cell>
          <cell r="I736" t="str">
            <v>MWDIS02</v>
          </cell>
          <cell r="J736" t="str">
            <v>Single Bill</v>
          </cell>
          <cell r="M736" t="str">
            <v/>
          </cell>
          <cell r="O736" t="str">
            <v/>
          </cell>
          <cell r="P736" t="str">
            <v/>
          </cell>
        </row>
        <row r="738">
          <cell r="D738">
            <v>3.2280000000000002</v>
          </cell>
          <cell r="E738" t="str">
            <v>Other Charges</v>
          </cell>
        </row>
        <row r="739">
          <cell r="L739">
            <v>133</v>
          </cell>
          <cell r="M739" t="str">
            <v/>
          </cell>
          <cell r="N739">
            <v>402</v>
          </cell>
          <cell r="O739" t="str">
            <v/>
          </cell>
          <cell r="P739">
            <v>53466</v>
          </cell>
        </row>
        <row r="740">
          <cell r="K740">
            <v>22</v>
          </cell>
          <cell r="M740">
            <v>-1</v>
          </cell>
          <cell r="N740">
            <v>402</v>
          </cell>
          <cell r="O740">
            <v>8844</v>
          </cell>
          <cell r="P740" t="str">
            <v/>
          </cell>
        </row>
        <row r="741">
          <cell r="K741">
            <v>0.95499999999999996</v>
          </cell>
          <cell r="M741">
            <v>-1</v>
          </cell>
          <cell r="N741">
            <v>92742</v>
          </cell>
          <cell r="O741">
            <v>88568.61</v>
          </cell>
          <cell r="P741" t="str">
            <v/>
          </cell>
        </row>
        <row r="742">
          <cell r="M742" t="str">
            <v/>
          </cell>
          <cell r="O742" t="str">
            <v/>
          </cell>
          <cell r="P742" t="str">
            <v/>
          </cell>
        </row>
        <row r="743">
          <cell r="L743">
            <v>133</v>
          </cell>
          <cell r="M743" t="str">
            <v/>
          </cell>
          <cell r="N743">
            <v>104</v>
          </cell>
          <cell r="O743" t="str">
            <v/>
          </cell>
          <cell r="P743">
            <v>13832</v>
          </cell>
        </row>
        <row r="744">
          <cell r="K744">
            <v>22</v>
          </cell>
          <cell r="M744">
            <v>-1</v>
          </cell>
          <cell r="N744">
            <v>104</v>
          </cell>
          <cell r="O744">
            <v>2288</v>
          </cell>
          <cell r="P744" t="str">
            <v/>
          </cell>
        </row>
        <row r="745">
          <cell r="K745">
            <v>0.95499999999999996</v>
          </cell>
          <cell r="M745">
            <v>-1</v>
          </cell>
          <cell r="N745">
            <v>21944</v>
          </cell>
          <cell r="O745">
            <v>20956.52</v>
          </cell>
          <cell r="P745" t="str">
            <v/>
          </cell>
        </row>
        <row r="746">
          <cell r="M746" t="str">
            <v/>
          </cell>
          <cell r="O746" t="str">
            <v/>
          </cell>
          <cell r="P746" t="str">
            <v/>
          </cell>
        </row>
        <row r="747">
          <cell r="M747" t="str">
            <v/>
          </cell>
          <cell r="O747" t="str">
            <v/>
          </cell>
          <cell r="P747" t="str">
            <v/>
          </cell>
        </row>
        <row r="748">
          <cell r="M748" t="str">
            <v/>
          </cell>
          <cell r="O748" t="str">
            <v/>
          </cell>
          <cell r="P748" t="str">
            <v/>
          </cell>
        </row>
        <row r="749">
          <cell r="M749" t="str">
            <v/>
          </cell>
          <cell r="O749" t="str">
            <v/>
          </cell>
          <cell r="P749" t="str">
            <v/>
          </cell>
        </row>
        <row r="750">
          <cell r="M750" t="str">
            <v/>
          </cell>
          <cell r="O750" t="str">
            <v/>
          </cell>
          <cell r="P750" t="str">
            <v/>
          </cell>
        </row>
        <row r="751">
          <cell r="M751" t="str">
            <v/>
          </cell>
          <cell r="O751" t="str">
            <v/>
          </cell>
          <cell r="P751" t="str">
            <v/>
          </cell>
        </row>
        <row r="752">
          <cell r="M752" t="str">
            <v/>
          </cell>
          <cell r="O752" t="str">
            <v/>
          </cell>
          <cell r="P752" t="str">
            <v/>
          </cell>
        </row>
        <row r="753">
          <cell r="M753" t="str">
            <v/>
          </cell>
          <cell r="O753" t="str">
            <v/>
          </cell>
          <cell r="P753" t="str">
            <v/>
          </cell>
        </row>
        <row r="754">
          <cell r="M754" t="str">
            <v/>
          </cell>
          <cell r="O754" t="str">
            <v/>
          </cell>
          <cell r="P754" t="str">
            <v/>
          </cell>
        </row>
        <row r="755">
          <cell r="M755" t="str">
            <v/>
          </cell>
          <cell r="O755" t="str">
            <v/>
          </cell>
          <cell r="P755" t="str">
            <v/>
          </cell>
        </row>
        <row r="756">
          <cell r="M756" t="str">
            <v/>
          </cell>
          <cell r="O756" t="str">
            <v/>
          </cell>
          <cell r="P756" t="str">
            <v/>
          </cell>
        </row>
        <row r="757">
          <cell r="M757" t="str">
            <v/>
          </cell>
          <cell r="O757" t="str">
            <v/>
          </cell>
          <cell r="P757" t="str">
            <v/>
          </cell>
        </row>
        <row r="758">
          <cell r="M758" t="str">
            <v/>
          </cell>
          <cell r="O758" t="str">
            <v/>
          </cell>
          <cell r="P758" t="str">
            <v/>
          </cell>
        </row>
        <row r="759">
          <cell r="M759" t="str">
            <v/>
          </cell>
          <cell r="O759" t="str">
            <v/>
          </cell>
          <cell r="P759" t="str">
            <v/>
          </cell>
        </row>
        <row r="760">
          <cell r="M760" t="str">
            <v/>
          </cell>
          <cell r="O760" t="str">
            <v/>
          </cell>
          <cell r="P760" t="str">
            <v/>
          </cell>
        </row>
        <row r="761">
          <cell r="M761" t="str">
            <v/>
          </cell>
          <cell r="O761" t="str">
            <v/>
          </cell>
          <cell r="P761" t="str">
            <v/>
          </cell>
        </row>
        <row r="762">
          <cell r="M762" t="str">
            <v/>
          </cell>
          <cell r="O762" t="str">
            <v/>
          </cell>
          <cell r="P762" t="str">
            <v/>
          </cell>
        </row>
        <row r="763">
          <cell r="M763" t="str">
            <v/>
          </cell>
          <cell r="O763" t="str">
            <v/>
          </cell>
          <cell r="P763" t="str">
            <v/>
          </cell>
        </row>
        <row r="764">
          <cell r="M764" t="str">
            <v/>
          </cell>
          <cell r="O764" t="str">
            <v/>
          </cell>
          <cell r="P764" t="str">
            <v/>
          </cell>
        </row>
        <row r="765">
          <cell r="M765" t="str">
            <v/>
          </cell>
          <cell r="O765" t="str">
            <v/>
          </cell>
          <cell r="P765" t="str">
            <v/>
          </cell>
        </row>
        <row r="766">
          <cell r="M766" t="str">
            <v/>
          </cell>
          <cell r="O766" t="str">
            <v/>
          </cell>
          <cell r="P766" t="str">
            <v/>
          </cell>
        </row>
        <row r="767">
          <cell r="M767" t="str">
            <v/>
          </cell>
          <cell r="O767" t="str">
            <v/>
          </cell>
          <cell r="P767" t="str">
            <v/>
          </cell>
        </row>
        <row r="768">
          <cell r="M768" t="str">
            <v/>
          </cell>
          <cell r="O768" t="str">
            <v/>
          </cell>
          <cell r="P768" t="str">
            <v/>
          </cell>
        </row>
        <row r="769">
          <cell r="M769" t="str">
            <v/>
          </cell>
          <cell r="O769" t="str">
            <v/>
          </cell>
          <cell r="P769" t="str">
            <v/>
          </cell>
        </row>
        <row r="770">
          <cell r="M770" t="str">
            <v/>
          </cell>
          <cell r="O770" t="str">
            <v/>
          </cell>
          <cell r="P770" t="str">
            <v/>
          </cell>
        </row>
        <row r="771">
          <cell r="M771" t="str">
            <v/>
          </cell>
          <cell r="O771" t="str">
            <v/>
          </cell>
          <cell r="P771" t="str">
            <v/>
          </cell>
        </row>
        <row r="772">
          <cell r="M772" t="str">
            <v/>
          </cell>
          <cell r="O772" t="str">
            <v/>
          </cell>
          <cell r="P772" t="str">
            <v/>
          </cell>
        </row>
        <row r="773">
          <cell r="M773" t="str">
            <v/>
          </cell>
          <cell r="O773" t="str">
            <v/>
          </cell>
          <cell r="P773" t="str">
            <v/>
          </cell>
        </row>
        <row r="774">
          <cell r="M774" t="str">
            <v/>
          </cell>
          <cell r="O774" t="str">
            <v/>
          </cell>
          <cell r="P774" t="str">
            <v/>
          </cell>
        </row>
        <row r="775">
          <cell r="M775" t="str">
            <v/>
          </cell>
          <cell r="O775" t="str">
            <v/>
          </cell>
          <cell r="P775" t="str">
            <v/>
          </cell>
        </row>
        <row r="776">
          <cell r="M776" t="str">
            <v/>
          </cell>
          <cell r="O776" t="str">
            <v/>
          </cell>
          <cell r="P776" t="str">
            <v/>
          </cell>
        </row>
        <row r="779">
          <cell r="J779" t="str">
            <v>TOTALS</v>
          </cell>
          <cell r="K779" t="str">
            <v>-</v>
          </cell>
          <cell r="L779" t="str">
            <v>-</v>
          </cell>
          <cell r="M779" t="str">
            <v>-</v>
          </cell>
          <cell r="N779" t="str">
            <v>-</v>
          </cell>
          <cell r="O779">
            <v>159447960.234</v>
          </cell>
          <cell r="P779">
            <v>159388845.07699999</v>
          </cell>
        </row>
        <row r="781">
          <cell r="J781" t="str">
            <v>RATIO OF WEIGHTING YEAR REVENUES</v>
          </cell>
        </row>
        <row r="783">
          <cell r="J783" t="str">
            <v>Bt(1)/Bt-1(1) = V / IV =</v>
          </cell>
          <cell r="N783">
            <v>0.99962925109287537</v>
          </cell>
        </row>
        <row r="786">
          <cell r="B786">
            <v>4</v>
          </cell>
          <cell r="C786" t="str">
            <v>Measured Sewerage</v>
          </cell>
        </row>
        <row r="787">
          <cell r="G787" t="str">
            <v>Standing Charges</v>
          </cell>
          <cell r="K787" t="str">
            <v>Charges(£.p)</v>
          </cell>
          <cell r="N787" t="str">
            <v>Charge</v>
          </cell>
          <cell r="O787" t="str">
            <v>Weighting Year Revenue</v>
          </cell>
        </row>
        <row r="788">
          <cell r="K788" t="str">
            <v>prior</v>
          </cell>
          <cell r="L788" t="str">
            <v>charging</v>
          </cell>
          <cell r="N788" t="str">
            <v>Multiplier</v>
          </cell>
          <cell r="O788" t="str">
            <v>prior</v>
          </cell>
          <cell r="P788" t="str">
            <v>charging</v>
          </cell>
        </row>
        <row r="789">
          <cell r="K789" t="str">
            <v>year</v>
          </cell>
          <cell r="L789" t="str">
            <v>year</v>
          </cell>
          <cell r="O789" t="str">
            <v>year</v>
          </cell>
          <cell r="P789" t="str">
            <v>year</v>
          </cell>
        </row>
        <row r="790">
          <cell r="I790" t="str">
            <v>Line</v>
          </cell>
          <cell r="J790" t="str">
            <v>Description</v>
          </cell>
          <cell r="K790" t="str">
            <v>2004-05</v>
          </cell>
          <cell r="L790" t="str">
            <v>2005-06</v>
          </cell>
          <cell r="M790" t="str">
            <v>% Change</v>
          </cell>
          <cell r="N790" t="str">
            <v>2003-04</v>
          </cell>
          <cell r="O790" t="str">
            <v>2004-05</v>
          </cell>
          <cell r="P790" t="str">
            <v>2005-06</v>
          </cell>
        </row>
        <row r="801">
          <cell r="F801" t="str">
            <v>FULL DRAINAGE - COMMERCIAL</v>
          </cell>
        </row>
        <row r="802">
          <cell r="H802">
            <v>4.0069999999999997</v>
          </cell>
          <cell r="I802" t="str">
            <v>MSSC01</v>
          </cell>
          <cell r="J802" t="str">
            <v>12/15 mm (0.5")</v>
          </cell>
          <cell r="K802">
            <v>67</v>
          </cell>
          <cell r="L802">
            <v>74</v>
          </cell>
          <cell r="M802">
            <v>0.10447761194029859</v>
          </cell>
          <cell r="N802">
            <v>2821</v>
          </cell>
          <cell r="O802">
            <v>189007</v>
          </cell>
          <cell r="P802">
            <v>208754</v>
          </cell>
          <cell r="Q802" t="str">
            <v>SCF</v>
          </cell>
          <cell r="R802">
            <v>15</v>
          </cell>
          <cell r="S802">
            <v>2750</v>
          </cell>
        </row>
        <row r="803">
          <cell r="H803">
            <v>4.008</v>
          </cell>
          <cell r="I803" t="str">
            <v>MSSC02</v>
          </cell>
          <cell r="J803" t="str">
            <v>12/15&amp;20/22 mm (0.5 &amp; 0.75")</v>
          </cell>
          <cell r="M803" t="str">
            <v/>
          </cell>
          <cell r="O803" t="str">
            <v/>
          </cell>
          <cell r="P803" t="str">
            <v/>
          </cell>
        </row>
        <row r="804">
          <cell r="H804">
            <v>4.0090000000000003</v>
          </cell>
          <cell r="I804" t="str">
            <v>MSSC02A</v>
          </cell>
          <cell r="J804" t="str">
            <v>Surface &amp; highway drainage - domestic only</v>
          </cell>
          <cell r="M804" t="str">
            <v/>
          </cell>
          <cell r="O804" t="str">
            <v/>
          </cell>
          <cell r="P804" t="str">
            <v/>
          </cell>
        </row>
        <row r="805">
          <cell r="H805">
            <v>4.01</v>
          </cell>
          <cell r="I805" t="str">
            <v>MSSC02B</v>
          </cell>
          <cell r="J805" t="str">
            <v>Highway drainage only - domestic only</v>
          </cell>
          <cell r="M805" t="str">
            <v/>
          </cell>
          <cell r="O805" t="str">
            <v/>
          </cell>
          <cell r="P805" t="str">
            <v/>
          </cell>
        </row>
        <row r="806">
          <cell r="H806">
            <v>4.0110000000000001</v>
          </cell>
          <cell r="I806" t="str">
            <v>MSSC03</v>
          </cell>
          <cell r="J806" t="str">
            <v>20/22 mm (0.75")</v>
          </cell>
          <cell r="K806">
            <v>187</v>
          </cell>
          <cell r="L806">
            <v>206</v>
          </cell>
          <cell r="M806">
            <v>0.10160427807486627</v>
          </cell>
          <cell r="N806">
            <v>2665</v>
          </cell>
          <cell r="O806">
            <v>498355</v>
          </cell>
          <cell r="P806">
            <v>548990</v>
          </cell>
          <cell r="Q806" t="str">
            <v>SCF</v>
          </cell>
          <cell r="R806">
            <v>20</v>
          </cell>
          <cell r="S806">
            <v>2666</v>
          </cell>
        </row>
        <row r="807">
          <cell r="H807">
            <v>4.0119999999999996</v>
          </cell>
          <cell r="I807" t="str">
            <v>MSSC04</v>
          </cell>
          <cell r="J807" t="str">
            <v>25/28 mm (1")</v>
          </cell>
          <cell r="K807">
            <v>333</v>
          </cell>
          <cell r="L807">
            <v>366</v>
          </cell>
          <cell r="M807">
            <v>9.9099099099099197E-2</v>
          </cell>
          <cell r="N807">
            <v>1213</v>
          </cell>
          <cell r="O807">
            <v>403929</v>
          </cell>
          <cell r="P807">
            <v>443958</v>
          </cell>
          <cell r="Q807" t="str">
            <v>SCF</v>
          </cell>
          <cell r="R807">
            <v>25</v>
          </cell>
          <cell r="S807">
            <v>1211</v>
          </cell>
        </row>
        <row r="808">
          <cell r="H808">
            <v>4.0129999999999999</v>
          </cell>
          <cell r="I808" t="str">
            <v>MSSC05</v>
          </cell>
          <cell r="J808" t="str">
            <v>25/28&amp;30/32/35mm (1&amp;1.25")</v>
          </cell>
          <cell r="M808" t="str">
            <v/>
          </cell>
          <cell r="O808" t="str">
            <v/>
          </cell>
          <cell r="P808" t="str">
            <v/>
          </cell>
        </row>
        <row r="809">
          <cell r="H809">
            <v>4.0140000000000002</v>
          </cell>
          <cell r="I809" t="str">
            <v>MSSC06</v>
          </cell>
          <cell r="J809" t="str">
            <v>30/32/35 mm (1.25")</v>
          </cell>
          <cell r="K809">
            <v>333</v>
          </cell>
          <cell r="L809">
            <v>366</v>
          </cell>
          <cell r="M809">
            <v>9.9099099099099197E-2</v>
          </cell>
          <cell r="N809">
            <v>12</v>
          </cell>
          <cell r="O809">
            <v>3996</v>
          </cell>
          <cell r="P809">
            <v>4392</v>
          </cell>
          <cell r="Q809" t="str">
            <v>SCF</v>
          </cell>
          <cell r="R809">
            <v>30</v>
          </cell>
          <cell r="S809">
            <v>12</v>
          </cell>
        </row>
        <row r="810">
          <cell r="H810">
            <v>4.0149999999999997</v>
          </cell>
          <cell r="I810" t="str">
            <v>MSSC07</v>
          </cell>
          <cell r="J810" t="str">
            <v>30/32/35&amp;40/42mm (1.25&amp;1.5")</v>
          </cell>
          <cell r="M810" t="str">
            <v/>
          </cell>
          <cell r="O810" t="str">
            <v/>
          </cell>
          <cell r="P810" t="str">
            <v/>
          </cell>
        </row>
        <row r="811">
          <cell r="H811">
            <v>4.016</v>
          </cell>
          <cell r="I811" t="str">
            <v>MSSC08</v>
          </cell>
          <cell r="J811" t="str">
            <v>40/42 mm (1.5")</v>
          </cell>
          <cell r="K811">
            <v>749</v>
          </cell>
          <cell r="L811">
            <v>824</v>
          </cell>
          <cell r="M811">
            <v>0.10013351134846471</v>
          </cell>
          <cell r="N811">
            <v>460</v>
          </cell>
          <cell r="O811">
            <v>344540</v>
          </cell>
          <cell r="P811">
            <v>379040</v>
          </cell>
          <cell r="Q811" t="str">
            <v>SCF</v>
          </cell>
          <cell r="R811">
            <v>40</v>
          </cell>
          <cell r="S811">
            <v>463</v>
          </cell>
        </row>
        <row r="812">
          <cell r="H812">
            <v>4.0170000000000003</v>
          </cell>
          <cell r="I812" t="str">
            <v>MSSC09</v>
          </cell>
          <cell r="J812" t="str">
            <v>50/54 mm (2")</v>
          </cell>
          <cell r="K812">
            <v>1329</v>
          </cell>
          <cell r="L812">
            <v>1462</v>
          </cell>
          <cell r="M812">
            <v>0.10007524454477057</v>
          </cell>
          <cell r="N812">
            <v>207</v>
          </cell>
          <cell r="O812">
            <v>275103</v>
          </cell>
          <cell r="P812">
            <v>302634</v>
          </cell>
          <cell r="Q812" t="str">
            <v>SCF</v>
          </cell>
          <cell r="R812">
            <v>50</v>
          </cell>
          <cell r="S812">
            <v>212</v>
          </cell>
        </row>
        <row r="813">
          <cell r="H813">
            <v>4.0179999999999998</v>
          </cell>
          <cell r="I813" t="str">
            <v>MSSC10</v>
          </cell>
          <cell r="J813" t="str">
            <v>50/54 &amp; 65 mm (2 &amp; 2.5")</v>
          </cell>
          <cell r="M813" t="str">
            <v/>
          </cell>
          <cell r="O813" t="str">
            <v/>
          </cell>
          <cell r="P813" t="str">
            <v/>
          </cell>
        </row>
        <row r="814">
          <cell r="H814">
            <v>4.0190000000000001</v>
          </cell>
          <cell r="I814" t="str">
            <v>MSSC11</v>
          </cell>
          <cell r="J814" t="str">
            <v>65 mm (2.5")</v>
          </cell>
          <cell r="M814" t="str">
            <v/>
          </cell>
          <cell r="O814" t="str">
            <v/>
          </cell>
          <cell r="P814" t="str">
            <v/>
          </cell>
        </row>
        <row r="815">
          <cell r="H815">
            <v>4.0199999999999996</v>
          </cell>
          <cell r="I815" t="str">
            <v>MSSC12</v>
          </cell>
          <cell r="J815" t="str">
            <v>75/80 mm (3")</v>
          </cell>
          <cell r="K815">
            <v>2988</v>
          </cell>
          <cell r="L815">
            <v>3287</v>
          </cell>
          <cell r="M815">
            <v>0.10006693440428371</v>
          </cell>
          <cell r="N815">
            <v>66</v>
          </cell>
          <cell r="O815">
            <v>197208</v>
          </cell>
          <cell r="P815">
            <v>216942</v>
          </cell>
          <cell r="Q815" t="str">
            <v>SCF</v>
          </cell>
          <cell r="R815">
            <v>80</v>
          </cell>
          <cell r="S815">
            <v>75</v>
          </cell>
        </row>
        <row r="816">
          <cell r="H816">
            <v>4.0209999999999999</v>
          </cell>
          <cell r="I816" t="str">
            <v>MSSC13</v>
          </cell>
          <cell r="J816" t="str">
            <v>100 mm (4")</v>
          </cell>
          <cell r="K816">
            <v>5307</v>
          </cell>
          <cell r="L816">
            <v>5838</v>
          </cell>
          <cell r="M816">
            <v>0.10005652911249285</v>
          </cell>
          <cell r="N816">
            <v>32</v>
          </cell>
          <cell r="O816">
            <v>169824</v>
          </cell>
          <cell r="P816">
            <v>186816</v>
          </cell>
          <cell r="Q816" t="str">
            <v>SCF</v>
          </cell>
          <cell r="R816">
            <v>100</v>
          </cell>
          <cell r="S816">
            <v>38</v>
          </cell>
        </row>
        <row r="817">
          <cell r="H817">
            <v>4.0220000000000002</v>
          </cell>
          <cell r="I817" t="str">
            <v>MSSC15</v>
          </cell>
          <cell r="J817" t="str">
            <v>125 mm (5")</v>
          </cell>
          <cell r="M817" t="str">
            <v/>
          </cell>
          <cell r="O817" t="str">
            <v/>
          </cell>
          <cell r="P817" t="str">
            <v/>
          </cell>
        </row>
        <row r="818">
          <cell r="H818">
            <v>4.0229999999999997</v>
          </cell>
          <cell r="I818" t="str">
            <v>MSSC16</v>
          </cell>
          <cell r="J818" t="str">
            <v>125 &amp; 150 mm (5 &amp; 6")</v>
          </cell>
          <cell r="M818" t="str">
            <v/>
          </cell>
          <cell r="O818" t="str">
            <v/>
          </cell>
          <cell r="P818" t="str">
            <v/>
          </cell>
        </row>
        <row r="819">
          <cell r="H819">
            <v>4.024</v>
          </cell>
          <cell r="I819" t="str">
            <v>MSSC17</v>
          </cell>
          <cell r="J819" t="str">
            <v>150 mm (6")</v>
          </cell>
          <cell r="M819" t="str">
            <v/>
          </cell>
          <cell r="O819" t="str">
            <v/>
          </cell>
          <cell r="P819" t="str">
            <v/>
          </cell>
        </row>
        <row r="820">
          <cell r="H820">
            <v>4.0250000000000004</v>
          </cell>
          <cell r="I820" t="str">
            <v>MSSC17A</v>
          </cell>
          <cell r="J820" t="str">
            <v>&gt; = 150 mm (&gt; = 6")</v>
          </cell>
          <cell r="K820">
            <v>11932</v>
          </cell>
          <cell r="L820">
            <v>13125</v>
          </cell>
          <cell r="M820">
            <v>9.9983238350653814E-2</v>
          </cell>
          <cell r="N820">
            <v>6</v>
          </cell>
          <cell r="O820">
            <v>71592</v>
          </cell>
          <cell r="P820">
            <v>78750</v>
          </cell>
          <cell r="R820" t="str">
            <v>&gt;150</v>
          </cell>
          <cell r="S820">
            <v>6</v>
          </cell>
        </row>
        <row r="821">
          <cell r="Q821" t="str">
            <v>SCF</v>
          </cell>
          <cell r="R821">
            <v>150</v>
          </cell>
          <cell r="S821">
            <v>6</v>
          </cell>
        </row>
        <row r="822">
          <cell r="Q822" t="str">
            <v>SCF</v>
          </cell>
          <cell r="R822">
            <v>200</v>
          </cell>
          <cell r="S822">
            <v>0</v>
          </cell>
        </row>
        <row r="823">
          <cell r="Q823" t="str">
            <v>SCF</v>
          </cell>
          <cell r="R823">
            <v>250</v>
          </cell>
          <cell r="S823">
            <v>0</v>
          </cell>
        </row>
        <row r="824">
          <cell r="Q824" t="str">
            <v>SCF</v>
          </cell>
          <cell r="R824">
            <v>300</v>
          </cell>
          <cell r="S824">
            <v>0</v>
          </cell>
        </row>
        <row r="825">
          <cell r="Q825" t="str">
            <v>SCF</v>
          </cell>
          <cell r="R825">
            <v>375</v>
          </cell>
          <cell r="S825">
            <v>0</v>
          </cell>
        </row>
        <row r="826">
          <cell r="H826">
            <v>4.0259999999999998</v>
          </cell>
          <cell r="I826" t="str">
            <v>MSSC18</v>
          </cell>
          <cell r="J826" t="str">
            <v>&gt;150 mm (&gt;6")</v>
          </cell>
          <cell r="M826" t="str">
            <v/>
          </cell>
          <cell r="O826" t="str">
            <v/>
          </cell>
          <cell r="P826" t="str">
            <v/>
          </cell>
        </row>
        <row r="827">
          <cell r="H827">
            <v>4.0270000000000001</v>
          </cell>
          <cell r="I827" t="str">
            <v>MSSC19</v>
          </cell>
          <cell r="J827" t="str">
            <v>200 mm (8")</v>
          </cell>
          <cell r="M827" t="str">
            <v/>
          </cell>
          <cell r="O827" t="str">
            <v/>
          </cell>
          <cell r="P827" t="str">
            <v/>
          </cell>
        </row>
        <row r="828">
          <cell r="H828">
            <v>4.0279999999999996</v>
          </cell>
          <cell r="I828" t="str">
            <v>MSSC20</v>
          </cell>
          <cell r="J828" t="str">
            <v>&gt;=200 mm (&gt;=8")</v>
          </cell>
          <cell r="M828" t="str">
            <v/>
          </cell>
          <cell r="O828" t="str">
            <v/>
          </cell>
          <cell r="P828" t="str">
            <v/>
          </cell>
        </row>
        <row r="829">
          <cell r="H829">
            <v>4.0289999999999999</v>
          </cell>
          <cell r="I829" t="str">
            <v>MSSC21</v>
          </cell>
          <cell r="J829" t="str">
            <v>250 mm (10")</v>
          </cell>
          <cell r="M829" t="str">
            <v/>
          </cell>
          <cell r="O829" t="str">
            <v/>
          </cell>
          <cell r="P829" t="str">
            <v/>
          </cell>
        </row>
        <row r="830">
          <cell r="H830">
            <v>4.03</v>
          </cell>
          <cell r="I830" t="str">
            <v>MSSC23</v>
          </cell>
          <cell r="J830" t="str">
            <v>300 mm (12")</v>
          </cell>
          <cell r="M830" t="str">
            <v/>
          </cell>
          <cell r="O830" t="str">
            <v/>
          </cell>
          <cell r="P830" t="str">
            <v/>
          </cell>
        </row>
        <row r="831">
          <cell r="H831">
            <v>4.0309999999999997</v>
          </cell>
          <cell r="I831" t="str">
            <v>MSSC26</v>
          </cell>
          <cell r="J831" t="str">
            <v>80 mmRP&amp; 50mminf (3RP&amp; 2"inf)</v>
          </cell>
          <cell r="M831" t="str">
            <v/>
          </cell>
          <cell r="O831" t="str">
            <v/>
          </cell>
          <cell r="P831" t="str">
            <v/>
          </cell>
        </row>
        <row r="832">
          <cell r="H832">
            <v>4.032</v>
          </cell>
          <cell r="I832" t="str">
            <v>MSSC27</v>
          </cell>
          <cell r="J832" t="str">
            <v>100 mmRP&amp;80mminf (4RP&amp; 3"inf)</v>
          </cell>
          <cell r="M832" t="str">
            <v/>
          </cell>
          <cell r="O832" t="str">
            <v/>
          </cell>
          <cell r="P832" t="str">
            <v/>
          </cell>
        </row>
        <row r="833">
          <cell r="H833">
            <v>4.0330000000000004</v>
          </cell>
          <cell r="I833" t="str">
            <v>MSSC28</v>
          </cell>
          <cell r="J833" t="str">
            <v>150 mmRP&amp;100mminf (6RP&amp;4"inf)</v>
          </cell>
          <cell r="M833" t="str">
            <v/>
          </cell>
          <cell r="O833" t="str">
            <v/>
          </cell>
          <cell r="P833" t="str">
            <v/>
          </cell>
        </row>
        <row r="834">
          <cell r="H834">
            <v>4.0339999999999998</v>
          </cell>
          <cell r="I834" t="str">
            <v>MSSC28A</v>
          </cell>
          <cell r="J834" t="str">
            <v>200 mmRP&amp;150mminf (8RP&amp;6"inf)</v>
          </cell>
          <cell r="M834" t="str">
            <v/>
          </cell>
          <cell r="O834" t="str">
            <v/>
          </cell>
          <cell r="P834" t="str">
            <v/>
          </cell>
        </row>
        <row r="835">
          <cell r="H835">
            <v>4.0350000000000001</v>
          </cell>
          <cell r="I835" t="str">
            <v>MSSC28B</v>
          </cell>
          <cell r="J835" t="str">
            <v>200 mm inf (8"inf)</v>
          </cell>
          <cell r="M835" t="str">
            <v/>
          </cell>
          <cell r="O835" t="str">
            <v/>
          </cell>
          <cell r="P835" t="str">
            <v/>
          </cell>
        </row>
        <row r="836">
          <cell r="H836">
            <v>4.0359999999999996</v>
          </cell>
          <cell r="I836" t="str">
            <v>MSSC28C</v>
          </cell>
          <cell r="J836" t="str">
            <v>250 mm inf (10"inf)</v>
          </cell>
          <cell r="M836" t="str">
            <v/>
          </cell>
          <cell r="O836" t="str">
            <v/>
          </cell>
          <cell r="P836" t="str">
            <v/>
          </cell>
        </row>
        <row r="837">
          <cell r="H837">
            <v>4.0369999999999999</v>
          </cell>
          <cell r="I837" t="str">
            <v>MSSC29A</v>
          </cell>
          <cell r="J837" t="str">
            <v>Steamline Green</v>
          </cell>
          <cell r="M837" t="str">
            <v/>
          </cell>
          <cell r="O837" t="str">
            <v/>
          </cell>
          <cell r="P837" t="str">
            <v/>
          </cell>
        </row>
        <row r="838">
          <cell r="H838">
            <v>4.0380000000000003</v>
          </cell>
          <cell r="I838" t="str">
            <v>MSSC29AA</v>
          </cell>
          <cell r="J838" t="str">
            <v>Streamline Orange</v>
          </cell>
          <cell r="M838" t="str">
            <v/>
          </cell>
          <cell r="O838" t="str">
            <v/>
          </cell>
          <cell r="P838" t="str">
            <v/>
          </cell>
        </row>
        <row r="839">
          <cell r="H839">
            <v>4.0389999999999997</v>
          </cell>
          <cell r="I839" t="str">
            <v>MSSC29B</v>
          </cell>
          <cell r="J839" t="str">
            <v>Streamline Blue</v>
          </cell>
          <cell r="M839" t="str">
            <v/>
          </cell>
          <cell r="O839" t="str">
            <v/>
          </cell>
          <cell r="P839" t="str">
            <v/>
          </cell>
        </row>
        <row r="840">
          <cell r="H840">
            <v>4.04</v>
          </cell>
          <cell r="I840" t="str">
            <v>MSSC29C</v>
          </cell>
          <cell r="J840" t="str">
            <v>Streamline Industrial</v>
          </cell>
          <cell r="M840" t="str">
            <v/>
          </cell>
          <cell r="O840" t="str">
            <v/>
          </cell>
          <cell r="P840" t="str">
            <v/>
          </cell>
        </row>
        <row r="841">
          <cell r="H841">
            <v>4.0410000000000004</v>
          </cell>
          <cell r="I841" t="str">
            <v>MSSC31</v>
          </cell>
          <cell r="J841" t="str">
            <v>Optional sewerage tariff (drainage charge - full)</v>
          </cell>
          <cell r="M841" t="str">
            <v/>
          </cell>
          <cell r="O841" t="str">
            <v/>
          </cell>
          <cell r="P841" t="str">
            <v/>
          </cell>
        </row>
        <row r="842">
          <cell r="H842">
            <v>4.0419999999999998</v>
          </cell>
          <cell r="I842" t="str">
            <v>MSSC32</v>
          </cell>
          <cell r="J842" t="str">
            <v>Optional sewerage tariff (drainage charge - abated)</v>
          </cell>
          <cell r="M842" t="str">
            <v/>
          </cell>
          <cell r="O842" t="str">
            <v/>
          </cell>
          <cell r="P842" t="str">
            <v/>
          </cell>
        </row>
        <row r="843">
          <cell r="H843">
            <v>4.0430000000000001</v>
          </cell>
          <cell r="I843" t="str">
            <v>MSSC32BA</v>
          </cell>
          <cell r="J843" t="str">
            <v>Inset (Rate A) - meter size 12/15mm (0.5")</v>
          </cell>
          <cell r="M843" t="str">
            <v/>
          </cell>
          <cell r="O843" t="str">
            <v/>
          </cell>
          <cell r="P843" t="str">
            <v/>
          </cell>
        </row>
        <row r="844">
          <cell r="H844">
            <v>4.0439999999999996</v>
          </cell>
          <cell r="I844" t="str">
            <v>MSSC32BB</v>
          </cell>
          <cell r="J844" t="str">
            <v>Inset (Rate A) - meter size 20/22mm (0.75")</v>
          </cell>
          <cell r="M844" t="str">
            <v/>
          </cell>
          <cell r="O844" t="str">
            <v/>
          </cell>
          <cell r="P844" t="str">
            <v/>
          </cell>
        </row>
        <row r="845">
          <cell r="H845">
            <v>4.0449999999999999</v>
          </cell>
          <cell r="I845" t="str">
            <v>MSSC32BC</v>
          </cell>
          <cell r="J845" t="str">
            <v>Inset (Rate A) - meter size 25/28mm (1")</v>
          </cell>
          <cell r="M845" t="str">
            <v/>
          </cell>
          <cell r="O845" t="str">
            <v/>
          </cell>
          <cell r="P845" t="str">
            <v/>
          </cell>
        </row>
        <row r="846">
          <cell r="H846">
            <v>4.0460000000000003</v>
          </cell>
          <cell r="I846" t="str">
            <v>MSSC32BD</v>
          </cell>
          <cell r="J846" t="str">
            <v>Inset (Rate A) - meter size 30/32/35mm (1.25")</v>
          </cell>
          <cell r="M846" t="str">
            <v/>
          </cell>
          <cell r="O846" t="str">
            <v/>
          </cell>
          <cell r="P846" t="str">
            <v/>
          </cell>
        </row>
        <row r="847">
          <cell r="H847">
            <v>4.0469999999999997</v>
          </cell>
          <cell r="I847" t="str">
            <v>MSSC32BE</v>
          </cell>
          <cell r="J847" t="str">
            <v>Inset (Rate A) - meter size 40/42mm (1.5")</v>
          </cell>
          <cell r="M847" t="str">
            <v/>
          </cell>
          <cell r="O847" t="str">
            <v/>
          </cell>
          <cell r="P847" t="str">
            <v/>
          </cell>
        </row>
        <row r="848">
          <cell r="H848">
            <v>4.048</v>
          </cell>
          <cell r="I848" t="str">
            <v>MSSC32BF</v>
          </cell>
          <cell r="J848" t="str">
            <v>Inset (Rate A) - meter size 50/54mm (2")</v>
          </cell>
          <cell r="M848" t="str">
            <v/>
          </cell>
          <cell r="O848" t="str">
            <v/>
          </cell>
          <cell r="P848" t="str">
            <v/>
          </cell>
        </row>
        <row r="849">
          <cell r="H849">
            <v>4.0490000000000004</v>
          </cell>
          <cell r="I849" t="str">
            <v>MSSC32BG</v>
          </cell>
          <cell r="J849" t="str">
            <v>Inset (Rate A) - meter size 65mm (2.5")</v>
          </cell>
          <cell r="M849" t="str">
            <v/>
          </cell>
          <cell r="O849" t="str">
            <v/>
          </cell>
          <cell r="P849" t="str">
            <v/>
          </cell>
        </row>
        <row r="850">
          <cell r="H850">
            <v>4.05</v>
          </cell>
          <cell r="I850" t="str">
            <v>MSSC32BH</v>
          </cell>
          <cell r="J850" t="str">
            <v>Inset (Rate A) - meter size 75/80mm (3")</v>
          </cell>
          <cell r="M850" t="str">
            <v/>
          </cell>
          <cell r="O850" t="str">
            <v/>
          </cell>
          <cell r="P850" t="str">
            <v/>
          </cell>
        </row>
        <row r="851">
          <cell r="H851">
            <v>4.0510000000000002</v>
          </cell>
          <cell r="I851" t="str">
            <v>MSSC32BI</v>
          </cell>
          <cell r="J851" t="str">
            <v>Inset (Rate A) - meter size 100mm (4")</v>
          </cell>
          <cell r="M851" t="str">
            <v/>
          </cell>
          <cell r="O851" t="str">
            <v/>
          </cell>
          <cell r="P851" t="str">
            <v/>
          </cell>
        </row>
        <row r="852">
          <cell r="H852">
            <v>4.0519999999999996</v>
          </cell>
          <cell r="I852" t="str">
            <v>MSSC32BJ</v>
          </cell>
          <cell r="J852" t="str">
            <v>Inset (Rate A) - meter size 125mm (5")</v>
          </cell>
          <cell r="M852" t="str">
            <v/>
          </cell>
          <cell r="O852" t="str">
            <v/>
          </cell>
          <cell r="P852" t="str">
            <v/>
          </cell>
        </row>
        <row r="853">
          <cell r="H853">
            <v>4.0529999999999999</v>
          </cell>
          <cell r="I853" t="str">
            <v>MSSC32BK</v>
          </cell>
          <cell r="J853" t="str">
            <v>Inset (Rate A) - meter size 150mm (6")</v>
          </cell>
          <cell r="M853" t="str">
            <v/>
          </cell>
          <cell r="O853" t="str">
            <v/>
          </cell>
          <cell r="P853" t="str">
            <v/>
          </cell>
        </row>
        <row r="854">
          <cell r="H854">
            <v>4.0540000000000003</v>
          </cell>
          <cell r="I854" t="str">
            <v>MSSC32BL</v>
          </cell>
          <cell r="J854" t="str">
            <v>Inset (Rate A) - meter size 200mm (8")</v>
          </cell>
          <cell r="M854" t="str">
            <v/>
          </cell>
          <cell r="O854" t="str">
            <v/>
          </cell>
          <cell r="P854" t="str">
            <v/>
          </cell>
        </row>
        <row r="855">
          <cell r="H855">
            <v>4.0549999999999997</v>
          </cell>
          <cell r="I855" t="str">
            <v>MSSC32CA</v>
          </cell>
          <cell r="J855" t="str">
            <v>Inset (Rate B) - meter size 12/15mm (0.5")</v>
          </cell>
          <cell r="M855" t="str">
            <v/>
          </cell>
          <cell r="O855" t="str">
            <v/>
          </cell>
          <cell r="P855" t="str">
            <v/>
          </cell>
        </row>
        <row r="856">
          <cell r="H856">
            <v>4.056</v>
          </cell>
          <cell r="I856" t="str">
            <v>MSSC32CB</v>
          </cell>
          <cell r="J856" t="str">
            <v>Inset (Rate B) - meter size 20/22mm (0.75")</v>
          </cell>
          <cell r="M856" t="str">
            <v/>
          </cell>
          <cell r="O856" t="str">
            <v/>
          </cell>
          <cell r="P856" t="str">
            <v/>
          </cell>
        </row>
        <row r="857">
          <cell r="H857">
            <v>4.0570000000000004</v>
          </cell>
          <cell r="I857" t="str">
            <v>MSSC32CC</v>
          </cell>
          <cell r="J857" t="str">
            <v>Inset (Rate B) - meter size 25/28mm (1")</v>
          </cell>
          <cell r="M857" t="str">
            <v/>
          </cell>
          <cell r="O857" t="str">
            <v/>
          </cell>
          <cell r="P857" t="str">
            <v/>
          </cell>
        </row>
        <row r="858">
          <cell r="H858">
            <v>4.0579999999999998</v>
          </cell>
          <cell r="I858" t="str">
            <v>MSSC32CD</v>
          </cell>
          <cell r="J858" t="str">
            <v>Inset (Rate B) - meter size 40/42mm (1.5")</v>
          </cell>
          <cell r="M858" t="str">
            <v/>
          </cell>
          <cell r="O858" t="str">
            <v/>
          </cell>
          <cell r="P858" t="str">
            <v/>
          </cell>
        </row>
        <row r="859">
          <cell r="H859">
            <v>4.0590000000000002</v>
          </cell>
          <cell r="I859" t="str">
            <v>MSSC32CE</v>
          </cell>
          <cell r="J859" t="str">
            <v>Inset (Rate B) - meter size 50/54mm (2")</v>
          </cell>
          <cell r="M859" t="str">
            <v/>
          </cell>
          <cell r="O859" t="str">
            <v/>
          </cell>
          <cell r="P859" t="str">
            <v/>
          </cell>
        </row>
        <row r="861">
          <cell r="F861" t="str">
            <v>PHASE IN PERIOD</v>
          </cell>
        </row>
        <row r="862">
          <cell r="H862">
            <v>4.0599999999999996</v>
          </cell>
          <cell r="I862" t="str">
            <v>MSSC33</v>
          </cell>
          <cell r="J862" t="str">
            <v>Phase In 12/15 mm</v>
          </cell>
          <cell r="K862">
            <v>0</v>
          </cell>
          <cell r="L862">
            <v>0</v>
          </cell>
          <cell r="M862" t="e">
            <v>#DIV/0!</v>
          </cell>
          <cell r="N862">
            <v>744</v>
          </cell>
          <cell r="O862">
            <v>0</v>
          </cell>
          <cell r="P862">
            <v>0</v>
          </cell>
          <cell r="Q862" t="str">
            <v>SCS</v>
          </cell>
          <cell r="R862">
            <v>15</v>
          </cell>
          <cell r="S862">
            <v>4</v>
          </cell>
        </row>
        <row r="863">
          <cell r="H863">
            <v>4.0609999999999999</v>
          </cell>
          <cell r="I863" t="str">
            <v>MSSC35</v>
          </cell>
          <cell r="J863" t="str">
            <v>Phase In 20/22 mm</v>
          </cell>
          <cell r="K863">
            <v>0</v>
          </cell>
          <cell r="L863">
            <v>0</v>
          </cell>
          <cell r="M863" t="e">
            <v>#DIV/0!</v>
          </cell>
          <cell r="N863">
            <v>166</v>
          </cell>
          <cell r="O863">
            <v>0</v>
          </cell>
          <cell r="P863">
            <v>0</v>
          </cell>
          <cell r="Q863" t="str">
            <v>SCS</v>
          </cell>
          <cell r="R863">
            <v>20</v>
          </cell>
          <cell r="S863">
            <v>4</v>
          </cell>
        </row>
        <row r="864">
          <cell r="H864">
            <v>4.0620000000000003</v>
          </cell>
          <cell r="I864" t="str">
            <v>MSSC36</v>
          </cell>
          <cell r="J864" t="str">
            <v>Phase In 25/28 mm</v>
          </cell>
          <cell r="K864">
            <v>0</v>
          </cell>
          <cell r="L864">
            <v>0</v>
          </cell>
          <cell r="M864" t="e">
            <v>#DIV/0!</v>
          </cell>
          <cell r="N864">
            <v>74</v>
          </cell>
          <cell r="O864">
            <v>0</v>
          </cell>
          <cell r="P864">
            <v>0</v>
          </cell>
          <cell r="Q864" t="str">
            <v>SCS</v>
          </cell>
          <cell r="R864">
            <v>25</v>
          </cell>
          <cell r="S864">
            <v>0</v>
          </cell>
        </row>
        <row r="865">
          <cell r="H865">
            <v>4.0629999999999997</v>
          </cell>
          <cell r="I865" t="str">
            <v>MSSC38</v>
          </cell>
          <cell r="J865" t="str">
            <v>Phase In 30/32/35 mm</v>
          </cell>
          <cell r="K865">
            <v>0</v>
          </cell>
          <cell r="L865">
            <v>0</v>
          </cell>
          <cell r="M865" t="e">
            <v>#DIV/0!</v>
          </cell>
          <cell r="N865">
            <v>0</v>
          </cell>
          <cell r="O865">
            <v>0</v>
          </cell>
          <cell r="P865">
            <v>0</v>
          </cell>
          <cell r="Q865" t="str">
            <v>SCS</v>
          </cell>
          <cell r="R865">
            <v>30</v>
          </cell>
          <cell r="S865">
            <v>0</v>
          </cell>
        </row>
        <row r="866">
          <cell r="H866">
            <v>4.0640000000000001</v>
          </cell>
          <cell r="I866" t="str">
            <v>MSSC40</v>
          </cell>
          <cell r="J866" t="str">
            <v>Phase In 40/42 mm</v>
          </cell>
          <cell r="K866">
            <v>0</v>
          </cell>
          <cell r="L866">
            <v>0</v>
          </cell>
          <cell r="M866" t="e">
            <v>#DIV/0!</v>
          </cell>
          <cell r="N866">
            <v>8</v>
          </cell>
          <cell r="O866">
            <v>0</v>
          </cell>
          <cell r="P866">
            <v>0</v>
          </cell>
          <cell r="Q866" t="str">
            <v>SCS</v>
          </cell>
          <cell r="R866">
            <v>40</v>
          </cell>
          <cell r="S866">
            <v>0</v>
          </cell>
        </row>
        <row r="867">
          <cell r="H867">
            <v>4.0650000000000004</v>
          </cell>
          <cell r="I867" t="str">
            <v>MSSC41</v>
          </cell>
          <cell r="J867" t="str">
            <v>Phase In 40/42 &amp; 50/54 mm</v>
          </cell>
          <cell r="M867" t="str">
            <v/>
          </cell>
          <cell r="O867" t="str">
            <v/>
          </cell>
          <cell r="P867" t="str">
            <v/>
          </cell>
        </row>
        <row r="868">
          <cell r="H868">
            <v>4.0659999999999998</v>
          </cell>
          <cell r="I868" t="str">
            <v>MSSC42</v>
          </cell>
          <cell r="J868" t="str">
            <v>Phase In 50/54 mm</v>
          </cell>
          <cell r="K868">
            <v>0</v>
          </cell>
          <cell r="L868">
            <v>0</v>
          </cell>
          <cell r="M868" t="e">
            <v>#DIV/0!</v>
          </cell>
          <cell r="N868">
            <v>8</v>
          </cell>
          <cell r="O868">
            <v>0</v>
          </cell>
          <cell r="P868">
            <v>0</v>
          </cell>
          <cell r="Q868" t="str">
            <v>SCS</v>
          </cell>
          <cell r="R868">
            <v>50</v>
          </cell>
          <cell r="S868">
            <v>0</v>
          </cell>
        </row>
        <row r="869">
          <cell r="H869">
            <v>4.0670000000000002</v>
          </cell>
          <cell r="I869" t="str">
            <v>MSSC45</v>
          </cell>
          <cell r="J869" t="str">
            <v>Phase In 75/80 mm</v>
          </cell>
          <cell r="K869">
            <v>0</v>
          </cell>
          <cell r="L869">
            <v>0</v>
          </cell>
          <cell r="M869" t="e">
            <v>#DIV/0!</v>
          </cell>
          <cell r="N869">
            <v>0</v>
          </cell>
          <cell r="O869">
            <v>0</v>
          </cell>
          <cell r="P869">
            <v>0</v>
          </cell>
          <cell r="Q869" t="str">
            <v>SCS</v>
          </cell>
          <cell r="R869">
            <v>80</v>
          </cell>
          <cell r="S869">
            <v>0</v>
          </cell>
        </row>
        <row r="870">
          <cell r="H870">
            <v>4.0679999999999996</v>
          </cell>
          <cell r="I870" t="str">
            <v>MSSC46</v>
          </cell>
          <cell r="J870" t="str">
            <v>Phase In 100 mm</v>
          </cell>
          <cell r="K870">
            <v>0</v>
          </cell>
          <cell r="L870">
            <v>0</v>
          </cell>
          <cell r="M870" t="e">
            <v>#DIV/0!</v>
          </cell>
          <cell r="N870">
            <v>0</v>
          </cell>
          <cell r="O870">
            <v>0</v>
          </cell>
          <cell r="P870">
            <v>0</v>
          </cell>
          <cell r="R870" t="str">
            <v>&gt;100</v>
          </cell>
          <cell r="S870">
            <v>0</v>
          </cell>
        </row>
        <row r="871">
          <cell r="H871">
            <v>4.069</v>
          </cell>
          <cell r="I871" t="str">
            <v>MSSC65a</v>
          </cell>
          <cell r="J871" t="str">
            <v>Large User &gt;20 Ml</v>
          </cell>
          <cell r="M871" t="str">
            <v/>
          </cell>
          <cell r="O871" t="str">
            <v/>
          </cell>
          <cell r="P871" t="str">
            <v/>
          </cell>
        </row>
        <row r="872">
          <cell r="H872">
            <v>4.07</v>
          </cell>
          <cell r="I872" t="str">
            <v>MSSC65A</v>
          </cell>
          <cell r="J872" t="str">
            <v>Large User -&gt;50 Ml</v>
          </cell>
          <cell r="M872" t="str">
            <v/>
          </cell>
          <cell r="O872" t="str">
            <v/>
          </cell>
          <cell r="P872" t="str">
            <v/>
          </cell>
        </row>
        <row r="873">
          <cell r="H873">
            <v>4.0709999999999997</v>
          </cell>
          <cell r="I873" t="str">
            <v>MSSC65B</v>
          </cell>
          <cell r="J873" t="str">
            <v>Large User (abated drainage) - &gt;50 Ml</v>
          </cell>
          <cell r="M873" t="str">
            <v/>
          </cell>
          <cell r="O873" t="str">
            <v/>
          </cell>
          <cell r="P873" t="str">
            <v/>
          </cell>
          <cell r="Q873" t="str">
            <v>SCS</v>
          </cell>
          <cell r="R873">
            <v>100</v>
          </cell>
          <cell r="S873">
            <v>0</v>
          </cell>
        </row>
        <row r="880">
          <cell r="F880" t="str">
            <v>NO SURFACE DRAINAGE</v>
          </cell>
        </row>
        <row r="881">
          <cell r="H881">
            <v>4.0720000000000001</v>
          </cell>
          <cell r="I881" t="str">
            <v>MSSC81</v>
          </cell>
          <cell r="J881" t="str">
            <v>Household</v>
          </cell>
          <cell r="M881" t="str">
            <v/>
          </cell>
          <cell r="O881" t="str">
            <v/>
          </cell>
          <cell r="P881" t="str">
            <v/>
          </cell>
        </row>
        <row r="882">
          <cell r="H882">
            <v>4.0730000000000004</v>
          </cell>
          <cell r="I882" t="str">
            <v>MSSC81A</v>
          </cell>
          <cell r="J882" t="str">
            <v>Social</v>
          </cell>
          <cell r="M882" t="str">
            <v/>
          </cell>
          <cell r="O882" t="str">
            <v/>
          </cell>
          <cell r="P882" t="str">
            <v/>
          </cell>
        </row>
        <row r="883">
          <cell r="H883">
            <v>4.0739999999999998</v>
          </cell>
          <cell r="I883" t="str">
            <v>MSSC83</v>
          </cell>
          <cell r="J883" t="str">
            <v>Streamline Green</v>
          </cell>
          <cell r="M883" t="str">
            <v/>
          </cell>
          <cell r="O883" t="str">
            <v/>
          </cell>
          <cell r="P883" t="str">
            <v/>
          </cell>
        </row>
        <row r="884">
          <cell r="H884">
            <v>4.0750000000000002</v>
          </cell>
          <cell r="I884" t="str">
            <v>MSSC84</v>
          </cell>
          <cell r="J884" t="str">
            <v>Streamline Orange</v>
          </cell>
          <cell r="M884" t="str">
            <v/>
          </cell>
          <cell r="O884" t="str">
            <v/>
          </cell>
          <cell r="P884" t="str">
            <v/>
          </cell>
        </row>
        <row r="885">
          <cell r="H885">
            <v>4.0759999999999996</v>
          </cell>
          <cell r="I885" t="str">
            <v>MSSC85</v>
          </cell>
          <cell r="J885" t="str">
            <v>Streamline Blue</v>
          </cell>
          <cell r="M885" t="str">
            <v/>
          </cell>
          <cell r="O885" t="str">
            <v/>
          </cell>
          <cell r="P885" t="str">
            <v/>
          </cell>
        </row>
        <row r="886">
          <cell r="H886">
            <v>4.077</v>
          </cell>
          <cell r="I886" t="str">
            <v>MSSC86</v>
          </cell>
          <cell r="J886" t="str">
            <v>Streamline Industrial</v>
          </cell>
          <cell r="M886" t="str">
            <v/>
          </cell>
          <cell r="O886" t="str">
            <v/>
          </cell>
          <cell r="P886" t="str">
            <v/>
          </cell>
        </row>
        <row r="887">
          <cell r="H887">
            <v>4.0780000000000003</v>
          </cell>
          <cell r="I887" t="str">
            <v>MSSC87</v>
          </cell>
          <cell r="J887" t="str">
            <v>Meter size 12/15mm (0.5")</v>
          </cell>
          <cell r="K887">
            <v>33</v>
          </cell>
          <cell r="L887">
            <v>37</v>
          </cell>
          <cell r="M887">
            <v>0.1212121212121211</v>
          </cell>
          <cell r="N887">
            <v>5</v>
          </cell>
          <cell r="O887">
            <v>165</v>
          </cell>
          <cell r="P887">
            <v>185</v>
          </cell>
          <cell r="Q887" t="str">
            <v>SCH</v>
          </cell>
          <cell r="R887">
            <v>15</v>
          </cell>
          <cell r="S887">
            <v>12</v>
          </cell>
        </row>
        <row r="888">
          <cell r="H888">
            <v>4.0789999999999997</v>
          </cell>
          <cell r="I888" t="str">
            <v>MSSC88</v>
          </cell>
          <cell r="J888" t="str">
            <v>Meter size 20/22mm (0.75")</v>
          </cell>
          <cell r="K888">
            <v>93</v>
          </cell>
          <cell r="L888">
            <v>103</v>
          </cell>
          <cell r="M888">
            <v>0.10752688172043001</v>
          </cell>
          <cell r="N888">
            <v>5</v>
          </cell>
          <cell r="O888">
            <v>465</v>
          </cell>
          <cell r="P888">
            <v>515</v>
          </cell>
          <cell r="Q888" t="str">
            <v>SCH</v>
          </cell>
          <cell r="R888">
            <v>20</v>
          </cell>
          <cell r="S888">
            <v>6</v>
          </cell>
        </row>
        <row r="889">
          <cell r="H889">
            <v>4.08</v>
          </cell>
          <cell r="I889" t="str">
            <v>MSSC89</v>
          </cell>
          <cell r="J889" t="str">
            <v>Meter size 25/28mm (1")</v>
          </cell>
          <cell r="K889">
            <v>166</v>
          </cell>
          <cell r="L889">
            <v>183</v>
          </cell>
          <cell r="M889">
            <v>0.10240963855421681</v>
          </cell>
          <cell r="N889">
            <v>6</v>
          </cell>
          <cell r="O889">
            <v>996</v>
          </cell>
          <cell r="P889">
            <v>1098</v>
          </cell>
          <cell r="Q889" t="str">
            <v>SCH</v>
          </cell>
          <cell r="R889">
            <v>25</v>
          </cell>
          <cell r="S889">
            <v>6</v>
          </cell>
        </row>
        <row r="890">
          <cell r="H890">
            <v>4.0810000000000004</v>
          </cell>
          <cell r="I890" t="str">
            <v>MSSC90</v>
          </cell>
          <cell r="J890" t="str">
            <v>Meter size 30/32/35mm (1.25")</v>
          </cell>
          <cell r="K890">
            <v>166</v>
          </cell>
          <cell r="L890">
            <v>183</v>
          </cell>
          <cell r="M890">
            <v>0.10240963855421681</v>
          </cell>
          <cell r="N890">
            <v>1</v>
          </cell>
          <cell r="O890">
            <v>166</v>
          </cell>
          <cell r="P890">
            <v>183</v>
          </cell>
          <cell r="Q890" t="str">
            <v>SCH</v>
          </cell>
          <cell r="R890">
            <v>30</v>
          </cell>
          <cell r="S890">
            <v>1</v>
          </cell>
        </row>
        <row r="891">
          <cell r="H891">
            <v>4.0819999999999999</v>
          </cell>
          <cell r="I891" t="str">
            <v>MSSC91</v>
          </cell>
          <cell r="J891" t="str">
            <v>Meter size 40/42mm (1.5")</v>
          </cell>
          <cell r="K891">
            <v>374</v>
          </cell>
          <cell r="L891">
            <v>412</v>
          </cell>
          <cell r="M891">
            <v>0.10160427807486627</v>
          </cell>
          <cell r="N891">
            <v>4</v>
          </cell>
          <cell r="O891">
            <v>1496</v>
          </cell>
          <cell r="P891">
            <v>1648</v>
          </cell>
          <cell r="Q891" t="str">
            <v>SCH</v>
          </cell>
          <cell r="R891">
            <v>40</v>
          </cell>
          <cell r="S891">
            <v>4</v>
          </cell>
        </row>
        <row r="892">
          <cell r="H892">
            <v>4.0830000000000002</v>
          </cell>
          <cell r="I892" t="str">
            <v>MSSC92</v>
          </cell>
          <cell r="J892" t="str">
            <v>Meter size 50/54mm (2")</v>
          </cell>
          <cell r="K892">
            <v>664</v>
          </cell>
          <cell r="L892">
            <v>731</v>
          </cell>
          <cell r="M892">
            <v>0.10090361445783125</v>
          </cell>
          <cell r="N892">
            <v>3</v>
          </cell>
          <cell r="O892">
            <v>1992</v>
          </cell>
          <cell r="P892">
            <v>2193</v>
          </cell>
          <cell r="Q892" t="str">
            <v>SCH</v>
          </cell>
          <cell r="R892">
            <v>50</v>
          </cell>
          <cell r="S892">
            <v>4</v>
          </cell>
        </row>
        <row r="893">
          <cell r="H893">
            <v>4.0839999999999996</v>
          </cell>
          <cell r="I893" t="str">
            <v>MSSC93</v>
          </cell>
          <cell r="J893" t="str">
            <v>Meter size 65mm (2.5")</v>
          </cell>
          <cell r="M893" t="str">
            <v/>
          </cell>
          <cell r="O893" t="str">
            <v/>
          </cell>
          <cell r="P893" t="str">
            <v/>
          </cell>
        </row>
        <row r="894">
          <cell r="H894">
            <v>4.085</v>
          </cell>
          <cell r="I894" t="str">
            <v>MSSC94</v>
          </cell>
          <cell r="J894" t="str">
            <v>Meter size 75/80mm (3")</v>
          </cell>
          <cell r="K894">
            <v>1494</v>
          </cell>
          <cell r="L894">
            <v>1643</v>
          </cell>
          <cell r="M894">
            <v>9.97322623828647E-2</v>
          </cell>
          <cell r="N894">
            <v>2</v>
          </cell>
          <cell r="O894">
            <v>2988</v>
          </cell>
          <cell r="P894">
            <v>3286</v>
          </cell>
          <cell r="Q894" t="str">
            <v>SCH</v>
          </cell>
          <cell r="R894">
            <v>80</v>
          </cell>
          <cell r="S894">
            <v>3</v>
          </cell>
        </row>
        <row r="895">
          <cell r="H895">
            <v>4.0860000000000003</v>
          </cell>
          <cell r="I895" t="str">
            <v>MSSC95</v>
          </cell>
          <cell r="J895" t="str">
            <v>Meter size 100mm (4")</v>
          </cell>
          <cell r="K895">
            <v>2653</v>
          </cell>
          <cell r="L895">
            <v>2919</v>
          </cell>
          <cell r="M895">
            <v>0.10026385224274414</v>
          </cell>
          <cell r="N895">
            <v>1</v>
          </cell>
          <cell r="O895">
            <v>2653</v>
          </cell>
          <cell r="P895">
            <v>2919</v>
          </cell>
          <cell r="Q895" t="str">
            <v>SCH</v>
          </cell>
          <cell r="R895">
            <v>100</v>
          </cell>
          <cell r="S895">
            <v>1</v>
          </cell>
        </row>
        <row r="896">
          <cell r="H896">
            <v>4.0869999999999997</v>
          </cell>
          <cell r="I896" t="str">
            <v>MSSC96</v>
          </cell>
          <cell r="J896" t="str">
            <v>Meter size 125mm (5")</v>
          </cell>
          <cell r="M896" t="str">
            <v/>
          </cell>
          <cell r="O896" t="str">
            <v/>
          </cell>
          <cell r="P896" t="str">
            <v/>
          </cell>
        </row>
        <row r="897">
          <cell r="H897">
            <v>4.0880000000000001</v>
          </cell>
          <cell r="I897" t="str">
            <v>MSSC97</v>
          </cell>
          <cell r="J897" t="str">
            <v>Meter size 150mm (6")</v>
          </cell>
          <cell r="K897">
            <v>5965</v>
          </cell>
          <cell r="L897">
            <v>6562</v>
          </cell>
          <cell r="M897">
            <v>0.10008382229673085</v>
          </cell>
          <cell r="N897">
            <v>0</v>
          </cell>
          <cell r="O897">
            <v>0</v>
          </cell>
          <cell r="P897">
            <v>0</v>
          </cell>
          <cell r="Q897" t="str">
            <v>SCH</v>
          </cell>
          <cell r="R897">
            <v>150</v>
          </cell>
          <cell r="S897">
            <v>0</v>
          </cell>
        </row>
        <row r="898">
          <cell r="H898">
            <v>4.0890000000000004</v>
          </cell>
          <cell r="I898" t="str">
            <v>MSSC98</v>
          </cell>
          <cell r="J898" t="str">
            <v>Meter size 200mm (8")</v>
          </cell>
          <cell r="K898">
            <v>5965</v>
          </cell>
          <cell r="L898">
            <v>6562</v>
          </cell>
          <cell r="M898">
            <v>0.10008382229673085</v>
          </cell>
          <cell r="N898">
            <v>0</v>
          </cell>
          <cell r="O898">
            <v>0</v>
          </cell>
          <cell r="P898">
            <v>0</v>
          </cell>
          <cell r="Q898" t="str">
            <v>SCH</v>
          </cell>
          <cell r="R898">
            <v>200</v>
          </cell>
          <cell r="S898">
            <v>0</v>
          </cell>
        </row>
        <row r="899">
          <cell r="H899">
            <v>4.09</v>
          </cell>
          <cell r="I899" t="str">
            <v>MSSC98A</v>
          </cell>
          <cell r="J899" t="str">
            <v>Meter size &gt;= 200mm (&gt;=8")</v>
          </cell>
          <cell r="M899" t="str">
            <v/>
          </cell>
          <cell r="O899" t="str">
            <v/>
          </cell>
          <cell r="P899" t="str">
            <v/>
          </cell>
          <cell r="Q899" t="str">
            <v>SCH</v>
          </cell>
          <cell r="R899">
            <v>250</v>
          </cell>
          <cell r="S899">
            <v>0</v>
          </cell>
        </row>
        <row r="900">
          <cell r="H900">
            <v>4.0910000000000002</v>
          </cell>
          <cell r="I900" t="str">
            <v>MSSC99</v>
          </cell>
          <cell r="J900" t="str">
            <v>Meter size 250mm (10")</v>
          </cell>
          <cell r="K900">
            <v>5965</v>
          </cell>
          <cell r="L900">
            <v>6562</v>
          </cell>
          <cell r="M900">
            <v>0.10008382229673085</v>
          </cell>
          <cell r="N900">
            <v>0</v>
          </cell>
          <cell r="O900">
            <v>0</v>
          </cell>
          <cell r="P900">
            <v>0</v>
          </cell>
          <cell r="Q900" t="str">
            <v>SCH</v>
          </cell>
          <cell r="R900">
            <v>250</v>
          </cell>
          <cell r="S900">
            <v>0</v>
          </cell>
        </row>
        <row r="901">
          <cell r="H901">
            <v>4.0919999999999996</v>
          </cell>
          <cell r="I901" t="str">
            <v>MSSC100</v>
          </cell>
          <cell r="J901" t="str">
            <v>Meter size 300mm (12")</v>
          </cell>
          <cell r="K901">
            <v>5965</v>
          </cell>
          <cell r="L901">
            <v>6562</v>
          </cell>
          <cell r="M901">
            <v>0.10008382229673085</v>
          </cell>
          <cell r="N901">
            <v>0</v>
          </cell>
          <cell r="O901">
            <v>0</v>
          </cell>
          <cell r="P901">
            <v>0</v>
          </cell>
          <cell r="Q901" t="str">
            <v>SCH</v>
          </cell>
          <cell r="R901">
            <v>300</v>
          </cell>
          <cell r="S901">
            <v>0</v>
          </cell>
        </row>
        <row r="904">
          <cell r="D904">
            <v>4.093</v>
          </cell>
          <cell r="E904" t="str">
            <v>Volumetric Charges</v>
          </cell>
        </row>
        <row r="905">
          <cell r="S905" t="str">
            <v>From JR03</v>
          </cell>
        </row>
        <row r="906">
          <cell r="F906" t="str">
            <v>Volumetric Charges</v>
          </cell>
          <cell r="S906" t="str">
            <v>Banner</v>
          </cell>
          <cell r="T906" t="str">
            <v>ICL</v>
          </cell>
        </row>
        <row r="907">
          <cell r="H907">
            <v>4.0940000000000003</v>
          </cell>
          <cell r="I907" t="str">
            <v>MSVOL01</v>
          </cell>
          <cell r="J907" t="str">
            <v>General (standard return)</v>
          </cell>
          <cell r="M907" t="str">
            <v/>
          </cell>
          <cell r="O907" t="str">
            <v/>
          </cell>
          <cell r="P907" t="str">
            <v/>
          </cell>
        </row>
        <row r="908">
          <cell r="H908">
            <v>4.0949999999999998</v>
          </cell>
          <cell r="I908" t="str">
            <v>MSVOL01AA</v>
          </cell>
          <cell r="J908" t="str">
            <v>Low User</v>
          </cell>
          <cell r="M908" t="str">
            <v/>
          </cell>
          <cell r="O908" t="str">
            <v/>
          </cell>
          <cell r="P908" t="str">
            <v/>
          </cell>
        </row>
        <row r="909">
          <cell r="H909">
            <v>4.0960000000000001</v>
          </cell>
          <cell r="I909" t="str">
            <v>MSVOL01AB</v>
          </cell>
          <cell r="J909" t="str">
            <v>Social</v>
          </cell>
          <cell r="M909" t="str">
            <v/>
          </cell>
          <cell r="O909" t="str">
            <v/>
          </cell>
          <cell r="P909" t="str">
            <v/>
          </cell>
        </row>
        <row r="910">
          <cell r="H910">
            <v>4.0970000000000004</v>
          </cell>
          <cell r="I910" t="str">
            <v>MSVOL01A</v>
          </cell>
          <cell r="J910" t="str">
            <v>Domestic (standard return)</v>
          </cell>
          <cell r="K910">
            <v>0.68300000000000005</v>
          </cell>
          <cell r="L910">
            <v>0.68300000000000005</v>
          </cell>
          <cell r="M910">
            <v>0</v>
          </cell>
          <cell r="N910">
            <v>43096539.89952153</v>
          </cell>
          <cell r="O910">
            <v>29434936.751373205</v>
          </cell>
          <cell r="P910">
            <v>29434936.751373205</v>
          </cell>
          <cell r="S910">
            <v>42320468.89952153</v>
          </cell>
          <cell r="T910">
            <v>0</v>
          </cell>
        </row>
        <row r="911">
          <cell r="H911">
            <v>4.0979999999999999</v>
          </cell>
          <cell r="I911" t="str">
            <v>MSVOL01B</v>
          </cell>
          <cell r="J911" t="str">
            <v>Commercial - normal (standard ret)</v>
          </cell>
          <cell r="K911">
            <v>0.60899999999999999</v>
          </cell>
          <cell r="L911">
            <v>0.60899999999999999</v>
          </cell>
          <cell r="M911">
            <v>0</v>
          </cell>
          <cell r="N911">
            <v>62212244.779964224</v>
          </cell>
          <cell r="O911">
            <v>37887257.070998214</v>
          </cell>
          <cell r="P911">
            <v>37887257.070998214</v>
          </cell>
          <cell r="S911">
            <v>70632989</v>
          </cell>
        </row>
        <row r="912">
          <cell r="H912">
            <v>4.0990000000000002</v>
          </cell>
          <cell r="I912" t="str">
            <v>MSVOL01C</v>
          </cell>
          <cell r="J912" t="str">
            <v>Commercial - other (standard ret)</v>
          </cell>
          <cell r="K912">
            <v>0.60899999999999999</v>
          </cell>
          <cell r="L912">
            <v>0.60899999999999999</v>
          </cell>
          <cell r="M912">
            <v>0</v>
          </cell>
          <cell r="N912">
            <v>0</v>
          </cell>
          <cell r="O912">
            <v>0</v>
          </cell>
          <cell r="P912">
            <v>0</v>
          </cell>
        </row>
        <row r="913">
          <cell r="H913">
            <v>4.0999999999999996</v>
          </cell>
          <cell r="I913" t="str">
            <v>MSVOL011</v>
          </cell>
          <cell r="J913" t="str">
            <v>Band 50-250 Ml (standard return)</v>
          </cell>
          <cell r="M913" t="str">
            <v/>
          </cell>
          <cell r="O913" t="str">
            <v/>
          </cell>
          <cell r="P913" t="str">
            <v/>
          </cell>
        </row>
        <row r="914">
          <cell r="H914">
            <v>4.101</v>
          </cell>
          <cell r="I914" t="str">
            <v>MSVOL01CA</v>
          </cell>
          <cell r="J914" t="str">
            <v>Streamline Green</v>
          </cell>
          <cell r="M914" t="str">
            <v/>
          </cell>
          <cell r="O914" t="str">
            <v/>
          </cell>
          <cell r="P914" t="str">
            <v/>
          </cell>
        </row>
        <row r="915">
          <cell r="H915">
            <v>4.1020000000000003</v>
          </cell>
          <cell r="I915" t="str">
            <v>MSVOL01CAA</v>
          </cell>
          <cell r="J915" t="str">
            <v>Streamline Orange</v>
          </cell>
          <cell r="M915" t="str">
            <v/>
          </cell>
          <cell r="O915" t="str">
            <v/>
          </cell>
          <cell r="P915" t="str">
            <v/>
          </cell>
        </row>
        <row r="916">
          <cell r="H916">
            <v>4.1029999999999998</v>
          </cell>
          <cell r="I916" t="str">
            <v>MSVOL01CB</v>
          </cell>
          <cell r="J916" t="str">
            <v>Steamline Blue</v>
          </cell>
          <cell r="M916" t="str">
            <v/>
          </cell>
          <cell r="O916" t="str">
            <v/>
          </cell>
          <cell r="P916" t="str">
            <v/>
          </cell>
        </row>
        <row r="917">
          <cell r="H917">
            <v>4.1040000000000001</v>
          </cell>
          <cell r="I917" t="str">
            <v>MSVOL01CC</v>
          </cell>
          <cell r="J917" t="str">
            <v>Streamline Industrial</v>
          </cell>
          <cell r="M917" t="str">
            <v/>
          </cell>
          <cell r="O917" t="str">
            <v/>
          </cell>
          <cell r="P917" t="str">
            <v/>
          </cell>
        </row>
        <row r="918">
          <cell r="H918">
            <v>4.1050000000000004</v>
          </cell>
          <cell r="I918" t="str">
            <v>MSVOL02</v>
          </cell>
          <cell r="J918" t="str">
            <v>Reduced</v>
          </cell>
          <cell r="K918">
            <v>0.60899999999999999</v>
          </cell>
          <cell r="L918">
            <v>0.60899999999999999</v>
          </cell>
          <cell r="M918">
            <v>0</v>
          </cell>
          <cell r="N918">
            <v>0</v>
          </cell>
          <cell r="O918">
            <v>0</v>
          </cell>
          <cell r="P918">
            <v>0</v>
          </cell>
        </row>
        <row r="919">
          <cell r="H919">
            <v>4.1059999999999999</v>
          </cell>
          <cell r="I919" t="str">
            <v>MSVOL020</v>
          </cell>
          <cell r="J919" t="str">
            <v>General (&lt;standard return) band 0-50 Ml</v>
          </cell>
          <cell r="M919" t="str">
            <v/>
          </cell>
          <cell r="O919" t="str">
            <v/>
          </cell>
          <cell r="P919" t="str">
            <v/>
          </cell>
        </row>
        <row r="920">
          <cell r="H920">
            <v>4.1070000000000002</v>
          </cell>
          <cell r="I920" t="str">
            <v>MSVOL021</v>
          </cell>
          <cell r="J920" t="str">
            <v>Band 50-250 Ml (&lt; standard return)</v>
          </cell>
          <cell r="M920" t="str">
            <v/>
          </cell>
          <cell r="O920" t="str">
            <v/>
          </cell>
          <cell r="P920" t="str">
            <v/>
          </cell>
        </row>
        <row r="921">
          <cell r="H921">
            <v>4.1079999999999997</v>
          </cell>
          <cell r="I921" t="str">
            <v>MSVOL06</v>
          </cell>
          <cell r="J921" t="str">
            <v>Public swimming pool backwash effluent</v>
          </cell>
          <cell r="K921">
            <v>0.58399999999999996</v>
          </cell>
          <cell r="L921">
            <v>0.58399999999999996</v>
          </cell>
          <cell r="M921">
            <v>0</v>
          </cell>
          <cell r="N921">
            <v>1009123.97</v>
          </cell>
          <cell r="O921">
            <v>589328.39847999997</v>
          </cell>
          <cell r="P921">
            <v>589328.39847999997</v>
          </cell>
          <cell r="S921">
            <v>1009123.97</v>
          </cell>
        </row>
        <row r="922">
          <cell r="H922">
            <v>4.109</v>
          </cell>
          <cell r="I922" t="str">
            <v>MSVOL07</v>
          </cell>
          <cell r="J922" t="str">
            <v>Optional sewerage tariff (volume)</v>
          </cell>
          <cell r="M922" t="str">
            <v/>
          </cell>
          <cell r="O922" t="str">
            <v/>
          </cell>
          <cell r="P922" t="str">
            <v/>
          </cell>
        </row>
        <row r="923">
          <cell r="H923">
            <v>4.1100000000000003</v>
          </cell>
          <cell r="I923" t="str">
            <v>MSVOL08</v>
          </cell>
          <cell r="J923" t="str">
            <v>Optional sewerage tariff (COD)</v>
          </cell>
          <cell r="M923" t="str">
            <v/>
          </cell>
          <cell r="O923" t="str">
            <v/>
          </cell>
          <cell r="P923" t="str">
            <v/>
          </cell>
        </row>
        <row r="924">
          <cell r="H924">
            <v>4.1109999999999998</v>
          </cell>
          <cell r="I924" t="str">
            <v>MSVOL09</v>
          </cell>
          <cell r="J924" t="str">
            <v>Optional sewerage tariff (SS)</v>
          </cell>
          <cell r="M924" t="str">
            <v/>
          </cell>
          <cell r="O924" t="str">
            <v/>
          </cell>
          <cell r="P924" t="str">
            <v/>
          </cell>
        </row>
        <row r="925">
          <cell r="H925">
            <v>4.1120000000000001</v>
          </cell>
          <cell r="I925" t="str">
            <v>MSVOL10</v>
          </cell>
          <cell r="J925" t="str">
            <v>Domestic sewerage at trade effluent sites Volume</v>
          </cell>
          <cell r="M925" t="str">
            <v/>
          </cell>
          <cell r="O925" t="str">
            <v/>
          </cell>
          <cell r="P925" t="str">
            <v/>
          </cell>
        </row>
        <row r="926">
          <cell r="H926">
            <v>4.1130000000000004</v>
          </cell>
          <cell r="I926" t="str">
            <v>MSVOL11</v>
          </cell>
          <cell r="J926" t="str">
            <v>Domestic sewerage at trade effluent sites COD</v>
          </cell>
          <cell r="M926" t="str">
            <v/>
          </cell>
          <cell r="O926" t="str">
            <v/>
          </cell>
          <cell r="P926" t="str">
            <v/>
          </cell>
        </row>
        <row r="927">
          <cell r="H927">
            <v>4.1139999999999999</v>
          </cell>
          <cell r="I927" t="str">
            <v>MSVOL12</v>
          </cell>
          <cell r="J927" t="str">
            <v>Domestic sewerage at trade effluent sites SS</v>
          </cell>
          <cell r="M927" t="str">
            <v/>
          </cell>
          <cell r="O927" t="str">
            <v/>
          </cell>
          <cell r="P927" t="str">
            <v/>
          </cell>
        </row>
        <row r="928">
          <cell r="H928">
            <v>4.1150000000000002</v>
          </cell>
          <cell r="I928" t="str">
            <v>MSVOL13</v>
          </cell>
          <cell r="J928" t="str">
            <v>Inset</v>
          </cell>
          <cell r="M928" t="str">
            <v/>
          </cell>
          <cell r="O928" t="str">
            <v/>
          </cell>
          <cell r="P928" t="str">
            <v/>
          </cell>
        </row>
        <row r="929">
          <cell r="H929">
            <v>4.1159999999999997</v>
          </cell>
          <cell r="I929" t="str">
            <v>MSVOL13A</v>
          </cell>
          <cell r="J929" t="str">
            <v>Inset (Rate A)</v>
          </cell>
          <cell r="M929" t="str">
            <v/>
          </cell>
          <cell r="O929" t="str">
            <v/>
          </cell>
          <cell r="P929" t="str">
            <v/>
          </cell>
        </row>
        <row r="930">
          <cell r="H930">
            <v>4.117</v>
          </cell>
          <cell r="I930" t="str">
            <v>MSVOL13B</v>
          </cell>
          <cell r="J930" t="str">
            <v>Inset (Rate B)</v>
          </cell>
          <cell r="M930" t="str">
            <v/>
          </cell>
          <cell r="O930" t="str">
            <v/>
          </cell>
          <cell r="P930" t="str">
            <v/>
          </cell>
        </row>
        <row r="931">
          <cell r="H931">
            <v>4.1180000000000003</v>
          </cell>
          <cell r="I931" t="str">
            <v>MSVOL14</v>
          </cell>
          <cell r="J931" t="str">
            <v>Low User (40) - surface water &amp; highway drainage</v>
          </cell>
          <cell r="M931" t="str">
            <v/>
          </cell>
          <cell r="O931" t="str">
            <v/>
          </cell>
          <cell r="P931" t="str">
            <v/>
          </cell>
        </row>
        <row r="932">
          <cell r="H932">
            <v>4.1189999999999998</v>
          </cell>
          <cell r="I932" t="str">
            <v>MSVOL15</v>
          </cell>
          <cell r="J932" t="str">
            <v>Low User (80) - surface water &amp; highway drainage</v>
          </cell>
          <cell r="M932" t="str">
            <v/>
          </cell>
          <cell r="O932" t="str">
            <v/>
          </cell>
          <cell r="P932" t="str">
            <v/>
          </cell>
        </row>
        <row r="933">
          <cell r="H933">
            <v>4.12</v>
          </cell>
          <cell r="I933" t="str">
            <v>MSVOL16</v>
          </cell>
          <cell r="J933" t="str">
            <v>Low User (40) - highway drainage only</v>
          </cell>
          <cell r="M933" t="str">
            <v/>
          </cell>
          <cell r="O933" t="str">
            <v/>
          </cell>
          <cell r="P933" t="str">
            <v/>
          </cell>
        </row>
        <row r="934">
          <cell r="H934">
            <v>4.1210000000000004</v>
          </cell>
          <cell r="I934" t="str">
            <v>MSVOL17</v>
          </cell>
          <cell r="J934" t="str">
            <v>Low User (80) - highway drainage only</v>
          </cell>
          <cell r="M934" t="str">
            <v/>
          </cell>
          <cell r="O934" t="str">
            <v/>
          </cell>
          <cell r="P934" t="str">
            <v/>
          </cell>
        </row>
        <row r="935">
          <cell r="H935">
            <v>4.1219999999999999</v>
          </cell>
          <cell r="I935" t="str">
            <v>MSVOL22</v>
          </cell>
          <cell r="J935" t="str">
            <v>Large User &gt; 50 Ml</v>
          </cell>
          <cell r="M935" t="str">
            <v/>
          </cell>
          <cell r="O935" t="str">
            <v/>
          </cell>
          <cell r="P935" t="str">
            <v/>
          </cell>
        </row>
        <row r="937">
          <cell r="F937" t="str">
            <v>No Surface Drainage</v>
          </cell>
        </row>
        <row r="938">
          <cell r="H938">
            <v>4.1230000000000002</v>
          </cell>
          <cell r="I938" t="str">
            <v>MSVOL30</v>
          </cell>
          <cell r="J938" t="str">
            <v>General</v>
          </cell>
          <cell r="M938" t="str">
            <v/>
          </cell>
          <cell r="O938" t="str">
            <v/>
          </cell>
          <cell r="P938" t="str">
            <v/>
          </cell>
        </row>
        <row r="939">
          <cell r="H939">
            <v>4.1239999999999997</v>
          </cell>
          <cell r="I939" t="str">
            <v>MSVOL33</v>
          </cell>
          <cell r="J939" t="str">
            <v>Low User</v>
          </cell>
          <cell r="M939" t="str">
            <v/>
          </cell>
          <cell r="O939" t="str">
            <v/>
          </cell>
          <cell r="P939" t="str">
            <v/>
          </cell>
        </row>
        <row r="940">
          <cell r="H940">
            <v>4.125</v>
          </cell>
          <cell r="I940" t="str">
            <v>MSVOL34</v>
          </cell>
          <cell r="J940" t="str">
            <v>Large User &gt; 50 Ml</v>
          </cell>
          <cell r="M940" t="str">
            <v/>
          </cell>
          <cell r="O940" t="str">
            <v/>
          </cell>
          <cell r="P940" t="str">
            <v/>
          </cell>
        </row>
        <row r="941">
          <cell r="H941">
            <v>4.1260000000000003</v>
          </cell>
          <cell r="I941" t="str">
            <v>MSVOL35</v>
          </cell>
          <cell r="J941" t="str">
            <v>Reduced (&lt;standard return)</v>
          </cell>
          <cell r="M941" t="str">
            <v/>
          </cell>
          <cell r="O941" t="str">
            <v/>
          </cell>
          <cell r="P941" t="str">
            <v/>
          </cell>
        </row>
        <row r="942">
          <cell r="H942">
            <v>4.1269999999999998</v>
          </cell>
          <cell r="I942" t="str">
            <v>MSVOL36</v>
          </cell>
          <cell r="J942" t="str">
            <v>Band &gt; 100 Ml</v>
          </cell>
          <cell r="M942" t="str">
            <v/>
          </cell>
          <cell r="O942" t="str">
            <v/>
          </cell>
          <cell r="P942" t="str">
            <v/>
          </cell>
        </row>
        <row r="945">
          <cell r="D945">
            <v>4.1280000000000001</v>
          </cell>
          <cell r="E945" t="str">
            <v>Return to Sewer Assumption</v>
          </cell>
        </row>
        <row r="946">
          <cell r="H946">
            <v>4.1289999999999996</v>
          </cell>
          <cell r="I946" t="str">
            <v>MSRET01</v>
          </cell>
          <cell r="J946" t="str">
            <v>Return to sewer assumption (%) - general</v>
          </cell>
          <cell r="K946">
            <v>1</v>
          </cell>
          <cell r="L946">
            <v>1</v>
          </cell>
          <cell r="M946">
            <v>0</v>
          </cell>
          <cell r="O946">
            <v>0</v>
          </cell>
          <cell r="P946">
            <v>0</v>
          </cell>
        </row>
        <row r="947">
          <cell r="H947">
            <v>4.13</v>
          </cell>
          <cell r="I947" t="str">
            <v>MSRET02</v>
          </cell>
          <cell r="J947" t="str">
            <v>Return to sewer assumption (%) - household</v>
          </cell>
          <cell r="M947" t="str">
            <v/>
          </cell>
          <cell r="O947" t="str">
            <v/>
          </cell>
          <cell r="P947" t="str">
            <v/>
          </cell>
        </row>
        <row r="948">
          <cell r="H948">
            <v>4.1310000000000002</v>
          </cell>
          <cell r="I948" t="str">
            <v>MSRET03</v>
          </cell>
          <cell r="J948" t="str">
            <v>Return to sewer assumption (%) - non-household</v>
          </cell>
          <cell r="M948" t="str">
            <v/>
          </cell>
          <cell r="O948" t="str">
            <v/>
          </cell>
          <cell r="P948" t="str">
            <v/>
          </cell>
        </row>
        <row r="950">
          <cell r="D950">
            <v>4.1319999999999997</v>
          </cell>
          <cell r="E950" t="str">
            <v>Fixed Charges</v>
          </cell>
        </row>
        <row r="951">
          <cell r="H951">
            <v>4.133</v>
          </cell>
          <cell r="I951" t="str">
            <v>MSFIXED01A</v>
          </cell>
          <cell r="J951" t="str">
            <v>Domestic</v>
          </cell>
          <cell r="K951">
            <v>11</v>
          </cell>
          <cell r="L951">
            <v>11</v>
          </cell>
          <cell r="M951">
            <v>0</v>
          </cell>
          <cell r="N951">
            <v>412744</v>
          </cell>
          <cell r="O951">
            <v>4540184</v>
          </cell>
          <cell r="P951">
            <v>4540184</v>
          </cell>
          <cell r="Q951" t="str">
            <v>SHS</v>
          </cell>
          <cell r="S951">
            <v>404280</v>
          </cell>
        </row>
        <row r="952">
          <cell r="H952">
            <v>4.1340000000000003</v>
          </cell>
          <cell r="I952" t="str">
            <v>MSFIXED01B</v>
          </cell>
          <cell r="J952" t="str">
            <v>Measured Service Charge</v>
          </cell>
          <cell r="M952" t="str">
            <v/>
          </cell>
          <cell r="O952" t="str">
            <v/>
          </cell>
          <cell r="P952" t="str">
            <v/>
          </cell>
        </row>
        <row r="953">
          <cell r="H953">
            <v>4.1349999999999998</v>
          </cell>
          <cell r="I953" t="str">
            <v>MSFIXED01C</v>
          </cell>
          <cell r="J953" t="str">
            <v>Measured Service Charge (Transfer from Option 50)</v>
          </cell>
          <cell r="M953" t="str">
            <v/>
          </cell>
          <cell r="O953" t="str">
            <v/>
          </cell>
          <cell r="P953" t="str">
            <v/>
          </cell>
        </row>
        <row r="955">
          <cell r="D955">
            <v>4.1360000000000001</v>
          </cell>
          <cell r="E955" t="str">
            <v>Vulnerable Group Tariff</v>
          </cell>
        </row>
        <row r="956">
          <cell r="H956">
            <v>4.1369999999999996</v>
          </cell>
          <cell r="I956" t="str">
            <v>MSVGT01</v>
          </cell>
          <cell r="J956" t="str">
            <v>General</v>
          </cell>
          <cell r="K956">
            <v>139</v>
          </cell>
          <cell r="L956">
            <v>139</v>
          </cell>
          <cell r="M956">
            <v>0</v>
          </cell>
          <cell r="N956">
            <v>1236</v>
          </cell>
          <cell r="O956">
            <v>171804</v>
          </cell>
          <cell r="P956">
            <v>171804</v>
          </cell>
          <cell r="S956">
            <v>847</v>
          </cell>
        </row>
        <row r="957">
          <cell r="H957">
            <v>4.1379999999999999</v>
          </cell>
          <cell r="I957" t="str">
            <v>MSVGT02</v>
          </cell>
          <cell r="J957" t="str">
            <v>No Surface drainage</v>
          </cell>
          <cell r="M957" t="str">
            <v/>
          </cell>
          <cell r="O957" t="str">
            <v/>
          </cell>
          <cell r="P957" t="str">
            <v/>
          </cell>
        </row>
        <row r="959">
          <cell r="D959">
            <v>4.1390000000000002</v>
          </cell>
          <cell r="E959" t="str">
            <v>Rateable Value Charges</v>
          </cell>
        </row>
        <row r="961">
          <cell r="F961" t="str">
            <v>FULL DRAINAGE</v>
          </cell>
          <cell r="T961">
            <v>189690</v>
          </cell>
        </row>
        <row r="962">
          <cell r="H962">
            <v>4.1399999999999997</v>
          </cell>
          <cell r="I962" t="str">
            <v>MSRV01</v>
          </cell>
          <cell r="J962" t="str">
            <v>Full general</v>
          </cell>
          <cell r="K962">
            <v>0.42399999999999999</v>
          </cell>
          <cell r="L962">
            <v>0.46600000000000003</v>
          </cell>
          <cell r="M962">
            <v>9.9056603773584939E-2</v>
          </cell>
          <cell r="N962">
            <v>275113610</v>
          </cell>
          <cell r="O962">
            <v>116648170.64</v>
          </cell>
          <cell r="P962">
            <v>128202942.26000001</v>
          </cell>
          <cell r="T962">
            <v>286165680</v>
          </cell>
        </row>
        <row r="963">
          <cell r="H963">
            <v>4.141</v>
          </cell>
          <cell r="I963" t="str">
            <v>MSRV01C</v>
          </cell>
          <cell r="J963" t="str">
            <v>RV capped @ £500,000</v>
          </cell>
          <cell r="M963" t="str">
            <v/>
          </cell>
          <cell r="O963" t="str">
            <v/>
          </cell>
          <cell r="P963" t="str">
            <v/>
          </cell>
        </row>
        <row r="965">
          <cell r="F965" t="str">
            <v>SURFACE DRAINAGE</v>
          </cell>
        </row>
        <row r="966">
          <cell r="H966">
            <v>4.1420000000000003</v>
          </cell>
          <cell r="I966" t="str">
            <v>MSRV11</v>
          </cell>
          <cell r="J966" t="str">
            <v>Surface Area/Zone 1</v>
          </cell>
          <cell r="M966" t="str">
            <v/>
          </cell>
          <cell r="O966" t="str">
            <v/>
          </cell>
          <cell r="P966" t="str">
            <v/>
          </cell>
        </row>
        <row r="967">
          <cell r="H967">
            <v>4.1429999999999998</v>
          </cell>
          <cell r="I967" t="str">
            <v>MSRV12</v>
          </cell>
          <cell r="J967" t="str">
            <v>Surface Area/Zone 2</v>
          </cell>
          <cell r="M967" t="str">
            <v/>
          </cell>
          <cell r="O967" t="str">
            <v/>
          </cell>
          <cell r="P967" t="str">
            <v/>
          </cell>
        </row>
        <row r="968">
          <cell r="H968">
            <v>4.1440000000000001</v>
          </cell>
          <cell r="I968" t="str">
            <v>MSRV13</v>
          </cell>
          <cell r="J968" t="str">
            <v>Surface Area/Zone 3</v>
          </cell>
          <cell r="M968" t="str">
            <v/>
          </cell>
          <cell r="O968" t="str">
            <v/>
          </cell>
          <cell r="P968" t="str">
            <v/>
          </cell>
        </row>
        <row r="969">
          <cell r="H969">
            <v>4.1449999999999996</v>
          </cell>
          <cell r="I969" t="str">
            <v>MSRV14</v>
          </cell>
          <cell r="J969" t="str">
            <v>Surface Area/Zone 4</v>
          </cell>
          <cell r="M969" t="str">
            <v/>
          </cell>
          <cell r="O969" t="str">
            <v/>
          </cell>
          <cell r="P969" t="str">
            <v/>
          </cell>
        </row>
        <row r="970">
          <cell r="H970">
            <v>4.1459999999999999</v>
          </cell>
          <cell r="I970" t="str">
            <v>MSRV15</v>
          </cell>
          <cell r="J970" t="str">
            <v>Surface Area/Zone 5</v>
          </cell>
          <cell r="M970" t="str">
            <v/>
          </cell>
          <cell r="O970" t="str">
            <v/>
          </cell>
          <cell r="P970" t="str">
            <v/>
          </cell>
        </row>
        <row r="971">
          <cell r="H971">
            <v>4.1470000000000002</v>
          </cell>
          <cell r="I971" t="str">
            <v>MSRV16</v>
          </cell>
          <cell r="J971" t="str">
            <v>Surface Area/Zone 6</v>
          </cell>
          <cell r="M971" t="str">
            <v/>
          </cell>
          <cell r="O971" t="str">
            <v/>
          </cell>
          <cell r="P971" t="str">
            <v/>
          </cell>
        </row>
        <row r="972">
          <cell r="H972">
            <v>4.1479999999999997</v>
          </cell>
          <cell r="I972" t="str">
            <v>MSRV17</v>
          </cell>
          <cell r="J972" t="str">
            <v>Surface Area/Zone 7</v>
          </cell>
          <cell r="M972" t="str">
            <v/>
          </cell>
          <cell r="O972" t="str">
            <v/>
          </cell>
          <cell r="P972" t="str">
            <v/>
          </cell>
        </row>
        <row r="973">
          <cell r="H973">
            <v>4.149</v>
          </cell>
          <cell r="I973" t="str">
            <v>MSRV18</v>
          </cell>
          <cell r="J973" t="str">
            <v>Surface Area/Zone 8</v>
          </cell>
          <cell r="M973" t="str">
            <v/>
          </cell>
          <cell r="O973" t="str">
            <v/>
          </cell>
          <cell r="P973" t="str">
            <v/>
          </cell>
        </row>
        <row r="975">
          <cell r="F975" t="str">
            <v>NO SURFACE DRAINAGE</v>
          </cell>
        </row>
        <row r="976">
          <cell r="H976">
            <v>4.1500000000000004</v>
          </cell>
          <cell r="I976" t="str">
            <v>MSRV19</v>
          </cell>
          <cell r="J976" t="str">
            <v>No Surface General</v>
          </cell>
          <cell r="K976">
            <v>0.21199999999999999</v>
          </cell>
          <cell r="L976">
            <v>0.23300000000000001</v>
          </cell>
          <cell r="M976">
            <v>9.9056603773584939E-2</v>
          </cell>
          <cell r="N976">
            <v>18713183</v>
          </cell>
          <cell r="O976">
            <v>3967194.7960000001</v>
          </cell>
          <cell r="P976">
            <v>4360171.6390000004</v>
          </cell>
          <cell r="T976">
            <v>25077217</v>
          </cell>
        </row>
        <row r="979">
          <cell r="D979">
            <v>4.1509999999999998</v>
          </cell>
          <cell r="E979" t="str">
            <v>Properties No RV Fixed Fee</v>
          </cell>
        </row>
        <row r="981">
          <cell r="F981" t="str">
            <v>Domestic Properrties with No RV: FULL DRAINAGE</v>
          </cell>
        </row>
        <row r="982">
          <cell r="H982">
            <v>4.1520000000000001</v>
          </cell>
          <cell r="I982" t="str">
            <v>MSNORV01</v>
          </cell>
          <cell r="J982" t="str">
            <v>Full General</v>
          </cell>
          <cell r="M982" t="str">
            <v/>
          </cell>
          <cell r="O982" t="str">
            <v/>
          </cell>
          <cell r="P982" t="str">
            <v/>
          </cell>
        </row>
        <row r="983">
          <cell r="H983">
            <v>4.1529999999999996</v>
          </cell>
          <cell r="I983" t="str">
            <v>MSNORV02</v>
          </cell>
          <cell r="J983" t="str">
            <v>Full Flat/Terrace</v>
          </cell>
          <cell r="M983" t="str">
            <v/>
          </cell>
          <cell r="O983" t="str">
            <v/>
          </cell>
          <cell r="P983" t="str">
            <v/>
          </cell>
        </row>
        <row r="984">
          <cell r="H984">
            <v>4.1539999999999999</v>
          </cell>
          <cell r="I984" t="str">
            <v>MSNORV03</v>
          </cell>
          <cell r="J984" t="str">
            <v>Full Semi detached</v>
          </cell>
          <cell r="M984" t="str">
            <v/>
          </cell>
          <cell r="O984" t="str">
            <v/>
          </cell>
          <cell r="P984" t="str">
            <v/>
          </cell>
        </row>
        <row r="985">
          <cell r="H985">
            <v>4.1550000000000002</v>
          </cell>
          <cell r="I985" t="str">
            <v>MSNORV04</v>
          </cell>
          <cell r="J985" t="str">
            <v>Full Detached</v>
          </cell>
          <cell r="M985" t="str">
            <v/>
          </cell>
          <cell r="O985" t="str">
            <v/>
          </cell>
          <cell r="P985" t="str">
            <v/>
          </cell>
        </row>
        <row r="987">
          <cell r="F987" t="str">
            <v>Domestic Properrties with No RV: NO SURFACE DRAINAGE</v>
          </cell>
        </row>
        <row r="988">
          <cell r="H988">
            <v>4.1559999999999997</v>
          </cell>
          <cell r="I988" t="str">
            <v>MSNORV05</v>
          </cell>
          <cell r="J988" t="str">
            <v>No Surface General</v>
          </cell>
          <cell r="M988" t="str">
            <v/>
          </cell>
          <cell r="O988" t="str">
            <v/>
          </cell>
          <cell r="P988" t="str">
            <v/>
          </cell>
        </row>
        <row r="990">
          <cell r="F990" t="str">
            <v>Non-Domestic Properrties with No RV: FULL DRAINAGE</v>
          </cell>
        </row>
        <row r="991">
          <cell r="H991">
            <v>4.157</v>
          </cell>
          <cell r="I991" t="str">
            <v>MSNORV10</v>
          </cell>
          <cell r="J991" t="str">
            <v>Full Band 1</v>
          </cell>
          <cell r="M991" t="str">
            <v/>
          </cell>
          <cell r="O991" t="str">
            <v/>
          </cell>
          <cell r="P991" t="str">
            <v/>
          </cell>
        </row>
        <row r="992">
          <cell r="H992">
            <v>4.1580000000000004</v>
          </cell>
          <cell r="I992" t="str">
            <v>MSNORV11</v>
          </cell>
          <cell r="J992" t="str">
            <v>Full Band 2</v>
          </cell>
          <cell r="M992" t="str">
            <v/>
          </cell>
          <cell r="O992" t="str">
            <v/>
          </cell>
          <cell r="P992" t="str">
            <v/>
          </cell>
        </row>
        <row r="993">
          <cell r="H993">
            <v>4.1589999999999998</v>
          </cell>
          <cell r="I993" t="str">
            <v>MSNORV12</v>
          </cell>
          <cell r="J993" t="str">
            <v>Full Band 3</v>
          </cell>
          <cell r="M993" t="str">
            <v/>
          </cell>
          <cell r="O993" t="str">
            <v/>
          </cell>
          <cell r="P993" t="str">
            <v/>
          </cell>
        </row>
        <row r="994">
          <cell r="H994">
            <v>4.16</v>
          </cell>
          <cell r="I994" t="str">
            <v>MSNORV13</v>
          </cell>
          <cell r="J994" t="str">
            <v>Full Band 4</v>
          </cell>
          <cell r="M994" t="str">
            <v/>
          </cell>
          <cell r="O994" t="str">
            <v/>
          </cell>
          <cell r="P994" t="str">
            <v/>
          </cell>
        </row>
        <row r="995">
          <cell r="H995">
            <v>4.1609999999999996</v>
          </cell>
          <cell r="I995" t="str">
            <v>MSNORV14</v>
          </cell>
          <cell r="J995" t="str">
            <v>Full Band 5</v>
          </cell>
          <cell r="M995" t="str">
            <v/>
          </cell>
          <cell r="O995" t="str">
            <v/>
          </cell>
          <cell r="P995" t="str">
            <v/>
          </cell>
        </row>
        <row r="996">
          <cell r="H996">
            <v>4.1619999999999999</v>
          </cell>
          <cell r="I996" t="str">
            <v>MSNORV15</v>
          </cell>
          <cell r="J996" t="str">
            <v>Full Band 6</v>
          </cell>
          <cell r="M996" t="str">
            <v/>
          </cell>
          <cell r="O996" t="str">
            <v/>
          </cell>
          <cell r="P996" t="str">
            <v/>
          </cell>
        </row>
        <row r="997">
          <cell r="H997">
            <v>4.1630000000000003</v>
          </cell>
          <cell r="I997" t="str">
            <v>MSNORV16</v>
          </cell>
          <cell r="J997" t="str">
            <v>Full Band 7</v>
          </cell>
          <cell r="M997" t="str">
            <v/>
          </cell>
          <cell r="O997" t="str">
            <v/>
          </cell>
          <cell r="P997" t="str">
            <v/>
          </cell>
        </row>
        <row r="998">
          <cell r="H998">
            <v>4.1639999999999997</v>
          </cell>
          <cell r="I998" t="str">
            <v>MSNORV17</v>
          </cell>
          <cell r="J998" t="str">
            <v>Full Band 8</v>
          </cell>
          <cell r="M998" t="str">
            <v/>
          </cell>
          <cell r="O998" t="str">
            <v/>
          </cell>
          <cell r="P998" t="str">
            <v/>
          </cell>
        </row>
        <row r="999">
          <cell r="H999">
            <v>4.165</v>
          </cell>
          <cell r="I999" t="str">
            <v>MSNORV18</v>
          </cell>
          <cell r="J999" t="str">
            <v>Full Band 9</v>
          </cell>
          <cell r="M999" t="str">
            <v/>
          </cell>
          <cell r="O999" t="str">
            <v/>
          </cell>
          <cell r="P999" t="str">
            <v/>
          </cell>
        </row>
        <row r="1000">
          <cell r="H1000">
            <v>4.1660000000000004</v>
          </cell>
          <cell r="I1000" t="str">
            <v>MSNORV19</v>
          </cell>
          <cell r="J1000" t="str">
            <v>Full Band 10</v>
          </cell>
          <cell r="M1000" t="str">
            <v/>
          </cell>
          <cell r="O1000" t="str">
            <v/>
          </cell>
          <cell r="P1000" t="str">
            <v/>
          </cell>
        </row>
        <row r="1001">
          <cell r="H1001">
            <v>4.1669999999999998</v>
          </cell>
          <cell r="I1001" t="str">
            <v>MSNORV20</v>
          </cell>
          <cell r="J1001" t="str">
            <v>Full Band 11</v>
          </cell>
          <cell r="M1001" t="str">
            <v/>
          </cell>
          <cell r="O1001" t="str">
            <v/>
          </cell>
          <cell r="P1001" t="str">
            <v/>
          </cell>
        </row>
        <row r="1002">
          <cell r="H1002">
            <v>4.1680000000000001</v>
          </cell>
          <cell r="I1002" t="str">
            <v>MSNORV21</v>
          </cell>
          <cell r="J1002" t="str">
            <v>Full Band 12</v>
          </cell>
          <cell r="M1002" t="str">
            <v/>
          </cell>
          <cell r="O1002" t="str">
            <v/>
          </cell>
          <cell r="P1002" t="str">
            <v/>
          </cell>
        </row>
        <row r="1003">
          <cell r="H1003">
            <v>4.1689999999999996</v>
          </cell>
          <cell r="I1003" t="str">
            <v>MSNORV22</v>
          </cell>
          <cell r="J1003" t="str">
            <v>Full Band 13</v>
          </cell>
          <cell r="M1003" t="str">
            <v/>
          </cell>
          <cell r="O1003" t="str">
            <v/>
          </cell>
          <cell r="P1003" t="str">
            <v/>
          </cell>
        </row>
        <row r="1004">
          <cell r="H1004">
            <v>4.17</v>
          </cell>
          <cell r="I1004" t="str">
            <v>MSNORV23</v>
          </cell>
          <cell r="J1004" t="str">
            <v>Full Band 14</v>
          </cell>
          <cell r="M1004" t="str">
            <v/>
          </cell>
          <cell r="O1004" t="str">
            <v/>
          </cell>
          <cell r="P1004" t="str">
            <v/>
          </cell>
        </row>
        <row r="1005">
          <cell r="H1005">
            <v>4.1710000000000003</v>
          </cell>
          <cell r="I1005" t="str">
            <v>MSNORV24</v>
          </cell>
          <cell r="J1005" t="str">
            <v>Full Band 15</v>
          </cell>
          <cell r="M1005" t="str">
            <v/>
          </cell>
          <cell r="O1005" t="str">
            <v/>
          </cell>
          <cell r="P1005" t="str">
            <v/>
          </cell>
        </row>
        <row r="1006">
          <cell r="H1006">
            <v>4.1719999999999997</v>
          </cell>
          <cell r="I1006" t="str">
            <v>MSNORV25</v>
          </cell>
          <cell r="J1006" t="str">
            <v>Full Band 16</v>
          </cell>
          <cell r="M1006" t="str">
            <v/>
          </cell>
          <cell r="O1006" t="str">
            <v/>
          </cell>
          <cell r="P1006" t="str">
            <v/>
          </cell>
        </row>
        <row r="1007">
          <cell r="H1007">
            <v>4.173</v>
          </cell>
          <cell r="I1007" t="str">
            <v>MSNORV26</v>
          </cell>
          <cell r="J1007" t="str">
            <v>Full Band 17</v>
          </cell>
          <cell r="M1007" t="str">
            <v/>
          </cell>
          <cell r="O1007" t="str">
            <v/>
          </cell>
          <cell r="P1007" t="str">
            <v/>
          </cell>
        </row>
        <row r="1008">
          <cell r="H1008">
            <v>4.1740000000000004</v>
          </cell>
          <cell r="I1008" t="str">
            <v>MSNORV27</v>
          </cell>
          <cell r="J1008" t="str">
            <v>Full Band 18</v>
          </cell>
          <cell r="M1008" t="str">
            <v/>
          </cell>
          <cell r="O1008" t="str">
            <v/>
          </cell>
          <cell r="P1008" t="str">
            <v/>
          </cell>
        </row>
        <row r="1009">
          <cell r="H1009">
            <v>4.1749999999999998</v>
          </cell>
          <cell r="I1009" t="str">
            <v>MSNORV28</v>
          </cell>
          <cell r="J1009" t="str">
            <v>Full Band 19</v>
          </cell>
          <cell r="M1009" t="str">
            <v/>
          </cell>
          <cell r="O1009" t="str">
            <v/>
          </cell>
          <cell r="P1009" t="str">
            <v/>
          </cell>
        </row>
        <row r="1010">
          <cell r="H1010">
            <v>4.1760000000000002</v>
          </cell>
          <cell r="I1010" t="str">
            <v>MSNORV29</v>
          </cell>
          <cell r="J1010" t="str">
            <v>Full Band 20</v>
          </cell>
          <cell r="M1010" t="str">
            <v/>
          </cell>
          <cell r="O1010" t="str">
            <v/>
          </cell>
          <cell r="P1010" t="str">
            <v/>
          </cell>
        </row>
        <row r="1011">
          <cell r="H1011">
            <v>4.1769999999999996</v>
          </cell>
          <cell r="I1011" t="str">
            <v>MSNORV30</v>
          </cell>
          <cell r="J1011" t="str">
            <v>Full Band 21</v>
          </cell>
          <cell r="M1011" t="str">
            <v/>
          </cell>
          <cell r="O1011" t="str">
            <v/>
          </cell>
          <cell r="P1011" t="str">
            <v/>
          </cell>
        </row>
        <row r="1012">
          <cell r="H1012">
            <v>4.1779999999999999</v>
          </cell>
          <cell r="I1012" t="str">
            <v>MSNORV30A</v>
          </cell>
          <cell r="J1012" t="str">
            <v>Full Band 22</v>
          </cell>
          <cell r="M1012" t="str">
            <v/>
          </cell>
          <cell r="O1012" t="str">
            <v/>
          </cell>
          <cell r="P1012" t="str">
            <v/>
          </cell>
        </row>
        <row r="1014">
          <cell r="F1014" t="str">
            <v>Non-Domestic Properrties with No RV: NO SURFACE DRAINAGE</v>
          </cell>
        </row>
        <row r="1015">
          <cell r="J1015" t="str">
            <v>12/15 mm (0.5")</v>
          </cell>
          <cell r="K1015">
            <v>32</v>
          </cell>
          <cell r="L1015">
            <v>32</v>
          </cell>
          <cell r="M1015">
            <v>0</v>
          </cell>
          <cell r="N1015">
            <v>9</v>
          </cell>
        </row>
        <row r="1016">
          <cell r="J1016" t="str">
            <v>20/22 mm (0.75")</v>
          </cell>
          <cell r="K1016">
            <v>80</v>
          </cell>
          <cell r="L1016">
            <v>88.5</v>
          </cell>
          <cell r="M1016">
            <v>0.10624999999999996</v>
          </cell>
          <cell r="N1016">
            <v>4</v>
          </cell>
        </row>
        <row r="1017">
          <cell r="J1017" t="str">
            <v>25/28 mm (1")</v>
          </cell>
          <cell r="K1017">
            <v>143</v>
          </cell>
          <cell r="L1017">
            <v>158</v>
          </cell>
          <cell r="M1017">
            <v>0.10489510489510478</v>
          </cell>
          <cell r="N1017">
            <v>3</v>
          </cell>
        </row>
        <row r="1018">
          <cell r="J1018" t="str">
            <v>30/32/35 mm (1.25")</v>
          </cell>
          <cell r="K1018">
            <v>143</v>
          </cell>
          <cell r="L1018">
            <v>158</v>
          </cell>
          <cell r="M1018">
            <v>0.10489510489510478</v>
          </cell>
          <cell r="N1018">
            <v>1</v>
          </cell>
        </row>
        <row r="1019">
          <cell r="J1019" t="str">
            <v>40/42 mm (1.5")</v>
          </cell>
          <cell r="K1019">
            <v>323</v>
          </cell>
          <cell r="L1019">
            <v>356</v>
          </cell>
          <cell r="M1019">
            <v>0.10216718266253877</v>
          </cell>
          <cell r="N1019">
            <v>3</v>
          </cell>
        </row>
        <row r="1020">
          <cell r="J1020" t="str">
            <v>50/54 mm (2")</v>
          </cell>
          <cell r="K1020">
            <v>573</v>
          </cell>
          <cell r="L1020">
            <v>631</v>
          </cell>
          <cell r="M1020">
            <v>0.10122164048865612</v>
          </cell>
          <cell r="N1020">
            <v>4</v>
          </cell>
        </row>
        <row r="1021">
          <cell r="J1021" t="str">
            <v>75/80 mm (3")</v>
          </cell>
          <cell r="K1021">
            <v>1288</v>
          </cell>
          <cell r="L1021">
            <v>1417</v>
          </cell>
          <cell r="M1021">
            <v>0.10015527950310554</v>
          </cell>
          <cell r="N1021">
            <v>4</v>
          </cell>
        </row>
        <row r="1022">
          <cell r="J1022" t="str">
            <v>100 mm (4")</v>
          </cell>
          <cell r="K1022">
            <v>2287</v>
          </cell>
          <cell r="L1022">
            <v>2516</v>
          </cell>
          <cell r="M1022">
            <v>0.10013117621338008</v>
          </cell>
          <cell r="N1022">
            <v>1</v>
          </cell>
        </row>
        <row r="1023">
          <cell r="J1023" t="str">
            <v>&gt; = 150 mm (&gt; = 6")</v>
          </cell>
          <cell r="K1023">
            <v>5657</v>
          </cell>
          <cell r="L1023">
            <v>5657</v>
          </cell>
          <cell r="M1023">
            <v>0</v>
          </cell>
          <cell r="N1023">
            <v>0</v>
          </cell>
        </row>
        <row r="1026">
          <cell r="D1026">
            <v>4.1790000000000003</v>
          </cell>
          <cell r="E1026" t="str">
            <v>Minimum Charges</v>
          </cell>
        </row>
        <row r="1027">
          <cell r="H1027">
            <v>4.18</v>
          </cell>
          <cell r="I1027" t="str">
            <v>MSMIN01</v>
          </cell>
          <cell r="J1027" t="str">
            <v>General</v>
          </cell>
          <cell r="M1027" t="str">
            <v/>
          </cell>
          <cell r="O1027" t="str">
            <v/>
          </cell>
          <cell r="P1027" t="str">
            <v/>
          </cell>
        </row>
        <row r="1028">
          <cell r="H1028">
            <v>4.181</v>
          </cell>
          <cell r="I1028" t="str">
            <v>MSMIN05</v>
          </cell>
          <cell r="J1028" t="str">
            <v>Low User (40) - surface water and highway drainage</v>
          </cell>
          <cell r="M1028" t="str">
            <v/>
          </cell>
          <cell r="O1028" t="str">
            <v/>
          </cell>
          <cell r="P1028" t="str">
            <v/>
          </cell>
        </row>
        <row r="1029">
          <cell r="H1029">
            <v>4.1820000000000004</v>
          </cell>
          <cell r="I1029" t="str">
            <v>MSMIN06</v>
          </cell>
          <cell r="J1029" t="str">
            <v>Low User (40) - highway drainage only</v>
          </cell>
          <cell r="M1029" t="str">
            <v/>
          </cell>
          <cell r="O1029" t="str">
            <v/>
          </cell>
          <cell r="P1029" t="str">
            <v/>
          </cell>
        </row>
        <row r="1030">
          <cell r="H1030">
            <v>4.1829999999999998</v>
          </cell>
          <cell r="I1030" t="str">
            <v>MSMIN07</v>
          </cell>
          <cell r="J1030" t="str">
            <v>Low User (80) - surface and highway drainage</v>
          </cell>
          <cell r="M1030" t="str">
            <v/>
          </cell>
          <cell r="O1030" t="str">
            <v/>
          </cell>
          <cell r="P1030" t="str">
            <v/>
          </cell>
        </row>
        <row r="1031">
          <cell r="H1031">
            <v>4.1840000000000002</v>
          </cell>
          <cell r="I1031" t="str">
            <v>MSMIN08</v>
          </cell>
          <cell r="J1031" t="str">
            <v>Low User (80) - highway drainage only</v>
          </cell>
          <cell r="M1031" t="str">
            <v/>
          </cell>
          <cell r="O1031" t="str">
            <v/>
          </cell>
          <cell r="P1031" t="str">
            <v/>
          </cell>
        </row>
        <row r="1033">
          <cell r="D1033">
            <v>4.1849999999999996</v>
          </cell>
          <cell r="E1033" t="str">
            <v>Maximum Charges</v>
          </cell>
        </row>
        <row r="1034">
          <cell r="H1034">
            <v>4.1859999999999999</v>
          </cell>
          <cell r="I1034" t="str">
            <v>MSMAX01</v>
          </cell>
          <cell r="J1034" t="str">
            <v>Surface drainage</v>
          </cell>
          <cell r="M1034" t="str">
            <v/>
          </cell>
          <cell r="O1034" t="str">
            <v/>
          </cell>
          <cell r="P1034" t="str">
            <v/>
          </cell>
        </row>
        <row r="1037">
          <cell r="D1037">
            <v>4.1870000000000003</v>
          </cell>
          <cell r="E1037" t="str">
            <v>Discounts</v>
          </cell>
          <cell r="S1037" t="str">
            <v>Raw numbers</v>
          </cell>
        </row>
        <row r="1038">
          <cell r="S1038" t="str">
            <v>Banner</v>
          </cell>
          <cell r="T1038" t="str">
            <v>ICL</v>
          </cell>
        </row>
        <row r="1039">
          <cell r="H1039">
            <v>4.1879999999999997</v>
          </cell>
          <cell r="I1039" t="str">
            <v>MSDIS01</v>
          </cell>
          <cell r="J1039" t="str">
            <v>Direct debit</v>
          </cell>
          <cell r="K1039">
            <v>-2.5</v>
          </cell>
          <cell r="L1039">
            <v>-2.5</v>
          </cell>
          <cell r="M1039">
            <v>0</v>
          </cell>
          <cell r="N1039">
            <v>282785</v>
          </cell>
          <cell r="O1039">
            <v>-706962.5</v>
          </cell>
          <cell r="P1039">
            <v>-706962.5</v>
          </cell>
          <cell r="S1039">
            <v>282785</v>
          </cell>
        </row>
        <row r="1041">
          <cell r="D1041">
            <v>4.1890000000000001</v>
          </cell>
          <cell r="E1041" t="str">
            <v>Other Charges</v>
          </cell>
        </row>
        <row r="1042">
          <cell r="J1042" t="str">
            <v>vgt adj</v>
          </cell>
          <cell r="L1042">
            <v>139</v>
          </cell>
          <cell r="M1042" t="str">
            <v/>
          </cell>
          <cell r="N1042">
            <v>394</v>
          </cell>
          <cell r="O1042" t="str">
            <v/>
          </cell>
          <cell r="P1042">
            <v>54766</v>
          </cell>
        </row>
        <row r="1043">
          <cell r="K1043">
            <v>60</v>
          </cell>
          <cell r="M1043">
            <v>-1</v>
          </cell>
          <cell r="N1043">
            <v>394</v>
          </cell>
          <cell r="O1043">
            <v>23640</v>
          </cell>
          <cell r="P1043" t="str">
            <v/>
          </cell>
        </row>
        <row r="1044">
          <cell r="K1044">
            <v>0.68300000000000005</v>
          </cell>
          <cell r="N1044">
            <v>89960</v>
          </cell>
          <cell r="O1044">
            <v>61442.680000000008</v>
          </cell>
        </row>
        <row r="1047">
          <cell r="J1047" t="str">
            <v>vgt forecast</v>
          </cell>
          <cell r="L1047">
            <v>139</v>
          </cell>
          <cell r="N1047">
            <v>104</v>
          </cell>
          <cell r="O1047" t="str">
            <v/>
          </cell>
          <cell r="P1047">
            <v>14456</v>
          </cell>
        </row>
        <row r="1048">
          <cell r="K1048">
            <v>60</v>
          </cell>
          <cell r="N1048">
            <v>104</v>
          </cell>
          <cell r="O1048">
            <v>6240</v>
          </cell>
          <cell r="P1048" t="str">
            <v/>
          </cell>
        </row>
        <row r="1049">
          <cell r="K1049">
            <v>0.68300000000000005</v>
          </cell>
          <cell r="N1049">
            <v>21840</v>
          </cell>
          <cell r="O1049">
            <v>14916.720000000001</v>
          </cell>
        </row>
        <row r="1063">
          <cell r="M1063" t="str">
            <v/>
          </cell>
          <cell r="O1063" t="str">
            <v/>
          </cell>
          <cell r="P1063" t="str">
            <v/>
          </cell>
        </row>
        <row r="1064">
          <cell r="M1064" t="str">
            <v/>
          </cell>
          <cell r="O1064" t="str">
            <v/>
          </cell>
          <cell r="P1064" t="str">
            <v/>
          </cell>
        </row>
        <row r="1065">
          <cell r="M1065" t="str">
            <v/>
          </cell>
          <cell r="O1065" t="str">
            <v/>
          </cell>
          <cell r="P1065" t="str">
            <v/>
          </cell>
        </row>
        <row r="1066">
          <cell r="M1066" t="str">
            <v/>
          </cell>
          <cell r="O1066" t="str">
            <v/>
          </cell>
          <cell r="P1066" t="str">
            <v/>
          </cell>
        </row>
        <row r="1067">
          <cell r="M1067" t="str">
            <v/>
          </cell>
          <cell r="O1067" t="str">
            <v/>
          </cell>
          <cell r="P1067" t="str">
            <v/>
          </cell>
        </row>
        <row r="1068">
          <cell r="M1068" t="str">
            <v/>
          </cell>
          <cell r="O1068" t="str">
            <v/>
          </cell>
          <cell r="P1068" t="str">
            <v/>
          </cell>
        </row>
        <row r="1069">
          <cell r="M1069" t="str">
            <v/>
          </cell>
          <cell r="O1069" t="str">
            <v/>
          </cell>
          <cell r="P1069" t="str">
            <v/>
          </cell>
        </row>
        <row r="1070">
          <cell r="M1070" t="str">
            <v/>
          </cell>
          <cell r="O1070" t="str">
            <v/>
          </cell>
          <cell r="P1070" t="str">
            <v/>
          </cell>
        </row>
        <row r="1071">
          <cell r="M1071" t="str">
            <v/>
          </cell>
          <cell r="O1071" t="str">
            <v/>
          </cell>
          <cell r="P1071" t="str">
            <v/>
          </cell>
        </row>
        <row r="1072">
          <cell r="M1072" t="str">
            <v/>
          </cell>
          <cell r="O1072" t="str">
            <v/>
          </cell>
          <cell r="P1072" t="str">
            <v/>
          </cell>
        </row>
        <row r="1073">
          <cell r="M1073" t="str">
            <v/>
          </cell>
          <cell r="O1073" t="str">
            <v/>
          </cell>
          <cell r="P1073" t="str">
            <v/>
          </cell>
        </row>
        <row r="1074">
          <cell r="M1074" t="str">
            <v/>
          </cell>
          <cell r="O1074" t="str">
            <v/>
          </cell>
          <cell r="P1074" t="str">
            <v/>
          </cell>
        </row>
        <row r="1075">
          <cell r="M1075" t="str">
            <v/>
          </cell>
          <cell r="O1075" t="str">
            <v/>
          </cell>
          <cell r="P1075" t="str">
            <v/>
          </cell>
        </row>
        <row r="1076">
          <cell r="M1076" t="str">
            <v/>
          </cell>
          <cell r="O1076" t="str">
            <v/>
          </cell>
          <cell r="P1076" t="str">
            <v/>
          </cell>
        </row>
        <row r="1077">
          <cell r="M1077" t="str">
            <v/>
          </cell>
          <cell r="O1077" t="str">
            <v/>
          </cell>
          <cell r="P1077" t="str">
            <v/>
          </cell>
        </row>
        <row r="1078">
          <cell r="M1078" t="str">
            <v/>
          </cell>
          <cell r="O1078" t="str">
            <v/>
          </cell>
          <cell r="P1078" t="str">
            <v/>
          </cell>
        </row>
        <row r="1079">
          <cell r="M1079" t="str">
            <v/>
          </cell>
          <cell r="O1079" t="str">
            <v/>
          </cell>
          <cell r="P1079" t="str">
            <v/>
          </cell>
        </row>
        <row r="1082">
          <cell r="J1082" t="str">
            <v>TOTALS</v>
          </cell>
          <cell r="K1082" t="str">
            <v>-</v>
          </cell>
          <cell r="L1082" t="str">
            <v>-</v>
          </cell>
          <cell r="M1082" t="str">
            <v>-</v>
          </cell>
          <cell r="N1082" t="str">
            <v>-</v>
          </cell>
          <cell r="O1082">
            <v>215218277.55685142</v>
          </cell>
          <cell r="P1082">
            <v>227346836.61985141</v>
          </cell>
        </row>
        <row r="1084">
          <cell r="J1084" t="str">
            <v>RATIO OF WEIGHTING YEAR REVENUES</v>
          </cell>
        </row>
        <row r="1086">
          <cell r="J1086" t="str">
            <v>Bt(1)/Bt-1(1) = V / IV =</v>
          </cell>
          <cell r="N1086">
            <v>1.0563546888335082</v>
          </cell>
        </row>
        <row r="1089">
          <cell r="B1089">
            <v>5</v>
          </cell>
          <cell r="C1089" t="str">
            <v>Trade Effluent</v>
          </cell>
        </row>
        <row r="1090">
          <cell r="G1090" t="str">
            <v>Standing Charges</v>
          </cell>
          <cell r="K1090" t="str">
            <v>Charges(£.p)</v>
          </cell>
          <cell r="N1090" t="str">
            <v>Charge</v>
          </cell>
          <cell r="O1090" t="str">
            <v>Weighting Year Revenue</v>
          </cell>
        </row>
        <row r="1091">
          <cell r="K1091" t="str">
            <v>prior</v>
          </cell>
          <cell r="L1091" t="str">
            <v>charging</v>
          </cell>
          <cell r="N1091" t="str">
            <v>Multiplier</v>
          </cell>
          <cell r="O1091" t="str">
            <v>prior</v>
          </cell>
          <cell r="P1091" t="str">
            <v>charging</v>
          </cell>
        </row>
        <row r="1092">
          <cell r="K1092" t="str">
            <v>year</v>
          </cell>
          <cell r="L1092" t="str">
            <v>year</v>
          </cell>
          <cell r="O1092" t="str">
            <v>year</v>
          </cell>
          <cell r="P1092" t="str">
            <v>year</v>
          </cell>
        </row>
        <row r="1093">
          <cell r="I1093" t="str">
            <v>Line</v>
          </cell>
          <cell r="J1093" t="str">
            <v>Description</v>
          </cell>
          <cell r="K1093" t="str">
            <v>2004-05</v>
          </cell>
          <cell r="L1093" t="str">
            <v>2005-06</v>
          </cell>
          <cell r="M1093" t="str">
            <v>% Change</v>
          </cell>
          <cell r="N1093" t="str">
            <v>2003-04</v>
          </cell>
          <cell r="O1093" t="str">
            <v>2004-05</v>
          </cell>
          <cell r="P1093" t="str">
            <v>2005-06</v>
          </cell>
        </row>
        <row r="1131">
          <cell r="D1131">
            <v>5.0339999999999998</v>
          </cell>
          <cell r="E1131" t="str">
            <v>Reservation Volumetric Charges</v>
          </cell>
        </row>
        <row r="1133">
          <cell r="H1133">
            <v>5.0350000000000001</v>
          </cell>
          <cell r="I1133" t="str">
            <v>TERES01</v>
          </cell>
          <cell r="J1133" t="str">
            <v>R - Reservation</v>
          </cell>
          <cell r="K1133">
            <v>0.02</v>
          </cell>
          <cell r="L1133">
            <v>0.02</v>
          </cell>
          <cell r="M1133">
            <v>0</v>
          </cell>
          <cell r="N1133">
            <v>0</v>
          </cell>
          <cell r="O1133">
            <v>0</v>
          </cell>
          <cell r="P1133">
            <v>0</v>
          </cell>
        </row>
        <row r="1134">
          <cell r="H1134">
            <v>5.0359999999999996</v>
          </cell>
          <cell r="I1134" t="str">
            <v>TERES02</v>
          </cell>
          <cell r="J1134" t="str">
            <v>V - Reservation</v>
          </cell>
          <cell r="K1134">
            <v>1.4999999999999999E-2</v>
          </cell>
          <cell r="L1134">
            <v>1.4999999999999999E-2</v>
          </cell>
          <cell r="M1134">
            <v>0</v>
          </cell>
          <cell r="N1134">
            <v>0</v>
          </cell>
          <cell r="O1134">
            <v>0</v>
          </cell>
          <cell r="P1134">
            <v>0</v>
          </cell>
        </row>
        <row r="1135">
          <cell r="H1135">
            <v>5.0369999999999999</v>
          </cell>
          <cell r="I1135" t="str">
            <v>TERES03</v>
          </cell>
          <cell r="J1135" t="str">
            <v>VB - Reservation</v>
          </cell>
          <cell r="K1135">
            <v>3.0000000000000001E-3</v>
          </cell>
          <cell r="L1135">
            <v>3.0000000000000001E-3</v>
          </cell>
          <cell r="M1135">
            <v>0</v>
          </cell>
          <cell r="N1135">
            <v>0</v>
          </cell>
          <cell r="O1135">
            <v>0</v>
          </cell>
          <cell r="P1135">
            <v>0</v>
          </cell>
        </row>
        <row r="1136">
          <cell r="H1136">
            <v>5.0380000000000003</v>
          </cell>
          <cell r="I1136" t="str">
            <v>TERES04</v>
          </cell>
          <cell r="J1136" t="str">
            <v>B per KG - Reservation</v>
          </cell>
          <cell r="K1136">
            <v>2.8000000000000001E-2</v>
          </cell>
          <cell r="L1136">
            <v>2.8000000000000001E-2</v>
          </cell>
          <cell r="M1136">
            <v>0</v>
          </cell>
          <cell r="N1136">
            <v>0</v>
          </cell>
          <cell r="O1136">
            <v>0</v>
          </cell>
          <cell r="P1136">
            <v>0</v>
          </cell>
        </row>
        <row r="1137">
          <cell r="H1137">
            <v>5.0389999999999997</v>
          </cell>
          <cell r="I1137" t="str">
            <v>TERES05</v>
          </cell>
          <cell r="J1137" t="str">
            <v>S per KG - Reservation</v>
          </cell>
          <cell r="K1137">
            <v>4.2999999999999997E-2</v>
          </cell>
          <cell r="L1137">
            <v>4.2999999999999997E-2</v>
          </cell>
          <cell r="M1137">
            <v>0</v>
          </cell>
          <cell r="N1137">
            <v>0</v>
          </cell>
          <cell r="O1137">
            <v>0</v>
          </cell>
          <cell r="P1137">
            <v>0</v>
          </cell>
        </row>
        <row r="1138">
          <cell r="H1138">
            <v>5.04</v>
          </cell>
          <cell r="I1138" t="str">
            <v>TERES06</v>
          </cell>
          <cell r="J1138" t="str">
            <v>R - take</v>
          </cell>
          <cell r="K1138">
            <v>0.111</v>
          </cell>
          <cell r="L1138">
            <v>0.111</v>
          </cell>
          <cell r="M1138">
            <v>0</v>
          </cell>
          <cell r="N1138">
            <v>0</v>
          </cell>
          <cell r="O1138">
            <v>0</v>
          </cell>
          <cell r="P1138">
            <v>0</v>
          </cell>
        </row>
        <row r="1139">
          <cell r="H1139">
            <v>5.0410000000000004</v>
          </cell>
          <cell r="I1139" t="str">
            <v>TERES07</v>
          </cell>
          <cell r="J1139" t="str">
            <v>V - take</v>
          </cell>
          <cell r="K1139">
            <v>9.0999999999999998E-2</v>
          </cell>
          <cell r="L1139">
            <v>9.0999999999999998E-2</v>
          </cell>
          <cell r="M1139">
            <v>0</v>
          </cell>
          <cell r="N1139">
            <v>0</v>
          </cell>
          <cell r="O1139">
            <v>0</v>
          </cell>
          <cell r="P1139">
            <v>0</v>
          </cell>
        </row>
        <row r="1140">
          <cell r="H1140">
            <v>5.0419999999999998</v>
          </cell>
          <cell r="I1140" t="str">
            <v>TERES08</v>
          </cell>
          <cell r="J1140" t="str">
            <v>VB - take</v>
          </cell>
          <cell r="K1140">
            <v>1.2E-2</v>
          </cell>
          <cell r="L1140">
            <v>1.2E-2</v>
          </cell>
          <cell r="M1140">
            <v>0</v>
          </cell>
          <cell r="N1140">
            <v>0</v>
          </cell>
          <cell r="O1140">
            <v>0</v>
          </cell>
          <cell r="P1140">
            <v>0</v>
          </cell>
        </row>
        <row r="1141">
          <cell r="H1141">
            <v>5.0430000000000001</v>
          </cell>
          <cell r="I1141" t="str">
            <v>TERES09</v>
          </cell>
          <cell r="J1141" t="str">
            <v>B per KG - take</v>
          </cell>
          <cell r="K1141">
            <v>0.27099999999999996</v>
          </cell>
          <cell r="L1141">
            <v>0.27099999999999996</v>
          </cell>
          <cell r="M1141">
            <v>0</v>
          </cell>
          <cell r="N1141">
            <v>0</v>
          </cell>
          <cell r="O1141">
            <v>0</v>
          </cell>
          <cell r="P1141">
            <v>0</v>
          </cell>
        </row>
        <row r="1142">
          <cell r="H1142">
            <v>5.0439999999999996</v>
          </cell>
          <cell r="I1142" t="str">
            <v>TERES10</v>
          </cell>
          <cell r="J1142" t="str">
            <v>S per KG - take</v>
          </cell>
          <cell r="K1142">
            <v>0.30099999999999999</v>
          </cell>
          <cell r="L1142">
            <v>0.30099999999999999</v>
          </cell>
          <cell r="M1142">
            <v>0</v>
          </cell>
          <cell r="N1142">
            <v>0</v>
          </cell>
          <cell r="O1142">
            <v>0</v>
          </cell>
          <cell r="P1142">
            <v>0</v>
          </cell>
        </row>
        <row r="1144">
          <cell r="D1144">
            <v>5.0449999999999999</v>
          </cell>
          <cell r="E1144" t="str">
            <v>Fixed Charges</v>
          </cell>
        </row>
        <row r="1146">
          <cell r="F1146" t="str">
            <v>Fixed Charges</v>
          </cell>
        </row>
        <row r="1147">
          <cell r="H1147">
            <v>5.0460000000000003</v>
          </cell>
          <cell r="I1147" t="str">
            <v>TEFIXED01</v>
          </cell>
          <cell r="J1147" t="str">
            <v>Streamline Industrial</v>
          </cell>
          <cell r="M1147" t="str">
            <v/>
          </cell>
          <cell r="O1147" t="str">
            <v/>
          </cell>
          <cell r="P1147" t="str">
            <v/>
          </cell>
        </row>
        <row r="1148">
          <cell r="H1148">
            <v>5.0469999999999997</v>
          </cell>
          <cell r="I1148" t="str">
            <v>TEFIXED02</v>
          </cell>
          <cell r="J1148" t="str">
            <v>Streamline Blue</v>
          </cell>
          <cell r="M1148" t="str">
            <v/>
          </cell>
          <cell r="O1148" t="str">
            <v/>
          </cell>
          <cell r="P1148" t="str">
            <v/>
          </cell>
        </row>
        <row r="1149">
          <cell r="H1149">
            <v>5.048</v>
          </cell>
          <cell r="I1149" t="str">
            <v>TEFIXED03</v>
          </cell>
          <cell r="J1149" t="str">
            <v>Streamline Orange</v>
          </cell>
          <cell r="M1149" t="str">
            <v/>
          </cell>
          <cell r="O1149" t="str">
            <v/>
          </cell>
          <cell r="P1149" t="str">
            <v/>
          </cell>
        </row>
        <row r="1150">
          <cell r="H1150">
            <v>5.0490000000000004</v>
          </cell>
          <cell r="I1150" t="str">
            <v>TEFIXED04</v>
          </cell>
          <cell r="J1150" t="str">
            <v>Streamline Green</v>
          </cell>
          <cell r="M1150" t="str">
            <v/>
          </cell>
          <cell r="O1150" t="str">
            <v/>
          </cell>
          <cell r="P1150" t="str">
            <v/>
          </cell>
        </row>
        <row r="1151">
          <cell r="H1151">
            <v>5.05</v>
          </cell>
          <cell r="I1151" t="str">
            <v>TEFIXED05</v>
          </cell>
          <cell r="J1151" t="str">
            <v>Large User Supplement</v>
          </cell>
          <cell r="M1151" t="str">
            <v/>
          </cell>
          <cell r="O1151" t="str">
            <v/>
          </cell>
          <cell r="P1151" t="str">
            <v/>
          </cell>
        </row>
        <row r="1153">
          <cell r="F1153" t="str">
            <v>No Surface Drainage</v>
          </cell>
        </row>
        <row r="1154">
          <cell r="H1154">
            <v>5.0510000000000002</v>
          </cell>
          <cell r="I1154" t="str">
            <v>TEFIXED10</v>
          </cell>
          <cell r="J1154" t="str">
            <v>Streamline Industrial</v>
          </cell>
          <cell r="M1154" t="str">
            <v/>
          </cell>
          <cell r="O1154" t="str">
            <v/>
          </cell>
          <cell r="P1154" t="str">
            <v/>
          </cell>
        </row>
        <row r="1155">
          <cell r="H1155">
            <v>5.0519999999999996</v>
          </cell>
          <cell r="I1155" t="str">
            <v>TEFIXED11</v>
          </cell>
          <cell r="J1155" t="str">
            <v>Streamline Blue</v>
          </cell>
          <cell r="M1155" t="str">
            <v/>
          </cell>
          <cell r="O1155" t="str">
            <v/>
          </cell>
          <cell r="P1155" t="str">
            <v/>
          </cell>
        </row>
        <row r="1156">
          <cell r="H1156">
            <v>5.0529999999999999</v>
          </cell>
          <cell r="I1156" t="str">
            <v>TEFIXED12</v>
          </cell>
          <cell r="J1156" t="str">
            <v>Streamline Orange</v>
          </cell>
          <cell r="M1156" t="str">
            <v/>
          </cell>
          <cell r="O1156" t="str">
            <v/>
          </cell>
          <cell r="P1156" t="str">
            <v/>
          </cell>
        </row>
        <row r="1157">
          <cell r="H1157">
            <v>5.0540000000000003</v>
          </cell>
          <cell r="I1157" t="str">
            <v>TEFIXED13</v>
          </cell>
          <cell r="J1157" t="str">
            <v>Streamline Green</v>
          </cell>
          <cell r="M1157" t="str">
            <v/>
          </cell>
          <cell r="O1157" t="str">
            <v/>
          </cell>
          <cell r="P1157" t="str">
            <v/>
          </cell>
        </row>
        <row r="1160">
          <cell r="D1160">
            <v>5.0549999999999997</v>
          </cell>
          <cell r="E1160" t="str">
            <v>Minimum Charges</v>
          </cell>
        </row>
        <row r="1162">
          <cell r="H1162">
            <v>5.056</v>
          </cell>
          <cell r="I1162" t="str">
            <v>TEMIN01</v>
          </cell>
          <cell r="J1162" t="str">
            <v>General</v>
          </cell>
          <cell r="K1162">
            <v>160</v>
          </cell>
          <cell r="L1162">
            <v>180</v>
          </cell>
          <cell r="M1162">
            <v>0.125</v>
          </cell>
          <cell r="N1162">
            <v>1274</v>
          </cell>
          <cell r="O1162">
            <v>203840</v>
          </cell>
          <cell r="P1162">
            <v>229320</v>
          </cell>
          <cell r="R1162">
            <v>1511</v>
          </cell>
          <cell r="S1162" t="str">
            <v>From JR03</v>
          </cell>
        </row>
        <row r="1163">
          <cell r="H1163">
            <v>5.0570000000000004</v>
          </cell>
          <cell r="I1163" t="str">
            <v>TEMIN02</v>
          </cell>
          <cell r="J1163" t="str">
            <v>Sea Outfall</v>
          </cell>
          <cell r="M1163" t="str">
            <v/>
          </cell>
          <cell r="O1163" t="str">
            <v/>
          </cell>
          <cell r="P1163" t="str">
            <v/>
          </cell>
        </row>
        <row r="1165">
          <cell r="D1165">
            <v>5.0579999999999998</v>
          </cell>
          <cell r="E1165" t="str">
            <v>Additional Charges</v>
          </cell>
        </row>
        <row r="1167">
          <cell r="H1167">
            <v>5.0590000000000002</v>
          </cell>
          <cell r="I1167" t="str">
            <v>TEADD02</v>
          </cell>
          <cell r="J1167" t="str">
            <v>Recharge: NRA licence fees - Coslech STW</v>
          </cell>
          <cell r="M1167" t="str">
            <v/>
          </cell>
          <cell r="O1167" t="str">
            <v/>
          </cell>
          <cell r="P1167" t="str">
            <v/>
          </cell>
        </row>
        <row r="1168">
          <cell r="H1168">
            <v>5.0599999999999996</v>
          </cell>
          <cell r="I1168" t="str">
            <v>TEADD03</v>
          </cell>
          <cell r="J1168" t="str">
            <v>Recharge: NRA licence fees - Baglan Outfall</v>
          </cell>
          <cell r="M1168" t="str">
            <v/>
          </cell>
          <cell r="O1168" t="str">
            <v/>
          </cell>
          <cell r="P1168" t="str">
            <v/>
          </cell>
        </row>
        <row r="1169">
          <cell r="H1169">
            <v>5.0609999999999999</v>
          </cell>
          <cell r="I1169" t="str">
            <v>TEADD04</v>
          </cell>
          <cell r="J1169" t="str">
            <v>Recharge: NRA Licence Fees - Llandarcy Outfall</v>
          </cell>
          <cell r="M1169" t="str">
            <v/>
          </cell>
          <cell r="O1169" t="str">
            <v/>
          </cell>
          <cell r="P1169" t="str">
            <v/>
          </cell>
        </row>
        <row r="1171">
          <cell r="D1171">
            <v>5.0620000000000003</v>
          </cell>
          <cell r="E1171" t="str">
            <v>Farm Effluent Charges</v>
          </cell>
        </row>
        <row r="1173">
          <cell r="F1173" t="str">
            <v>STANDARD</v>
          </cell>
        </row>
        <row r="1175">
          <cell r="F1175" t="str">
            <v>SETTLEMENT</v>
          </cell>
        </row>
        <row r="1177">
          <cell r="F1177" t="str">
            <v>SCRAPING</v>
          </cell>
        </row>
        <row r="1179">
          <cell r="F1179" t="str">
            <v>SCRAPING &amp; SETTLEMENT</v>
          </cell>
        </row>
        <row r="1182">
          <cell r="D1182">
            <v>5.0629999999999997</v>
          </cell>
          <cell r="E1182" t="str">
            <v>Agreed Strength Charges</v>
          </cell>
        </row>
        <row r="1184">
          <cell r="H1184">
            <v>5.0640000000000001</v>
          </cell>
          <cell r="I1184" t="str">
            <v>TEAGREED01</v>
          </cell>
          <cell r="J1184" t="str">
            <v>Carwash</v>
          </cell>
          <cell r="M1184" t="str">
            <v/>
          </cell>
          <cell r="O1184" t="str">
            <v/>
          </cell>
          <cell r="P1184" t="str">
            <v/>
          </cell>
        </row>
        <row r="1185">
          <cell r="H1185">
            <v>5.0650000000000004</v>
          </cell>
          <cell r="I1185" t="str">
            <v>TEAGREED02</v>
          </cell>
          <cell r="J1185" t="str">
            <v>Laundrette</v>
          </cell>
          <cell r="M1185" t="str">
            <v/>
          </cell>
          <cell r="O1185" t="str">
            <v/>
          </cell>
          <cell r="P1185" t="str">
            <v/>
          </cell>
        </row>
        <row r="1186">
          <cell r="H1186">
            <v>5.0659999999999998</v>
          </cell>
          <cell r="I1186" t="str">
            <v>TEAGREED03</v>
          </cell>
          <cell r="J1186" t="str">
            <v>Surface water</v>
          </cell>
          <cell r="M1186" t="str">
            <v/>
          </cell>
          <cell r="O1186" t="str">
            <v/>
          </cell>
          <cell r="P1186" t="str">
            <v/>
          </cell>
        </row>
        <row r="1187">
          <cell r="H1187">
            <v>5.0670000000000002</v>
          </cell>
          <cell r="I1187" t="str">
            <v>TEAGREED04</v>
          </cell>
          <cell r="J1187" t="str">
            <v>Farm effluent</v>
          </cell>
          <cell r="M1187" t="str">
            <v/>
          </cell>
          <cell r="O1187" t="str">
            <v/>
          </cell>
          <cell r="P1187" t="str">
            <v/>
          </cell>
        </row>
        <row r="1188">
          <cell r="H1188">
            <v>5.0679999999999996</v>
          </cell>
          <cell r="I1188" t="str">
            <v>TEAGREED05</v>
          </cell>
          <cell r="J1188" t="str">
            <v>Dry cleaners</v>
          </cell>
          <cell r="M1188" t="str">
            <v/>
          </cell>
          <cell r="O1188" t="str">
            <v/>
          </cell>
          <cell r="P1188" t="str">
            <v/>
          </cell>
        </row>
        <row r="1189">
          <cell r="H1189">
            <v>5.069</v>
          </cell>
          <cell r="I1189" t="str">
            <v>TEAGREED05A</v>
          </cell>
          <cell r="J1189" t="str">
            <v>Swimming pool backwash</v>
          </cell>
          <cell r="M1189" t="str">
            <v/>
          </cell>
          <cell r="O1189" t="str">
            <v/>
          </cell>
          <cell r="P1189" t="str">
            <v/>
          </cell>
        </row>
        <row r="1190">
          <cell r="H1190">
            <v>5.07</v>
          </cell>
          <cell r="I1190" t="str">
            <v>TEAGREED06</v>
          </cell>
          <cell r="J1190" t="str">
            <v>Measured service charge A</v>
          </cell>
          <cell r="M1190" t="str">
            <v/>
          </cell>
          <cell r="O1190" t="str">
            <v/>
          </cell>
          <cell r="P1190" t="str">
            <v/>
          </cell>
        </row>
        <row r="1191">
          <cell r="H1191">
            <v>5.0709999999999997</v>
          </cell>
          <cell r="I1191" t="str">
            <v>TEAGREED07</v>
          </cell>
          <cell r="J1191" t="str">
            <v>Measured service charge B</v>
          </cell>
          <cell r="M1191" t="str">
            <v/>
          </cell>
          <cell r="O1191" t="str">
            <v/>
          </cell>
          <cell r="P1191" t="str">
            <v/>
          </cell>
        </row>
        <row r="1192">
          <cell r="H1192">
            <v>5.0720000000000001</v>
          </cell>
          <cell r="I1192" t="str">
            <v>TEAGREED08</v>
          </cell>
          <cell r="J1192" t="str">
            <v>Measured service charge C</v>
          </cell>
          <cell r="M1192" t="str">
            <v/>
          </cell>
          <cell r="O1192" t="str">
            <v/>
          </cell>
          <cell r="P1192" t="str">
            <v/>
          </cell>
        </row>
        <row r="1193">
          <cell r="H1193">
            <v>5.0730000000000004</v>
          </cell>
          <cell r="I1193" t="str">
            <v>TEAGREED09</v>
          </cell>
          <cell r="J1193" t="str">
            <v>Measured service charge D</v>
          </cell>
          <cell r="M1193" t="str">
            <v/>
          </cell>
          <cell r="O1193" t="str">
            <v/>
          </cell>
          <cell r="P1193" t="str">
            <v/>
          </cell>
        </row>
        <row r="1195">
          <cell r="D1195">
            <v>5.0739999999999998</v>
          </cell>
          <cell r="E1195" t="str">
            <v>Regional Strengths</v>
          </cell>
        </row>
        <row r="1197">
          <cell r="H1197">
            <v>5.0750000000000002</v>
          </cell>
          <cell r="I1197" t="str">
            <v>TEREGION01</v>
          </cell>
          <cell r="J1197" t="str">
            <v>Os</v>
          </cell>
          <cell r="K1197">
            <v>312</v>
          </cell>
          <cell r="L1197">
            <v>312</v>
          </cell>
          <cell r="M1197">
            <v>0</v>
          </cell>
          <cell r="O1197">
            <v>0</v>
          </cell>
          <cell r="P1197">
            <v>0</v>
          </cell>
          <cell r="R1197">
            <v>312</v>
          </cell>
        </row>
        <row r="1198">
          <cell r="H1198">
            <v>5.0759999999999996</v>
          </cell>
          <cell r="I1198" t="str">
            <v>TEREGION02</v>
          </cell>
          <cell r="J1198" t="str">
            <v>Ss</v>
          </cell>
          <cell r="K1198">
            <v>230</v>
          </cell>
          <cell r="L1198">
            <v>230</v>
          </cell>
          <cell r="M1198">
            <v>0</v>
          </cell>
          <cell r="O1198">
            <v>0</v>
          </cell>
          <cell r="P1198">
            <v>0</v>
          </cell>
          <cell r="R1198">
            <v>230</v>
          </cell>
        </row>
        <row r="1200">
          <cell r="D1200">
            <v>5.077</v>
          </cell>
          <cell r="E1200" t="str">
            <v>Other Charges</v>
          </cell>
        </row>
        <row r="1201">
          <cell r="M1201" t="str">
            <v/>
          </cell>
          <cell r="O1201" t="str">
            <v/>
          </cell>
          <cell r="P1201" t="str">
            <v/>
          </cell>
        </row>
        <row r="1202">
          <cell r="M1202" t="str">
            <v/>
          </cell>
          <cell r="O1202" t="str">
            <v/>
          </cell>
          <cell r="P1202" t="str">
            <v/>
          </cell>
        </row>
        <row r="1203">
          <cell r="M1203" t="str">
            <v/>
          </cell>
          <cell r="O1203" t="str">
            <v/>
          </cell>
          <cell r="P1203" t="str">
            <v/>
          </cell>
        </row>
        <row r="1204">
          <cell r="M1204" t="str">
            <v/>
          </cell>
          <cell r="O1204" t="str">
            <v/>
          </cell>
          <cell r="P1204" t="str">
            <v/>
          </cell>
        </row>
        <row r="1205">
          <cell r="M1205" t="str">
            <v/>
          </cell>
          <cell r="O1205" t="str">
            <v/>
          </cell>
          <cell r="P1205" t="str">
            <v/>
          </cell>
        </row>
        <row r="1206">
          <cell r="M1206" t="str">
            <v/>
          </cell>
          <cell r="O1206" t="str">
            <v/>
          </cell>
          <cell r="P1206" t="str">
            <v/>
          </cell>
        </row>
        <row r="1207">
          <cell r="M1207" t="str">
            <v/>
          </cell>
          <cell r="O1207" t="str">
            <v/>
          </cell>
          <cell r="P1207" t="str">
            <v/>
          </cell>
        </row>
        <row r="1208">
          <cell r="M1208" t="str">
            <v/>
          </cell>
          <cell r="O1208" t="str">
            <v/>
          </cell>
          <cell r="P1208" t="str">
            <v/>
          </cell>
        </row>
        <row r="1209">
          <cell r="M1209" t="str">
            <v/>
          </cell>
          <cell r="O1209" t="str">
            <v/>
          </cell>
          <cell r="P1209" t="str">
            <v/>
          </cell>
        </row>
        <row r="1210">
          <cell r="M1210" t="str">
            <v/>
          </cell>
          <cell r="O1210" t="str">
            <v/>
          </cell>
          <cell r="P1210" t="str">
            <v/>
          </cell>
        </row>
        <row r="1211">
          <cell r="M1211" t="str">
            <v/>
          </cell>
          <cell r="O1211" t="str">
            <v/>
          </cell>
          <cell r="P1211" t="str">
            <v/>
          </cell>
        </row>
        <row r="1212">
          <cell r="M1212" t="str">
            <v/>
          </cell>
          <cell r="O1212" t="str">
            <v/>
          </cell>
          <cell r="P1212" t="str">
            <v/>
          </cell>
        </row>
        <row r="1213">
          <cell r="M1213" t="str">
            <v/>
          </cell>
          <cell r="O1213" t="str">
            <v/>
          </cell>
          <cell r="P1213" t="str">
            <v/>
          </cell>
        </row>
        <row r="1214">
          <cell r="M1214" t="str">
            <v/>
          </cell>
          <cell r="O1214" t="str">
            <v/>
          </cell>
          <cell r="P1214" t="str">
            <v/>
          </cell>
        </row>
        <row r="1215">
          <cell r="M1215" t="str">
            <v/>
          </cell>
          <cell r="O1215" t="str">
            <v/>
          </cell>
          <cell r="P1215" t="str">
            <v/>
          </cell>
        </row>
        <row r="1216">
          <cell r="M1216" t="str">
            <v/>
          </cell>
          <cell r="O1216" t="str">
            <v/>
          </cell>
          <cell r="P1216" t="str">
            <v/>
          </cell>
        </row>
        <row r="1217">
          <cell r="M1217" t="str">
            <v/>
          </cell>
          <cell r="O1217" t="str">
            <v/>
          </cell>
          <cell r="P1217" t="str">
            <v/>
          </cell>
        </row>
        <row r="1218">
          <cell r="M1218" t="str">
            <v/>
          </cell>
          <cell r="O1218" t="str">
            <v/>
          </cell>
          <cell r="P1218" t="str">
            <v/>
          </cell>
        </row>
        <row r="1219">
          <cell r="M1219" t="str">
            <v/>
          </cell>
          <cell r="O1219" t="str">
            <v/>
          </cell>
          <cell r="P1219" t="str">
            <v/>
          </cell>
        </row>
        <row r="1220">
          <cell r="M1220" t="str">
            <v/>
          </cell>
          <cell r="O1220" t="str">
            <v/>
          </cell>
          <cell r="P1220" t="str">
            <v/>
          </cell>
        </row>
        <row r="1221">
          <cell r="M1221" t="str">
            <v/>
          </cell>
          <cell r="O1221" t="str">
            <v/>
          </cell>
          <cell r="P1221" t="str">
            <v/>
          </cell>
        </row>
        <row r="1222">
          <cell r="M1222" t="str">
            <v/>
          </cell>
          <cell r="O1222" t="str">
            <v/>
          </cell>
          <cell r="P1222" t="str">
            <v/>
          </cell>
        </row>
        <row r="1223">
          <cell r="M1223" t="str">
            <v/>
          </cell>
          <cell r="O1223" t="str">
            <v/>
          </cell>
          <cell r="P1223" t="str">
            <v/>
          </cell>
        </row>
        <row r="1224">
          <cell r="M1224" t="str">
            <v/>
          </cell>
          <cell r="O1224" t="str">
            <v/>
          </cell>
          <cell r="P1224" t="str">
            <v/>
          </cell>
        </row>
        <row r="1225">
          <cell r="M1225" t="str">
            <v/>
          </cell>
          <cell r="O1225" t="str">
            <v/>
          </cell>
          <cell r="P1225" t="str">
            <v/>
          </cell>
        </row>
        <row r="1226">
          <cell r="M1226" t="str">
            <v/>
          </cell>
          <cell r="O1226" t="str">
            <v/>
          </cell>
          <cell r="P1226" t="str">
            <v/>
          </cell>
        </row>
        <row r="1227">
          <cell r="M1227" t="str">
            <v/>
          </cell>
          <cell r="O1227" t="str">
            <v/>
          </cell>
          <cell r="P1227" t="str">
            <v/>
          </cell>
        </row>
        <row r="1228">
          <cell r="M1228" t="str">
            <v/>
          </cell>
          <cell r="O1228" t="str">
            <v/>
          </cell>
          <cell r="P1228" t="str">
            <v/>
          </cell>
        </row>
        <row r="1229">
          <cell r="M1229" t="str">
            <v/>
          </cell>
          <cell r="O1229" t="str">
            <v/>
          </cell>
          <cell r="P1229" t="str">
            <v/>
          </cell>
        </row>
        <row r="1230">
          <cell r="M1230" t="str">
            <v/>
          </cell>
          <cell r="O1230" t="str">
            <v/>
          </cell>
          <cell r="P1230" t="str">
            <v/>
          </cell>
        </row>
        <row r="1231">
          <cell r="M1231" t="str">
            <v/>
          </cell>
          <cell r="O1231" t="str">
            <v/>
          </cell>
          <cell r="P1231" t="str">
            <v/>
          </cell>
        </row>
        <row r="1232">
          <cell r="M1232" t="str">
            <v/>
          </cell>
          <cell r="O1232" t="str">
            <v/>
          </cell>
          <cell r="P1232" t="str">
            <v/>
          </cell>
        </row>
        <row r="1233">
          <cell r="M1233" t="str">
            <v/>
          </cell>
          <cell r="O1233" t="str">
            <v/>
          </cell>
          <cell r="P1233" t="str">
            <v/>
          </cell>
        </row>
        <row r="1234">
          <cell r="M1234" t="str">
            <v/>
          </cell>
          <cell r="O1234" t="str">
            <v/>
          </cell>
          <cell r="P1234" t="str">
            <v/>
          </cell>
        </row>
        <row r="1235">
          <cell r="M1235" t="str">
            <v/>
          </cell>
          <cell r="O1235" t="str">
            <v/>
          </cell>
          <cell r="P1235" t="str">
            <v/>
          </cell>
        </row>
        <row r="1236">
          <cell r="M1236" t="str">
            <v/>
          </cell>
          <cell r="O1236" t="str">
            <v/>
          </cell>
          <cell r="P1236" t="str">
            <v/>
          </cell>
        </row>
        <row r="1237">
          <cell r="M1237" t="str">
            <v/>
          </cell>
          <cell r="O1237" t="str">
            <v/>
          </cell>
          <cell r="P1237" t="str">
            <v/>
          </cell>
        </row>
        <row r="1238">
          <cell r="M1238" t="str">
            <v/>
          </cell>
          <cell r="O1238" t="str">
            <v/>
          </cell>
          <cell r="P1238" t="str">
            <v/>
          </cell>
        </row>
        <row r="1241">
          <cell r="J1241" t="str">
            <v>TOTALS</v>
          </cell>
          <cell r="K1241" t="str">
            <v>-</v>
          </cell>
          <cell r="L1241" t="str">
            <v>-</v>
          </cell>
          <cell r="M1241" t="str">
            <v>-</v>
          </cell>
          <cell r="N1241" t="str">
            <v>-</v>
          </cell>
          <cell r="O1241">
            <v>20113113.679283906</v>
          </cell>
          <cell r="P1241">
            <v>20138593.679283906</v>
          </cell>
        </row>
        <row r="1243">
          <cell r="J1243" t="str">
            <v>RATIO OF WEIGHTING YEAR REVENUES</v>
          </cell>
        </row>
        <row r="1245">
          <cell r="J1245" t="str">
            <v>Bt(1)/Bt-1(1) = V / IV =</v>
          </cell>
          <cell r="N1245">
            <v>1.0012668351805838</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3">
          <cell r="F3" t="str">
            <v>No</v>
          </cell>
        </row>
        <row r="4">
          <cell r="F4" t="str">
            <v/>
          </cell>
        </row>
        <row r="5">
          <cell r="F5" t="str">
            <v/>
          </cell>
        </row>
        <row r="6">
          <cell r="F6" t="str">
            <v/>
          </cell>
        </row>
        <row r="7">
          <cell r="F7" t="str">
            <v/>
          </cell>
        </row>
        <row r="8">
          <cell r="F8" t="str">
            <v/>
          </cell>
        </row>
        <row r="9">
          <cell r="F9" t="str">
            <v/>
          </cell>
        </row>
        <row r="10">
          <cell r="F10" t="str">
            <v>No</v>
          </cell>
        </row>
        <row r="11">
          <cell r="F11" t="str">
            <v/>
          </cell>
        </row>
        <row r="12">
          <cell r="F12" t="str">
            <v/>
          </cell>
        </row>
        <row r="13">
          <cell r="F13" t="str">
            <v/>
          </cell>
        </row>
        <row r="14">
          <cell r="F14" t="str">
            <v/>
          </cell>
        </row>
        <row r="15">
          <cell r="F15" t="str">
            <v/>
          </cell>
        </row>
        <row r="16">
          <cell r="F16" t="str">
            <v/>
          </cell>
        </row>
        <row r="17">
          <cell r="F17" t="str">
            <v/>
          </cell>
        </row>
        <row r="18">
          <cell r="F18" t="str">
            <v>Yes</v>
          </cell>
        </row>
        <row r="21">
          <cell r="A21" t="str">
            <v>ActiveWorkbook.Worksheets("Data").Range("B18:B18").Value = ActiveWindow.DisplayHeadings</v>
          </cell>
        </row>
        <row r="22">
          <cell r="A22" t="str">
            <v>ActiveWorkbook.Worksheets("Data").Range("B19:B19").Value = ActiveWindow.DisplayHorizontalScrollBar</v>
          </cell>
        </row>
        <row r="23">
          <cell r="A23" t="str">
            <v>ActiveWorkbook.Worksheets("Data").Range("B20:B20").Value = ActiveWindow.DisplayVerticalScrollBar</v>
          </cell>
        </row>
        <row r="24">
          <cell r="A24" t="str">
            <v>ActiveWorkbook.Worksheets("Data").Range("B21:B21").Value = ActiveWindow.DisplayWorkbookTabs</v>
          </cell>
        </row>
        <row r="25">
          <cell r="A25" t="str">
            <v>ActiveWorkbook.Worksheets("Data").Range("B22:B22").Value = ActiveWindow.DisplayFormulas</v>
          </cell>
        </row>
        <row r="26">
          <cell r="A26" t="str">
            <v>ActiveWorkbook.Worksheets("Data").Range("B23:B23").Value = ActiveWindow.DisplayOutline</v>
          </cell>
        </row>
        <row r="27">
          <cell r="A27" t="str">
            <v>ActiveWorkbook.Worksheets("Data").Range("B24:B24").Value = ActiveWindow.DisplayZeros</v>
          </cell>
        </row>
        <row r="28">
          <cell r="A28" t="str">
            <v>ActiveWorkbook.Worksheets("Data").Range("B25:B25").Value = Application.CellDragAndDrop</v>
          </cell>
        </row>
        <row r="29">
          <cell r="A29" t="str">
            <v>ActiveWorkbook.Worksheets("Data").Range("B26:B26").Value = Application.MoveAfterReturn</v>
          </cell>
        </row>
        <row r="30">
          <cell r="A30" t="str">
            <v>ActiveWorkbook.Worksheets("Data").Range("B27:B27").Value = Application.DisplayFormulaBar</v>
          </cell>
        </row>
        <row r="31">
          <cell r="A31" t="str">
            <v>ActiveWorkbook.Worksheets("Data").Range("B28:B28").Value = Application.DisplayStatusBar</v>
          </cell>
        </row>
        <row r="32">
          <cell r="A32" t="str">
            <v>ActiveWorkbook.Worksheets("Data").Range("B29:B29").Value = Application.DisplayCommentIndicator</v>
          </cell>
        </row>
        <row r="33">
          <cell r="A33" t="str">
            <v>ActiveWorkbook.Worksheets("Data").Range("B30:B30").Value = Application.Calculation</v>
          </cell>
        </row>
        <row r="34">
          <cell r="A34" t="str">
            <v>ActiveWorkbook.Worksheets("Data").Range("B31:B31").Value = Application.EditDirectlyInCell</v>
          </cell>
        </row>
        <row r="35">
          <cell r="A35" t="str">
            <v>ActiveWorkbook.Worksheets("Data").Range("B32:B32").Value = Application.FixedDecimal</v>
          </cell>
        </row>
        <row r="36">
          <cell r="A36" t="str">
            <v>ActiveWorkbook.Worksheets("Data").Range("B33:B33").Value = Application.FixedDecimalPlaces</v>
          </cell>
        </row>
        <row r="37">
          <cell r="A37" t="str">
            <v>ActiveWorkbook.Worksheets("Data").Range("B34:B34").Value = Application.AskToUpdateLinks</v>
          </cell>
        </row>
        <row r="38">
          <cell r="A38" t="str">
            <v>ActiveWorkbook.Worksheets("Data").Range("B35:B35").Value = Application.CopyObjectsWithCells</v>
          </cell>
        </row>
        <row r="39">
          <cell r="A39" t="str">
            <v>ActiveWorkbook.Worksheets("Data").Range("B36:B36").Value = Application.EnableAnimations</v>
          </cell>
        </row>
        <row r="40">
          <cell r="A40" t="str">
            <v>ActiveWorkbook.Worksheets("Data").Range("B37:B37").Value = Application.ReferenceStyle</v>
          </cell>
        </row>
        <row r="41">
          <cell r="A41" t="str">
            <v>ActiveWorkbook.Worksheets("Data").Range("B38:B38").Value = Application.IgnoreRemoteRequests</v>
          </cell>
        </row>
        <row r="42">
          <cell r="A42" t="str">
            <v>ActiveWorkbook.Worksheets("Data").Range("B39:B39").Value = Application.PromptForSummaryInfo</v>
          </cell>
        </row>
        <row r="43">
          <cell r="A43" t="str">
            <v>ActiveWorkbook.Worksheets("Data").Range("B40:B40").Value = Application.DisplayRecentFiles</v>
          </cell>
        </row>
        <row r="44">
          <cell r="A44" t="str">
            <v>ActiveWorkbook.Worksheets("Data").Range("B41:B41").Value = Application.CommandBars("Standard").Visible</v>
          </cell>
        </row>
        <row r="45">
          <cell r="A45" t="str">
            <v>ActiveWorkbook.Worksheets("Data").Range("B42:B42").Value = Application.CommandBars("Formatting").Visible</v>
          </cell>
        </row>
        <row r="46">
          <cell r="A46" t="str">
            <v>ActiveWorkbook.Worksheets("Data").Range("B43:B43").Value = Application.CommandBars("Chart").Visible</v>
          </cell>
        </row>
        <row r="47">
          <cell r="A47" t="str">
            <v>ActiveWorkbook.Worksheets("Data").Range("B44:B44").Value = Application.CommandBars("Control ToolBox").Visible</v>
          </cell>
        </row>
        <row r="48">
          <cell r="A48" t="str">
            <v>ActiveWorkbook.Worksheets("Data").Range("B45:B45").Value = Application.CommandBars("Drawing").Visible</v>
          </cell>
        </row>
        <row r="49">
          <cell r="A49" t="str">
            <v>ActiveWorkbook.Worksheets("Data").Range("B46:B46").Value = Application.CommandBars("Exit Design Mode").Visible</v>
          </cell>
        </row>
        <row r="50">
          <cell r="A50" t="str">
            <v>ActiveWorkbook.Worksheets("Data").Range("B47:B47").Value = Application.CommandBars("Forms").Visible</v>
          </cell>
        </row>
        <row r="51">
          <cell r="A51" t="str">
            <v>ActiveWorkbook.Worksheets("Data").Range("B48:B48").Value = Application.CommandBars("PivotTable").Visible</v>
          </cell>
        </row>
        <row r="52">
          <cell r="A52" t="str">
            <v>ActiveWorkbook.Worksheets("Data").Range("B49:B49").Value = Application.CommandBars("Picture").Visible</v>
          </cell>
        </row>
        <row r="53">
          <cell r="A53" t="str">
            <v>ActiveWorkbook.Worksheets("Data").Range("B50:B50").Value = Application.CommandBars("Reviewing").Visible</v>
          </cell>
        </row>
        <row r="54">
          <cell r="A54" t="str">
            <v>ActiveWorkbook.Worksheets("Data").Range("B51:B51").Value = Application.CommandBars("Visual Basic").Visible</v>
          </cell>
        </row>
        <row r="55">
          <cell r="A55" t="str">
            <v>ActiveWorkbook.Worksheets("Data").Range("B52:B52").Value = Application.CommandBars("WordArt").Visible</v>
          </cell>
        </row>
        <row r="56">
          <cell r="A56" t="str">
            <v>ActiveWorkbook.Worksheets("Data").Range("B53:B53").Value = Application.CommandBars("Web").Visible</v>
          </cell>
        </row>
        <row r="57">
          <cell r="A57" t="str">
            <v>ActiveWorkbook.Worksheets("Data").Range("B54:B54").Value = ActiveWindow.DisplayGridlines</v>
          </cell>
        </row>
        <row r="58">
          <cell r="B58">
            <v>1220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Version Control"/>
      <sheetName val="Map"/>
      <sheetName val="Key"/>
      <sheetName val="Dashboard"/>
      <sheetName val="Data &gt;"/>
      <sheetName val="CLEAR_SHEET"/>
      <sheetName val="F_Inputs"/>
      <sheetName val="F_Inputs Copy"/>
      <sheetName val="Input Copy"/>
      <sheetName val="Adjustments"/>
      <sheetName val="Input Real"/>
      <sheetName val="Input Nominal"/>
      <sheetName val="RPI"/>
      <sheetName val="Wholesale &gt;"/>
      <sheetName val="Water Nominal"/>
      <sheetName val="Wastewater Nominal"/>
      <sheetName val="Wholesale Nominal"/>
      <sheetName val="Water Real AR"/>
      <sheetName val="Waste Real AR"/>
      <sheetName val="Retail &gt;"/>
      <sheetName val="Calc HH"/>
      <sheetName val="Calc NHH"/>
      <sheetName val="HH Fin Stats"/>
      <sheetName val="NHH Fin Stats"/>
      <sheetName val="Retail Fin Stats"/>
      <sheetName val="Retail Phase Outputs"/>
      <sheetName val="Appointee &gt;"/>
      <sheetName val="Report Formats"/>
      <sheetName val="Appointee Nominal"/>
      <sheetName val="Reports Start"/>
      <sheetName val="Exec Summary"/>
      <sheetName val="Price Limits HH"/>
      <sheetName val="Price Limits NHH"/>
      <sheetName val="Headroom Check"/>
      <sheetName val="Appointee Fin Stats"/>
      <sheetName val="Tax Reconciliation"/>
      <sheetName val="F_Outputs"/>
      <sheetName val="Error Checks"/>
      <sheetName val="RPO Checks"/>
      <sheetName val="Index linked debt 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03">
          <cell r="J803">
            <v>22.681999999999999</v>
          </cell>
          <cell r="K803">
            <v>22.681999999999999</v>
          </cell>
          <cell r="L803">
            <v>22.681999999999999</v>
          </cell>
          <cell r="M803">
            <v>22.681999999999999</v>
          </cell>
          <cell r="N803">
            <v>22.681999999999999</v>
          </cell>
          <cell r="O803">
            <v>0</v>
          </cell>
          <cell r="P803">
            <v>0</v>
          </cell>
          <cell r="Q803">
            <v>0</v>
          </cell>
          <cell r="R803">
            <v>0</v>
          </cell>
          <cell r="S803">
            <v>0</v>
          </cell>
        </row>
        <row r="804">
          <cell r="J804">
            <v>15.744999999999999</v>
          </cell>
          <cell r="K804">
            <v>15.744999999999999</v>
          </cell>
          <cell r="L804">
            <v>15.744999999999999</v>
          </cell>
          <cell r="M804">
            <v>15.744999999999999</v>
          </cell>
          <cell r="N804">
            <v>15.744999999999999</v>
          </cell>
          <cell r="O804">
            <v>0</v>
          </cell>
          <cell r="P804">
            <v>0</v>
          </cell>
          <cell r="Q804">
            <v>0</v>
          </cell>
          <cell r="R804">
            <v>0</v>
          </cell>
          <cell r="S804">
            <v>0</v>
          </cell>
        </row>
        <row r="805">
          <cell r="J805">
            <v>292.56599999999997</v>
          </cell>
          <cell r="K805">
            <v>269.06599999999997</v>
          </cell>
          <cell r="L805">
            <v>244.58799999999999</v>
          </cell>
          <cell r="M805">
            <v>221.251</v>
          </cell>
          <cell r="N805">
            <v>199</v>
          </cell>
          <cell r="O805">
            <v>0</v>
          </cell>
          <cell r="P805">
            <v>0</v>
          </cell>
          <cell r="Q805">
            <v>0</v>
          </cell>
          <cell r="R805">
            <v>0</v>
          </cell>
          <cell r="S805">
            <v>0</v>
          </cell>
        </row>
        <row r="806">
          <cell r="J806">
            <v>320.30799999999999</v>
          </cell>
          <cell r="K806">
            <v>350.20299999999997</v>
          </cell>
          <cell r="L806">
            <v>381.18900000000002</v>
          </cell>
          <cell r="M806">
            <v>410.959</v>
          </cell>
          <cell r="N806">
            <v>439.50400000000002</v>
          </cell>
          <cell r="O806">
            <v>0</v>
          </cell>
          <cell r="P806">
            <v>0</v>
          </cell>
          <cell r="Q806">
            <v>0</v>
          </cell>
          <cell r="R806">
            <v>0</v>
          </cell>
          <cell r="S806">
            <v>0</v>
          </cell>
        </row>
        <row r="807">
          <cell r="J807">
            <v>172.523</v>
          </cell>
          <cell r="K807">
            <v>148.22300000000001</v>
          </cell>
          <cell r="L807">
            <v>127.18300000000001</v>
          </cell>
          <cell r="M807">
            <v>108.95</v>
          </cell>
          <cell r="N807">
            <v>93.135000000000005</v>
          </cell>
          <cell r="O807">
            <v>0</v>
          </cell>
          <cell r="P807">
            <v>0</v>
          </cell>
          <cell r="Q807">
            <v>0</v>
          </cell>
          <cell r="R807">
            <v>0</v>
          </cell>
          <cell r="S807">
            <v>0</v>
          </cell>
        </row>
        <row r="808">
          <cell r="J808">
            <v>328.75700000000001</v>
          </cell>
          <cell r="K808">
            <v>357.85700000000003</v>
          </cell>
          <cell r="L808">
            <v>383.697</v>
          </cell>
          <cell r="M808">
            <v>406.73</v>
          </cell>
          <cell r="N808">
            <v>427.34500000000003</v>
          </cell>
          <cell r="O808">
            <v>0</v>
          </cell>
          <cell r="P808">
            <v>0</v>
          </cell>
          <cell r="Q808">
            <v>0</v>
          </cell>
          <cell r="R808">
            <v>0</v>
          </cell>
          <cell r="S808">
            <v>0</v>
          </cell>
        </row>
      </sheetData>
      <sheetData sheetId="13"/>
      <sheetData sheetId="14"/>
      <sheetData sheetId="15"/>
      <sheetData sheetId="16"/>
      <sheetData sheetId="17"/>
      <sheetData sheetId="18"/>
      <sheetData sheetId="19"/>
      <sheetData sheetId="20"/>
      <sheetData sheetId="21">
        <row r="68">
          <cell r="J68">
            <v>33.61403364013519</v>
          </cell>
          <cell r="K68">
            <v>34.962324438394518</v>
          </cell>
          <cell r="L68">
            <v>36.460055263157258</v>
          </cell>
          <cell r="M68">
            <v>37.786373886414161</v>
          </cell>
          <cell r="N68">
            <v>39.119536123115552</v>
          </cell>
          <cell r="O68">
            <v>0</v>
          </cell>
          <cell r="P68">
            <v>0</v>
          </cell>
          <cell r="Q68">
            <v>0</v>
          </cell>
          <cell r="R68">
            <v>0</v>
          </cell>
          <cell r="S68">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ow chart"/>
      <sheetName val="Inputs"/>
      <sheetName val="Calcs"/>
      <sheetName val="Outputs"/>
    </sheetNames>
    <sheetDataSet>
      <sheetData sheetId="0"/>
      <sheetData sheetId="1"/>
      <sheetData sheetId="2">
        <row r="29">
          <cell r="C29" t="str">
            <v>New costs</v>
          </cell>
        </row>
      </sheetData>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
      <sheetName val="SIN"/>
      <sheetName val="CODES"/>
    </sheetNames>
    <sheetDataSet>
      <sheetData sheetId="0">
        <row r="5">
          <cell r="AQ5" t="str">
            <v>-</v>
          </cell>
        </row>
        <row r="6">
          <cell r="AQ6" t="str">
            <v>PE</v>
          </cell>
        </row>
        <row r="7">
          <cell r="AQ7" t="str">
            <v>KG/D</v>
          </cell>
        </row>
        <row r="8">
          <cell r="AQ8" t="str">
            <v>KW</v>
          </cell>
        </row>
        <row r="9">
          <cell r="AQ9" t="str">
            <v>L/S-DWF</v>
          </cell>
        </row>
        <row r="10">
          <cell r="AQ10" t="str">
            <v>L/S-MDFC</v>
          </cell>
        </row>
        <row r="11">
          <cell r="AQ11" t="str">
            <v>M-D</v>
          </cell>
        </row>
        <row r="12">
          <cell r="AQ12" t="str">
            <v>M-DC</v>
          </cell>
        </row>
        <row r="13">
          <cell r="AQ13" t="str">
            <v>M-DI</v>
          </cell>
        </row>
        <row r="14">
          <cell r="AQ14" t="str">
            <v>M-L</v>
          </cell>
        </row>
        <row r="15">
          <cell r="AQ15" t="str">
            <v>M-PH</v>
          </cell>
        </row>
        <row r="16">
          <cell r="AQ16" t="str">
            <v>M-TD</v>
          </cell>
        </row>
        <row r="17">
          <cell r="AQ17" t="str">
            <v>M2-A</v>
          </cell>
        </row>
        <row r="18">
          <cell r="AQ18" t="str">
            <v>M2-GFA</v>
          </cell>
        </row>
        <row r="19">
          <cell r="AQ19" t="str">
            <v>M2-SA</v>
          </cell>
        </row>
        <row r="20">
          <cell r="AQ20" t="str">
            <v>M2-VA</v>
          </cell>
        </row>
        <row r="21">
          <cell r="AQ21" t="str">
            <v>M2-VSA</v>
          </cell>
        </row>
        <row r="22">
          <cell r="AQ22" t="str">
            <v>M3</v>
          </cell>
        </row>
        <row r="23">
          <cell r="AQ23" t="str">
            <v>M3/D-DWF</v>
          </cell>
        </row>
        <row r="24">
          <cell r="AQ24" t="str">
            <v>M3/D-MDFC</v>
          </cell>
        </row>
        <row r="25">
          <cell r="AQ25" t="str">
            <v>M3/HR</v>
          </cell>
        </row>
        <row r="26">
          <cell r="AQ26" t="str">
            <v>ML</v>
          </cell>
        </row>
        <row r="27">
          <cell r="AQ27" t="str">
            <v>ML/D-DWF</v>
          </cell>
        </row>
        <row r="28">
          <cell r="AQ28" t="str">
            <v>ML/D-MDFC</v>
          </cell>
        </row>
        <row r="29">
          <cell r="AQ29" t="str">
            <v>MM-D</v>
          </cell>
        </row>
        <row r="30">
          <cell r="AQ30" t="str">
            <v>MM-IPD</v>
          </cell>
        </row>
        <row r="31">
          <cell r="AQ31" t="str">
            <v>NR</v>
          </cell>
        </row>
        <row r="32">
          <cell r="AQ32" t="str">
            <v>NR-NL</v>
          </cell>
        </row>
        <row r="33">
          <cell r="AQ33" t="str">
            <v>TTDS/YR</v>
          </cell>
        </row>
      </sheetData>
      <sheetData sheetId="1">
        <row r="5">
          <cell r="AP5" t="str">
            <v>Yes</v>
          </cell>
        </row>
        <row r="6">
          <cell r="AP6" t="str">
            <v>No</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TS_BA"/>
      <sheetName val="Costs_TA"/>
      <sheetName val="Outputs_SC"/>
      <sheetName val="Costs_TO"/>
      <sheetName val="Multi_Stack_Waterfall_Chart_MS"/>
      <sheetName val="Appendices_SC"/>
      <sheetName val="Lookup_Tables_SSC"/>
      <sheetName val="TS_LU"/>
      <sheetName val="Multi_Stack_Waterfall_LU"/>
      <sheetName val="Checks_SSC"/>
      <sheetName val="Checks_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Error Checks</v>
          </cell>
        </row>
        <row r="25">
          <cell r="B25" t="str">
            <v>Sensitivity Checks</v>
          </cell>
        </row>
        <row r="41">
          <cell r="B41" t="str">
            <v>Alert Checks</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visions"/>
      <sheetName val="Notes"/>
      <sheetName val="Assumptions"/>
      <sheetName val="Allocation"/>
      <sheetName val="Size Bands"/>
      <sheetName val="Sensitivity"/>
      <sheetName val="Reconciliation"/>
      <sheetName val="Pie Chart"/>
      <sheetName val="Disaggregated"/>
      <sheetName val="Summary"/>
      <sheetName val="Net Valuation"/>
      <sheetName val="CCD Calibration"/>
      <sheetName val="CCD Summary"/>
      <sheetName val="CCD Analysis"/>
      <sheetName val="Pipelines"/>
      <sheetName val="Meters"/>
      <sheetName val="Imp. Res"/>
      <sheetName val="WTW"/>
      <sheetName val="Boreholes"/>
      <sheetName val="Srv Res"/>
      <sheetName val="Towers"/>
      <sheetName val="WPS"/>
      <sheetName val="Intakes"/>
      <sheetName val="STW"/>
      <sheetName val="SPS"/>
      <sheetName val="CSOs"/>
      <sheetName val="Sludge"/>
      <sheetName val="Storage tank"/>
      <sheetName val="LSOs"/>
      <sheetName val="Tunnels"/>
      <sheetName val="Water Telem"/>
      <sheetName val="Sewage Telem"/>
      <sheetName val="Telemetry"/>
      <sheetName val="Computers"/>
      <sheetName val="Offices"/>
      <sheetName val="Intangible CCD"/>
      <sheetName val="UCD Cost Eqs"/>
      <sheetName val="F+A Cost Equations"/>
      <sheetName val="Land Values"/>
      <sheetName val="Analysis - Water"/>
      <sheetName val="Analysis - Sewerage"/>
      <sheetName val="Non-Pipe Asset Cond Grds"/>
      <sheetName val="Asset Data"/>
      <sheetName val="B7.13"/>
      <sheetName val="B7.14"/>
      <sheetName val="C3.1 "/>
      <sheetName val="C3.1a"/>
      <sheetName val="C3.3"/>
      <sheetName val="Compatibility Report"/>
      <sheetName val="Copy of DCWW_MEA_Valuation_Mode"/>
    </sheetNames>
    <sheetDataSet>
      <sheetData sheetId="0"/>
      <sheetData sheetId="1"/>
      <sheetData sheetId="2"/>
      <sheetData sheetId="3">
        <row r="6">
          <cell r="B6">
            <v>2008</v>
          </cell>
        </row>
      </sheetData>
      <sheetData sheetId="4">
        <row r="6">
          <cell r="F6">
            <v>448.64444444444445</v>
          </cell>
        </row>
      </sheetData>
      <sheetData sheetId="5"/>
      <sheetData sheetId="6"/>
      <sheetData sheetId="7">
        <row r="6">
          <cell r="I6">
            <v>74.558000000000007</v>
          </cell>
        </row>
      </sheetData>
      <sheetData sheetId="8" refreshError="1"/>
      <sheetData sheetId="9"/>
      <sheetData sheetId="10">
        <row r="20">
          <cell r="C20">
            <v>6786.0126626100455</v>
          </cell>
        </row>
      </sheetData>
      <sheetData sheetId="11">
        <row r="40">
          <cell r="R40">
            <v>266.56229954954944</v>
          </cell>
        </row>
      </sheetData>
      <sheetData sheetId="12"/>
      <sheetData sheetId="13"/>
      <sheetData sheetId="14">
        <row r="5">
          <cell r="AP5">
            <v>18.747898829871104</v>
          </cell>
        </row>
      </sheetData>
      <sheetData sheetId="15">
        <row r="18">
          <cell r="E18">
            <v>720.01199999999994</v>
          </cell>
        </row>
      </sheetData>
      <sheetData sheetId="16"/>
      <sheetData sheetId="17"/>
      <sheetData sheetId="18"/>
      <sheetData sheetId="19"/>
      <sheetData sheetId="20"/>
      <sheetData sheetId="21"/>
      <sheetData sheetId="22"/>
      <sheetData sheetId="23"/>
      <sheetData sheetId="24">
        <row r="5">
          <cell r="Q5">
            <v>0</v>
          </cell>
        </row>
      </sheetData>
      <sheetData sheetId="25">
        <row r="5">
          <cell r="AP5">
            <v>165.1435724708179</v>
          </cell>
        </row>
      </sheetData>
      <sheetData sheetId="26"/>
      <sheetData sheetId="27">
        <row r="5">
          <cell r="U5">
            <v>3</v>
          </cell>
        </row>
      </sheetData>
      <sheetData sheetId="28"/>
      <sheetData sheetId="29">
        <row r="4">
          <cell r="O4">
            <v>0</v>
          </cell>
        </row>
      </sheetData>
      <sheetData sheetId="30">
        <row r="1">
          <cell r="Z1">
            <v>537.76</v>
          </cell>
        </row>
      </sheetData>
      <sheetData sheetId="31"/>
      <sheetData sheetId="32">
        <row r="4">
          <cell r="S4">
            <v>6.949634887801488</v>
          </cell>
        </row>
      </sheetData>
      <sheetData sheetId="33">
        <row r="12">
          <cell r="I12">
            <v>0.73795404002965159</v>
          </cell>
        </row>
      </sheetData>
      <sheetData sheetId="34">
        <row r="11">
          <cell r="E11">
            <v>25</v>
          </cell>
        </row>
      </sheetData>
      <sheetData sheetId="35">
        <row r="1">
          <cell r="T1">
            <v>5860.0443999999989</v>
          </cell>
        </row>
      </sheetData>
      <sheetData sheetId="36">
        <row r="59">
          <cell r="AL59">
            <v>51.805966244601009</v>
          </cell>
        </row>
      </sheetData>
      <sheetData sheetId="37"/>
      <sheetData sheetId="38"/>
      <sheetData sheetId="39"/>
      <sheetData sheetId="40"/>
      <sheetData sheetId="41"/>
      <sheetData sheetId="42">
        <row r="39">
          <cell r="B39">
            <v>0.89813105694860407</v>
          </cell>
        </row>
      </sheetData>
      <sheetData sheetId="43"/>
      <sheetData sheetId="44"/>
      <sheetData sheetId="45"/>
      <sheetData sheetId="46"/>
      <sheetData sheetId="47"/>
      <sheetData sheetId="48"/>
      <sheetData sheetId="49"/>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nt"/>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
      <sheetName val="Input from VD"/>
      <sheetName val="Input From Acces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 Generation Budget 2006"/>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wat">
  <a:themeElements>
    <a:clrScheme name="Ofwat">
      <a:dk1>
        <a:sysClr val="windowText" lastClr="000000"/>
      </a:dk1>
      <a:lt1>
        <a:sysClr val="window" lastClr="FFFFFF"/>
      </a:lt1>
      <a:dk2>
        <a:srgbClr val="1F497D"/>
      </a:dk2>
      <a:lt2>
        <a:srgbClr val="EEECE1"/>
      </a:lt2>
      <a:accent1>
        <a:srgbClr val="002664"/>
      </a:accent1>
      <a:accent2>
        <a:srgbClr val="4B92DB"/>
      </a:accent2>
      <a:accent3>
        <a:srgbClr val="F0AB00"/>
      </a:accent3>
      <a:accent4>
        <a:srgbClr val="007EA3"/>
      </a:accent4>
      <a:accent5>
        <a:srgbClr val="A8B400"/>
      </a:accent5>
      <a:accent6>
        <a:srgbClr val="EA3BAE"/>
      </a:accent6>
      <a:hlink>
        <a:srgbClr val="4B92DB"/>
      </a:hlink>
      <a:folHlink>
        <a:srgbClr val="240078"/>
      </a:folHlink>
    </a:clrScheme>
    <a:fontScheme name="Ofwat">
      <a:majorFont>
        <a:latin typeface="Arial Rounded M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84"/>
  <sheetViews>
    <sheetView showGridLines="0" zoomScale="85" zoomScaleNormal="85" workbookViewId="0">
      <pane ySplit="2" topLeftCell="A3" activePane="bottomLeft" state="frozen"/>
      <selection activeCell="B43" sqref="B43:M43"/>
      <selection pane="bottomLeft" activeCell="A15" sqref="A15:XFD15"/>
    </sheetView>
  </sheetViews>
  <sheetFormatPr defaultColWidth="9.140625" defaultRowHeight="12.75"/>
  <cols>
    <col min="1" max="1" width="2.5703125" style="50" customWidth="1"/>
    <col min="2" max="2" width="12.85546875" style="50" customWidth="1"/>
    <col min="3" max="4" width="10.140625" style="50" customWidth="1"/>
    <col min="5" max="6" width="20.7109375" style="50" customWidth="1"/>
    <col min="7" max="8" width="16.85546875" style="50" customWidth="1"/>
    <col min="9" max="13" width="10.85546875" style="50" customWidth="1"/>
    <col min="14" max="16384" width="9.140625" style="50"/>
  </cols>
  <sheetData>
    <row r="1" spans="1:16384" s="14" customFormat="1" ht="33">
      <c r="A1" s="528" t="s">
        <v>64</v>
      </c>
      <c r="B1" s="108"/>
      <c r="C1" s="76"/>
      <c r="D1" s="77"/>
      <c r="E1" s="527"/>
      <c r="F1" s="119"/>
      <c r="G1" s="119"/>
      <c r="H1" s="119"/>
      <c r="I1" s="119"/>
      <c r="J1" s="436"/>
      <c r="K1" s="436"/>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c r="A2" s="66" t="s">
        <v>515</v>
      </c>
    </row>
    <row r="3" spans="1:16384">
      <c r="A3" s="66"/>
    </row>
    <row r="4" spans="1:16384">
      <c r="A4" s="92" t="s">
        <v>16</v>
      </c>
    </row>
    <row r="5" spans="1:16384">
      <c r="A5" s="65"/>
    </row>
    <row r="6" spans="1:16384" ht="12.75" customHeight="1">
      <c r="A6" s="86"/>
      <c r="B6" s="91" t="s">
        <v>13</v>
      </c>
      <c r="C6" s="91" t="s">
        <v>14</v>
      </c>
      <c r="D6" s="605" t="s">
        <v>15</v>
      </c>
      <c r="E6" s="606"/>
      <c r="F6" s="606"/>
      <c r="G6" s="606"/>
      <c r="H6" s="606"/>
      <c r="I6" s="606"/>
      <c r="J6" s="606"/>
      <c r="K6" s="606"/>
      <c r="L6" s="606"/>
      <c r="M6" s="607"/>
    </row>
    <row r="7" spans="1:16384" ht="51" customHeight="1">
      <c r="A7" s="86"/>
      <c r="B7" s="89" t="s">
        <v>327</v>
      </c>
      <c r="C7" s="90"/>
      <c r="D7" s="608" t="s">
        <v>326</v>
      </c>
      <c r="E7" s="609"/>
      <c r="F7" s="609"/>
      <c r="G7" s="609"/>
      <c r="H7" s="609"/>
      <c r="I7" s="609"/>
      <c r="J7" s="609"/>
      <c r="K7" s="609"/>
      <c r="L7" s="609"/>
      <c r="M7" s="610"/>
    </row>
    <row r="8" spans="1:16384" ht="51" customHeight="1">
      <c r="A8" s="143"/>
      <c r="B8" s="89" t="s">
        <v>516</v>
      </c>
      <c r="C8" s="90"/>
      <c r="D8" s="608" t="s">
        <v>533</v>
      </c>
      <c r="E8" s="609"/>
      <c r="F8" s="609"/>
      <c r="G8" s="609"/>
      <c r="H8" s="609"/>
      <c r="I8" s="609"/>
      <c r="J8" s="609"/>
      <c r="K8" s="609"/>
      <c r="L8" s="609"/>
      <c r="M8" s="610"/>
    </row>
    <row r="9" spans="1:16384">
      <c r="A9" s="143"/>
      <c r="B9" s="592"/>
      <c r="C9" s="315"/>
      <c r="D9" s="593"/>
      <c r="E9" s="593"/>
      <c r="F9" s="593"/>
      <c r="G9" s="593"/>
      <c r="H9" s="593"/>
      <c r="I9" s="593"/>
      <c r="J9" s="593"/>
      <c r="K9" s="593"/>
      <c r="L9" s="593"/>
      <c r="M9" s="593"/>
    </row>
    <row r="10" spans="1:16384">
      <c r="A10" s="92" t="s">
        <v>28</v>
      </c>
      <c r="D10" s="315"/>
      <c r="E10" s="315"/>
      <c r="F10" s="315"/>
      <c r="G10" s="315"/>
      <c r="H10" s="315"/>
      <c r="I10" s="315"/>
      <c r="J10" s="315"/>
      <c r="K10" s="315"/>
      <c r="L10" s="315"/>
      <c r="M10" s="315"/>
    </row>
    <row r="11" spans="1:16384">
      <c r="A11" s="65"/>
    </row>
    <row r="12" spans="1:16384">
      <c r="A12" s="109"/>
      <c r="B12" s="91" t="s">
        <v>13</v>
      </c>
      <c r="C12" s="91" t="s">
        <v>14</v>
      </c>
      <c r="D12" s="605" t="s">
        <v>15</v>
      </c>
      <c r="E12" s="606"/>
      <c r="F12" s="606"/>
      <c r="G12" s="606"/>
      <c r="H12" s="606"/>
      <c r="I12" s="606"/>
      <c r="J12" s="606"/>
      <c r="K12" s="606"/>
      <c r="L12" s="606"/>
      <c r="M12" s="607"/>
    </row>
    <row r="13" spans="1:16384">
      <c r="A13" s="109"/>
      <c r="B13" s="89"/>
      <c r="C13" s="90"/>
      <c r="D13" s="608"/>
      <c r="E13" s="609"/>
      <c r="F13" s="609"/>
      <c r="G13" s="609"/>
      <c r="H13" s="609"/>
      <c r="I13" s="609"/>
      <c r="J13" s="609"/>
      <c r="K13" s="609"/>
      <c r="L13" s="609"/>
      <c r="M13" s="610"/>
    </row>
    <row r="14" spans="1:16384">
      <c r="B14" s="363"/>
      <c r="C14" s="364"/>
      <c r="D14" s="365"/>
      <c r="E14" s="365"/>
      <c r="F14" s="365"/>
      <c r="G14" s="365"/>
      <c r="H14" s="365"/>
      <c r="I14" s="365"/>
      <c r="J14" s="365"/>
      <c r="K14" s="365"/>
      <c r="L14" s="365"/>
      <c r="M14" s="365"/>
    </row>
    <row r="15" spans="1:16384">
      <c r="A15" s="92" t="s">
        <v>17</v>
      </c>
    </row>
    <row r="16" spans="1:16384" ht="12.75" customHeight="1">
      <c r="A16" s="612" t="s">
        <v>176</v>
      </c>
      <c r="B16" s="612"/>
      <c r="C16" s="612"/>
      <c r="D16" s="612"/>
      <c r="E16" s="612"/>
      <c r="F16" s="612"/>
      <c r="G16" s="612"/>
      <c r="H16" s="612"/>
      <c r="I16" s="612"/>
      <c r="J16" s="612"/>
      <c r="K16" s="612"/>
      <c r="L16" s="612"/>
      <c r="M16" s="612"/>
    </row>
    <row r="17" spans="1:13" ht="12.75" customHeight="1">
      <c r="A17" s="232"/>
      <c r="B17" s="232"/>
      <c r="C17" s="233" t="s">
        <v>114</v>
      </c>
      <c r="D17" s="232"/>
      <c r="E17" s="232"/>
      <c r="F17" s="232"/>
      <c r="G17" s="232"/>
      <c r="H17" s="232"/>
      <c r="I17" s="232"/>
      <c r="J17" s="232"/>
      <c r="K17" s="232"/>
      <c r="L17" s="232"/>
      <c r="M17" s="232"/>
    </row>
    <row r="18" spans="1:13" ht="12.75" customHeight="1">
      <c r="A18" s="232"/>
      <c r="B18" s="232"/>
      <c r="C18" s="233" t="s">
        <v>60</v>
      </c>
      <c r="D18" s="232"/>
      <c r="E18" s="232"/>
      <c r="F18" s="232"/>
      <c r="G18" s="232"/>
      <c r="H18" s="232"/>
      <c r="I18" s="232"/>
      <c r="J18" s="232"/>
      <c r="K18" s="232"/>
      <c r="L18" s="232"/>
      <c r="M18" s="232"/>
    </row>
    <row r="19" spans="1:13" ht="12.75" customHeight="1">
      <c r="A19" s="232"/>
      <c r="B19" s="232"/>
      <c r="C19" s="233"/>
      <c r="D19" s="233" t="s">
        <v>61</v>
      </c>
      <c r="E19" s="232"/>
      <c r="F19" s="232"/>
      <c r="G19" s="232"/>
      <c r="H19" s="232"/>
      <c r="I19" s="232"/>
      <c r="J19" s="232"/>
      <c r="K19" s="232"/>
      <c r="L19" s="232"/>
      <c r="M19" s="232"/>
    </row>
    <row r="20" spans="1:13" ht="12.75" customHeight="1">
      <c r="A20" s="232"/>
      <c r="B20" s="232"/>
      <c r="C20" s="233"/>
      <c r="D20" s="233" t="s">
        <v>62</v>
      </c>
      <c r="E20" s="232"/>
      <c r="F20" s="232"/>
      <c r="G20" s="232"/>
      <c r="H20" s="232"/>
      <c r="I20" s="232"/>
      <c r="J20" s="232"/>
      <c r="K20" s="232"/>
      <c r="L20" s="232"/>
      <c r="M20" s="232"/>
    </row>
    <row r="21" spans="1:13" ht="12.75" customHeight="1">
      <c r="A21" s="232"/>
      <c r="B21" s="232"/>
      <c r="C21" s="233"/>
      <c r="D21" s="233" t="s">
        <v>63</v>
      </c>
      <c r="E21" s="232"/>
      <c r="F21" s="232"/>
      <c r="G21" s="232"/>
      <c r="H21" s="232"/>
      <c r="I21" s="232"/>
      <c r="J21" s="232"/>
      <c r="K21" s="232"/>
      <c r="L21" s="232"/>
      <c r="M21" s="232"/>
    </row>
    <row r="22" spans="1:13">
      <c r="A22" s="234"/>
      <c r="B22" s="234"/>
      <c r="C22" s="88" t="s">
        <v>328</v>
      </c>
      <c r="D22" s="234"/>
      <c r="E22" s="234"/>
      <c r="F22" s="234"/>
      <c r="G22" s="234"/>
      <c r="H22" s="234"/>
      <c r="I22" s="234"/>
      <c r="J22" s="234"/>
      <c r="K22" s="234"/>
      <c r="L22" s="234"/>
      <c r="M22" s="234"/>
    </row>
    <row r="23" spans="1:13">
      <c r="A23" s="143"/>
      <c r="B23" s="143"/>
      <c r="C23" s="148"/>
      <c r="D23" s="143"/>
      <c r="E23" s="143"/>
      <c r="F23" s="143"/>
      <c r="G23" s="143"/>
      <c r="H23" s="143"/>
      <c r="I23" s="143"/>
      <c r="J23" s="143"/>
      <c r="K23" s="143"/>
      <c r="L23" s="143"/>
      <c r="M23" s="143"/>
    </row>
    <row r="24" spans="1:13">
      <c r="A24" s="92" t="s">
        <v>18</v>
      </c>
    </row>
    <row r="25" spans="1:13">
      <c r="A25" s="67" t="s">
        <v>11</v>
      </c>
      <c r="B25" s="611" t="s">
        <v>484</v>
      </c>
      <c r="C25" s="611"/>
      <c r="D25" s="611"/>
      <c r="E25" s="611"/>
      <c r="F25" s="611"/>
      <c r="G25" s="611"/>
      <c r="H25" s="611"/>
      <c r="I25" s="611"/>
      <c r="J25" s="611"/>
      <c r="K25" s="611"/>
      <c r="L25" s="611"/>
      <c r="M25" s="611"/>
    </row>
    <row r="26" spans="1:13">
      <c r="A26" s="67" t="s">
        <v>11</v>
      </c>
      <c r="B26" s="88" t="s">
        <v>337</v>
      </c>
      <c r="C26" s="234"/>
      <c r="D26" s="234"/>
      <c r="E26" s="234"/>
      <c r="F26" s="234"/>
      <c r="G26" s="234"/>
      <c r="H26" s="234"/>
      <c r="I26" s="234"/>
      <c r="J26" s="234"/>
      <c r="K26" s="234"/>
      <c r="L26" s="234"/>
      <c r="M26" s="234"/>
    </row>
    <row r="27" spans="1:13">
      <c r="A27" s="67" t="s">
        <v>11</v>
      </c>
      <c r="B27" s="366" t="s">
        <v>332</v>
      </c>
      <c r="C27" s="367"/>
      <c r="D27" s="367"/>
      <c r="E27" s="367"/>
      <c r="F27" s="367"/>
      <c r="G27" s="367"/>
      <c r="H27" s="367"/>
      <c r="I27" s="367"/>
      <c r="J27" s="367"/>
      <c r="K27" s="367"/>
      <c r="L27" s="367"/>
      <c r="M27" s="367"/>
    </row>
    <row r="28" spans="1:13">
      <c r="A28" s="67" t="s">
        <v>11</v>
      </c>
      <c r="B28" s="304" t="s">
        <v>336</v>
      </c>
      <c r="C28" s="305"/>
      <c r="D28" s="305"/>
      <c r="E28" s="305"/>
      <c r="F28" s="305"/>
      <c r="G28" s="305"/>
      <c r="H28" s="305"/>
      <c r="I28" s="305"/>
      <c r="J28" s="305"/>
      <c r="K28" s="305"/>
      <c r="L28" s="305"/>
      <c r="M28" s="305"/>
    </row>
    <row r="29" spans="1:13">
      <c r="A29" s="67" t="s">
        <v>11</v>
      </c>
      <c r="B29" s="306" t="s">
        <v>517</v>
      </c>
      <c r="C29" s="305"/>
      <c r="D29" s="305"/>
      <c r="E29" s="305"/>
      <c r="F29" s="305"/>
      <c r="G29" s="305"/>
      <c r="H29" s="305"/>
      <c r="I29" s="305"/>
      <c r="J29" s="305"/>
      <c r="K29" s="305"/>
      <c r="L29" s="305"/>
      <c r="M29" s="305"/>
    </row>
    <row r="30" spans="1:13">
      <c r="A30" s="67" t="s">
        <v>11</v>
      </c>
      <c r="B30" s="306" t="s">
        <v>509</v>
      </c>
      <c r="C30" s="305"/>
      <c r="D30" s="305"/>
      <c r="E30" s="305"/>
      <c r="F30" s="305"/>
      <c r="G30" s="305"/>
      <c r="H30" s="305"/>
      <c r="I30" s="305"/>
      <c r="J30" s="305"/>
      <c r="K30" s="305"/>
      <c r="L30" s="305"/>
      <c r="M30" s="305"/>
    </row>
    <row r="31" spans="1:13" ht="12.75" customHeight="1">
      <c r="A31" s="70" t="s">
        <v>11</v>
      </c>
      <c r="B31" s="611" t="s">
        <v>335</v>
      </c>
      <c r="C31" s="611"/>
      <c r="D31" s="611"/>
      <c r="E31" s="611"/>
      <c r="F31" s="611"/>
      <c r="G31" s="611"/>
      <c r="H31" s="611"/>
      <c r="I31" s="611"/>
      <c r="J31" s="611"/>
      <c r="K31" s="611"/>
      <c r="L31" s="611"/>
      <c r="M31" s="611"/>
    </row>
    <row r="32" spans="1:13">
      <c r="A32" s="70" t="s">
        <v>11</v>
      </c>
      <c r="B32" s="604" t="s">
        <v>334</v>
      </c>
      <c r="C32" s="604"/>
      <c r="D32" s="604"/>
      <c r="E32" s="604"/>
      <c r="F32" s="604"/>
      <c r="G32" s="604"/>
      <c r="H32" s="604"/>
      <c r="I32" s="604"/>
      <c r="J32" s="604"/>
      <c r="K32" s="604"/>
      <c r="L32" s="604"/>
      <c r="M32" s="604"/>
    </row>
    <row r="33" spans="1:13">
      <c r="A33" s="70" t="s">
        <v>11</v>
      </c>
      <c r="B33" s="604" t="s">
        <v>27</v>
      </c>
      <c r="C33" s="604"/>
      <c r="D33" s="604"/>
      <c r="E33" s="604"/>
      <c r="F33" s="604"/>
      <c r="G33" s="604"/>
      <c r="H33" s="604"/>
      <c r="I33" s="604"/>
      <c r="J33" s="604"/>
      <c r="K33" s="604"/>
      <c r="L33" s="604"/>
      <c r="M33" s="604"/>
    </row>
    <row r="34" spans="1:13">
      <c r="A34" s="70" t="s">
        <v>11</v>
      </c>
      <c r="B34" s="604" t="s">
        <v>333</v>
      </c>
      <c r="C34" s="604"/>
      <c r="D34" s="604"/>
      <c r="E34" s="604"/>
      <c r="F34" s="604"/>
      <c r="G34" s="604"/>
      <c r="H34" s="604"/>
      <c r="I34" s="604"/>
      <c r="J34" s="604"/>
      <c r="K34" s="604"/>
      <c r="L34" s="604"/>
      <c r="M34" s="604"/>
    </row>
    <row r="35" spans="1:13">
      <c r="A35" s="70"/>
      <c r="B35" s="88"/>
      <c r="C35" s="88"/>
      <c r="D35" s="88"/>
      <c r="E35" s="88"/>
      <c r="F35" s="88"/>
      <c r="G35" s="88"/>
      <c r="H35" s="88"/>
      <c r="I35" s="88"/>
      <c r="J35" s="88"/>
      <c r="K35" s="88"/>
      <c r="L35" s="88"/>
      <c r="M35" s="88"/>
    </row>
    <row r="36" spans="1:13">
      <c r="A36" s="92" t="s">
        <v>19</v>
      </c>
      <c r="B36" s="87"/>
      <c r="C36" s="87"/>
      <c r="D36" s="87"/>
      <c r="E36" s="87"/>
      <c r="F36" s="87"/>
      <c r="G36" s="87"/>
      <c r="H36" s="87"/>
      <c r="I36" s="87"/>
      <c r="J36" s="87"/>
      <c r="K36" s="87"/>
      <c r="L36" s="87"/>
      <c r="M36" s="87"/>
    </row>
    <row r="37" spans="1:13">
      <c r="A37" s="70"/>
      <c r="B37" s="21" t="s">
        <v>338</v>
      </c>
      <c r="C37" s="21"/>
      <c r="D37" s="21"/>
      <c r="E37" s="21"/>
      <c r="F37" s="235"/>
      <c r="G37" s="21"/>
      <c r="H37" s="21"/>
      <c r="I37" s="21"/>
      <c r="J37" s="21"/>
      <c r="K37" s="21"/>
      <c r="L37" s="21"/>
      <c r="M37" s="21"/>
    </row>
    <row r="39" spans="1:13">
      <c r="A39" s="93" t="s">
        <v>20</v>
      </c>
    </row>
    <row r="40" spans="1:13">
      <c r="A40" s="69" t="s">
        <v>418</v>
      </c>
    </row>
    <row r="41" spans="1:13">
      <c r="A41" s="69"/>
    </row>
    <row r="42" spans="1:13" s="72" customFormat="1" ht="18" customHeight="1">
      <c r="A42" s="71"/>
      <c r="B42" s="601" t="s">
        <v>417</v>
      </c>
      <c r="C42" s="602"/>
      <c r="D42" s="603"/>
      <c r="E42" s="599" t="s">
        <v>12</v>
      </c>
      <c r="F42" s="599"/>
      <c r="G42" s="600" t="s">
        <v>416</v>
      </c>
      <c r="H42" s="600"/>
      <c r="I42" s="50"/>
      <c r="J42" s="50"/>
      <c r="K42" s="50"/>
      <c r="L42" s="50"/>
      <c r="M42" s="50"/>
    </row>
    <row r="43" spans="1:13" s="72" customFormat="1" ht="18" customHeight="1">
      <c r="A43" s="71"/>
      <c r="B43" s="594" t="s">
        <v>415</v>
      </c>
      <c r="C43" s="595"/>
      <c r="D43" s="596"/>
      <c r="E43" s="594" t="s">
        <v>420</v>
      </c>
      <c r="F43" s="596"/>
      <c r="G43" s="597" t="s">
        <v>419</v>
      </c>
      <c r="H43" s="598"/>
      <c r="I43" s="50"/>
      <c r="J43" s="50"/>
      <c r="K43" s="50"/>
      <c r="L43" s="50"/>
      <c r="M43" s="50"/>
    </row>
    <row r="44" spans="1:13" s="74" customFormat="1" ht="22.5" customHeight="1">
      <c r="A44" s="73"/>
      <c r="B44" s="594" t="s">
        <v>426</v>
      </c>
      <c r="C44" s="595"/>
      <c r="D44" s="596"/>
      <c r="E44" s="594" t="s">
        <v>343</v>
      </c>
      <c r="F44" s="596"/>
      <c r="G44" s="597" t="s">
        <v>339</v>
      </c>
      <c r="H44" s="598"/>
      <c r="I44" s="50"/>
      <c r="J44" s="50"/>
      <c r="K44" s="50"/>
      <c r="L44" s="50"/>
      <c r="M44" s="50"/>
    </row>
    <row r="45" spans="1:13" s="74" customFormat="1" ht="22.5" customHeight="1">
      <c r="A45" s="73"/>
      <c r="B45" s="594" t="s">
        <v>425</v>
      </c>
      <c r="C45" s="595" t="s">
        <v>253</v>
      </c>
      <c r="D45" s="596"/>
      <c r="E45" s="594" t="s">
        <v>343</v>
      </c>
      <c r="F45" s="596"/>
      <c r="G45" s="597" t="s">
        <v>339</v>
      </c>
      <c r="H45" s="598"/>
      <c r="I45" s="50"/>
      <c r="J45" s="50"/>
      <c r="K45" s="50"/>
      <c r="L45" s="50"/>
      <c r="M45" s="50"/>
    </row>
    <row r="46" spans="1:13" s="74" customFormat="1" ht="22.5" customHeight="1">
      <c r="A46" s="73"/>
      <c r="B46" s="594" t="s">
        <v>427</v>
      </c>
      <c r="C46" s="595"/>
      <c r="D46" s="596"/>
      <c r="E46" s="594" t="s">
        <v>343</v>
      </c>
      <c r="F46" s="596"/>
      <c r="G46" s="597" t="s">
        <v>339</v>
      </c>
      <c r="H46" s="598"/>
      <c r="I46" s="50"/>
      <c r="J46" s="50"/>
      <c r="K46" s="50"/>
      <c r="L46" s="50"/>
      <c r="M46" s="50"/>
    </row>
    <row r="47" spans="1:13" s="74" customFormat="1" ht="22.5" customHeight="1">
      <c r="A47" s="73"/>
      <c r="B47" s="594" t="s">
        <v>497</v>
      </c>
      <c r="C47" s="595"/>
      <c r="D47" s="596"/>
      <c r="E47" s="594" t="s">
        <v>343</v>
      </c>
      <c r="F47" s="596"/>
      <c r="G47" s="597" t="s">
        <v>339</v>
      </c>
      <c r="H47" s="598"/>
      <c r="I47" s="50"/>
      <c r="J47" s="50"/>
      <c r="K47" s="50"/>
      <c r="L47" s="50"/>
      <c r="M47" s="50"/>
    </row>
    <row r="48" spans="1:13" s="74" customFormat="1" ht="22.5" customHeight="1">
      <c r="A48" s="73"/>
      <c r="B48" s="594" t="s">
        <v>429</v>
      </c>
      <c r="C48" s="595"/>
      <c r="D48" s="596"/>
      <c r="E48" s="594" t="s">
        <v>342</v>
      </c>
      <c r="F48" s="596"/>
      <c r="G48" s="597" t="s">
        <v>339</v>
      </c>
      <c r="H48" s="598"/>
      <c r="I48" s="50"/>
      <c r="J48" s="50"/>
      <c r="K48" s="50"/>
      <c r="L48" s="50"/>
      <c r="M48" s="50"/>
    </row>
    <row r="49" spans="1:16" s="72" customFormat="1" ht="18" customHeight="1">
      <c r="A49" s="71"/>
      <c r="B49" s="594" t="s">
        <v>483</v>
      </c>
      <c r="C49" s="595"/>
      <c r="D49" s="596"/>
      <c r="E49" s="594" t="s">
        <v>342</v>
      </c>
      <c r="F49" s="596"/>
      <c r="G49" s="597" t="s">
        <v>339</v>
      </c>
      <c r="H49" s="598"/>
      <c r="I49" s="50"/>
      <c r="J49" s="50"/>
      <c r="K49" s="50"/>
      <c r="L49" s="50"/>
      <c r="M49" s="50"/>
    </row>
    <row r="50" spans="1:16" s="74" customFormat="1" ht="22.5" customHeight="1">
      <c r="A50" s="73"/>
      <c r="B50" s="594" t="s">
        <v>482</v>
      </c>
      <c r="C50" s="595"/>
      <c r="D50" s="596"/>
      <c r="E50" s="594" t="s">
        <v>343</v>
      </c>
      <c r="F50" s="596"/>
      <c r="G50" s="597" t="s">
        <v>339</v>
      </c>
      <c r="H50" s="598"/>
      <c r="I50" s="50"/>
      <c r="J50" s="50"/>
      <c r="K50" s="50"/>
      <c r="L50" s="50"/>
      <c r="M50" s="50"/>
    </row>
    <row r="51" spans="1:16" s="72" customFormat="1">
      <c r="A51" s="75"/>
      <c r="B51" s="594" t="s">
        <v>415</v>
      </c>
      <c r="C51" s="595"/>
      <c r="D51" s="596"/>
      <c r="E51" s="594" t="s">
        <v>343</v>
      </c>
      <c r="F51" s="596"/>
      <c r="G51" s="597" t="s">
        <v>340</v>
      </c>
      <c r="H51" s="598"/>
      <c r="I51" s="50"/>
      <c r="J51" s="50"/>
      <c r="K51" s="50"/>
      <c r="L51" s="50"/>
      <c r="M51" s="50"/>
    </row>
    <row r="52" spans="1:16">
      <c r="A52" s="68"/>
      <c r="B52" s="594" t="s">
        <v>412</v>
      </c>
      <c r="C52" s="595"/>
      <c r="D52" s="596"/>
      <c r="E52" s="594" t="s">
        <v>342</v>
      </c>
      <c r="F52" s="596"/>
      <c r="G52" s="597" t="s">
        <v>341</v>
      </c>
      <c r="H52" s="598"/>
    </row>
    <row r="53" spans="1:16">
      <c r="A53" s="68"/>
      <c r="B53" s="68"/>
      <c r="C53" s="68"/>
      <c r="D53" s="68"/>
      <c r="E53" s="68"/>
      <c r="F53" s="68"/>
      <c r="G53" s="68"/>
      <c r="H53" s="68"/>
      <c r="I53" s="68"/>
      <c r="J53" s="68"/>
      <c r="K53" s="68"/>
      <c r="L53" s="68"/>
      <c r="M53" s="68"/>
      <c r="N53" s="68"/>
      <c r="O53" s="68"/>
      <c r="P53" s="68"/>
    </row>
    <row r="54" spans="1:16">
      <c r="A54" s="65" t="s">
        <v>21</v>
      </c>
    </row>
    <row r="56" spans="1:16">
      <c r="B56" s="167" t="s">
        <v>70</v>
      </c>
    </row>
    <row r="57" spans="1:16" s="166" customFormat="1">
      <c r="B57" s="236" t="s">
        <v>71</v>
      </c>
      <c r="C57" s="237" t="s">
        <v>72</v>
      </c>
      <c r="D57" s="236"/>
      <c r="E57" s="236"/>
      <c r="F57" s="236"/>
      <c r="G57" s="237" t="s">
        <v>73</v>
      </c>
      <c r="H57" s="236"/>
      <c r="I57" s="236"/>
      <c r="J57" s="236"/>
      <c r="K57" s="236"/>
      <c r="L57" s="236"/>
      <c r="M57" s="236"/>
      <c r="N57" s="236"/>
      <c r="O57" s="236"/>
    </row>
    <row r="58" spans="1:16">
      <c r="B58" s="239" t="s">
        <v>162</v>
      </c>
      <c r="C58" s="60" t="s">
        <v>116</v>
      </c>
      <c r="D58" s="21"/>
      <c r="E58" s="21"/>
      <c r="F58" s="21"/>
      <c r="G58" s="21" t="s">
        <v>125</v>
      </c>
      <c r="H58" s="21"/>
      <c r="I58" s="21"/>
      <c r="J58" s="21"/>
      <c r="K58" s="21"/>
      <c r="L58" s="21"/>
      <c r="M58" s="21"/>
      <c r="N58" s="21"/>
      <c r="O58" s="21"/>
    </row>
    <row r="59" spans="1:16">
      <c r="B59" s="239" t="s">
        <v>163</v>
      </c>
      <c r="C59" s="60" t="s">
        <v>118</v>
      </c>
      <c r="D59" s="21"/>
      <c r="E59" s="21"/>
      <c r="F59" s="21"/>
      <c r="G59" s="21" t="s">
        <v>126</v>
      </c>
      <c r="H59" s="21"/>
      <c r="I59" s="21"/>
      <c r="J59" s="21"/>
      <c r="K59" s="21"/>
      <c r="L59" s="21"/>
      <c r="M59" s="21"/>
      <c r="N59" s="21"/>
      <c r="O59" s="21"/>
    </row>
    <row r="60" spans="1:16">
      <c r="B60" s="239" t="s">
        <v>164</v>
      </c>
      <c r="C60" s="60" t="s">
        <v>119</v>
      </c>
      <c r="D60" s="21"/>
      <c r="E60" s="21"/>
      <c r="F60" s="21"/>
      <c r="G60" s="21" t="s">
        <v>127</v>
      </c>
      <c r="H60" s="21"/>
      <c r="I60" s="21"/>
      <c r="J60" s="21"/>
      <c r="K60" s="21"/>
      <c r="L60" s="21"/>
      <c r="M60" s="21"/>
      <c r="N60" s="21"/>
      <c r="O60" s="21"/>
    </row>
    <row r="61" spans="1:16">
      <c r="B61" s="239" t="s">
        <v>165</v>
      </c>
      <c r="C61" s="60" t="s">
        <v>120</v>
      </c>
      <c r="D61" s="21"/>
      <c r="E61" s="21"/>
      <c r="F61" s="21"/>
      <c r="G61" s="21" t="s">
        <v>128</v>
      </c>
      <c r="H61" s="21"/>
      <c r="I61" s="21"/>
      <c r="J61" s="21"/>
      <c r="K61" s="21"/>
      <c r="L61" s="21"/>
      <c r="M61" s="21"/>
      <c r="N61" s="21"/>
      <c r="O61" s="21"/>
    </row>
    <row r="62" spans="1:16">
      <c r="B62" s="239" t="s">
        <v>166</v>
      </c>
      <c r="C62" s="60" t="s">
        <v>121</v>
      </c>
      <c r="D62" s="21"/>
      <c r="E62" s="21"/>
      <c r="F62" s="21"/>
      <c r="G62" s="21" t="s">
        <v>129</v>
      </c>
      <c r="H62" s="21"/>
      <c r="I62" s="21"/>
      <c r="J62" s="21"/>
      <c r="K62" s="21"/>
      <c r="L62" s="21"/>
      <c r="M62" s="21"/>
      <c r="N62" s="21"/>
      <c r="O62" s="21"/>
    </row>
    <row r="63" spans="1:16">
      <c r="B63" s="239" t="s">
        <v>167</v>
      </c>
      <c r="C63" s="60" t="s">
        <v>122</v>
      </c>
      <c r="D63" s="21"/>
      <c r="E63" s="21"/>
      <c r="F63" s="21"/>
      <c r="G63" s="21" t="s">
        <v>130</v>
      </c>
      <c r="H63" s="21"/>
      <c r="I63" s="21"/>
      <c r="J63" s="21"/>
      <c r="K63" s="21"/>
      <c r="L63" s="21"/>
      <c r="M63" s="21"/>
      <c r="N63" s="21"/>
      <c r="O63" s="21"/>
    </row>
    <row r="64" spans="1:16">
      <c r="B64" s="239" t="s">
        <v>168</v>
      </c>
      <c r="C64" s="60" t="s">
        <v>123</v>
      </c>
      <c r="D64" s="21"/>
      <c r="E64" s="21"/>
      <c r="F64" s="21"/>
      <c r="G64" s="21" t="s">
        <v>131</v>
      </c>
      <c r="H64" s="21"/>
      <c r="I64" s="21"/>
      <c r="J64" s="21"/>
      <c r="K64" s="21"/>
      <c r="L64" s="21"/>
      <c r="M64" s="21"/>
      <c r="N64" s="21"/>
      <c r="O64" s="21"/>
    </row>
    <row r="65" spans="2:15">
      <c r="B65" s="239" t="s">
        <v>169</v>
      </c>
      <c r="C65" s="238" t="s">
        <v>139</v>
      </c>
      <c r="D65" s="21"/>
      <c r="E65" s="21"/>
      <c r="F65" s="21"/>
      <c r="G65" s="21" t="s">
        <v>177</v>
      </c>
      <c r="H65" s="21"/>
      <c r="I65" s="21"/>
      <c r="J65" s="21"/>
      <c r="K65" s="21"/>
      <c r="L65" s="21"/>
      <c r="M65" s="21"/>
      <c r="N65" s="21"/>
      <c r="O65" s="21"/>
    </row>
    <row r="66" spans="2:15">
      <c r="B66" s="239" t="s">
        <v>170</v>
      </c>
      <c r="C66" s="238" t="s">
        <v>67</v>
      </c>
      <c r="D66" s="21"/>
      <c r="E66" s="21"/>
      <c r="F66" s="21"/>
      <c r="G66" s="21" t="s">
        <v>178</v>
      </c>
      <c r="H66" s="21"/>
      <c r="I66" s="21"/>
      <c r="J66" s="21"/>
      <c r="K66" s="21"/>
      <c r="L66" s="21"/>
      <c r="M66" s="21"/>
      <c r="N66" s="21"/>
      <c r="O66" s="21"/>
    </row>
    <row r="67" spans="2:15">
      <c r="B67" s="239" t="s">
        <v>194</v>
      </c>
      <c r="C67" s="60" t="s">
        <v>185</v>
      </c>
      <c r="D67" s="60"/>
      <c r="E67" s="21"/>
      <c r="F67" s="21"/>
      <c r="G67" s="21" t="s">
        <v>259</v>
      </c>
      <c r="H67" s="21"/>
      <c r="I67" s="21"/>
      <c r="J67" s="21"/>
      <c r="K67" s="21"/>
      <c r="L67" s="21"/>
      <c r="M67" s="21"/>
      <c r="N67" s="21"/>
      <c r="O67" s="21"/>
    </row>
    <row r="68" spans="2:15">
      <c r="B68" s="239" t="s">
        <v>195</v>
      </c>
      <c r="C68" s="60" t="s">
        <v>186</v>
      </c>
      <c r="D68" s="60"/>
      <c r="E68" s="21"/>
      <c r="F68" s="21"/>
      <c r="G68" s="21" t="s">
        <v>256</v>
      </c>
      <c r="H68" s="21"/>
      <c r="I68" s="21"/>
      <c r="J68" s="21"/>
      <c r="K68" s="21"/>
      <c r="L68" s="21"/>
      <c r="M68" s="21"/>
      <c r="N68" s="21"/>
      <c r="O68" s="21"/>
    </row>
    <row r="69" spans="2:15">
      <c r="B69" s="239" t="s">
        <v>196</v>
      </c>
      <c r="C69" s="60" t="s">
        <v>187</v>
      </c>
      <c r="D69" s="60"/>
      <c r="E69" s="21"/>
      <c r="F69" s="21"/>
      <c r="G69" s="21" t="s">
        <v>257</v>
      </c>
      <c r="H69" s="21"/>
      <c r="I69" s="21"/>
      <c r="J69" s="21"/>
      <c r="K69" s="21"/>
      <c r="L69" s="21"/>
      <c r="M69" s="21"/>
      <c r="N69" s="21"/>
      <c r="O69" s="21"/>
    </row>
    <row r="70" spans="2:15">
      <c r="B70" s="239" t="s">
        <v>197</v>
      </c>
      <c r="C70" s="60" t="s">
        <v>188</v>
      </c>
      <c r="D70" s="60"/>
      <c r="E70" s="21"/>
      <c r="F70" s="21"/>
      <c r="G70" s="21" t="s">
        <v>258</v>
      </c>
      <c r="H70" s="21"/>
      <c r="I70" s="21"/>
      <c r="J70" s="21"/>
      <c r="K70" s="21"/>
      <c r="L70" s="21"/>
      <c r="M70" s="21"/>
      <c r="N70" s="21"/>
      <c r="O70" s="21"/>
    </row>
    <row r="71" spans="2:15">
      <c r="B71" s="239" t="s">
        <v>198</v>
      </c>
      <c r="C71" s="60" t="s">
        <v>189</v>
      </c>
      <c r="D71" s="60"/>
      <c r="E71" s="21"/>
      <c r="F71" s="21"/>
      <c r="G71" s="21" t="s">
        <v>260</v>
      </c>
      <c r="H71" s="21"/>
      <c r="I71" s="21"/>
      <c r="J71" s="21"/>
      <c r="K71" s="21"/>
      <c r="L71" s="21"/>
      <c r="M71" s="21"/>
      <c r="N71" s="21"/>
      <c r="O71" s="21"/>
    </row>
    <row r="72" spans="2:15">
      <c r="B72" s="239" t="s">
        <v>204</v>
      </c>
      <c r="C72" s="60" t="s">
        <v>203</v>
      </c>
      <c r="D72" s="60"/>
      <c r="E72" s="21"/>
      <c r="F72" s="21"/>
      <c r="G72" s="21" t="s">
        <v>261</v>
      </c>
      <c r="H72" s="21"/>
      <c r="I72" s="21"/>
      <c r="J72" s="21"/>
      <c r="K72" s="21"/>
      <c r="L72" s="21"/>
      <c r="M72" s="21"/>
      <c r="N72" s="21"/>
      <c r="O72" s="21"/>
    </row>
    <row r="73" spans="2:15">
      <c r="B73" s="239" t="s">
        <v>199</v>
      </c>
      <c r="C73" s="60" t="s">
        <v>190</v>
      </c>
      <c r="D73" s="60"/>
      <c r="E73" s="21"/>
      <c r="F73" s="21"/>
      <c r="G73" s="21" t="s">
        <v>262</v>
      </c>
      <c r="H73" s="21"/>
      <c r="I73" s="21"/>
      <c r="J73" s="21"/>
      <c r="K73" s="21"/>
      <c r="L73" s="21"/>
      <c r="M73" s="21"/>
      <c r="N73" s="21"/>
      <c r="O73" s="21"/>
    </row>
    <row r="74" spans="2:15">
      <c r="B74" s="239" t="s">
        <v>200</v>
      </c>
      <c r="C74" s="60" t="s">
        <v>191</v>
      </c>
      <c r="D74" s="60"/>
      <c r="E74" s="21"/>
      <c r="F74" s="21"/>
      <c r="G74" s="21" t="s">
        <v>263</v>
      </c>
      <c r="H74" s="21"/>
      <c r="I74" s="21"/>
      <c r="J74" s="21"/>
      <c r="K74" s="21"/>
      <c r="L74" s="21"/>
      <c r="M74" s="21"/>
      <c r="N74" s="21"/>
      <c r="O74" s="21"/>
    </row>
    <row r="75" spans="2:15">
      <c r="B75" s="239" t="s">
        <v>201</v>
      </c>
      <c r="C75" s="60" t="s">
        <v>192</v>
      </c>
      <c r="D75" s="60"/>
      <c r="E75" s="21"/>
      <c r="F75" s="21"/>
      <c r="G75" s="21" t="s">
        <v>264</v>
      </c>
      <c r="H75" s="21"/>
      <c r="I75" s="21"/>
      <c r="J75" s="21"/>
      <c r="K75" s="21"/>
      <c r="L75" s="21"/>
      <c r="M75" s="21"/>
      <c r="N75" s="21"/>
      <c r="O75" s="21"/>
    </row>
    <row r="76" spans="2:15">
      <c r="B76" s="239" t="s">
        <v>202</v>
      </c>
      <c r="C76" s="60" t="s">
        <v>193</v>
      </c>
      <c r="D76" s="60"/>
      <c r="E76" s="21"/>
      <c r="F76" s="21"/>
      <c r="G76" s="21" t="s">
        <v>265</v>
      </c>
      <c r="H76" s="21"/>
      <c r="I76" s="21"/>
      <c r="J76" s="21"/>
      <c r="K76" s="21"/>
      <c r="L76" s="21"/>
      <c r="M76" s="21"/>
      <c r="N76" s="21"/>
      <c r="O76" s="21"/>
    </row>
    <row r="77" spans="2:15">
      <c r="B77" s="239" t="s">
        <v>208</v>
      </c>
      <c r="C77" s="60" t="s">
        <v>205</v>
      </c>
      <c r="D77" s="60"/>
      <c r="E77" s="21"/>
      <c r="F77" s="21"/>
      <c r="G77" s="21" t="s">
        <v>266</v>
      </c>
      <c r="H77" s="21"/>
      <c r="I77" s="21"/>
      <c r="J77" s="21"/>
      <c r="K77" s="21"/>
      <c r="L77" s="21"/>
      <c r="M77" s="21"/>
      <c r="N77" s="21"/>
      <c r="O77" s="21"/>
    </row>
    <row r="78" spans="2:15">
      <c r="B78" s="239" t="s">
        <v>206</v>
      </c>
      <c r="C78" s="60" t="s">
        <v>132</v>
      </c>
      <c r="D78" s="60"/>
      <c r="G78" s="50" t="s">
        <v>267</v>
      </c>
    </row>
    <row r="79" spans="2:15">
      <c r="B79" s="239" t="s">
        <v>207</v>
      </c>
      <c r="C79" s="60" t="s">
        <v>157</v>
      </c>
      <c r="D79" s="60"/>
      <c r="G79" s="50" t="s">
        <v>268</v>
      </c>
    </row>
    <row r="80" spans="2:15" ht="15">
      <c r="B80" s="239" t="s">
        <v>194</v>
      </c>
      <c r="C80" s="309" t="s">
        <v>209</v>
      </c>
      <c r="D80" s="309"/>
      <c r="E80" s="310"/>
      <c r="G80" s="50" t="s">
        <v>269</v>
      </c>
    </row>
    <row r="81" spans="2:7" ht="15">
      <c r="B81" s="239" t="s">
        <v>198</v>
      </c>
      <c r="C81" s="309" t="s">
        <v>210</v>
      </c>
      <c r="D81" s="309"/>
      <c r="E81" s="310"/>
      <c r="G81" s="50" t="s">
        <v>270</v>
      </c>
    </row>
    <row r="82" spans="2:7" ht="15">
      <c r="B82" s="239" t="s">
        <v>195</v>
      </c>
      <c r="C82" s="309" t="s">
        <v>211</v>
      </c>
      <c r="D82" s="309"/>
      <c r="E82" s="310"/>
      <c r="G82" s="50" t="s">
        <v>329</v>
      </c>
    </row>
    <row r="83" spans="2:7" ht="15">
      <c r="B83" s="239" t="s">
        <v>196</v>
      </c>
      <c r="C83" s="309" t="s">
        <v>212</v>
      </c>
      <c r="D83" s="309"/>
      <c r="E83" s="310"/>
      <c r="G83" s="50" t="s">
        <v>330</v>
      </c>
    </row>
    <row r="84" spans="2:7" ht="15">
      <c r="B84" s="239" t="s">
        <v>197</v>
      </c>
      <c r="C84" s="309" t="s">
        <v>213</v>
      </c>
      <c r="D84" s="309"/>
      <c r="E84" s="310"/>
      <c r="G84" s="50" t="s">
        <v>331</v>
      </c>
    </row>
  </sheetData>
  <mergeCells count="44">
    <mergeCell ref="E43:F43"/>
    <mergeCell ref="G43:H43"/>
    <mergeCell ref="B43:D43"/>
    <mergeCell ref="B48:D48"/>
    <mergeCell ref="E48:F48"/>
    <mergeCell ref="G48:H48"/>
    <mergeCell ref="E44:F44"/>
    <mergeCell ref="B44:D44"/>
    <mergeCell ref="G44:H44"/>
    <mergeCell ref="E45:F45"/>
    <mergeCell ref="G45:H45"/>
    <mergeCell ref="B45:D45"/>
    <mergeCell ref="B46:D46"/>
    <mergeCell ref="E46:F46"/>
    <mergeCell ref="G46:H46"/>
    <mergeCell ref="D6:M6"/>
    <mergeCell ref="D7:M7"/>
    <mergeCell ref="B32:M32"/>
    <mergeCell ref="B31:M31"/>
    <mergeCell ref="D8:M8"/>
    <mergeCell ref="D12:M12"/>
    <mergeCell ref="B25:M25"/>
    <mergeCell ref="D13:M13"/>
    <mergeCell ref="A16:M16"/>
    <mergeCell ref="B52:D52"/>
    <mergeCell ref="E52:F52"/>
    <mergeCell ref="G52:H52"/>
    <mergeCell ref="B51:D51"/>
    <mergeCell ref="E51:F51"/>
    <mergeCell ref="G51:H51"/>
    <mergeCell ref="E42:F42"/>
    <mergeCell ref="G42:H42"/>
    <mergeCell ref="B42:D42"/>
    <mergeCell ref="B34:M34"/>
    <mergeCell ref="B33:M33"/>
    <mergeCell ref="B50:D50"/>
    <mergeCell ref="E50:F50"/>
    <mergeCell ref="G50:H50"/>
    <mergeCell ref="B47:D47"/>
    <mergeCell ref="E47:F47"/>
    <mergeCell ref="B49:D49"/>
    <mergeCell ref="E49:F49"/>
    <mergeCell ref="G49:H49"/>
    <mergeCell ref="G47:H47"/>
  </mergeCells>
  <pageMargins left="0.70866141732283472" right="0.70866141732283472" top="0.74803149606299213" bottom="0.74803149606299213" header="0.31496062992125984" footer="0.31496062992125984"/>
  <pageSetup paperSize="9" scale="54" orientation="portrait" r:id="rId1"/>
  <headerFooter>
    <oddFooter>&amp;L&amp;Z
&amp;F&amp;R&amp;D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800"/>
  <sheetViews>
    <sheetView showGridLines="0" zoomScale="70" zoomScaleNormal="70" workbookViewId="0">
      <pane xSplit="5" ySplit="2" topLeftCell="F3" activePane="bottomRight" state="frozen"/>
      <selection pane="topRight" activeCell="F1" sqref="F1"/>
      <selection pane="bottomLeft" activeCell="A3" sqref="A3"/>
      <selection pane="bottomRight" activeCell="A62" sqref="A62"/>
    </sheetView>
  </sheetViews>
  <sheetFormatPr defaultColWidth="9.140625" defaultRowHeight="12.75"/>
  <cols>
    <col min="1" max="1" width="15.140625" style="344" customWidth="1"/>
    <col min="2" max="2" width="3.28515625" style="344" customWidth="1"/>
    <col min="3" max="3" width="12.5703125" style="344" customWidth="1"/>
    <col min="4" max="4" width="15.7109375" style="344" customWidth="1"/>
    <col min="5" max="5" width="83.5703125" style="392" customWidth="1"/>
    <col min="6" max="10" width="13.28515625" style="344" customWidth="1"/>
    <col min="11" max="11" width="13.28515625" style="456" customWidth="1"/>
    <col min="12" max="12" width="11.42578125" style="344" customWidth="1"/>
    <col min="13" max="15" width="13.28515625" style="344" customWidth="1"/>
    <col min="16" max="26" width="9.140625" style="11"/>
    <col min="27" max="27" width="10.140625" style="11" customWidth="1"/>
    <col min="28" max="16384" width="9.140625" style="11"/>
  </cols>
  <sheetData>
    <row r="1" spans="1:17" ht="37.5" customHeight="1">
      <c r="A1" s="23"/>
      <c r="B1" s="22"/>
      <c r="C1" s="23"/>
      <c r="D1" s="24"/>
      <c r="E1" s="25" t="s">
        <v>1</v>
      </c>
      <c r="F1" s="26"/>
      <c r="G1" s="26"/>
      <c r="H1" s="26"/>
      <c r="I1" s="26"/>
      <c r="J1" s="471"/>
      <c r="K1" s="476"/>
      <c r="L1" s="26"/>
      <c r="M1" s="26"/>
      <c r="N1" s="26"/>
      <c r="O1" s="26"/>
      <c r="P1" s="1"/>
      <c r="Q1" s="1"/>
    </row>
    <row r="2" spans="1:17" ht="18">
      <c r="A2" s="2"/>
      <c r="B2" s="439" t="s">
        <v>4</v>
      </c>
      <c r="C2" s="3"/>
      <c r="D2" s="4"/>
      <c r="E2" s="439"/>
      <c r="F2" s="187" t="str">
        <f>+'Used inputs'!F2</f>
        <v>2010-11</v>
      </c>
      <c r="G2" s="187" t="str">
        <f>+'Used inputs'!G2</f>
        <v>2011-12</v>
      </c>
      <c r="H2" s="187" t="str">
        <f>+'Used inputs'!H2</f>
        <v>2012-13</v>
      </c>
      <c r="I2" s="187" t="str">
        <f>+'Used inputs'!I2</f>
        <v>2013-14</v>
      </c>
      <c r="J2" s="187" t="str">
        <f>+'Used inputs'!J2</f>
        <v>2014-15</v>
      </c>
      <c r="K2" s="450" t="str">
        <f>+'Used inputs'!K2</f>
        <v>2015-16</v>
      </c>
      <c r="L2" s="189" t="str">
        <f>+'Used inputs'!L2</f>
        <v>2016-17</v>
      </c>
      <c r="M2" s="189" t="str">
        <f>+'Used inputs'!M2</f>
        <v>2017-18</v>
      </c>
      <c r="N2" s="189" t="str">
        <f>+'Used inputs'!N2</f>
        <v>2018-19</v>
      </c>
      <c r="O2" s="447" t="str">
        <f>+'Used inputs'!O2</f>
        <v>2019-20</v>
      </c>
      <c r="P2" s="5"/>
      <c r="Q2" s="5"/>
    </row>
    <row r="3" spans="1:17" s="15" customFormat="1">
      <c r="A3" s="34"/>
      <c r="B3" s="7"/>
      <c r="C3" s="35"/>
      <c r="D3" s="40"/>
      <c r="E3" s="42"/>
      <c r="F3" s="5"/>
      <c r="G3" s="5"/>
      <c r="H3" s="5"/>
      <c r="I3" s="5"/>
      <c r="J3" s="5"/>
      <c r="K3" s="477"/>
      <c r="L3" s="43"/>
      <c r="M3" s="43"/>
      <c r="N3" s="43"/>
      <c r="O3" s="43"/>
      <c r="P3" s="5"/>
      <c r="Q3" s="5"/>
    </row>
    <row r="4" spans="1:17" ht="12.75" customHeight="1">
      <c r="A4"/>
      <c r="B4"/>
      <c r="C4" s="183"/>
      <c r="D4" s="10"/>
      <c r="E4" s="46"/>
      <c r="F4" s="121"/>
      <c r="G4" s="121"/>
      <c r="H4" s="121"/>
      <c r="I4" s="121"/>
      <c r="J4" s="121"/>
      <c r="K4" s="478"/>
      <c r="L4" s="36"/>
      <c r="M4" s="36"/>
      <c r="N4" s="36"/>
      <c r="O4" s="36"/>
      <c r="Q4" s="5"/>
    </row>
    <row r="5" spans="1:17">
      <c r="A5" s="6"/>
      <c r="B5" s="7"/>
      <c r="C5" s="9"/>
      <c r="D5" s="40"/>
      <c r="E5" s="41"/>
      <c r="F5" s="8"/>
      <c r="G5" s="8"/>
      <c r="H5" s="8"/>
      <c r="I5" s="8"/>
      <c r="J5" s="8"/>
      <c r="K5" s="479"/>
      <c r="L5" s="122"/>
      <c r="M5" s="122"/>
      <c r="N5" s="122"/>
      <c r="O5" s="122"/>
      <c r="P5" s="5"/>
      <c r="Q5" s="5"/>
    </row>
    <row r="6" spans="1:17">
      <c r="A6" s="27"/>
      <c r="B6" s="28"/>
      <c r="C6" s="29" t="s">
        <v>23</v>
      </c>
      <c r="D6" s="47" t="s">
        <v>25</v>
      </c>
      <c r="E6" s="33" t="s">
        <v>456</v>
      </c>
      <c r="F6" s="31"/>
      <c r="G6" s="31"/>
      <c r="H6" s="31"/>
      <c r="I6" s="31"/>
      <c r="J6" s="472"/>
      <c r="K6" s="480"/>
      <c r="L6" s="31"/>
      <c r="M6" s="31"/>
      <c r="N6" s="31"/>
      <c r="O6" s="31"/>
      <c r="Q6" s="5"/>
    </row>
    <row r="7" spans="1:17">
      <c r="A7"/>
      <c r="B7"/>
      <c r="C7" s="10"/>
      <c r="D7" s="10"/>
      <c r="E7" s="45"/>
      <c r="F7" s="121"/>
      <c r="G7" s="121"/>
      <c r="H7" s="121"/>
      <c r="I7" s="121"/>
      <c r="J7" s="121"/>
      <c r="K7" s="481"/>
      <c r="L7" s="123"/>
      <c r="M7" s="123"/>
      <c r="N7" s="123"/>
      <c r="O7" s="123"/>
      <c r="Q7" s="5"/>
    </row>
    <row r="8" spans="1:17">
      <c r="A8" s="27"/>
      <c r="B8" s="28"/>
      <c r="C8" s="29"/>
      <c r="D8" s="30"/>
      <c r="E8" s="32" t="s">
        <v>457</v>
      </c>
      <c r="F8" s="31"/>
      <c r="G8" s="31"/>
      <c r="H8" s="31"/>
      <c r="I8" s="31"/>
      <c r="J8" s="472"/>
      <c r="K8" s="480"/>
      <c r="L8" s="31"/>
      <c r="M8" s="31"/>
      <c r="N8" s="31"/>
      <c r="O8" s="31"/>
      <c r="Q8" s="5"/>
    </row>
    <row r="9" spans="1:17" s="21" customFormat="1">
      <c r="A9" s="21" t="s">
        <v>77</v>
      </c>
      <c r="B9" s="21" t="s">
        <v>69</v>
      </c>
      <c r="C9" s="51"/>
      <c r="D9" s="55" t="s">
        <v>29</v>
      </c>
      <c r="E9" s="52" t="s">
        <v>31</v>
      </c>
      <c r="F9" s="120"/>
      <c r="H9" s="163"/>
      <c r="I9" s="120">
        <f>INDEX(ANH,ROW(Input!B19)-5,COLUMN()-2)+INDEX(ANH,ROW(Input!B20)-5,COLUMN()-2)+INDEX(ANH,ROW(Input!B21)-5,COLUMN()-2)+INDEX(ANH,ROW(Input!B22)-5,COLUMN()-2)+(INDEX(ANH,ROW(Input!B23)-5,COLUMN()-2)+INDEX(ANH,ROW(Input!B24)-5,COLUMN()-2))*Input!$H$441</f>
        <v>3220.9803000000002</v>
      </c>
      <c r="J9" s="163">
        <f>INDEX(ANH,ROW(Input!C19)-5,COLUMN()-2)+INDEX(ANH,ROW(Input!C20)-5,COLUMN()-2)+INDEX(ANH,ROW(Input!C21)-5,COLUMN()-2)+INDEX(ANH,ROW(Input!C22)-5,COLUMN()-2)+(INDEX(ANH,ROW(Input!C23)-5,COLUMN()-2)+INDEX(ANH,ROW(Input!C24)-5,COLUMN()-2))*Input!$H$441</f>
        <v>3249.1848</v>
      </c>
      <c r="K9" s="482">
        <f>INDEX(ANH,ROW(Input!D19)-5,COLUMN()-2)+INDEX(ANH,ROW(Input!D20)-5,COLUMN()-2)+INDEX(ANH,ROW(Input!D21)-5,COLUMN()-2)+INDEX(ANH,ROW(Input!D22)-5,COLUMN()-2)+(INDEX(ANH,ROW(Input!D23)-5,COLUMN()-2)+INDEX(ANH,ROW(Input!D24)-5,COLUMN()-2))*Input!$H$441</f>
        <v>3273.4218000000001</v>
      </c>
      <c r="L9" s="111">
        <f>INDEX(ANH,ROW(Input!E19)-5,COLUMN()-2)+INDEX(ANH,ROW(Input!E20)-5,COLUMN()-2)+INDEX(ANH,ROW(Input!E21)-5,COLUMN()-2)+INDEX(ANH,ROW(Input!E22)-5,COLUMN()-2)+(INDEX(ANH,ROW(Input!E23)-5,COLUMN()-2)+INDEX(ANH,ROW(Input!E24)-5,COLUMN()-2))*Input!$H$441</f>
        <v>3299.0175999999997</v>
      </c>
      <c r="M9" s="111">
        <f>INDEX(ANH,ROW(Input!F19)-5,COLUMN()-2)+INDEX(ANH,ROW(Input!F20)-5,COLUMN()-2)+INDEX(ANH,ROW(Input!F21)-5,COLUMN()-2)+INDEX(ANH,ROW(Input!F22)-5,COLUMN()-2)+(INDEX(ANH,ROW(Input!F23)-5,COLUMN()-2)+INDEX(ANH,ROW(Input!F24)-5,COLUMN()-2))*Input!$H$441</f>
        <v>3326.4605999999999</v>
      </c>
      <c r="N9" s="111">
        <f>INDEX(ANH,ROW(Input!G19)-5,COLUMN()-2)+INDEX(ANH,ROW(Input!G20)-5,COLUMN()-2)+INDEX(ANH,ROW(Input!G21)-5,COLUMN()-2)+INDEX(ANH,ROW(Input!G22)-5,COLUMN()-2)+(INDEX(ANH,ROW(Input!G23)-5,COLUMN()-2)+INDEX(ANH,ROW(Input!G24)-5,COLUMN()-2))*Input!$H$441</f>
        <v>3356.2060000000001</v>
      </c>
      <c r="O9" s="111">
        <f>INDEX(ANH,ROW(Input!H19)-5,COLUMN()-2)+INDEX(ANH,ROW(Input!H20)-5,COLUMN()-2)+INDEX(ANH,ROW(Input!H21)-5,COLUMN()-2)+INDEX(ANH,ROW(Input!H22)-5,COLUMN()-2)+(INDEX(ANH,ROW(Input!H23)-5,COLUMN()-2)+INDEX(ANH,ROW(Input!H24)-5,COLUMN()-2))*Input!$H$441</f>
        <v>3388.3991000000001</v>
      </c>
      <c r="Q9" s="5"/>
    </row>
    <row r="10" spans="1:17" s="53" customFormat="1">
      <c r="A10" s="21" t="s">
        <v>77</v>
      </c>
      <c r="B10" s="21" t="s">
        <v>69</v>
      </c>
      <c r="C10" s="51"/>
      <c r="D10" s="55" t="s">
        <v>29</v>
      </c>
      <c r="E10" s="52" t="s">
        <v>32</v>
      </c>
      <c r="F10" s="120"/>
      <c r="G10" s="120"/>
      <c r="H10" s="163"/>
      <c r="I10" s="120">
        <f>INDEX(WSH,ROW(Input!B19)-5,COLUMN()-2)+INDEX(WSH,ROW(Input!B20)-5,COLUMN()-2)+INDEX(WSH,ROW(Input!B21)-5,COLUMN()-2)+INDEX(WSH,ROW(Input!B22)-5,COLUMN()-2)+(INDEX(WSH,ROW(Input!B23)-5,COLUMN()-2)+INDEX(WSH,ROW(Input!B24)-5,COLUMN()-2))*Input!$H$441</f>
        <v>1699.2993999999999</v>
      </c>
      <c r="J10" s="163">
        <f>INDEX(WSH,ROW(Input!C19)-5,COLUMN()-2)+INDEX(WSH,ROW(Input!C20)-5,COLUMN()-2)+INDEX(WSH,ROW(Input!C21)-5,COLUMN()-2)+INDEX(WSH,ROW(Input!C22)-5,COLUMN()-2)+(INDEX(WSH,ROW(Input!C23)-5,COLUMN()-2)+INDEX(WSH,ROW(Input!C24)-5,COLUMN()-2))*Input!$H$441</f>
        <v>1707.0076000000001</v>
      </c>
      <c r="K10" s="482">
        <f>INDEX(WSH,ROW(Input!D19)-5,COLUMN()-2)+INDEX(WSH,ROW(Input!D20)-5,COLUMN()-2)+INDEX(WSH,ROW(Input!D21)-5,COLUMN()-2)+INDEX(WSH,ROW(Input!D22)-5,COLUMN()-2)+(INDEX(WSH,ROW(Input!D23)-5,COLUMN()-2)+INDEX(WSH,ROW(Input!D24)-5,COLUMN()-2))*Input!$H$441</f>
        <v>1714.7158000000004</v>
      </c>
      <c r="L10" s="111">
        <f>INDEX(WSH,ROW(Input!E19)-5,COLUMN()-2)+INDEX(WSH,ROW(Input!E20)-5,COLUMN()-2)+INDEX(WSH,ROW(Input!E21)-5,COLUMN()-2)+INDEX(WSH,ROW(Input!E22)-5,COLUMN()-2)+(INDEX(WSH,ROW(Input!E23)-5,COLUMN()-2)+INDEX(WSH,ROW(Input!E24)-5,COLUMN()-2))*Input!$H$441</f>
        <v>1722.9395</v>
      </c>
      <c r="M10" s="111">
        <f>INDEX(WSH,ROW(Input!F19)-5,COLUMN()-2)+INDEX(WSH,ROW(Input!F20)-5,COLUMN()-2)+INDEX(WSH,ROW(Input!F21)-5,COLUMN()-2)+INDEX(WSH,ROW(Input!F22)-5,COLUMN()-2)+(INDEX(WSH,ROW(Input!F23)-5,COLUMN()-2)+INDEX(WSH,ROW(Input!F24)-5,COLUMN()-2))*Input!$H$441</f>
        <v>1731.6780000000003</v>
      </c>
      <c r="N10" s="111">
        <f>INDEX(WSH,ROW(Input!G19)-5,COLUMN()-2)+INDEX(WSH,ROW(Input!G20)-5,COLUMN()-2)+INDEX(WSH,ROW(Input!G21)-5,COLUMN()-2)+INDEX(WSH,ROW(Input!G22)-5,COLUMN()-2)+(INDEX(WSH,ROW(Input!G23)-5,COLUMN()-2)+INDEX(WSH,ROW(Input!G24)-5,COLUMN()-2))*Input!$H$441</f>
        <v>1740.9294</v>
      </c>
      <c r="O10" s="111">
        <f>INDEX(WSH,ROW(Input!H19)-5,COLUMN()-2)+INDEX(WSH,ROW(Input!H20)-5,COLUMN()-2)+INDEX(WSH,ROW(Input!H21)-5,COLUMN()-2)+INDEX(WSH,ROW(Input!H22)-5,COLUMN()-2)+(INDEX(WSH,ROW(Input!H23)-5,COLUMN()-2)+INDEX(WSH,ROW(Input!H24)-5,COLUMN()-2))*Input!$H$441</f>
        <v>1750.6963000000001</v>
      </c>
      <c r="Q10" s="5"/>
    </row>
    <row r="11" spans="1:17" s="53" customFormat="1">
      <c r="A11" s="21" t="s">
        <v>77</v>
      </c>
      <c r="B11" s="21" t="s">
        <v>69</v>
      </c>
      <c r="C11" s="51"/>
      <c r="D11" s="55" t="s">
        <v>29</v>
      </c>
      <c r="E11" s="52" t="s">
        <v>33</v>
      </c>
      <c r="F11" s="120"/>
      <c r="G11" s="120"/>
      <c r="H11" s="152"/>
      <c r="I11" s="120">
        <f>INDEX(NES,ROW(Input!B19)-5,COLUMN()-2)+INDEX(NES,ROW(Input!B20)-5,COLUMN()-2)+INDEX(NES,ROW(Input!B21)-5,COLUMN()-2)+INDEX(NES,ROW(Input!B22)-5,COLUMN()-2)+(INDEX(NES,ROW(Input!B23)-5,COLUMN()-2)+INDEX(NES,ROW(Input!B24)-5,COLUMN()-2))*Input!$H$441</f>
        <v>2159.7798000000003</v>
      </c>
      <c r="J11" s="163">
        <f>INDEX(NES,ROW(Input!C19)-5,COLUMN()-2)+INDEX(NES,ROW(Input!C20)-5,COLUMN()-2)+INDEX(NES,ROW(Input!C21)-5,COLUMN()-2)+INDEX(NES,ROW(Input!C22)-5,COLUMN()-2)+(INDEX(NES,ROW(Input!C23)-5,COLUMN()-2)+INDEX(NES,ROW(Input!C24)-5,COLUMN()-2))*Input!$H$441</f>
        <v>2170.7496000000001</v>
      </c>
      <c r="K11" s="482">
        <f>INDEX(NES,ROW(Input!D19)-5,COLUMN()-2)+INDEX(NES,ROW(Input!D20)-5,COLUMN()-2)+INDEX(NES,ROW(Input!D21)-5,COLUMN()-2)+INDEX(NES,ROW(Input!D22)-5,COLUMN()-2)+(INDEX(NES,ROW(Input!D23)-5,COLUMN()-2)+INDEX(NES,ROW(Input!D24)-5,COLUMN()-2))*Input!$H$441</f>
        <v>2182.3203000000003</v>
      </c>
      <c r="L11" s="111">
        <f>INDEX(NES,ROW(Input!E19)-5,COLUMN()-2)+INDEX(NES,ROW(Input!E20)-5,COLUMN()-2)+INDEX(NES,ROW(Input!E21)-5,COLUMN()-2)+INDEX(NES,ROW(Input!E22)-5,COLUMN()-2)+(INDEX(NES,ROW(Input!E23)-5,COLUMN()-2)+INDEX(NES,ROW(Input!E24)-5,COLUMN()-2))*Input!$H$441</f>
        <v>2194.4147000000003</v>
      </c>
      <c r="M11" s="111">
        <f>INDEX(NES,ROW(Input!F19)-5,COLUMN()-2)+INDEX(NES,ROW(Input!F20)-5,COLUMN()-2)+INDEX(NES,ROW(Input!F21)-5,COLUMN()-2)+INDEX(NES,ROW(Input!F22)-5,COLUMN()-2)+(INDEX(NES,ROW(Input!F23)-5,COLUMN()-2)+INDEX(NES,ROW(Input!F24)-5,COLUMN()-2))*Input!$H$441</f>
        <v>2206.7542000000003</v>
      </c>
      <c r="N11" s="111">
        <f>INDEX(NES,ROW(Input!G19)-5,COLUMN()-2)+INDEX(NES,ROW(Input!G20)-5,COLUMN()-2)+INDEX(NES,ROW(Input!G21)-5,COLUMN()-2)+INDEX(NES,ROW(Input!G22)-5,COLUMN()-2)+(INDEX(NES,ROW(Input!G23)-5,COLUMN()-2)+INDEX(NES,ROW(Input!G24)-5,COLUMN()-2))*Input!$H$441</f>
        <v>2219.3582000000001</v>
      </c>
      <c r="O11" s="111">
        <f>INDEX(NES,ROW(Input!H19)-5,COLUMN()-2)+INDEX(NES,ROW(Input!H20)-5,COLUMN()-2)+INDEX(NES,ROW(Input!H21)-5,COLUMN()-2)+INDEX(NES,ROW(Input!H22)-5,COLUMN()-2)+(INDEX(NES,ROW(Input!H23)-5,COLUMN()-2)+INDEX(NES,ROW(Input!H24)-5,COLUMN()-2))*Input!$H$441</f>
        <v>2232.3247999999999</v>
      </c>
      <c r="Q11" s="5"/>
    </row>
    <row r="12" spans="1:17" s="53" customFormat="1">
      <c r="A12" s="21" t="s">
        <v>77</v>
      </c>
      <c r="B12" s="21" t="s">
        <v>69</v>
      </c>
      <c r="C12" s="51"/>
      <c r="D12" s="55" t="s">
        <v>29</v>
      </c>
      <c r="E12" s="52" t="s">
        <v>46</v>
      </c>
      <c r="F12" s="120"/>
      <c r="G12" s="120"/>
      <c r="H12" s="152"/>
      <c r="I12" s="120">
        <f>INDEX(SVT,ROW(Input!B19)-5,COLUMN()-2)+INDEX(SVT,ROW(Input!B20)-5,COLUMN()-2)+INDEX(SVT,ROW(Input!B21)-5,COLUMN()-2)+INDEX(SVT,ROW(Input!B22)-5,COLUMN()-2)+(INDEX(SVT,ROW(Input!B23)-5,COLUMN()-2)+INDEX(SVT,ROW(Input!B24)-5,COLUMN()-2))*Input!$H$441</f>
        <v>4715.1535999999996</v>
      </c>
      <c r="J12" s="163">
        <f>INDEX(SVT,ROW(Input!C19)-5,COLUMN()-2)+INDEX(SVT,ROW(Input!C20)-5,COLUMN()-2)+INDEX(SVT,ROW(Input!C21)-5,COLUMN()-2)+INDEX(SVT,ROW(Input!C22)-5,COLUMN()-2)+(INDEX(SVT,ROW(Input!C23)-5,COLUMN()-2)+INDEX(SVT,ROW(Input!C24)-5,COLUMN()-2))*Input!$H$441</f>
        <v>4731.6572999999999</v>
      </c>
      <c r="K12" s="482">
        <f>INDEX(SVT,ROW(Input!D19)-5,COLUMN()-2)+INDEX(SVT,ROW(Input!D20)-5,COLUMN()-2)+INDEX(SVT,ROW(Input!D21)-5,COLUMN()-2)+INDEX(SVT,ROW(Input!D22)-5,COLUMN()-2)+(INDEX(SVT,ROW(Input!D23)-5,COLUMN()-2)+INDEX(SVT,ROW(Input!D24)-5,COLUMN()-2))*Input!$H$441</f>
        <v>4745.9883</v>
      </c>
      <c r="L12" s="111">
        <f>INDEX(SVT,ROW(Input!E19)-5,COLUMN()-2)+INDEX(SVT,ROW(Input!E20)-5,COLUMN()-2)+INDEX(SVT,ROW(Input!E21)-5,COLUMN()-2)+INDEX(SVT,ROW(Input!E22)-5,COLUMN()-2)+(INDEX(SVT,ROW(Input!E23)-5,COLUMN()-2)+INDEX(SVT,ROW(Input!E24)-5,COLUMN()-2))*Input!$H$441</f>
        <v>4766.4673000000003</v>
      </c>
      <c r="M12" s="111">
        <f>INDEX(SVT,ROW(Input!F19)-5,COLUMN()-2)+INDEX(SVT,ROW(Input!F20)-5,COLUMN()-2)+INDEX(SVT,ROW(Input!F21)-5,COLUMN()-2)+INDEX(SVT,ROW(Input!F22)-5,COLUMN()-2)+(INDEX(SVT,ROW(Input!F23)-5,COLUMN()-2)+INDEX(SVT,ROW(Input!F24)-5,COLUMN()-2))*Input!$H$441</f>
        <v>4789.5665000000008</v>
      </c>
      <c r="N12" s="111">
        <f>INDEX(SVT,ROW(Input!G19)-5,COLUMN()-2)+INDEX(SVT,ROW(Input!G20)-5,COLUMN()-2)+INDEX(SVT,ROW(Input!G21)-5,COLUMN()-2)+INDEX(SVT,ROW(Input!G22)-5,COLUMN()-2)+(INDEX(SVT,ROW(Input!G23)-5,COLUMN()-2)+INDEX(SVT,ROW(Input!G24)-5,COLUMN()-2))*Input!$H$441</f>
        <v>4815.2846</v>
      </c>
      <c r="O12" s="111">
        <f>INDEX(SVT,ROW(Input!H19)-5,COLUMN()-2)+INDEX(SVT,ROW(Input!H20)-5,COLUMN()-2)+INDEX(SVT,ROW(Input!H21)-5,COLUMN()-2)+INDEX(SVT,ROW(Input!H22)-5,COLUMN()-2)+(INDEX(SVT,ROW(Input!H23)-5,COLUMN()-2)+INDEX(SVT,ROW(Input!H24)-5,COLUMN()-2))*Input!$H$441</f>
        <v>4843.5639000000001</v>
      </c>
      <c r="Q12" s="5"/>
    </row>
    <row r="13" spans="1:17" s="53" customFormat="1">
      <c r="A13" s="21" t="s">
        <v>77</v>
      </c>
      <c r="B13" s="21" t="s">
        <v>69</v>
      </c>
      <c r="C13" s="51"/>
      <c r="D13" s="55" t="s">
        <v>29</v>
      </c>
      <c r="E13" s="52" t="s">
        <v>47</v>
      </c>
      <c r="F13" s="120"/>
      <c r="G13" s="120"/>
      <c r="H13" s="152"/>
      <c r="I13" s="120">
        <f>INDEX(SWT,ROW(Input!B19)-5,COLUMN()-2)+INDEX(SWT,ROW(Input!B20)-5,COLUMN()-2)+INDEX(SWT,ROW(Input!B21)-5,COLUMN()-2)+INDEX(SWT,ROW(Input!B22)-5,COLUMN()-2)+(INDEX(SWT,ROW(Input!B23)-5,COLUMN()-2)+INDEX(SWT,ROW(Input!B24)-5,COLUMN()-2))*Input!$H$441</f>
        <v>911.09420000000023</v>
      </c>
      <c r="J13" s="163">
        <f>INDEX(SWT,ROW(Input!C19)-5,COLUMN()-2)+INDEX(SWT,ROW(Input!C20)-5,COLUMN()-2)+INDEX(SWT,ROW(Input!C21)-5,COLUMN()-2)+INDEX(SWT,ROW(Input!C22)-5,COLUMN()-2)+(INDEX(SWT,ROW(Input!C23)-5,COLUMN()-2)+INDEX(SWT,ROW(Input!C24)-5,COLUMN()-2))*Input!$H$441</f>
        <v>917.70330000000013</v>
      </c>
      <c r="K13" s="482">
        <f>INDEX(SWT,ROW(Input!D19)-5,COLUMN()-2)+INDEX(SWT,ROW(Input!D20)-5,COLUMN()-2)+INDEX(SWT,ROW(Input!D21)-5,COLUMN()-2)+INDEX(SWT,ROW(Input!D22)-5,COLUMN()-2)+(INDEX(SWT,ROW(Input!D23)-5,COLUMN()-2)+INDEX(SWT,ROW(Input!D24)-5,COLUMN()-2))*Input!$H$441</f>
        <v>925.87099999999998</v>
      </c>
      <c r="L13" s="111">
        <f>INDEX(SWT,ROW(Input!E19)-5,COLUMN()-2)+INDEX(SWT,ROW(Input!E20)-5,COLUMN()-2)+INDEX(SWT,ROW(Input!E21)-5,COLUMN()-2)+INDEX(SWT,ROW(Input!E22)-5,COLUMN()-2)+(INDEX(SWT,ROW(Input!E23)-5,COLUMN()-2)+INDEX(SWT,ROW(Input!E24)-5,COLUMN()-2))*Input!$H$441</f>
        <v>934.13270000000011</v>
      </c>
      <c r="M13" s="111">
        <f>INDEX(SWT,ROW(Input!F19)-5,COLUMN()-2)+INDEX(SWT,ROW(Input!F20)-5,COLUMN()-2)+INDEX(SWT,ROW(Input!F21)-5,COLUMN()-2)+INDEX(SWT,ROW(Input!F22)-5,COLUMN()-2)+(INDEX(SWT,ROW(Input!F23)-5,COLUMN()-2)+INDEX(SWT,ROW(Input!F24)-5,COLUMN()-2))*Input!$H$441</f>
        <v>942.33979999999997</v>
      </c>
      <c r="N13" s="111">
        <f>INDEX(SWT,ROW(Input!G19)-5,COLUMN()-2)+INDEX(SWT,ROW(Input!G20)-5,COLUMN()-2)+INDEX(SWT,ROW(Input!G21)-5,COLUMN()-2)+INDEX(SWT,ROW(Input!G22)-5,COLUMN()-2)+(INDEX(SWT,ROW(Input!G23)-5,COLUMN()-2)+INDEX(SWT,ROW(Input!G24)-5,COLUMN()-2))*Input!$H$441</f>
        <v>950.32170000000019</v>
      </c>
      <c r="O13" s="111">
        <f>INDEX(SWT,ROW(Input!H19)-5,COLUMN()-2)+INDEX(SWT,ROW(Input!H20)-5,COLUMN()-2)+INDEX(SWT,ROW(Input!H21)-5,COLUMN()-2)+INDEX(SWT,ROW(Input!H22)-5,COLUMN()-2)+(INDEX(SWT,ROW(Input!H23)-5,COLUMN()-2)+INDEX(SWT,ROW(Input!H24)-5,COLUMN()-2))*Input!$H$441</f>
        <v>958.40260000000012</v>
      </c>
      <c r="Q13" s="5"/>
    </row>
    <row r="14" spans="1:17" s="53" customFormat="1">
      <c r="A14" s="21" t="s">
        <v>77</v>
      </c>
      <c r="B14" s="21" t="s">
        <v>69</v>
      </c>
      <c r="C14" s="51"/>
      <c r="D14" s="55" t="s">
        <v>29</v>
      </c>
      <c r="E14" s="52" t="s">
        <v>48</v>
      </c>
      <c r="F14" s="120"/>
      <c r="G14" s="120"/>
      <c r="H14" s="152"/>
      <c r="I14" s="120">
        <f>INDEX(SRN,ROW(Input!B19)-5,COLUMN()-2)+INDEX(SRN,ROW(Input!B20)-5,COLUMN()-2)+INDEX(SRN,ROW(Input!B21)-5,COLUMN()-2)+INDEX(SRN,ROW(Input!B22)-5,COLUMN()-2)+(INDEX(SRN,ROW(Input!B23)-5,COLUMN()-2)+INDEX(SRN,ROW(Input!B24)-5,COLUMN()-2))*Input!$H$441</f>
        <v>2133.1657000000005</v>
      </c>
      <c r="J14" s="163">
        <f>INDEX(SRN,ROW(Input!C19)-5,COLUMN()-2)+INDEX(SRN,ROW(Input!C20)-5,COLUMN()-2)+INDEX(SRN,ROW(Input!C21)-5,COLUMN()-2)+INDEX(SRN,ROW(Input!C22)-5,COLUMN()-2)+(INDEX(SRN,ROW(Input!C23)-5,COLUMN()-2)+INDEX(SRN,ROW(Input!C24)-5,COLUMN()-2))*Input!$H$441</f>
        <v>2146.8681012374391</v>
      </c>
      <c r="K14" s="482">
        <f>INDEX(SRN,ROW(Input!D19)-5,COLUMN()-2)+INDEX(SRN,ROW(Input!D20)-5,COLUMN()-2)+INDEX(SRN,ROW(Input!D21)-5,COLUMN()-2)+INDEX(SRN,ROW(Input!D22)-5,COLUMN()-2)+(INDEX(SRN,ROW(Input!D23)-5,COLUMN()-2)+INDEX(SRN,ROW(Input!D24)-5,COLUMN()-2))*Input!$H$441</f>
        <v>2164.8079915433536</v>
      </c>
      <c r="L14" s="111">
        <f>INDEX(SRN,ROW(Input!E19)-5,COLUMN()-2)+INDEX(SRN,ROW(Input!E20)-5,COLUMN()-2)+INDEX(SRN,ROW(Input!E21)-5,COLUMN()-2)+INDEX(SRN,ROW(Input!E22)-5,COLUMN()-2)+(INDEX(SRN,ROW(Input!E23)-5,COLUMN()-2)+INDEX(SRN,ROW(Input!E24)-5,COLUMN()-2))*Input!$H$441</f>
        <v>2182.0708267959744</v>
      </c>
      <c r="M14" s="111">
        <f>INDEX(SRN,ROW(Input!F19)-5,COLUMN()-2)+INDEX(SRN,ROW(Input!F20)-5,COLUMN()-2)+INDEX(SRN,ROW(Input!F21)-5,COLUMN()-2)+INDEX(SRN,ROW(Input!F22)-5,COLUMN()-2)+(INDEX(SRN,ROW(Input!F23)-5,COLUMN()-2)+INDEX(SRN,ROW(Input!F24)-5,COLUMN()-2))*Input!$H$441</f>
        <v>2200.3815447884335</v>
      </c>
      <c r="N14" s="111">
        <f>INDEX(SRN,ROW(Input!G19)-5,COLUMN()-2)+INDEX(SRN,ROW(Input!G20)-5,COLUMN()-2)+INDEX(SRN,ROW(Input!G21)-5,COLUMN()-2)+INDEX(SRN,ROW(Input!G22)-5,COLUMN()-2)+(INDEX(SRN,ROW(Input!G23)-5,COLUMN()-2)+INDEX(SRN,ROW(Input!G24)-5,COLUMN()-2))*Input!$H$441</f>
        <v>2218.4770301475201</v>
      </c>
      <c r="O14" s="111">
        <f>INDEX(SRN,ROW(Input!H19)-5,COLUMN()-2)+INDEX(SRN,ROW(Input!H20)-5,COLUMN()-2)+INDEX(SRN,ROW(Input!H21)-5,COLUMN()-2)+INDEX(SRN,ROW(Input!H22)-5,COLUMN()-2)+(INDEX(SRN,ROW(Input!H23)-5,COLUMN()-2)+INDEX(SRN,ROW(Input!H24)-5,COLUMN()-2))*Input!$H$441</f>
        <v>2235.5858219995316</v>
      </c>
      <c r="Q14" s="5"/>
    </row>
    <row r="15" spans="1:17" s="53" customFormat="1">
      <c r="A15" s="21" t="s">
        <v>77</v>
      </c>
      <c r="B15" s="21" t="s">
        <v>69</v>
      </c>
      <c r="C15" s="51"/>
      <c r="D15" s="55" t="s">
        <v>29</v>
      </c>
      <c r="E15" s="52" t="s">
        <v>49</v>
      </c>
      <c r="F15" s="120"/>
      <c r="G15" s="120"/>
      <c r="H15" s="152"/>
      <c r="I15" s="120">
        <f>INDEX(TMS,ROW(Input!B19)-5,COLUMN()-2)+INDEX(TMS,ROW(Input!B20)-5,COLUMN()-2)+INDEX(TMS,ROW(Input!B21)-5,COLUMN()-2)+INDEX(TMS,ROW(Input!B22)-5,COLUMN()-2)+(INDEX(TMS,ROW(Input!B23)-5,COLUMN()-2)+INDEX(TMS,ROW(Input!B24)-5,COLUMN()-2))*Input!$H$441</f>
        <v>6268.4588000000012</v>
      </c>
      <c r="J15" s="163">
        <f>INDEX(TMS,ROW(Input!C19)-5,COLUMN()-2)+INDEX(TMS,ROW(Input!C20)-5,COLUMN()-2)+INDEX(TMS,ROW(Input!C21)-5,COLUMN()-2)+INDEX(TMS,ROW(Input!C22)-5,COLUMN()-2)+(INDEX(TMS,ROW(Input!C23)-5,COLUMN()-2)+INDEX(TMS,ROW(Input!C24)-5,COLUMN()-2))*Input!$H$441</f>
        <v>6294.3438000000006</v>
      </c>
      <c r="K15" s="482">
        <f>INDEX(TMS,ROW(Input!D19)-5,COLUMN()-2)+INDEX(TMS,ROW(Input!D20)-5,COLUMN()-2)+INDEX(TMS,ROW(Input!D21)-5,COLUMN()-2)+INDEX(TMS,ROW(Input!D22)-5,COLUMN()-2)+(INDEX(TMS,ROW(Input!D23)-5,COLUMN()-2)+INDEX(TMS,ROW(Input!D24)-5,COLUMN()-2))*Input!$H$441</f>
        <v>6398.3248000000003</v>
      </c>
      <c r="L15" s="111">
        <f>INDEX(TMS,ROW(Input!E19)-5,COLUMN()-2)+INDEX(TMS,ROW(Input!E20)-5,COLUMN()-2)+INDEX(TMS,ROW(Input!E21)-5,COLUMN()-2)+INDEX(TMS,ROW(Input!E22)-5,COLUMN()-2)+(INDEX(TMS,ROW(Input!E23)-5,COLUMN()-2)+INDEX(TMS,ROW(Input!E24)-5,COLUMN()-2))*Input!$H$441</f>
        <v>6459.9888000000001</v>
      </c>
      <c r="M15" s="111">
        <f>INDEX(TMS,ROW(Input!F19)-5,COLUMN()-2)+INDEX(TMS,ROW(Input!F20)-5,COLUMN()-2)+INDEX(TMS,ROW(Input!F21)-5,COLUMN()-2)+INDEX(TMS,ROW(Input!F22)-5,COLUMN()-2)+(INDEX(TMS,ROW(Input!F23)-5,COLUMN()-2)+INDEX(TMS,ROW(Input!F24)-5,COLUMN()-2))*Input!$H$441</f>
        <v>6524.2566000000006</v>
      </c>
      <c r="N15" s="111">
        <f>INDEX(TMS,ROW(Input!G19)-5,COLUMN()-2)+INDEX(TMS,ROW(Input!G20)-5,COLUMN()-2)+INDEX(TMS,ROW(Input!G21)-5,COLUMN()-2)+INDEX(TMS,ROW(Input!G22)-5,COLUMN()-2)+(INDEX(TMS,ROW(Input!G23)-5,COLUMN()-2)+INDEX(TMS,ROW(Input!G24)-5,COLUMN()-2))*Input!$H$441</f>
        <v>6588.647100000001</v>
      </c>
      <c r="O15" s="111">
        <f>INDEX(TMS,ROW(Input!H19)-5,COLUMN()-2)+INDEX(TMS,ROW(Input!H20)-5,COLUMN()-2)+INDEX(TMS,ROW(Input!H21)-5,COLUMN()-2)+INDEX(TMS,ROW(Input!H22)-5,COLUMN()-2)+(INDEX(TMS,ROW(Input!H23)-5,COLUMN()-2)+INDEX(TMS,ROW(Input!H24)-5,COLUMN()-2))*Input!$H$441</f>
        <v>6652.2039000000004</v>
      </c>
      <c r="Q15" s="5"/>
    </row>
    <row r="16" spans="1:17" s="53" customFormat="1">
      <c r="A16" s="21" t="s">
        <v>77</v>
      </c>
      <c r="B16" s="21" t="s">
        <v>69</v>
      </c>
      <c r="C16" s="51"/>
      <c r="D16" s="55" t="s">
        <v>29</v>
      </c>
      <c r="E16" s="52" t="s">
        <v>50</v>
      </c>
      <c r="F16" s="120"/>
      <c r="G16" s="120"/>
      <c r="H16" s="152"/>
      <c r="I16" s="120">
        <f>INDEX(NWT,ROW(Input!B19)-5,COLUMN()-2)+INDEX(NWT,ROW(Input!B20)-5,COLUMN()-2)+INDEX(NWT,ROW(Input!B21)-5,COLUMN()-2)+INDEX(NWT,ROW(Input!B22)-5,COLUMN()-2)+(INDEX(NWT,ROW(Input!B23)-5,COLUMN()-2)+INDEX(NWT,ROW(Input!B24)-5,COLUMN()-2))*Input!$H$441</f>
        <v>3752.3028000000004</v>
      </c>
      <c r="J16" s="163">
        <f>INDEX(NWT,ROW(Input!C19)-5,COLUMN()-2)+INDEX(NWT,ROW(Input!C20)-5,COLUMN()-2)+INDEX(NWT,ROW(Input!C21)-5,COLUMN()-2)+INDEX(NWT,ROW(Input!C22)-5,COLUMN()-2)+(INDEX(NWT,ROW(Input!C23)-5,COLUMN()-2)+INDEX(NWT,ROW(Input!C24)-5,COLUMN()-2))*Input!$H$441</f>
        <v>3765.2806</v>
      </c>
      <c r="K16" s="482">
        <f>INDEX(NWT,ROW(Input!D19)-5,COLUMN()-2)+INDEX(NWT,ROW(Input!D20)-5,COLUMN()-2)+INDEX(NWT,ROW(Input!D21)-5,COLUMN()-2)+INDEX(NWT,ROW(Input!D22)-5,COLUMN()-2)+(INDEX(NWT,ROW(Input!D23)-5,COLUMN()-2)+INDEX(NWT,ROW(Input!D24)-5,COLUMN()-2))*Input!$H$441</f>
        <v>3779.8290999999999</v>
      </c>
      <c r="L16" s="111">
        <f>INDEX(NWT,ROW(Input!E19)-5,COLUMN()-2)+INDEX(NWT,ROW(Input!E20)-5,COLUMN()-2)+INDEX(NWT,ROW(Input!E21)-5,COLUMN()-2)+INDEX(NWT,ROW(Input!E22)-5,COLUMN()-2)+(INDEX(NWT,ROW(Input!E23)-5,COLUMN()-2)+INDEX(NWT,ROW(Input!E24)-5,COLUMN()-2))*Input!$H$441</f>
        <v>3795.9950000000003</v>
      </c>
      <c r="M16" s="111">
        <f>INDEX(NWT,ROW(Input!F19)-5,COLUMN()-2)+INDEX(NWT,ROW(Input!F20)-5,COLUMN()-2)+INDEX(NWT,ROW(Input!F21)-5,COLUMN()-2)+INDEX(NWT,ROW(Input!F22)-5,COLUMN()-2)+(INDEX(NWT,ROW(Input!F23)-5,COLUMN()-2)+INDEX(NWT,ROW(Input!F24)-5,COLUMN()-2))*Input!$H$441</f>
        <v>3813.9827</v>
      </c>
      <c r="N16" s="111">
        <f>INDEX(NWT,ROW(Input!G19)-5,COLUMN()-2)+INDEX(NWT,ROW(Input!G20)-5,COLUMN()-2)+INDEX(NWT,ROW(Input!G21)-5,COLUMN()-2)+INDEX(NWT,ROW(Input!G22)-5,COLUMN()-2)+(INDEX(NWT,ROW(Input!G23)-5,COLUMN()-2)+INDEX(NWT,ROW(Input!G24)-5,COLUMN()-2))*Input!$H$441</f>
        <v>3834.0009000000005</v>
      </c>
      <c r="O16" s="111">
        <f>INDEX(NWT,ROW(Input!H19)-5,COLUMN()-2)+INDEX(NWT,ROW(Input!H20)-5,COLUMN()-2)+INDEX(NWT,ROW(Input!H21)-5,COLUMN()-2)+INDEX(NWT,ROW(Input!H22)-5,COLUMN()-2)+(INDEX(NWT,ROW(Input!H23)-5,COLUMN()-2)+INDEX(NWT,ROW(Input!H24)-5,COLUMN()-2))*Input!$H$441</f>
        <v>3855.4785999999999</v>
      </c>
      <c r="Q16" s="5"/>
    </row>
    <row r="17" spans="1:17" s="53" customFormat="1">
      <c r="A17" s="21" t="s">
        <v>77</v>
      </c>
      <c r="B17" s="21" t="s">
        <v>69</v>
      </c>
      <c r="C17" s="51"/>
      <c r="D17" s="55" t="s">
        <v>29</v>
      </c>
      <c r="E17" s="52" t="s">
        <v>51</v>
      </c>
      <c r="F17" s="120"/>
      <c r="G17" s="120"/>
      <c r="H17" s="152"/>
      <c r="I17" s="120">
        <f>INDEX(WSX,ROW(Input!B19)-5,COLUMN()-2)+INDEX(WSX,ROW(Input!B20)-5,COLUMN()-2)+INDEX(WSX,ROW(Input!B21)-5,COLUMN()-2)+INDEX(WSX,ROW(Input!B22)-5,COLUMN()-2)+(INDEX(WSX,ROW(Input!B23)-5,COLUMN()-2)+INDEX(WSX,ROW(Input!B24)-5,COLUMN()-2))*Input!$H$441</f>
        <v>1278.4773</v>
      </c>
      <c r="J17" s="163">
        <f>INDEX(WSX,ROW(Input!C19)-5,COLUMN()-2)+INDEX(WSX,ROW(Input!C20)-5,COLUMN()-2)+INDEX(WSX,ROW(Input!C21)-5,COLUMN()-2)+INDEX(WSX,ROW(Input!C22)-5,COLUMN()-2)+(INDEX(WSX,ROW(Input!C23)-5,COLUMN()-2)+INDEX(WSX,ROW(Input!C24)-5,COLUMN()-2))*Input!$H$441</f>
        <v>1290.55855</v>
      </c>
      <c r="K17" s="482">
        <f>INDEX(WSX,ROW(Input!D19)-5,COLUMN()-2)+INDEX(WSX,ROW(Input!D20)-5,COLUMN()-2)+INDEX(WSX,ROW(Input!D21)-5,COLUMN()-2)+INDEX(WSX,ROW(Input!D22)-5,COLUMN()-2)+(INDEX(WSX,ROW(Input!D23)-5,COLUMN()-2)+INDEX(WSX,ROW(Input!D24)-5,COLUMN()-2))*Input!$H$441</f>
        <v>1303.2471</v>
      </c>
      <c r="L17" s="111">
        <f>INDEX(WSX,ROW(Input!E19)-5,COLUMN()-2)+INDEX(WSX,ROW(Input!E20)-5,COLUMN()-2)+INDEX(WSX,ROW(Input!E21)-5,COLUMN()-2)+INDEX(WSX,ROW(Input!E22)-5,COLUMN()-2)+(INDEX(WSX,ROW(Input!E23)-5,COLUMN()-2)+INDEX(WSX,ROW(Input!E24)-5,COLUMN()-2))*Input!$H$441</f>
        <v>1315.8821</v>
      </c>
      <c r="M17" s="111">
        <f>INDEX(WSX,ROW(Input!F19)-5,COLUMN()-2)+INDEX(WSX,ROW(Input!F20)-5,COLUMN()-2)+INDEX(WSX,ROW(Input!F21)-5,COLUMN()-2)+INDEX(WSX,ROW(Input!F22)-5,COLUMN()-2)+(INDEX(WSX,ROW(Input!F23)-5,COLUMN()-2)+INDEX(WSX,ROW(Input!F24)-5,COLUMN()-2))*Input!$H$441</f>
        <v>1328.6300999999999</v>
      </c>
      <c r="N17" s="111">
        <f>INDEX(WSX,ROW(Input!G19)-5,COLUMN()-2)+INDEX(WSX,ROW(Input!G20)-5,COLUMN()-2)+INDEX(WSX,ROW(Input!G21)-5,COLUMN()-2)+INDEX(WSX,ROW(Input!G22)-5,COLUMN()-2)+(INDEX(WSX,ROW(Input!G23)-5,COLUMN()-2)+INDEX(WSX,ROW(Input!G24)-5,COLUMN()-2))*Input!$H$441</f>
        <v>1341.3031000000001</v>
      </c>
      <c r="O17" s="111">
        <f>INDEX(WSX,ROW(Input!H19)-5,COLUMN()-2)+INDEX(WSX,ROW(Input!H20)-5,COLUMN()-2)+INDEX(WSX,ROW(Input!H21)-5,COLUMN()-2)+INDEX(WSX,ROW(Input!H22)-5,COLUMN()-2)+(INDEX(WSX,ROW(Input!H23)-5,COLUMN()-2)+INDEX(WSX,ROW(Input!H24)-5,COLUMN()-2))*Input!$H$441</f>
        <v>1353.8371</v>
      </c>
      <c r="Q17" s="5"/>
    </row>
    <row r="18" spans="1:17" s="53" customFormat="1">
      <c r="A18" s="21" t="s">
        <v>77</v>
      </c>
      <c r="B18" s="21" t="s">
        <v>69</v>
      </c>
      <c r="C18" s="51"/>
      <c r="D18" s="55" t="s">
        <v>29</v>
      </c>
      <c r="E18" s="52" t="s">
        <v>52</v>
      </c>
      <c r="F18" s="120"/>
      <c r="G18" s="120"/>
      <c r="H18" s="152"/>
      <c r="I18" s="120">
        <f>INDEX(YKY,ROW(Input!B19)-5,COLUMN()-2)+INDEX(YKY,ROW(Input!B20)-5,COLUMN()-2)+INDEX(YKY,ROW(Input!B21)-5,COLUMN()-2)+INDEX(YKY,ROW(Input!B22)-5,COLUMN()-2)+(INDEX(YKY,ROW(Input!B23)-5,COLUMN()-2)+INDEX(YKY,ROW(Input!B24)-5,COLUMN()-2))*Input!$H$441</f>
        <v>2675.0282999999999</v>
      </c>
      <c r="J18" s="163">
        <f>INDEX(YKY,ROW(Input!C19)-5,COLUMN()-2)+INDEX(YKY,ROW(Input!C20)-5,COLUMN()-2)+INDEX(YKY,ROW(Input!C21)-5,COLUMN()-2)+INDEX(YKY,ROW(Input!C22)-5,COLUMN()-2)+(INDEX(YKY,ROW(Input!C23)-5,COLUMN()-2)+INDEX(YKY,ROW(Input!C24)-5,COLUMN()-2))*Input!$H$441</f>
        <v>2689.5401000000002</v>
      </c>
      <c r="K18" s="482">
        <f>INDEX(YKY,ROW(Input!D19)-5,COLUMN()-2)+INDEX(YKY,ROW(Input!D20)-5,COLUMN()-2)+INDEX(YKY,ROW(Input!D21)-5,COLUMN()-2)+INDEX(YKY,ROW(Input!D22)-5,COLUMN()-2)+(INDEX(YKY,ROW(Input!D23)-5,COLUMN()-2)+INDEX(YKY,ROW(Input!D24)-5,COLUMN()-2))*Input!$H$441</f>
        <v>2703.6638000000003</v>
      </c>
      <c r="L18" s="111">
        <f>INDEX(YKY,ROW(Input!E19)-5,COLUMN()-2)+INDEX(YKY,ROW(Input!E20)-5,COLUMN()-2)+INDEX(YKY,ROW(Input!E21)-5,COLUMN()-2)+INDEX(YKY,ROW(Input!E22)-5,COLUMN()-2)+(INDEX(YKY,ROW(Input!E23)-5,COLUMN()-2)+INDEX(YKY,ROW(Input!E24)-5,COLUMN()-2))*Input!$H$441</f>
        <v>2723.8883000000001</v>
      </c>
      <c r="M18" s="111">
        <f>INDEX(YKY,ROW(Input!F19)-5,COLUMN()-2)+INDEX(YKY,ROW(Input!F20)-5,COLUMN()-2)+INDEX(YKY,ROW(Input!F21)-5,COLUMN()-2)+INDEX(YKY,ROW(Input!F22)-5,COLUMN()-2)+(INDEX(YKY,ROW(Input!F23)-5,COLUMN()-2)+INDEX(YKY,ROW(Input!F24)-5,COLUMN()-2))*Input!$H$441</f>
        <v>2750.0434</v>
      </c>
      <c r="N18" s="111">
        <f>INDEX(YKY,ROW(Input!G19)-5,COLUMN()-2)+INDEX(YKY,ROW(Input!G20)-5,COLUMN()-2)+INDEX(YKY,ROW(Input!G21)-5,COLUMN()-2)+INDEX(YKY,ROW(Input!G22)-5,COLUMN()-2)+(INDEX(YKY,ROW(Input!G23)-5,COLUMN()-2)+INDEX(YKY,ROW(Input!G24)-5,COLUMN()-2))*Input!$H$441</f>
        <v>2779.5898999999999</v>
      </c>
      <c r="O18" s="111">
        <f>INDEX(YKY,ROW(Input!H19)-5,COLUMN()-2)+INDEX(YKY,ROW(Input!H20)-5,COLUMN()-2)+INDEX(YKY,ROW(Input!H21)-5,COLUMN()-2)+INDEX(YKY,ROW(Input!H22)-5,COLUMN()-2)+(INDEX(YKY,ROW(Input!H23)-5,COLUMN()-2)+INDEX(YKY,ROW(Input!H24)-5,COLUMN()-2))*Input!$H$441</f>
        <v>2811.7741999999998</v>
      </c>
      <c r="Q18" s="5"/>
    </row>
    <row r="19" spans="1:17" s="53" customFormat="1">
      <c r="A19" s="21" t="s">
        <v>77</v>
      </c>
      <c r="B19" s="21" t="s">
        <v>69</v>
      </c>
      <c r="C19" s="51"/>
      <c r="D19" s="55" t="s">
        <v>29</v>
      </c>
      <c r="E19" s="52" t="s">
        <v>53</v>
      </c>
      <c r="F19" s="120"/>
      <c r="G19" s="120"/>
      <c r="H19" s="152"/>
      <c r="I19" s="120">
        <f>INDEX(AFW,ROW(Input!B19)-5,COLUMN()-2)+INDEX(AFW,ROW(Input!B20)-5,COLUMN()-2)+INDEX(AFW,ROW(Input!B21)-5,COLUMN()-2)+INDEX(AFW,ROW(Input!B22)-5,COLUMN()-2)+(INDEX(AFW,ROW(Input!B23)-5,COLUMN()-2)+INDEX(AFW,ROW(Input!B24)-5,COLUMN()-2))*Input!$H$441</f>
        <v>1373.0219999999999</v>
      </c>
      <c r="J19" s="163">
        <f>INDEX(AFW,ROW(Input!C19)-5,COLUMN()-2)+INDEX(AFW,ROW(Input!C20)-5,COLUMN()-2)+INDEX(AFW,ROW(Input!C21)-5,COLUMN()-2)+INDEX(AFW,ROW(Input!C22)-5,COLUMN()-2)+(INDEX(AFW,ROW(Input!C23)-5,COLUMN()-2)+INDEX(AFW,ROW(Input!C24)-5,COLUMN()-2))*Input!$H$441</f>
        <v>1351.7640000000001</v>
      </c>
      <c r="K19" s="482">
        <f>INDEX(AFW,ROW(Input!D19)-5,COLUMN()-2)+INDEX(AFW,ROW(Input!D20)-5,COLUMN()-2)+INDEX(AFW,ROW(Input!D21)-5,COLUMN()-2)+INDEX(AFW,ROW(Input!D22)-5,COLUMN()-2)+(INDEX(AFW,ROW(Input!D23)-5,COLUMN()-2)+INDEX(AFW,ROW(Input!D24)-5,COLUMN()-2))*Input!$H$441</f>
        <v>1360.6869999999999</v>
      </c>
      <c r="L19" s="111">
        <f>INDEX(AFW,ROW(Input!E19)-5,COLUMN()-2)+INDEX(AFW,ROW(Input!E20)-5,COLUMN()-2)+INDEX(AFW,ROW(Input!E21)-5,COLUMN()-2)+INDEX(AFW,ROW(Input!E22)-5,COLUMN()-2)+(INDEX(AFW,ROW(Input!E23)-5,COLUMN()-2)+INDEX(AFW,ROW(Input!E24)-5,COLUMN()-2))*Input!$H$441</f>
        <v>1369.2550000000001</v>
      </c>
      <c r="M19" s="111">
        <f>INDEX(AFW,ROW(Input!F19)-5,COLUMN()-2)+INDEX(AFW,ROW(Input!F20)-5,COLUMN()-2)+INDEX(AFW,ROW(Input!F21)-5,COLUMN()-2)+INDEX(AFW,ROW(Input!F22)-5,COLUMN()-2)+(INDEX(AFW,ROW(Input!F23)-5,COLUMN()-2)+INDEX(AFW,ROW(Input!F24)-5,COLUMN()-2))*Input!$H$441</f>
        <v>1377.627</v>
      </c>
      <c r="N19" s="111">
        <f>INDEX(AFW,ROW(Input!G19)-5,COLUMN()-2)+INDEX(AFW,ROW(Input!G20)-5,COLUMN()-2)+INDEX(AFW,ROW(Input!G21)-5,COLUMN()-2)+INDEX(AFW,ROW(Input!G22)-5,COLUMN()-2)+(INDEX(AFW,ROW(Input!G23)-5,COLUMN()-2)+INDEX(AFW,ROW(Input!G24)-5,COLUMN()-2))*Input!$H$441</f>
        <v>1385.7145</v>
      </c>
      <c r="O19" s="111">
        <f>INDEX(AFW,ROW(Input!H19)-5,COLUMN()-2)+INDEX(AFW,ROW(Input!H20)-5,COLUMN()-2)+INDEX(AFW,ROW(Input!H21)-5,COLUMN()-2)+INDEX(AFW,ROW(Input!H22)-5,COLUMN()-2)+(INDEX(AFW,ROW(Input!H23)-5,COLUMN()-2)+INDEX(AFW,ROW(Input!H24)-5,COLUMN()-2))*Input!$H$441</f>
        <v>1393.839999999999</v>
      </c>
      <c r="Q19" s="5"/>
    </row>
    <row r="20" spans="1:17" s="53" customFormat="1">
      <c r="A20" s="21" t="s">
        <v>77</v>
      </c>
      <c r="B20" s="21" t="s">
        <v>69</v>
      </c>
      <c r="C20" s="51"/>
      <c r="D20" s="55" t="s">
        <v>29</v>
      </c>
      <c r="E20" s="52" t="s">
        <v>54</v>
      </c>
      <c r="F20" s="120"/>
      <c r="G20" s="120"/>
      <c r="H20" s="152"/>
      <c r="I20" s="120">
        <f>INDEX(BRL,ROW(Input!B19)-5,COLUMN()-2)+INDEX(BRL,ROW(Input!B20)-5,COLUMN()-2)+INDEX(BRL,ROW(Input!B21)-5,COLUMN()-2)+INDEX(BRL,ROW(Input!B22)-5,COLUMN()-2)+(INDEX(BRL,ROW(Input!B23)-5,COLUMN()-2)+INDEX(BRL,ROW(Input!B24)-5,COLUMN()-2))*Input!$H$441</f>
        <v>473.15</v>
      </c>
      <c r="J20" s="163">
        <f>INDEX(BRL,ROW(Input!C19)-5,COLUMN()-2)+INDEX(BRL,ROW(Input!C20)-5,COLUMN()-2)+INDEX(BRL,ROW(Input!C21)-5,COLUMN()-2)+INDEX(BRL,ROW(Input!C22)-5,COLUMN()-2)+(INDEX(BRL,ROW(Input!C23)-5,COLUMN()-2)+INDEX(BRL,ROW(Input!C24)-5,COLUMN()-2))*Input!$H$441</f>
        <v>477.279</v>
      </c>
      <c r="K20" s="482">
        <f>INDEX(BRL,ROW(Input!D19)-5,COLUMN()-2)+INDEX(BRL,ROW(Input!D20)-5,COLUMN()-2)+INDEX(BRL,ROW(Input!D21)-5,COLUMN()-2)+INDEX(BRL,ROW(Input!D22)-5,COLUMN()-2)+(INDEX(BRL,ROW(Input!D23)-5,COLUMN()-2)+INDEX(BRL,ROW(Input!D24)-5,COLUMN()-2))*Input!$H$441</f>
        <v>482.69900000000001</v>
      </c>
      <c r="L20" s="111">
        <f>INDEX(BRL,ROW(Input!E19)-5,COLUMN()-2)+INDEX(BRL,ROW(Input!E20)-5,COLUMN()-2)+INDEX(BRL,ROW(Input!E21)-5,COLUMN()-2)+INDEX(BRL,ROW(Input!E22)-5,COLUMN()-2)+(INDEX(BRL,ROW(Input!E23)-5,COLUMN()-2)+INDEX(BRL,ROW(Input!E24)-5,COLUMN()-2))*Input!$H$441</f>
        <v>488.13900000000001</v>
      </c>
      <c r="M20" s="111">
        <f>INDEX(BRL,ROW(Input!F19)-5,COLUMN()-2)+INDEX(BRL,ROW(Input!F20)-5,COLUMN()-2)+INDEX(BRL,ROW(Input!F21)-5,COLUMN()-2)+INDEX(BRL,ROW(Input!F22)-5,COLUMN()-2)+(INDEX(BRL,ROW(Input!F23)-5,COLUMN()-2)+INDEX(BRL,ROW(Input!F24)-5,COLUMN()-2))*Input!$H$441</f>
        <v>493.57399999999996</v>
      </c>
      <c r="N20" s="111">
        <f>INDEX(BRL,ROW(Input!G19)-5,COLUMN()-2)+INDEX(BRL,ROW(Input!G20)-5,COLUMN()-2)+INDEX(BRL,ROW(Input!G21)-5,COLUMN()-2)+INDEX(BRL,ROW(Input!G22)-5,COLUMN()-2)+(INDEX(BRL,ROW(Input!G23)-5,COLUMN()-2)+INDEX(BRL,ROW(Input!G24)-5,COLUMN()-2))*Input!$H$441</f>
        <v>498.93400000000003</v>
      </c>
      <c r="O20" s="111">
        <f>INDEX(BRL,ROW(Input!H19)-5,COLUMN()-2)+INDEX(BRL,ROW(Input!H20)-5,COLUMN()-2)+INDEX(BRL,ROW(Input!H21)-5,COLUMN()-2)+INDEX(BRL,ROW(Input!H22)-5,COLUMN()-2)+(INDEX(BRL,ROW(Input!H23)-5,COLUMN()-2)+INDEX(BRL,ROW(Input!H24)-5,COLUMN()-2))*Input!$H$441</f>
        <v>504.21400000000006</v>
      </c>
      <c r="Q20" s="5"/>
    </row>
    <row r="21" spans="1:17" s="53" customFormat="1">
      <c r="A21" s="21" t="s">
        <v>77</v>
      </c>
      <c r="B21" s="21" t="s">
        <v>69</v>
      </c>
      <c r="C21" s="51"/>
      <c r="D21" s="55" t="s">
        <v>29</v>
      </c>
      <c r="E21" s="52" t="s">
        <v>66</v>
      </c>
      <c r="F21" s="120"/>
      <c r="G21" s="120"/>
      <c r="H21" s="152"/>
      <c r="I21" s="120">
        <f>INDEX(SSC,ROW(Input!B19)-5,COLUMN()-2)+INDEX(SSC,ROW(Input!B20)-5,COLUMN()-2)+INDEX(SSC,ROW(Input!B21)-5,COLUMN()-2)+INDEX(SSC,ROW(Input!B22)-5,COLUMN()-2)+(INDEX(SSC,ROW(Input!B23)-5,COLUMN()-2)+INDEX(SSC,ROW(Input!B24)-5,COLUMN()-2))*Input!$H$441</f>
        <v>648.31650000000002</v>
      </c>
      <c r="J21" s="163">
        <f>INDEX(SSC,ROW(Input!C19)-5,COLUMN()-2)+INDEX(SSC,ROW(Input!C20)-5,COLUMN()-2)+INDEX(SSC,ROW(Input!C21)-5,COLUMN()-2)+INDEX(SSC,ROW(Input!C22)-5,COLUMN()-2)+(INDEX(SSC,ROW(Input!C23)-5,COLUMN()-2)+INDEX(SSC,ROW(Input!C24)-5,COLUMN()-2))*Input!$H$441</f>
        <v>651.32707500000004</v>
      </c>
      <c r="K21" s="482">
        <f>INDEX(SSC,ROW(Input!D19)-5,COLUMN()-2)+INDEX(SSC,ROW(Input!D20)-5,COLUMN()-2)+INDEX(SSC,ROW(Input!D21)-5,COLUMN()-2)+INDEX(SSC,ROW(Input!D22)-5,COLUMN()-2)+(INDEX(SSC,ROW(Input!D23)-5,COLUMN()-2)+INDEX(SSC,ROW(Input!D24)-5,COLUMN()-2))*Input!$H$441</f>
        <v>654.35287174999894</v>
      </c>
      <c r="L21" s="111">
        <f>INDEX(SSC,ROW(Input!E19)-5,COLUMN()-2)+INDEX(SSC,ROW(Input!E20)-5,COLUMN()-2)+INDEX(SSC,ROW(Input!E21)-5,COLUMN()-2)+INDEX(SSC,ROW(Input!E22)-5,COLUMN()-2)+(INDEX(SSC,ROW(Input!E23)-5,COLUMN()-2)+INDEX(SSC,ROW(Input!E24)-5,COLUMN()-2))*Input!$H$441</f>
        <v>658.06547320833306</v>
      </c>
      <c r="M21" s="111">
        <f>INDEX(SSC,ROW(Input!F19)-5,COLUMN()-2)+INDEX(SSC,ROW(Input!F20)-5,COLUMN()-2)+INDEX(SSC,ROW(Input!F21)-5,COLUMN()-2)+INDEX(SSC,ROW(Input!F22)-5,COLUMN()-2)+(INDEX(SSC,ROW(Input!F23)-5,COLUMN()-2)+INDEX(SSC,ROW(Input!F24)-5,COLUMN()-2))*Input!$H$441</f>
        <v>661.95175810416595</v>
      </c>
      <c r="N21" s="111">
        <f>INDEX(SSC,ROW(Input!G19)-5,COLUMN()-2)+INDEX(SSC,ROW(Input!G20)-5,COLUMN()-2)+INDEX(SSC,ROW(Input!G21)-5,COLUMN()-2)+INDEX(SSC,ROW(Input!G22)-5,COLUMN()-2)+(INDEX(SSC,ROW(Input!G23)-5,COLUMN()-2)+INDEX(SSC,ROW(Input!G24)-5,COLUMN()-2))*Input!$H$441</f>
        <v>665.99236221875003</v>
      </c>
      <c r="O21" s="111">
        <f>INDEX(SSC,ROW(Input!H19)-5,COLUMN()-2)+INDEX(SSC,ROW(Input!H20)-5,COLUMN()-2)+INDEX(SSC,ROW(Input!H21)-5,COLUMN()-2)+INDEX(SSC,ROW(Input!H22)-5,COLUMN()-2)+(INDEX(SSC,ROW(Input!H23)-5,COLUMN()-2)+INDEX(SSC,ROW(Input!H24)-5,COLUMN()-2))*Input!$H$441</f>
        <v>670.12983594270895</v>
      </c>
      <c r="Q21" s="5"/>
    </row>
    <row r="22" spans="1:17" s="53" customFormat="1">
      <c r="A22" s="21" t="s">
        <v>77</v>
      </c>
      <c r="B22" s="21" t="s">
        <v>69</v>
      </c>
      <c r="C22" s="51"/>
      <c r="D22" s="55" t="s">
        <v>29</v>
      </c>
      <c r="E22" s="52" t="s">
        <v>55</v>
      </c>
      <c r="F22" s="120"/>
      <c r="G22" s="120"/>
      <c r="H22" s="152"/>
      <c r="I22" s="120">
        <f>INDEX(DVW,ROW(Input!B19)-5,COLUMN()-2)+INDEX(DVW,ROW(Input!B20)-5,COLUMN()-2)+INDEX(DVW,ROW(Input!B21)-5,COLUMN()-2)+INDEX(DVW,ROW(Input!B22)-5,COLUMN()-2)+(INDEX(DVW,ROW(Input!B23)-5,COLUMN()-2)+INDEX(DVW,ROW(Input!B24)-5,COLUMN()-2))*Input!$H$441</f>
        <v>113.51900000000001</v>
      </c>
      <c r="J22" s="163">
        <f>INDEX(DVW,ROW(Input!C19)-5,COLUMN()-2)+INDEX(DVW,ROW(Input!C20)-5,COLUMN()-2)+INDEX(DVW,ROW(Input!C21)-5,COLUMN()-2)+INDEX(DVW,ROW(Input!C22)-5,COLUMN()-2)+(INDEX(DVW,ROW(Input!C23)-5,COLUMN()-2)+INDEX(DVW,ROW(Input!C24)-5,COLUMN()-2))*Input!$H$441</f>
        <v>116.315</v>
      </c>
      <c r="K22" s="482">
        <f>INDEX(DVW,ROW(Input!D19)-5,COLUMN()-2)+INDEX(DVW,ROW(Input!D20)-5,COLUMN()-2)+INDEX(DVW,ROW(Input!D21)-5,COLUMN()-2)+INDEX(DVW,ROW(Input!D22)-5,COLUMN()-2)+(INDEX(DVW,ROW(Input!D23)-5,COLUMN()-2)+INDEX(DVW,ROW(Input!D24)-5,COLUMN()-2))*Input!$H$441</f>
        <v>117.28699999999999</v>
      </c>
      <c r="L22" s="111">
        <f>INDEX(DVW,ROW(Input!E19)-5,COLUMN()-2)+INDEX(DVW,ROW(Input!E20)-5,COLUMN()-2)+INDEX(DVW,ROW(Input!E21)-5,COLUMN()-2)+INDEX(DVW,ROW(Input!E22)-5,COLUMN()-2)+(INDEX(DVW,ROW(Input!E23)-5,COLUMN()-2)+INDEX(DVW,ROW(Input!E24)-5,COLUMN()-2))*Input!$H$441</f>
        <v>118.229</v>
      </c>
      <c r="M22" s="111">
        <f>INDEX(DVW,ROW(Input!F19)-5,COLUMN()-2)+INDEX(DVW,ROW(Input!F20)-5,COLUMN()-2)+INDEX(DVW,ROW(Input!F21)-5,COLUMN()-2)+INDEX(DVW,ROW(Input!F22)-5,COLUMN()-2)+(INDEX(DVW,ROW(Input!F23)-5,COLUMN()-2)+INDEX(DVW,ROW(Input!F24)-5,COLUMN()-2))*Input!$H$441</f>
        <v>119.17100000000001</v>
      </c>
      <c r="N22" s="111">
        <f>INDEX(DVW,ROW(Input!G19)-5,COLUMN()-2)+INDEX(DVW,ROW(Input!G20)-5,COLUMN()-2)+INDEX(DVW,ROW(Input!G21)-5,COLUMN()-2)+INDEX(DVW,ROW(Input!G22)-5,COLUMN()-2)+(INDEX(DVW,ROW(Input!G23)-5,COLUMN()-2)+INDEX(DVW,ROW(Input!G24)-5,COLUMN()-2))*Input!$H$441</f>
        <v>120.113</v>
      </c>
      <c r="O22" s="111">
        <f>INDEX(DVW,ROW(Input!H19)-5,COLUMN()-2)+INDEX(DVW,ROW(Input!H20)-5,COLUMN()-2)+INDEX(DVW,ROW(Input!H21)-5,COLUMN()-2)+INDEX(DVW,ROW(Input!H22)-5,COLUMN()-2)+(INDEX(DVW,ROW(Input!H23)-5,COLUMN()-2)+INDEX(DVW,ROW(Input!H24)-5,COLUMN()-2))*Input!$H$441</f>
        <v>121.05600000000001</v>
      </c>
      <c r="Q22" s="5"/>
    </row>
    <row r="23" spans="1:17" s="53" customFormat="1">
      <c r="A23" s="21" t="s">
        <v>77</v>
      </c>
      <c r="B23" s="21" t="s">
        <v>69</v>
      </c>
      <c r="C23" s="51"/>
      <c r="D23" s="55" t="s">
        <v>29</v>
      </c>
      <c r="E23" s="52" t="s">
        <v>56</v>
      </c>
      <c r="F23" s="120"/>
      <c r="G23" s="120"/>
      <c r="H23" s="152"/>
      <c r="I23" s="120">
        <f>INDEX(PRT,ROW(Input!B19)-5,COLUMN()-2)+INDEX(PRT,ROW(Input!B20)-5,COLUMN()-2)+INDEX(PRT,ROW(Input!B21)-5,COLUMN()-2)+INDEX(PRT,ROW(Input!B22)-5,COLUMN()-2)+(INDEX(PRT,ROW(Input!B23)-5,COLUMN()-2)+INDEX(PRT,ROW(Input!B24)-5,COLUMN()-2))*Input!$H$441</f>
        <v>284.161</v>
      </c>
      <c r="J23" s="163">
        <f>INDEX(PRT,ROW(Input!C19)-5,COLUMN()-2)+INDEX(PRT,ROW(Input!C20)-5,COLUMN()-2)+INDEX(PRT,ROW(Input!C21)-5,COLUMN()-2)+INDEX(PRT,ROW(Input!C22)-5,COLUMN()-2)+(INDEX(PRT,ROW(Input!C23)-5,COLUMN()-2)+INDEX(PRT,ROW(Input!C24)-5,COLUMN()-2))*Input!$H$441</f>
        <v>285.661</v>
      </c>
      <c r="K23" s="482">
        <f>INDEX(PRT,ROW(Input!D19)-5,COLUMN()-2)+INDEX(PRT,ROW(Input!D20)-5,COLUMN()-2)+INDEX(PRT,ROW(Input!D21)-5,COLUMN()-2)+INDEX(PRT,ROW(Input!D22)-5,COLUMN()-2)+(INDEX(PRT,ROW(Input!D23)-5,COLUMN()-2)+INDEX(PRT,ROW(Input!D24)-5,COLUMN()-2))*Input!$H$441</f>
        <v>288.15000000000003</v>
      </c>
      <c r="L23" s="111">
        <f>INDEX(PRT,ROW(Input!E19)-5,COLUMN()-2)+INDEX(PRT,ROW(Input!E20)-5,COLUMN()-2)+INDEX(PRT,ROW(Input!E21)-5,COLUMN()-2)+INDEX(PRT,ROW(Input!E22)-5,COLUMN()-2)+(INDEX(PRT,ROW(Input!E23)-5,COLUMN()-2)+INDEX(PRT,ROW(Input!E24)-5,COLUMN()-2))*Input!$H$441</f>
        <v>290.31</v>
      </c>
      <c r="M23" s="111">
        <f>INDEX(PRT,ROW(Input!F19)-5,COLUMN()-2)+INDEX(PRT,ROW(Input!F20)-5,COLUMN()-2)+INDEX(PRT,ROW(Input!F21)-5,COLUMN()-2)+INDEX(PRT,ROW(Input!F22)-5,COLUMN()-2)+(INDEX(PRT,ROW(Input!F23)-5,COLUMN()-2)+INDEX(PRT,ROW(Input!F24)-5,COLUMN()-2))*Input!$H$441</f>
        <v>292.82299999999998</v>
      </c>
      <c r="N23" s="111">
        <f>INDEX(PRT,ROW(Input!G19)-5,COLUMN()-2)+INDEX(PRT,ROW(Input!G20)-5,COLUMN()-2)+INDEX(PRT,ROW(Input!G21)-5,COLUMN()-2)+INDEX(PRT,ROW(Input!G22)-5,COLUMN()-2)+(INDEX(PRT,ROW(Input!G23)-5,COLUMN()-2)+INDEX(PRT,ROW(Input!G24)-5,COLUMN()-2))*Input!$H$441</f>
        <v>295.82600000000002</v>
      </c>
      <c r="O23" s="111">
        <f>INDEX(PRT,ROW(Input!H19)-5,COLUMN()-2)+INDEX(PRT,ROW(Input!H20)-5,COLUMN()-2)+INDEX(PRT,ROW(Input!H21)-5,COLUMN()-2)+INDEX(PRT,ROW(Input!H22)-5,COLUMN()-2)+(INDEX(PRT,ROW(Input!H23)-5,COLUMN()-2)+INDEX(PRT,ROW(Input!H24)-5,COLUMN()-2))*Input!$H$441</f>
        <v>298.76400000000001</v>
      </c>
      <c r="Q23" s="5"/>
    </row>
    <row r="24" spans="1:17" s="53" customFormat="1" ht="12.6" customHeight="1">
      <c r="A24" s="21" t="s">
        <v>77</v>
      </c>
      <c r="B24" s="21" t="s">
        <v>69</v>
      </c>
      <c r="C24" s="51"/>
      <c r="D24" s="55" t="s">
        <v>29</v>
      </c>
      <c r="E24" s="52" t="s">
        <v>57</v>
      </c>
      <c r="F24" s="120"/>
      <c r="G24" s="120"/>
      <c r="H24" s="152"/>
      <c r="I24" s="120">
        <f>INDEX(SBW,ROW(Input!B19)-5,COLUMN()-2)+INDEX(SBW,ROW(Input!B20)-5,COLUMN()-2)+INDEX(SBW,ROW(Input!B21)-5,COLUMN()-2)+INDEX(SBW,ROW(Input!B22)-5,COLUMN()-2)+(INDEX(SBW,ROW(Input!B23)-5,COLUMN()-2)+INDEX(SBW,ROW(Input!B24)-5,COLUMN()-2))*Input!$H$441</f>
        <v>185.911</v>
      </c>
      <c r="J24" s="163">
        <f>INDEX(SBW,ROW(Input!C19)-5,COLUMN()-2)+INDEX(SBW,ROW(Input!C20)-5,COLUMN()-2)+INDEX(SBW,ROW(Input!C21)-5,COLUMN()-2)+INDEX(SBW,ROW(Input!C22)-5,COLUMN()-2)+(INDEX(SBW,ROW(Input!C23)-5,COLUMN()-2)+INDEX(SBW,ROW(Input!C24)-5,COLUMN()-2))*Input!$H$441</f>
        <v>186.86099999999999</v>
      </c>
      <c r="K24" s="482">
        <f>INDEX(SBW,ROW(Input!D19)-5,COLUMN()-2)+INDEX(SBW,ROW(Input!D20)-5,COLUMN()-2)+INDEX(SBW,ROW(Input!D21)-5,COLUMN()-2)+INDEX(SBW,ROW(Input!D22)-5,COLUMN()-2)+(INDEX(SBW,ROW(Input!D23)-5,COLUMN()-2)+INDEX(SBW,ROW(Input!D24)-5,COLUMN()-2))*Input!$H$441</f>
        <v>187.76300000000001</v>
      </c>
      <c r="L24" s="111">
        <f>INDEX(SBW,ROW(Input!E19)-5,COLUMN()-2)+INDEX(SBW,ROW(Input!E20)-5,COLUMN()-2)+INDEX(SBW,ROW(Input!E21)-5,COLUMN()-2)+INDEX(SBW,ROW(Input!E22)-5,COLUMN()-2)+(INDEX(SBW,ROW(Input!E23)-5,COLUMN()-2)+INDEX(SBW,ROW(Input!E24)-5,COLUMN()-2))*Input!$H$441</f>
        <v>188.84800000000001</v>
      </c>
      <c r="M24" s="111">
        <f>INDEX(SBW,ROW(Input!F19)-5,COLUMN()-2)+INDEX(SBW,ROW(Input!F20)-5,COLUMN()-2)+INDEX(SBW,ROW(Input!F21)-5,COLUMN()-2)+INDEX(SBW,ROW(Input!F22)-5,COLUMN()-2)+(INDEX(SBW,ROW(Input!F23)-5,COLUMN()-2)+INDEX(SBW,ROW(Input!F24)-5,COLUMN()-2))*Input!$H$441</f>
        <v>190.066</v>
      </c>
      <c r="N24" s="111">
        <f>INDEX(SBW,ROW(Input!G19)-5,COLUMN()-2)+INDEX(SBW,ROW(Input!G20)-5,COLUMN()-2)+INDEX(SBW,ROW(Input!G21)-5,COLUMN()-2)+INDEX(SBW,ROW(Input!G22)-5,COLUMN()-2)+(INDEX(SBW,ROW(Input!G23)-5,COLUMN()-2)+INDEX(SBW,ROW(Input!G24)-5,COLUMN()-2))*Input!$H$441</f>
        <v>191.18600000000001</v>
      </c>
      <c r="O24" s="111">
        <f>INDEX(SBW,ROW(Input!H19)-5,COLUMN()-2)+INDEX(SBW,ROW(Input!H20)-5,COLUMN()-2)+INDEX(SBW,ROW(Input!H21)-5,COLUMN()-2)+INDEX(SBW,ROW(Input!H22)-5,COLUMN()-2)+(INDEX(SBW,ROW(Input!H23)-5,COLUMN()-2)+INDEX(SBW,ROW(Input!H24)-5,COLUMN()-2))*Input!$H$441</f>
        <v>192.249</v>
      </c>
      <c r="Q24" s="5"/>
    </row>
    <row r="25" spans="1:17" s="53" customFormat="1">
      <c r="A25" s="21" t="s">
        <v>77</v>
      </c>
      <c r="B25" s="21" t="s">
        <v>69</v>
      </c>
      <c r="C25" s="51"/>
      <c r="D25" s="55" t="s">
        <v>29</v>
      </c>
      <c r="E25" s="52" t="s">
        <v>58</v>
      </c>
      <c r="F25" s="120"/>
      <c r="G25" s="120"/>
      <c r="H25" s="152"/>
      <c r="I25" s="120">
        <f>INDEX(SEW,ROW(Input!B19)-5,COLUMN()-2)+INDEX(SEW,ROW(Input!B20)-5,COLUMN()-2)+INDEX(SEW,ROW(Input!B21)-5,COLUMN()-2)+INDEX(SEW,ROW(Input!B22)-5,COLUMN()-2)+(INDEX(SEW,ROW(Input!B23)-5,COLUMN()-2)+INDEX(SEW,ROW(Input!B24)-5,COLUMN()-2))*Input!$H$441</f>
        <v>819.99700000000007</v>
      </c>
      <c r="J25" s="163">
        <f>INDEX(SEW,ROW(Input!C19)-5,COLUMN()-2)+INDEX(SEW,ROW(Input!C20)-5,COLUMN()-2)+INDEX(SEW,ROW(Input!C21)-5,COLUMN()-2)+INDEX(SEW,ROW(Input!C22)-5,COLUMN()-2)+(INDEX(SEW,ROW(Input!C23)-5,COLUMN()-2)+INDEX(SEW,ROW(Input!C24)-5,COLUMN()-2))*Input!$H$441</f>
        <v>828.06254945683008</v>
      </c>
      <c r="K25" s="482">
        <f>INDEX(SEW,ROW(Input!D19)-5,COLUMN()-2)+INDEX(SEW,ROW(Input!D20)-5,COLUMN()-2)+INDEX(SEW,ROW(Input!D21)-5,COLUMN()-2)+INDEX(SEW,ROW(Input!D22)-5,COLUMN()-2)+(INDEX(SEW,ROW(Input!D23)-5,COLUMN()-2)+INDEX(SEW,ROW(Input!D24)-5,COLUMN()-2))*Input!$H$441</f>
        <v>835.79664727418503</v>
      </c>
      <c r="L25" s="111">
        <f>INDEX(SEW,ROW(Input!E19)-5,COLUMN()-2)+INDEX(SEW,ROW(Input!E20)-5,COLUMN()-2)+INDEX(SEW,ROW(Input!E21)-5,COLUMN()-2)+INDEX(SEW,ROW(Input!E22)-5,COLUMN()-2)+(INDEX(SEW,ROW(Input!E23)-5,COLUMN()-2)+INDEX(SEW,ROW(Input!E24)-5,COLUMN()-2))*Input!$H$441</f>
        <v>843.87273058722496</v>
      </c>
      <c r="M25" s="111">
        <f>INDEX(SEW,ROW(Input!F19)-5,COLUMN()-2)+INDEX(SEW,ROW(Input!F20)-5,COLUMN()-2)+INDEX(SEW,ROW(Input!F21)-5,COLUMN()-2)+INDEX(SEW,ROW(Input!F22)-5,COLUMN()-2)+(INDEX(SEW,ROW(Input!F23)-5,COLUMN()-2)+INDEX(SEW,ROW(Input!F24)-5,COLUMN()-2))*Input!$H$441</f>
        <v>852.25371496736398</v>
      </c>
      <c r="N25" s="111">
        <f>INDEX(SEW,ROW(Input!G19)-5,COLUMN()-2)+INDEX(SEW,ROW(Input!G20)-5,COLUMN()-2)+INDEX(SEW,ROW(Input!G21)-5,COLUMN()-2)+INDEX(SEW,ROW(Input!G22)-5,COLUMN()-2)+(INDEX(SEW,ROW(Input!G23)-5,COLUMN()-2)+INDEX(SEW,ROW(Input!G24)-5,COLUMN()-2))*Input!$H$441</f>
        <v>860.04017741974405</v>
      </c>
      <c r="O25" s="111">
        <f>INDEX(SEW,ROW(Input!H19)-5,COLUMN()-2)+INDEX(SEW,ROW(Input!H20)-5,COLUMN()-2)+INDEX(SEW,ROW(Input!H21)-5,COLUMN()-2)+INDEX(SEW,ROW(Input!H22)-5,COLUMN()-2)+(INDEX(SEW,ROW(Input!H23)-5,COLUMN()-2)+INDEX(SEW,ROW(Input!H24)-5,COLUMN()-2))*Input!$H$441</f>
        <v>867.78085139023312</v>
      </c>
      <c r="Q25" s="5"/>
    </row>
    <row r="26" spans="1:17" s="53" customFormat="1">
      <c r="A26" s="21" t="s">
        <v>77</v>
      </c>
      <c r="B26" s="21" t="s">
        <v>69</v>
      </c>
      <c r="C26" s="51"/>
      <c r="D26" s="55" t="s">
        <v>29</v>
      </c>
      <c r="E26" s="52" t="s">
        <v>59</v>
      </c>
      <c r="F26" s="120"/>
      <c r="G26" s="120"/>
      <c r="H26" s="152"/>
      <c r="I26" s="120">
        <f>INDEX(SES,ROW(Input!B19)-5,COLUMN()-2)+INDEX(SES,ROW(Input!B20)-5,COLUMN()-2)+INDEX(SES,ROW(Input!B21)-5,COLUMN()-2)+INDEX(SES,ROW(Input!B22)-5,COLUMN()-2)+(INDEX(SES,ROW(Input!B23)-5,COLUMN()-2)+INDEX(SES,ROW(Input!B24)-5,COLUMN()-2))*Input!$H$441</f>
        <v>260.93899999999996</v>
      </c>
      <c r="J26" s="163">
        <f>INDEX(SES,ROW(Input!C19)-5,COLUMN()-2)+INDEX(SES,ROW(Input!C20)-5,COLUMN()-2)+INDEX(SES,ROW(Input!C21)-5,COLUMN()-2)+INDEX(SES,ROW(Input!C22)-5,COLUMN()-2)+(INDEX(SES,ROW(Input!C23)-5,COLUMN()-2)+INDEX(SES,ROW(Input!C24)-5,COLUMN()-2))*Input!$H$441</f>
        <v>263.58846825330602</v>
      </c>
      <c r="K26" s="482">
        <f>INDEX(SES,ROW(Input!D19)-5,COLUMN()-2)+INDEX(SES,ROW(Input!D20)-5,COLUMN()-2)+INDEX(SES,ROW(Input!D21)-5,COLUMN()-2)+INDEX(SES,ROW(Input!D22)-5,COLUMN()-2)+(INDEX(SES,ROW(Input!D23)-5,COLUMN()-2)+INDEX(SES,ROW(Input!D24)-5,COLUMN()-2))*Input!$H$441</f>
        <v>265.98207972472903</v>
      </c>
      <c r="L26" s="111">
        <f>INDEX(SES,ROW(Input!E19)-5,COLUMN()-2)+INDEX(SES,ROW(Input!E20)-5,COLUMN()-2)+INDEX(SES,ROW(Input!E21)-5,COLUMN()-2)+INDEX(SES,ROW(Input!E22)-5,COLUMN()-2)+(INDEX(SES,ROW(Input!E23)-5,COLUMN()-2)+INDEX(SES,ROW(Input!E24)-5,COLUMN()-2))*Input!$H$441</f>
        <v>268.38619911261401</v>
      </c>
      <c r="M26" s="111">
        <f>INDEX(SES,ROW(Input!F19)-5,COLUMN()-2)+INDEX(SES,ROW(Input!F20)-5,COLUMN()-2)+INDEX(SES,ROW(Input!F21)-5,COLUMN()-2)+INDEX(SES,ROW(Input!F22)-5,COLUMN()-2)+(INDEX(SES,ROW(Input!F23)-5,COLUMN()-2)+INDEX(SES,ROW(Input!F24)-5,COLUMN()-2))*Input!$H$441</f>
        <v>270.766179431019</v>
      </c>
      <c r="N26" s="111">
        <f>INDEX(SES,ROW(Input!G19)-5,COLUMN()-2)+INDEX(SES,ROW(Input!G20)-5,COLUMN()-2)+INDEX(SES,ROW(Input!G21)-5,COLUMN()-2)+INDEX(SES,ROW(Input!G22)-5,COLUMN()-2)+(INDEX(SES,ROW(Input!G23)-5,COLUMN()-2)+INDEX(SES,ROW(Input!G24)-5,COLUMN()-2))*Input!$H$441</f>
        <v>273.22354606129704</v>
      </c>
      <c r="O26" s="111">
        <f>INDEX(SES,ROW(Input!H19)-5,COLUMN()-2)+INDEX(SES,ROW(Input!H20)-5,COLUMN()-2)+INDEX(SES,ROW(Input!H21)-5,COLUMN()-2)+INDEX(SES,ROW(Input!H22)-5,COLUMN()-2)+(INDEX(SES,ROW(Input!H23)-5,COLUMN()-2)+INDEX(SES,ROW(Input!H24)-5,COLUMN()-2))*Input!$H$441</f>
        <v>275.68538030428397</v>
      </c>
      <c r="Q26" s="5"/>
    </row>
    <row r="27" spans="1:17" s="53" customFormat="1">
      <c r="C27" s="51"/>
      <c r="D27" s="55"/>
      <c r="E27" s="52"/>
      <c r="F27" s="120"/>
      <c r="G27" s="120"/>
      <c r="H27" s="120"/>
      <c r="I27" s="120"/>
      <c r="J27" s="163"/>
      <c r="K27" s="482"/>
      <c r="L27" s="111"/>
      <c r="M27" s="111"/>
      <c r="N27" s="111"/>
      <c r="O27" s="111"/>
      <c r="Q27" s="5"/>
    </row>
    <row r="28" spans="1:17">
      <c r="A28" s="27"/>
      <c r="B28" s="28"/>
      <c r="C28" s="29"/>
      <c r="D28" s="30"/>
      <c r="E28" s="32" t="s">
        <v>493</v>
      </c>
      <c r="F28" s="31"/>
      <c r="G28" s="583"/>
      <c r="H28" s="583"/>
      <c r="I28" s="583"/>
      <c r="J28" s="583"/>
      <c r="K28" s="584"/>
      <c r="L28" s="583"/>
      <c r="M28" s="583"/>
      <c r="N28" s="583"/>
      <c r="O28" s="583"/>
      <c r="Q28" s="5"/>
    </row>
    <row r="29" spans="1:17" s="21" customFormat="1">
      <c r="A29" s="21" t="s">
        <v>490</v>
      </c>
      <c r="B29" s="21" t="s">
        <v>69</v>
      </c>
      <c r="C29" s="51"/>
      <c r="D29" s="55" t="s">
        <v>10</v>
      </c>
      <c r="E29" s="52" t="s">
        <v>31</v>
      </c>
      <c r="F29" s="163"/>
      <c r="H29" s="163"/>
      <c r="I29" s="163">
        <f ca="1">'New costs and adjustments'!E695*Rebasing</f>
        <v>0.98727987108867132</v>
      </c>
      <c r="J29" s="163"/>
      <c r="K29" s="483"/>
      <c r="L29" s="224"/>
      <c r="M29" s="224"/>
      <c r="N29" s="224"/>
      <c r="O29" s="224"/>
      <c r="Q29" s="5"/>
    </row>
    <row r="30" spans="1:17" s="53" customFormat="1">
      <c r="A30" s="21" t="s">
        <v>490</v>
      </c>
      <c r="B30" s="21" t="s">
        <v>69</v>
      </c>
      <c r="C30" s="51"/>
      <c r="D30" s="55" t="s">
        <v>10</v>
      </c>
      <c r="E30" s="52" t="s">
        <v>32</v>
      </c>
      <c r="F30" s="163"/>
      <c r="G30" s="163"/>
      <c r="H30" s="163"/>
      <c r="I30" s="163">
        <f ca="1">'New costs and adjustments'!E696*Rebasing</f>
        <v>0</v>
      </c>
      <c r="J30" s="163"/>
      <c r="K30" s="483"/>
      <c r="L30" s="224"/>
      <c r="M30" s="224"/>
      <c r="N30" s="224"/>
      <c r="O30" s="224"/>
      <c r="Q30" s="5"/>
    </row>
    <row r="31" spans="1:17" s="53" customFormat="1">
      <c r="A31" s="21" t="s">
        <v>490</v>
      </c>
      <c r="B31" s="21" t="s">
        <v>69</v>
      </c>
      <c r="C31" s="51"/>
      <c r="D31" s="55" t="s">
        <v>10</v>
      </c>
      <c r="E31" s="52" t="s">
        <v>33</v>
      </c>
      <c r="F31" s="163"/>
      <c r="G31" s="163"/>
      <c r="H31" s="163"/>
      <c r="I31" s="163">
        <f ca="1">'New costs and adjustments'!E697*Rebasing</f>
        <v>1.7499242315839314</v>
      </c>
      <c r="J31" s="163"/>
      <c r="K31" s="483"/>
      <c r="L31" s="224"/>
      <c r="M31" s="224"/>
      <c r="N31" s="224"/>
      <c r="O31" s="224"/>
      <c r="Q31" s="5"/>
    </row>
    <row r="32" spans="1:17" s="53" customFormat="1">
      <c r="A32" s="21" t="s">
        <v>490</v>
      </c>
      <c r="B32" s="21" t="s">
        <v>69</v>
      </c>
      <c r="C32" s="51"/>
      <c r="D32" s="55" t="s">
        <v>10</v>
      </c>
      <c r="E32" s="52" t="s">
        <v>46</v>
      </c>
      <c r="F32" s="163"/>
      <c r="G32" s="163"/>
      <c r="H32" s="163"/>
      <c r="I32" s="163">
        <f ca="1">'New costs and adjustments'!E698*Rebasing</f>
        <v>1.9176454867779067</v>
      </c>
      <c r="J32" s="163"/>
      <c r="K32" s="483"/>
      <c r="L32" s="224"/>
      <c r="M32" s="224"/>
      <c r="N32" s="224"/>
      <c r="O32" s="224"/>
      <c r="Q32" s="5"/>
    </row>
    <row r="33" spans="1:17" s="53" customFormat="1">
      <c r="A33" s="21" t="s">
        <v>490</v>
      </c>
      <c r="B33" s="21" t="s">
        <v>69</v>
      </c>
      <c r="C33" s="51"/>
      <c r="D33" s="55" t="s">
        <v>10</v>
      </c>
      <c r="E33" s="52" t="s">
        <v>47</v>
      </c>
      <c r="F33" s="163"/>
      <c r="G33" s="163"/>
      <c r="H33" s="163"/>
      <c r="I33" s="163">
        <f ca="1">'New costs and adjustments'!E699*Rebasing</f>
        <v>0</v>
      </c>
      <c r="J33" s="163"/>
      <c r="K33" s="483"/>
      <c r="L33" s="224"/>
      <c r="M33" s="224"/>
      <c r="N33" s="224"/>
      <c r="O33" s="224"/>
      <c r="Q33" s="5"/>
    </row>
    <row r="34" spans="1:17" s="53" customFormat="1">
      <c r="A34" s="21" t="s">
        <v>490</v>
      </c>
      <c r="B34" s="21" t="s">
        <v>69</v>
      </c>
      <c r="C34" s="51"/>
      <c r="D34" s="55" t="s">
        <v>10</v>
      </c>
      <c r="E34" s="52" t="s">
        <v>48</v>
      </c>
      <c r="F34" s="163"/>
      <c r="G34" s="163"/>
      <c r="H34" s="163"/>
      <c r="I34" s="163">
        <f ca="1">'New costs and adjustments'!E700*Rebasing</f>
        <v>0</v>
      </c>
      <c r="J34" s="163"/>
      <c r="K34" s="483"/>
      <c r="L34" s="224"/>
      <c r="M34" s="224"/>
      <c r="N34" s="224"/>
      <c r="O34" s="224"/>
      <c r="Q34" s="5"/>
    </row>
    <row r="35" spans="1:17" s="53" customFormat="1">
      <c r="A35" s="21" t="s">
        <v>490</v>
      </c>
      <c r="B35" s="21" t="s">
        <v>69</v>
      </c>
      <c r="C35" s="51"/>
      <c r="D35" s="55" t="s">
        <v>10</v>
      </c>
      <c r="E35" s="52" t="s">
        <v>49</v>
      </c>
      <c r="F35" s="163"/>
      <c r="G35" s="163"/>
      <c r="H35" s="163"/>
      <c r="I35" s="163">
        <f ca="1">'New costs and adjustments'!E701*Rebasing</f>
        <v>1.72934290213443</v>
      </c>
      <c r="J35" s="163"/>
      <c r="K35" s="483"/>
      <c r="L35" s="224"/>
      <c r="M35" s="224"/>
      <c r="N35" s="224"/>
      <c r="O35" s="224"/>
      <c r="Q35" s="5"/>
    </row>
    <row r="36" spans="1:17" s="53" customFormat="1">
      <c r="A36" s="21" t="s">
        <v>490</v>
      </c>
      <c r="B36" s="21" t="s">
        <v>69</v>
      </c>
      <c r="C36" s="51"/>
      <c r="D36" s="55" t="s">
        <v>10</v>
      </c>
      <c r="E36" s="52" t="s">
        <v>50</v>
      </c>
      <c r="F36" s="163"/>
      <c r="G36" s="163"/>
      <c r="H36" s="163"/>
      <c r="I36" s="163">
        <f ca="1">'New costs and adjustments'!E702*Rebasing</f>
        <v>1.9127827751781294</v>
      </c>
      <c r="J36" s="163"/>
      <c r="K36" s="483"/>
      <c r="L36" s="224"/>
      <c r="M36" s="224"/>
      <c r="N36" s="224"/>
      <c r="O36" s="224"/>
      <c r="Q36" s="5"/>
    </row>
    <row r="37" spans="1:17" s="53" customFormat="1">
      <c r="A37" s="21" t="s">
        <v>490</v>
      </c>
      <c r="B37" s="21" t="s">
        <v>69</v>
      </c>
      <c r="C37" s="51"/>
      <c r="D37" s="55" t="s">
        <v>10</v>
      </c>
      <c r="E37" s="52" t="s">
        <v>51</v>
      </c>
      <c r="F37" s="163"/>
      <c r="G37" s="163"/>
      <c r="H37" s="163"/>
      <c r="I37" s="163">
        <f ca="1">'New costs and adjustments'!E703*Rebasing</f>
        <v>0.61605643850591385</v>
      </c>
      <c r="J37" s="163"/>
      <c r="K37" s="483"/>
      <c r="L37" s="224"/>
      <c r="M37" s="224"/>
      <c r="N37" s="224"/>
      <c r="O37" s="224"/>
      <c r="Q37" s="5"/>
    </row>
    <row r="38" spans="1:17" s="53" customFormat="1">
      <c r="A38" s="21" t="s">
        <v>490</v>
      </c>
      <c r="B38" s="21" t="s">
        <v>69</v>
      </c>
      <c r="C38" s="51"/>
      <c r="D38" s="55" t="s">
        <v>10</v>
      </c>
      <c r="E38" s="52" t="s">
        <v>52</v>
      </c>
      <c r="F38" s="163"/>
      <c r="G38" s="163"/>
      <c r="H38" s="163"/>
      <c r="I38" s="163">
        <f ca="1">'New costs and adjustments'!E704*Rebasing</f>
        <v>0</v>
      </c>
      <c r="J38" s="163"/>
      <c r="K38" s="483"/>
      <c r="L38" s="224"/>
      <c r="M38" s="224"/>
      <c r="N38" s="224"/>
      <c r="O38" s="224"/>
      <c r="Q38" s="5"/>
    </row>
    <row r="39" spans="1:17" s="53" customFormat="1">
      <c r="A39" s="21" t="s">
        <v>490</v>
      </c>
      <c r="B39" s="21" t="s">
        <v>69</v>
      </c>
      <c r="C39" s="51"/>
      <c r="D39" s="55" t="s">
        <v>10</v>
      </c>
      <c r="E39" s="52" t="s">
        <v>53</v>
      </c>
      <c r="F39" s="163"/>
      <c r="G39" s="163"/>
      <c r="H39" s="163"/>
      <c r="I39" s="163">
        <f ca="1">'New costs and adjustments'!E705*Rebasing</f>
        <v>0</v>
      </c>
      <c r="J39" s="163"/>
      <c r="K39" s="483"/>
      <c r="L39" s="224"/>
      <c r="M39" s="224"/>
      <c r="N39" s="224"/>
      <c r="O39" s="224"/>
      <c r="Q39" s="5"/>
    </row>
    <row r="40" spans="1:17" s="53" customFormat="1">
      <c r="A40" s="21" t="s">
        <v>490</v>
      </c>
      <c r="B40" s="21" t="s">
        <v>69</v>
      </c>
      <c r="C40" s="51"/>
      <c r="D40" s="55" t="s">
        <v>10</v>
      </c>
      <c r="E40" s="52" t="s">
        <v>54</v>
      </c>
      <c r="F40" s="163"/>
      <c r="G40" s="163"/>
      <c r="H40" s="163"/>
      <c r="I40" s="163">
        <f ca="1">'New costs and adjustments'!E706*Rebasing</f>
        <v>0.17409604273237314</v>
      </c>
      <c r="J40" s="163"/>
      <c r="K40" s="483"/>
      <c r="L40" s="224"/>
      <c r="M40" s="224"/>
      <c r="N40" s="224"/>
      <c r="O40" s="224"/>
      <c r="Q40" s="5"/>
    </row>
    <row r="41" spans="1:17" s="53" customFormat="1">
      <c r="A41" s="21" t="s">
        <v>490</v>
      </c>
      <c r="B41" s="21" t="s">
        <v>69</v>
      </c>
      <c r="C41" s="51"/>
      <c r="D41" s="55" t="s">
        <v>10</v>
      </c>
      <c r="E41" s="52" t="s">
        <v>66</v>
      </c>
      <c r="F41" s="163"/>
      <c r="G41" s="163"/>
      <c r="H41" s="163"/>
      <c r="I41" s="163">
        <f ca="1">'New costs and adjustments'!E711*Rebasing</f>
        <v>0.344316107561489</v>
      </c>
      <c r="J41" s="163"/>
      <c r="K41" s="483"/>
      <c r="L41" s="224"/>
      <c r="M41" s="224"/>
      <c r="N41" s="224"/>
      <c r="O41" s="224"/>
      <c r="Q41" s="5"/>
    </row>
    <row r="42" spans="1:17" s="53" customFormat="1">
      <c r="A42" s="21" t="s">
        <v>490</v>
      </c>
      <c r="B42" s="21" t="s">
        <v>69</v>
      </c>
      <c r="C42" s="51"/>
      <c r="D42" s="55" t="s">
        <v>10</v>
      </c>
      <c r="E42" s="52" t="s">
        <v>55</v>
      </c>
      <c r="F42" s="163"/>
      <c r="G42" s="163"/>
      <c r="H42" s="163"/>
      <c r="I42" s="163">
        <f ca="1">'New costs and adjustments'!E707*Rebasing</f>
        <v>1.6455320268172199E-2</v>
      </c>
      <c r="J42" s="163"/>
      <c r="K42" s="483"/>
      <c r="L42" s="224"/>
      <c r="M42" s="224"/>
      <c r="N42" s="224"/>
      <c r="O42" s="224"/>
      <c r="Q42" s="5"/>
    </row>
    <row r="43" spans="1:17" s="53" customFormat="1">
      <c r="A43" s="21" t="s">
        <v>490</v>
      </c>
      <c r="B43" s="21" t="s">
        <v>69</v>
      </c>
      <c r="C43" s="51"/>
      <c r="D43" s="55" t="s">
        <v>10</v>
      </c>
      <c r="E43" s="52" t="s">
        <v>56</v>
      </c>
      <c r="F43" s="163"/>
      <c r="G43" s="163"/>
      <c r="H43" s="163"/>
      <c r="I43" s="163">
        <f ca="1">'New costs and adjustments'!E708*Rebasing</f>
        <v>0</v>
      </c>
      <c r="J43" s="163"/>
      <c r="K43" s="483"/>
      <c r="L43" s="224"/>
      <c r="M43" s="224"/>
      <c r="N43" s="224"/>
      <c r="O43" s="224"/>
      <c r="Q43" s="5"/>
    </row>
    <row r="44" spans="1:17" s="53" customFormat="1" ht="12.6" customHeight="1">
      <c r="A44" s="21" t="s">
        <v>490</v>
      </c>
      <c r="B44" s="21" t="s">
        <v>69</v>
      </c>
      <c r="C44" s="51"/>
      <c r="D44" s="55" t="s">
        <v>10</v>
      </c>
      <c r="E44" s="52" t="s">
        <v>57</v>
      </c>
      <c r="F44" s="163"/>
      <c r="G44" s="163"/>
      <c r="H44" s="163"/>
      <c r="I44" s="163">
        <f ca="1">'New costs and adjustments'!E709*Rebasing</f>
        <v>0.31826770822676864</v>
      </c>
      <c r="J44" s="163"/>
      <c r="K44" s="483"/>
      <c r="L44" s="224"/>
      <c r="M44" s="224"/>
      <c r="N44" s="224"/>
      <c r="O44" s="224"/>
      <c r="Q44" s="5"/>
    </row>
    <row r="45" spans="1:17" s="53" customFormat="1">
      <c r="A45" s="21" t="s">
        <v>490</v>
      </c>
      <c r="B45" s="21" t="s">
        <v>69</v>
      </c>
      <c r="C45" s="51"/>
      <c r="D45" s="55" t="s">
        <v>10</v>
      </c>
      <c r="E45" s="52" t="s">
        <v>58</v>
      </c>
      <c r="F45" s="163"/>
      <c r="G45" s="163"/>
      <c r="H45" s="163"/>
      <c r="I45" s="163">
        <f ca="1">'New costs and adjustments'!E710*Rebasing</f>
        <v>0</v>
      </c>
      <c r="J45" s="163"/>
      <c r="K45" s="483"/>
      <c r="L45" s="224"/>
      <c r="M45" s="224"/>
      <c r="N45" s="224"/>
      <c r="O45" s="224"/>
      <c r="Q45" s="5"/>
    </row>
    <row r="46" spans="1:17" s="53" customFormat="1">
      <c r="A46" s="21" t="s">
        <v>490</v>
      </c>
      <c r="B46" s="21" t="s">
        <v>69</v>
      </c>
      <c r="C46" s="51"/>
      <c r="D46" s="55" t="s">
        <v>10</v>
      </c>
      <c r="E46" s="52" t="s">
        <v>59</v>
      </c>
      <c r="F46" s="163"/>
      <c r="G46" s="163"/>
      <c r="H46" s="163"/>
      <c r="I46" s="163">
        <f ca="1">'New costs and adjustments'!E712*Rebasing</f>
        <v>0</v>
      </c>
      <c r="J46" s="163"/>
      <c r="K46" s="483"/>
      <c r="L46" s="224"/>
      <c r="M46" s="224"/>
      <c r="N46" s="224"/>
      <c r="O46" s="224"/>
      <c r="Q46" s="5"/>
    </row>
    <row r="47" spans="1:17" s="53" customFormat="1">
      <c r="C47" s="51"/>
      <c r="D47" s="55"/>
      <c r="E47" s="52"/>
      <c r="F47" s="163"/>
      <c r="G47" s="163"/>
      <c r="H47" s="163"/>
      <c r="I47" s="163"/>
      <c r="J47" s="163"/>
      <c r="K47" s="482"/>
      <c r="L47" s="111"/>
      <c r="M47" s="111"/>
      <c r="N47" s="111"/>
      <c r="O47" s="111"/>
      <c r="Q47" s="5"/>
    </row>
    <row r="48" spans="1:17">
      <c r="A48" s="27"/>
      <c r="B48" s="28"/>
      <c r="C48" s="29"/>
      <c r="D48" s="30"/>
      <c r="E48" s="32" t="s">
        <v>494</v>
      </c>
      <c r="F48" s="31"/>
      <c r="G48" s="31"/>
      <c r="H48" s="31"/>
      <c r="I48" s="583"/>
      <c r="J48" s="583"/>
      <c r="K48" s="584"/>
      <c r="L48" s="583"/>
      <c r="M48" s="583"/>
      <c r="N48" s="583"/>
      <c r="O48" s="583"/>
      <c r="Q48" s="5"/>
    </row>
    <row r="49" spans="1:17" s="21" customFormat="1">
      <c r="A49" s="21" t="s">
        <v>490</v>
      </c>
      <c r="B49" s="21" t="s">
        <v>69</v>
      </c>
      <c r="C49" s="51"/>
      <c r="D49" s="55" t="s">
        <v>30</v>
      </c>
      <c r="E49" s="52" t="s">
        <v>31</v>
      </c>
      <c r="F49" s="163"/>
      <c r="H49" s="163"/>
      <c r="I49" s="161">
        <f ca="1">'New costs and adjustments'!E675*Rebasing</f>
        <v>0.30651533978294476</v>
      </c>
      <c r="J49" s="163"/>
      <c r="K49" s="483"/>
      <c r="L49" s="224"/>
      <c r="M49" s="224"/>
      <c r="N49" s="224"/>
      <c r="O49" s="224"/>
      <c r="P49" s="585"/>
      <c r="Q49" s="5"/>
    </row>
    <row r="50" spans="1:17" s="53" customFormat="1">
      <c r="A50" s="21" t="s">
        <v>490</v>
      </c>
      <c r="B50" s="21" t="s">
        <v>69</v>
      </c>
      <c r="C50" s="51"/>
      <c r="D50" s="55" t="s">
        <v>30</v>
      </c>
      <c r="E50" s="52" t="s">
        <v>32</v>
      </c>
      <c r="F50" s="163"/>
      <c r="G50" s="163"/>
      <c r="H50" s="163"/>
      <c r="I50" s="161">
        <f ca="1">'New costs and adjustments'!E676*Rebasing</f>
        <v>0</v>
      </c>
      <c r="J50" s="163"/>
      <c r="K50" s="483"/>
      <c r="L50" s="224"/>
      <c r="M50" s="224"/>
      <c r="N50" s="224"/>
      <c r="O50" s="224"/>
      <c r="P50" s="585"/>
      <c r="Q50" s="5"/>
    </row>
    <row r="51" spans="1:17" s="53" customFormat="1">
      <c r="A51" s="21" t="s">
        <v>490</v>
      </c>
      <c r="B51" s="21" t="s">
        <v>69</v>
      </c>
      <c r="C51" s="51"/>
      <c r="D51" s="55" t="s">
        <v>30</v>
      </c>
      <c r="E51" s="52" t="s">
        <v>33</v>
      </c>
      <c r="F51" s="163"/>
      <c r="G51" s="163"/>
      <c r="H51" s="163"/>
      <c r="I51" s="161">
        <f ca="1">'New costs and adjustments'!E677*Rebasing</f>
        <v>0.81023270593786045</v>
      </c>
      <c r="J51" s="163"/>
      <c r="K51" s="483"/>
      <c r="L51" s="224"/>
      <c r="M51" s="224"/>
      <c r="N51" s="224"/>
      <c r="O51" s="224"/>
      <c r="P51" s="585"/>
      <c r="Q51" s="5"/>
    </row>
    <row r="52" spans="1:17" s="53" customFormat="1">
      <c r="A52" s="21" t="s">
        <v>490</v>
      </c>
      <c r="B52" s="21" t="s">
        <v>69</v>
      </c>
      <c r="C52" s="51"/>
      <c r="D52" s="55" t="s">
        <v>30</v>
      </c>
      <c r="E52" s="52" t="s">
        <v>46</v>
      </c>
      <c r="F52" s="163"/>
      <c r="G52" s="163"/>
      <c r="H52" s="163"/>
      <c r="I52" s="161">
        <f ca="1">'New costs and adjustments'!E678*Rebasing</f>
        <v>0.40669841312866389</v>
      </c>
      <c r="J52" s="163"/>
      <c r="K52" s="483"/>
      <c r="L52" s="224"/>
      <c r="M52" s="224"/>
      <c r="N52" s="224"/>
      <c r="O52" s="224"/>
      <c r="P52" s="585"/>
      <c r="Q52" s="5"/>
    </row>
    <row r="53" spans="1:17" s="53" customFormat="1">
      <c r="A53" s="21" t="s">
        <v>490</v>
      </c>
      <c r="B53" s="21" t="s">
        <v>69</v>
      </c>
      <c r="C53" s="51"/>
      <c r="D53" s="55" t="s">
        <v>30</v>
      </c>
      <c r="E53" s="52" t="s">
        <v>47</v>
      </c>
      <c r="F53" s="163"/>
      <c r="G53" s="163"/>
      <c r="H53" s="163"/>
      <c r="I53" s="161">
        <f ca="1">'New costs and adjustments'!E679*Rebasing</f>
        <v>0</v>
      </c>
      <c r="J53" s="163"/>
      <c r="K53" s="483"/>
      <c r="L53" s="224"/>
      <c r="M53" s="224"/>
      <c r="N53" s="224"/>
      <c r="O53" s="224"/>
      <c r="P53" s="585"/>
      <c r="Q53" s="5"/>
    </row>
    <row r="54" spans="1:17" s="53" customFormat="1">
      <c r="A54" s="21" t="s">
        <v>490</v>
      </c>
      <c r="B54" s="21" t="s">
        <v>69</v>
      </c>
      <c r="C54" s="51"/>
      <c r="D54" s="55" t="s">
        <v>30</v>
      </c>
      <c r="E54" s="52" t="s">
        <v>48</v>
      </c>
      <c r="F54" s="163"/>
      <c r="G54" s="163"/>
      <c r="H54" s="163"/>
      <c r="I54" s="161">
        <f ca="1">'New costs and adjustments'!E680*Rebasing</f>
        <v>0</v>
      </c>
      <c r="J54" s="163"/>
      <c r="K54" s="483"/>
      <c r="L54" s="224"/>
      <c r="M54" s="224"/>
      <c r="N54" s="224"/>
      <c r="O54" s="224"/>
      <c r="P54" s="585"/>
      <c r="Q54" s="5"/>
    </row>
    <row r="55" spans="1:17" s="53" customFormat="1">
      <c r="A55" s="21" t="s">
        <v>490</v>
      </c>
      <c r="B55" s="21" t="s">
        <v>69</v>
      </c>
      <c r="C55" s="51"/>
      <c r="D55" s="55" t="s">
        <v>30</v>
      </c>
      <c r="E55" s="52" t="s">
        <v>49</v>
      </c>
      <c r="F55" s="163"/>
      <c r="G55" s="163"/>
      <c r="H55" s="163"/>
      <c r="I55" s="161">
        <f ca="1">'New costs and adjustments'!E681*Rebasing</f>
        <v>0.27588007791236174</v>
      </c>
      <c r="J55" s="163"/>
      <c r="K55" s="483"/>
      <c r="L55" s="224"/>
      <c r="M55" s="224"/>
      <c r="N55" s="224"/>
      <c r="O55" s="224"/>
      <c r="P55" s="585"/>
      <c r="Q55" s="5"/>
    </row>
    <row r="56" spans="1:17" s="53" customFormat="1">
      <c r="A56" s="21" t="s">
        <v>490</v>
      </c>
      <c r="B56" s="21" t="s">
        <v>69</v>
      </c>
      <c r="C56" s="51"/>
      <c r="D56" s="55" t="s">
        <v>30</v>
      </c>
      <c r="E56" s="52" t="s">
        <v>50</v>
      </c>
      <c r="F56" s="163"/>
      <c r="G56" s="163"/>
      <c r="H56" s="163"/>
      <c r="I56" s="161">
        <f ca="1">'New costs and adjustments'!E682*Rebasing</f>
        <v>0.50976237183687023</v>
      </c>
      <c r="J56" s="163"/>
      <c r="K56" s="483"/>
      <c r="L56" s="224"/>
      <c r="M56" s="224"/>
      <c r="N56" s="224"/>
      <c r="O56" s="224"/>
      <c r="P56" s="585"/>
      <c r="Q56" s="5"/>
    </row>
    <row r="57" spans="1:17" s="53" customFormat="1">
      <c r="A57" s="21" t="s">
        <v>490</v>
      </c>
      <c r="B57" s="21" t="s">
        <v>69</v>
      </c>
      <c r="C57" s="51"/>
      <c r="D57" s="55" t="s">
        <v>30</v>
      </c>
      <c r="E57" s="52" t="s">
        <v>51</v>
      </c>
      <c r="F57" s="163"/>
      <c r="G57" s="163"/>
      <c r="H57" s="163"/>
      <c r="I57" s="161">
        <f ca="1">'New costs and adjustments'!E683*Rebasing</f>
        <v>0.48186732647182223</v>
      </c>
      <c r="J57" s="163"/>
      <c r="K57" s="483"/>
      <c r="L57" s="224"/>
      <c r="M57" s="224"/>
      <c r="N57" s="224"/>
      <c r="O57" s="224"/>
      <c r="P57" s="585"/>
      <c r="Q57" s="5"/>
    </row>
    <row r="58" spans="1:17" s="53" customFormat="1">
      <c r="A58" s="21" t="s">
        <v>490</v>
      </c>
      <c r="B58" s="21" t="s">
        <v>69</v>
      </c>
      <c r="C58" s="51"/>
      <c r="D58" s="55" t="s">
        <v>30</v>
      </c>
      <c r="E58" s="52" t="s">
        <v>52</v>
      </c>
      <c r="F58" s="163"/>
      <c r="G58" s="163"/>
      <c r="H58" s="163"/>
      <c r="I58" s="161">
        <f ca="1">'New costs and adjustments'!E684*Rebasing</f>
        <v>0</v>
      </c>
      <c r="J58" s="163"/>
      <c r="K58" s="483"/>
      <c r="L58" s="224"/>
      <c r="M58" s="224"/>
      <c r="N58" s="224"/>
      <c r="O58" s="224"/>
      <c r="P58" s="585"/>
      <c r="Q58" s="5"/>
    </row>
    <row r="59" spans="1:17" s="53" customFormat="1">
      <c r="A59" s="21" t="s">
        <v>490</v>
      </c>
      <c r="B59" s="21" t="s">
        <v>69</v>
      </c>
      <c r="C59" s="51"/>
      <c r="D59" s="55" t="s">
        <v>30</v>
      </c>
      <c r="E59" s="52" t="s">
        <v>53</v>
      </c>
      <c r="F59" s="163"/>
      <c r="G59" s="163"/>
      <c r="H59" s="163"/>
      <c r="I59" s="161">
        <f ca="1">'New costs and adjustments'!E685*Rebasing</f>
        <v>0</v>
      </c>
      <c r="J59" s="163"/>
      <c r="K59" s="483"/>
      <c r="L59" s="224"/>
      <c r="M59" s="224"/>
      <c r="N59" s="224"/>
      <c r="O59" s="224"/>
      <c r="P59" s="585"/>
      <c r="Q59" s="5"/>
    </row>
    <row r="60" spans="1:17" s="53" customFormat="1">
      <c r="A60" s="21" t="s">
        <v>490</v>
      </c>
      <c r="B60" s="21" t="s">
        <v>69</v>
      </c>
      <c r="C60" s="51"/>
      <c r="D60" s="55" t="s">
        <v>30</v>
      </c>
      <c r="E60" s="52" t="s">
        <v>54</v>
      </c>
      <c r="F60" s="163"/>
      <c r="G60" s="163"/>
      <c r="H60" s="163"/>
      <c r="I60" s="161">
        <f ca="1">'New costs and adjustments'!E686*Rebasing</f>
        <v>0.36795105723845112</v>
      </c>
      <c r="J60" s="163"/>
      <c r="K60" s="483"/>
      <c r="L60" s="224"/>
      <c r="M60" s="224"/>
      <c r="N60" s="224"/>
      <c r="O60" s="224"/>
      <c r="P60" s="585"/>
      <c r="Q60" s="5"/>
    </row>
    <row r="61" spans="1:17" s="53" customFormat="1">
      <c r="A61" s="21" t="s">
        <v>490</v>
      </c>
      <c r="B61" s="21" t="s">
        <v>69</v>
      </c>
      <c r="C61" s="51"/>
      <c r="D61" s="55" t="s">
        <v>30</v>
      </c>
      <c r="E61" s="52" t="s">
        <v>66</v>
      </c>
      <c r="F61" s="163"/>
      <c r="G61" s="163"/>
      <c r="H61" s="163"/>
      <c r="I61" s="161">
        <f ca="1">'New costs and adjustments'!E691*Rebasing</f>
        <v>0.53109261843789102</v>
      </c>
      <c r="J61" s="163"/>
      <c r="K61" s="483"/>
      <c r="L61" s="224"/>
      <c r="M61" s="224"/>
      <c r="N61" s="224"/>
      <c r="O61" s="224"/>
      <c r="P61" s="585"/>
      <c r="Q61" s="5"/>
    </row>
    <row r="62" spans="1:17" s="53" customFormat="1">
      <c r="A62" s="21" t="s">
        <v>490</v>
      </c>
      <c r="B62" s="21" t="s">
        <v>69</v>
      </c>
      <c r="C62" s="51"/>
      <c r="D62" s="55" t="s">
        <v>30</v>
      </c>
      <c r="E62" s="52" t="s">
        <v>55</v>
      </c>
      <c r="F62" s="163"/>
      <c r="G62" s="163"/>
      <c r="H62" s="163"/>
      <c r="I62" s="161">
        <f ca="1">'New costs and adjustments'!E687*Rebasing</f>
        <v>0.14495652946354529</v>
      </c>
      <c r="J62" s="163"/>
      <c r="K62" s="483"/>
      <c r="L62" s="224"/>
      <c r="M62" s="224"/>
      <c r="N62" s="224"/>
      <c r="O62" s="224"/>
      <c r="P62" s="585"/>
      <c r="Q62" s="5"/>
    </row>
    <row r="63" spans="1:17" s="53" customFormat="1">
      <c r="A63" s="21" t="s">
        <v>490</v>
      </c>
      <c r="B63" s="21" t="s">
        <v>69</v>
      </c>
      <c r="C63" s="51"/>
      <c r="D63" s="55" t="s">
        <v>30</v>
      </c>
      <c r="E63" s="52" t="s">
        <v>56</v>
      </c>
      <c r="F63" s="163"/>
      <c r="G63" s="163"/>
      <c r="H63" s="163"/>
      <c r="I63" s="161">
        <f ca="1">'New costs and adjustments'!E688*Rebasing</f>
        <v>0</v>
      </c>
      <c r="J63" s="163"/>
      <c r="K63" s="483"/>
      <c r="L63" s="224"/>
      <c r="M63" s="224"/>
      <c r="N63" s="224"/>
      <c r="O63" s="224"/>
      <c r="P63" s="585"/>
      <c r="Q63" s="5"/>
    </row>
    <row r="64" spans="1:17" s="53" customFormat="1" ht="12.6" customHeight="1">
      <c r="A64" s="21" t="s">
        <v>490</v>
      </c>
      <c r="B64" s="21" t="s">
        <v>69</v>
      </c>
      <c r="C64" s="51"/>
      <c r="D64" s="55" t="s">
        <v>30</v>
      </c>
      <c r="E64" s="52" t="s">
        <v>57</v>
      </c>
      <c r="F64" s="163"/>
      <c r="G64" s="163"/>
      <c r="H64" s="163"/>
      <c r="I64" s="161">
        <f ca="1">'New costs and adjustments'!E689*Rebasing</f>
        <v>1.7119358630030963</v>
      </c>
      <c r="J64" s="163"/>
      <c r="K64" s="483"/>
      <c r="L64" s="224"/>
      <c r="M64" s="224"/>
      <c r="N64" s="224"/>
      <c r="O64" s="224"/>
      <c r="P64" s="585"/>
      <c r="Q64" s="5"/>
    </row>
    <row r="65" spans="1:19" s="53" customFormat="1">
      <c r="A65" s="21" t="s">
        <v>490</v>
      </c>
      <c r="B65" s="21" t="s">
        <v>69</v>
      </c>
      <c r="C65" s="51"/>
      <c r="D65" s="55" t="s">
        <v>30</v>
      </c>
      <c r="E65" s="52" t="s">
        <v>58</v>
      </c>
      <c r="F65" s="163"/>
      <c r="G65" s="163"/>
      <c r="H65" s="163"/>
      <c r="I65" s="161">
        <f ca="1">'New costs and adjustments'!E690*Rebasing</f>
        <v>0</v>
      </c>
      <c r="J65" s="163"/>
      <c r="K65" s="483"/>
      <c r="L65" s="224"/>
      <c r="M65" s="224"/>
      <c r="N65" s="224"/>
      <c r="O65" s="224"/>
      <c r="P65" s="585"/>
      <c r="Q65" s="5"/>
    </row>
    <row r="66" spans="1:19" s="53" customFormat="1">
      <c r="A66" s="21" t="s">
        <v>490</v>
      </c>
      <c r="B66" s="21" t="s">
        <v>69</v>
      </c>
      <c r="C66" s="51"/>
      <c r="D66" s="55" t="s">
        <v>30</v>
      </c>
      <c r="E66" s="52" t="s">
        <v>59</v>
      </c>
      <c r="F66" s="163"/>
      <c r="G66" s="163"/>
      <c r="H66" s="163"/>
      <c r="I66" s="161">
        <f ca="1">'New costs and adjustments'!E692*Rebasing</f>
        <v>0</v>
      </c>
      <c r="J66" s="163"/>
      <c r="K66" s="483"/>
      <c r="L66" s="224"/>
      <c r="M66" s="224"/>
      <c r="N66" s="224"/>
      <c r="O66" s="224"/>
      <c r="P66" s="585"/>
      <c r="Q66" s="5"/>
    </row>
    <row r="67" spans="1:19" s="53" customFormat="1">
      <c r="C67" s="51"/>
      <c r="D67" s="55"/>
      <c r="E67" s="52"/>
      <c r="F67" s="163"/>
      <c r="G67" s="163"/>
      <c r="H67" s="163"/>
      <c r="I67" s="163"/>
      <c r="J67" s="163"/>
      <c r="K67" s="482"/>
      <c r="L67" s="111"/>
      <c r="M67" s="111"/>
      <c r="N67" s="111"/>
      <c r="O67" s="111"/>
      <c r="Q67" s="5"/>
    </row>
    <row r="68" spans="1:19" ht="51">
      <c r="A68" s="27"/>
      <c r="B68" s="28"/>
      <c r="C68" s="29"/>
      <c r="D68" s="30"/>
      <c r="E68" s="191" t="s">
        <v>510</v>
      </c>
      <c r="F68" s="31"/>
      <c r="G68" s="31"/>
      <c r="H68" s="31"/>
      <c r="I68" s="31"/>
      <c r="J68" s="472"/>
      <c r="K68" s="480"/>
      <c r="L68" s="31"/>
      <c r="M68" s="31"/>
      <c r="N68" s="31"/>
      <c r="O68" s="31"/>
      <c r="Q68" s="5"/>
    </row>
    <row r="69" spans="1:19" s="53" customFormat="1">
      <c r="A69" s="53" t="s">
        <v>140</v>
      </c>
      <c r="B69" s="53" t="s">
        <v>69</v>
      </c>
      <c r="C69" s="51"/>
      <c r="D69" s="55" t="s">
        <v>10</v>
      </c>
      <c r="E69" s="52" t="s">
        <v>31</v>
      </c>
      <c r="F69" s="128"/>
      <c r="G69" s="128"/>
      <c r="H69" s="127"/>
      <c r="I69" s="343">
        <f ca="1">INDEX(ANH,ROW(Input!B9)-5,COLUMN()-2)-INDEX(ANH,ROW(Input!B14)-5,COLUMN()-2)-INDEX(ANH,ROW(Input!B15)-5,COLUMN()-2)-INDEX(ANH,ROW(Input!B16)-5,COLUMN()-2)+INDEX(ANH,ROW(Input!B10)-5,COLUMN()-2)+I29</f>
        <v>65.809903511583187</v>
      </c>
      <c r="J69" s="473"/>
      <c r="K69" s="484"/>
      <c r="L69" s="112"/>
      <c r="M69" s="156"/>
      <c r="N69" s="156"/>
      <c r="O69" s="156"/>
      <c r="Q69" s="5"/>
    </row>
    <row r="70" spans="1:19" s="53" customFormat="1">
      <c r="A70" s="53" t="s">
        <v>140</v>
      </c>
      <c r="B70" s="53" t="s">
        <v>69</v>
      </c>
      <c r="C70" s="51"/>
      <c r="D70" s="55" t="s">
        <v>10</v>
      </c>
      <c r="E70" s="52" t="s">
        <v>32</v>
      </c>
      <c r="F70" s="126"/>
      <c r="G70" s="126"/>
      <c r="H70" s="152"/>
      <c r="I70" s="343">
        <f ca="1">INDEX(WSH,ROW(Input!B9)-5,COLUMN()-2)-INDEX(WSH,ROW(Input!B14)-5,COLUMN()-2)-INDEX(WSH,ROW(Input!B15)-5,COLUMN()-2)-INDEX(WSH,ROW(Input!B16)-5,COLUMN()-2)+INDEX(WSH,ROW(Input!B10)-5,COLUMN()-2)+I30</f>
        <v>41.527719331795026</v>
      </c>
      <c r="J70" s="127"/>
      <c r="K70" s="484"/>
      <c r="L70" s="112"/>
      <c r="M70" s="156"/>
      <c r="N70" s="156"/>
      <c r="O70" s="156"/>
      <c r="Q70" s="5"/>
    </row>
    <row r="71" spans="1:19" s="53" customFormat="1">
      <c r="A71" s="53" t="s">
        <v>140</v>
      </c>
      <c r="B71" s="53" t="s">
        <v>69</v>
      </c>
      <c r="C71" s="51"/>
      <c r="D71" s="55" t="s">
        <v>10</v>
      </c>
      <c r="E71" s="52" t="s">
        <v>33</v>
      </c>
      <c r="F71" s="126"/>
      <c r="G71" s="126"/>
      <c r="H71" s="152"/>
      <c r="I71" s="343">
        <f ca="1">INDEX(NES,ROW(Input!B9)-5,COLUMN()-2)-INDEX(NES,ROW(Input!B14)-5,COLUMN()-2)-INDEX(NES,ROW(Input!B15)-5,COLUMN()-2)-INDEX(NES,ROW(Input!B16)-5,COLUMN()-2)+INDEX(NES,ROW(Input!B10)-5,COLUMN()-2)+I31</f>
        <v>47.245921020510991</v>
      </c>
      <c r="J71" s="127"/>
      <c r="K71" s="484"/>
      <c r="L71" s="112"/>
      <c r="M71" s="156"/>
      <c r="N71" s="156"/>
      <c r="O71" s="156"/>
      <c r="Q71" s="5"/>
    </row>
    <row r="72" spans="1:19" s="53" customFormat="1">
      <c r="A72" s="53" t="s">
        <v>140</v>
      </c>
      <c r="B72" s="53" t="s">
        <v>69</v>
      </c>
      <c r="C72" s="51"/>
      <c r="D72" s="55" t="s">
        <v>10</v>
      </c>
      <c r="E72" s="52" t="s">
        <v>46</v>
      </c>
      <c r="F72" s="126"/>
      <c r="G72" s="126"/>
      <c r="H72" s="152"/>
      <c r="I72" s="343">
        <f ca="1">INDEX(SVT,ROW(Input!B9)-5,COLUMN()-2)-INDEX(SVT,ROW(Input!B14)-5,COLUMN()-2)-INDEX(SVT,ROW(Input!B15)-5,COLUMN()-2)-INDEX(SVT,ROW(Input!B16)-5,COLUMN()-2)+INDEX(SVT,ROW(Input!B10)-5,COLUMN()-2)+I32</f>
        <v>101.25545367288713</v>
      </c>
      <c r="J72" s="127"/>
      <c r="K72" s="484"/>
      <c r="L72" s="112"/>
      <c r="M72" s="156"/>
      <c r="N72" s="156"/>
      <c r="O72" s="156"/>
      <c r="Q72" s="5"/>
    </row>
    <row r="73" spans="1:19" s="53" customFormat="1">
      <c r="A73" s="53" t="s">
        <v>140</v>
      </c>
      <c r="B73" s="53" t="s">
        <v>69</v>
      </c>
      <c r="C73" s="51"/>
      <c r="D73" s="55" t="s">
        <v>10</v>
      </c>
      <c r="E73" s="52" t="s">
        <v>47</v>
      </c>
      <c r="F73" s="126"/>
      <c r="G73" s="126"/>
      <c r="H73" s="152"/>
      <c r="I73" s="343">
        <f ca="1">INDEX(SWT,ROW(Input!B9)-5,COLUMN()-2)-INDEX(SWT,ROW(Input!B14)-5,COLUMN()-2)-INDEX(SWT,ROW(Input!B15)-5,COLUMN()-2)-INDEX(SWT,ROW(Input!B16)-5,COLUMN()-2)+INDEX(SWT,ROW(Input!B10)-5,COLUMN()-2)+I33</f>
        <v>23.845565886720472</v>
      </c>
      <c r="J73" s="127"/>
      <c r="K73" s="484"/>
      <c r="L73" s="112"/>
      <c r="M73" s="156"/>
      <c r="N73" s="156"/>
      <c r="O73" s="156"/>
      <c r="Q73" s="5"/>
      <c r="S73" s="21"/>
    </row>
    <row r="74" spans="1:19" s="53" customFormat="1">
      <c r="A74" s="53" t="s">
        <v>140</v>
      </c>
      <c r="B74" s="53" t="s">
        <v>69</v>
      </c>
      <c r="C74" s="51"/>
      <c r="D74" s="55" t="s">
        <v>10</v>
      </c>
      <c r="E74" s="52" t="s">
        <v>48</v>
      </c>
      <c r="F74" s="126"/>
      <c r="G74" s="126"/>
      <c r="H74" s="152"/>
      <c r="I74" s="343">
        <f ca="1">INDEX(SRN,ROW(Input!B9)-5,COLUMN()-2)-INDEX(SRN,ROW(Input!B14)-5,COLUMN()-2)-INDEX(SRN,ROW(Input!B15)-5,COLUMN()-2)-INDEX(SRN,ROW(Input!B16)-5,COLUMN()-2)+INDEX(SRN,ROW(Input!B10)-5,COLUMN()-2)+I34</f>
        <v>66.433367324209144</v>
      </c>
      <c r="J74" s="127"/>
      <c r="K74" s="484"/>
      <c r="L74" s="112"/>
      <c r="M74" s="156"/>
      <c r="N74" s="156"/>
      <c r="O74" s="156"/>
      <c r="Q74" s="5"/>
    </row>
    <row r="75" spans="1:19" s="53" customFormat="1">
      <c r="A75" s="53" t="s">
        <v>140</v>
      </c>
      <c r="B75" s="53" t="s">
        <v>69</v>
      </c>
      <c r="C75" s="51"/>
      <c r="D75" s="55" t="s">
        <v>10</v>
      </c>
      <c r="E75" s="52" t="s">
        <v>49</v>
      </c>
      <c r="F75" s="126"/>
      <c r="G75" s="126"/>
      <c r="H75" s="152"/>
      <c r="I75" s="343">
        <f ca="1">INDEX(TMS,ROW(Input!B9)-5,COLUMN()-2)-INDEX(TMS,ROW(Input!B14)-5,COLUMN()-2)-INDEX(TMS,ROW(Input!B15)-5,COLUMN()-2)-INDEX(TMS,ROW(Input!B16)-5,COLUMN()-2)+INDEX(TMS,ROW(Input!B10)-5,COLUMN()-2)+I35</f>
        <v>136.25071797686087</v>
      </c>
      <c r="J75" s="127"/>
      <c r="K75" s="484"/>
      <c r="L75" s="112"/>
      <c r="M75" s="156"/>
      <c r="N75" s="156"/>
      <c r="O75" s="156"/>
      <c r="Q75" s="5"/>
    </row>
    <row r="76" spans="1:19" s="53" customFormat="1">
      <c r="A76" s="53" t="s">
        <v>140</v>
      </c>
      <c r="B76" s="53" t="s">
        <v>69</v>
      </c>
      <c r="C76" s="51"/>
      <c r="D76" s="55" t="s">
        <v>10</v>
      </c>
      <c r="E76" s="52" t="s">
        <v>50</v>
      </c>
      <c r="F76" s="126"/>
      <c r="G76" s="126"/>
      <c r="H76" s="152"/>
      <c r="I76" s="343">
        <f ca="1">INDEX(NWT,ROW(Input!B9)-5,COLUMN()-2)-INDEX(NWT,ROW(Input!B14)-5,COLUMN()-2)-INDEX(NWT,ROW(Input!B15)-5,COLUMN()-2)-INDEX(NWT,ROW(Input!B16)-5,COLUMN()-2)+INDEX(NWT,ROW(Input!B10)-5,COLUMN()-2)+I36</f>
        <v>108.61291190576345</v>
      </c>
      <c r="J76" s="127"/>
      <c r="K76" s="484"/>
      <c r="L76" s="112"/>
      <c r="M76" s="156"/>
      <c r="N76" s="156"/>
      <c r="O76" s="156"/>
      <c r="Q76" s="5"/>
    </row>
    <row r="77" spans="1:19" s="53" customFormat="1">
      <c r="A77" s="53" t="s">
        <v>140</v>
      </c>
      <c r="B77" s="53" t="s">
        <v>69</v>
      </c>
      <c r="C77" s="51"/>
      <c r="D77" s="55" t="s">
        <v>10</v>
      </c>
      <c r="E77" s="52" t="s">
        <v>51</v>
      </c>
      <c r="F77" s="126"/>
      <c r="G77" s="126"/>
      <c r="H77" s="152"/>
      <c r="I77" s="343">
        <f ca="1">INDEX(WSX,ROW(Input!B9)-5,COLUMN()-2)-INDEX(WSX,ROW(Input!B14)-5,COLUMN()-2)-INDEX(WSX,ROW(Input!B15)-5,COLUMN()-2)-INDEX(WSX,ROW(Input!B16)-5,COLUMN()-2)+INDEX(WSX,ROW(Input!B10)-5,COLUMN()-2)+I37</f>
        <v>24.372087895115342</v>
      </c>
      <c r="J77" s="127"/>
      <c r="K77" s="484"/>
      <c r="L77" s="112"/>
      <c r="M77" s="156"/>
      <c r="N77" s="156"/>
      <c r="O77" s="156"/>
      <c r="Q77" s="5"/>
    </row>
    <row r="78" spans="1:19" s="53" customFormat="1">
      <c r="A78" s="53" t="s">
        <v>140</v>
      </c>
      <c r="B78" s="53" t="s">
        <v>69</v>
      </c>
      <c r="C78" s="51"/>
      <c r="D78" s="55" t="s">
        <v>10</v>
      </c>
      <c r="E78" s="52" t="s">
        <v>52</v>
      </c>
      <c r="F78" s="126"/>
      <c r="G78" s="126"/>
      <c r="H78" s="152"/>
      <c r="I78" s="343">
        <f ca="1">INDEX(YKY,ROW(Input!B9)-5,COLUMN()-2)-INDEX(YKY,ROW(Input!B14)-5,COLUMN()-2)-INDEX(YKY,ROW(Input!B15)-5,COLUMN()-2)-INDEX(YKY,ROW(Input!B16)-5,COLUMN()-2)+INDEX(YKY,ROW(Input!B10)-5,COLUMN()-2)+I38</f>
        <v>48.705766270823908</v>
      </c>
      <c r="J78" s="127"/>
      <c r="K78" s="484"/>
      <c r="L78" s="112"/>
      <c r="M78" s="156"/>
      <c r="N78" s="156"/>
      <c r="O78" s="156"/>
      <c r="Q78" s="5"/>
    </row>
    <row r="79" spans="1:19" s="53" customFormat="1">
      <c r="A79" s="53" t="s">
        <v>140</v>
      </c>
      <c r="B79" s="53" t="s">
        <v>69</v>
      </c>
      <c r="C79" s="51"/>
      <c r="D79" s="55" t="s">
        <v>10</v>
      </c>
      <c r="E79" s="52" t="s">
        <v>53</v>
      </c>
      <c r="F79" s="126"/>
      <c r="G79" s="126"/>
      <c r="H79" s="152"/>
      <c r="I79" s="343">
        <f ca="1">INDEX(AFW,ROW(Input!B9)-5,COLUMN()-2)-INDEX(AFW,ROW(Input!B14)-5,COLUMN()-2)-INDEX(AFW,ROW(Input!B15)-5,COLUMN()-2)-INDEX(AFW,ROW(Input!B16)-5,COLUMN()-2)+INDEX(AFW,ROW(Input!B10)-5,COLUMN()-2)+I39</f>
        <v>21.943962354147729</v>
      </c>
      <c r="J79" s="127"/>
      <c r="K79" s="484"/>
      <c r="L79" s="112"/>
      <c r="M79" s="156"/>
      <c r="N79" s="156"/>
      <c r="O79" s="156"/>
      <c r="Q79" s="5"/>
    </row>
    <row r="80" spans="1:19" s="53" customFormat="1">
      <c r="A80" s="53" t="s">
        <v>140</v>
      </c>
      <c r="B80" s="53" t="s">
        <v>69</v>
      </c>
      <c r="C80" s="51"/>
      <c r="D80" s="55" t="s">
        <v>10</v>
      </c>
      <c r="E80" s="52" t="s">
        <v>54</v>
      </c>
      <c r="F80" s="126"/>
      <c r="G80" s="126"/>
      <c r="H80" s="152"/>
      <c r="I80" s="343">
        <f ca="1">INDEX(BRL,ROW(Input!B9)-5,COLUMN()-2)-INDEX(BRL,ROW(Input!B14)-5,COLUMN()-2)-INDEX(BRL,ROW(Input!B15)-5,COLUMN()-2)-INDEX(BRL,ROW(Input!B16)-5,COLUMN()-2)+INDEX(BRL,ROW(Input!B10)-5,COLUMN()-2)+I40</f>
        <v>7.8011741250739775</v>
      </c>
      <c r="J80" s="127"/>
      <c r="K80" s="484"/>
      <c r="L80" s="112"/>
      <c r="M80" s="156"/>
      <c r="N80" s="156"/>
      <c r="O80" s="156"/>
      <c r="Q80" s="5"/>
    </row>
    <row r="81" spans="1:19" s="53" customFormat="1">
      <c r="A81" s="53" t="s">
        <v>140</v>
      </c>
      <c r="B81" s="53" t="s">
        <v>69</v>
      </c>
      <c r="C81" s="51"/>
      <c r="D81" s="55" t="s">
        <v>10</v>
      </c>
      <c r="E81" s="52" t="s">
        <v>66</v>
      </c>
      <c r="F81" s="126"/>
      <c r="G81" s="126"/>
      <c r="H81" s="152"/>
      <c r="I81" s="343">
        <f ca="1">INDEX(SSC,ROW(Input!B9)-5,COLUMN()-2)-INDEX(SSC,ROW(Input!B14)-5,COLUMN()-2)-INDEX(SSC,ROW(Input!B15)-5,COLUMN()-2)-INDEX(SSC,ROW(Input!B16)-5,COLUMN()-2)+INDEX(SSC,ROW(Input!B10)-5,COLUMN()-2)+I41</f>
        <v>14.559441320221447</v>
      </c>
      <c r="J81" s="127"/>
      <c r="K81" s="484"/>
      <c r="L81" s="112"/>
      <c r="M81" s="156"/>
      <c r="N81" s="156"/>
      <c r="O81" s="156"/>
      <c r="Q81" s="5"/>
    </row>
    <row r="82" spans="1:19" s="53" customFormat="1">
      <c r="A82" s="53" t="s">
        <v>140</v>
      </c>
      <c r="B82" s="53" t="s">
        <v>69</v>
      </c>
      <c r="C82" s="51"/>
      <c r="D82" s="55" t="s">
        <v>10</v>
      </c>
      <c r="E82" s="52" t="s">
        <v>55</v>
      </c>
      <c r="F82" s="126"/>
      <c r="G82" s="126"/>
      <c r="H82" s="152"/>
      <c r="I82" s="343">
        <f ca="1">INDEX(DVW,ROW(Input!B9)-5,COLUMN()-2)-INDEX(DVW,ROW(Input!B14)-5,COLUMN()-2)-INDEX(DVW,ROW(Input!B15)-5,COLUMN()-2)-INDEX(DVW,ROW(Input!B16)-5,COLUMN()-2)+INDEX(DVW,ROW(Input!B10)-5,COLUMN()-2)+I42</f>
        <v>2.4526578321717176</v>
      </c>
      <c r="J82" s="127"/>
      <c r="K82" s="484"/>
      <c r="L82" s="112"/>
      <c r="M82" s="156"/>
      <c r="N82" s="156"/>
      <c r="O82" s="156"/>
      <c r="Q82" s="5"/>
    </row>
    <row r="83" spans="1:19" s="53" customFormat="1">
      <c r="A83" s="53" t="s">
        <v>140</v>
      </c>
      <c r="B83" s="53" t="s">
        <v>69</v>
      </c>
      <c r="C83" s="51"/>
      <c r="D83" s="55" t="s">
        <v>10</v>
      </c>
      <c r="E83" s="52" t="s">
        <v>56</v>
      </c>
      <c r="F83" s="126"/>
      <c r="G83" s="126"/>
      <c r="H83" s="152"/>
      <c r="I83" s="343">
        <f ca="1">INDEX(PRT,ROW(Input!B9)-5,COLUMN()-2)-INDEX(PRT,ROW(Input!B14)-5,COLUMN()-2)-INDEX(PRT,ROW(Input!B15)-5,COLUMN()-2)-INDEX(PRT,ROW(Input!B16)-5,COLUMN()-2)+INDEX(PRT,ROW(Input!B10)-5,COLUMN()-2)+I43</f>
        <v>3.9672370832056134</v>
      </c>
      <c r="J83" s="127"/>
      <c r="K83" s="484"/>
      <c r="L83" s="112"/>
      <c r="M83" s="156"/>
      <c r="N83" s="156"/>
      <c r="O83" s="156"/>
      <c r="Q83" s="5"/>
    </row>
    <row r="84" spans="1:19" s="53" customFormat="1">
      <c r="A84" s="53" t="s">
        <v>140</v>
      </c>
      <c r="B84" s="53" t="s">
        <v>69</v>
      </c>
      <c r="C84" s="51"/>
      <c r="D84" s="55" t="s">
        <v>10</v>
      </c>
      <c r="E84" s="52" t="s">
        <v>57</v>
      </c>
      <c r="F84" s="126"/>
      <c r="G84" s="126"/>
      <c r="H84" s="152"/>
      <c r="I84" s="343">
        <f ca="1">INDEX(SBW,ROW(Input!B9)-5,COLUMN()-2)-INDEX(SBW,ROW(Input!B14)-5,COLUMN()-2)-INDEX(SBW,ROW(Input!B15)-5,COLUMN()-2)-INDEX(SBW,ROW(Input!B16)-5,COLUMN()-2)+INDEX(SBW,ROW(Input!B10)-5,COLUMN()-2)+I44</f>
        <v>4.1733603821820155</v>
      </c>
      <c r="J84" s="127"/>
      <c r="K84" s="484"/>
      <c r="L84" s="112"/>
      <c r="M84" s="156"/>
      <c r="N84" s="156"/>
      <c r="O84" s="156"/>
      <c r="Q84" s="5"/>
    </row>
    <row r="85" spans="1:19" s="53" customFormat="1">
      <c r="A85" s="53" t="s">
        <v>140</v>
      </c>
      <c r="B85" s="53" t="s">
        <v>69</v>
      </c>
      <c r="C85" s="51"/>
      <c r="D85" s="55" t="s">
        <v>10</v>
      </c>
      <c r="E85" s="52" t="s">
        <v>58</v>
      </c>
      <c r="F85" s="126"/>
      <c r="G85" s="126"/>
      <c r="H85" s="152"/>
      <c r="I85" s="343">
        <f ca="1">INDEX(SEW,ROW(Input!B9)-5,COLUMN()-2)-INDEX(SEW,ROW(Input!B14)-5,COLUMN()-2)-INDEX(SEW,ROW(Input!B15)-5,COLUMN()-2)-INDEX(SEW,ROW(Input!B16)-5,COLUMN()-2)+INDEX(SEW,ROW(Input!B10)-5,COLUMN()-2)+I45</f>
        <v>16.658112218430109</v>
      </c>
      <c r="J85" s="127"/>
      <c r="K85" s="484"/>
      <c r="L85" s="112"/>
      <c r="M85" s="156"/>
      <c r="N85" s="156"/>
      <c r="O85" s="156"/>
      <c r="Q85" s="5"/>
    </row>
    <row r="86" spans="1:19" s="53" customFormat="1">
      <c r="A86" s="53" t="s">
        <v>140</v>
      </c>
      <c r="B86" s="53" t="s">
        <v>69</v>
      </c>
      <c r="C86" s="51"/>
      <c r="D86" s="55" t="s">
        <v>10</v>
      </c>
      <c r="E86" s="52" t="s">
        <v>59</v>
      </c>
      <c r="F86" s="126"/>
      <c r="G86" s="126"/>
      <c r="H86" s="152"/>
      <c r="I86" s="343">
        <f ca="1">INDEX(SES,ROW(Input!B9)-5,COLUMN()-2)-INDEX(SES,ROW(Input!B14)-5,COLUMN()-2)-INDEX(SES,ROW(Input!B15)-5,COLUMN()-2)-INDEX(SES,ROW(Input!B16)-5,COLUMN()-2)+INDEX(SES,ROW(Input!B10)-5,COLUMN()-2)+I46</f>
        <v>5.1323737464625889</v>
      </c>
      <c r="J86" s="127"/>
      <c r="K86" s="484"/>
      <c r="L86" s="112"/>
      <c r="M86" s="156"/>
      <c r="N86" s="156"/>
      <c r="O86" s="156"/>
      <c r="Q86" s="5"/>
    </row>
    <row r="87" spans="1:19" s="53" customFormat="1">
      <c r="C87" s="51"/>
      <c r="D87" s="54"/>
      <c r="E87" s="52"/>
      <c r="F87" s="126"/>
      <c r="G87" s="126"/>
      <c r="H87" s="126"/>
      <c r="I87" s="126"/>
      <c r="J87" s="227"/>
      <c r="K87" s="485"/>
      <c r="L87" s="124"/>
      <c r="M87" s="124"/>
      <c r="N87" s="124"/>
      <c r="O87" s="124"/>
      <c r="Q87" s="5"/>
    </row>
    <row r="88" spans="1:19">
      <c r="A88" s="27"/>
      <c r="B88" s="28"/>
      <c r="C88" s="29"/>
      <c r="D88" s="30"/>
      <c r="E88" s="192" t="s">
        <v>458</v>
      </c>
      <c r="F88" s="31"/>
      <c r="G88" s="31"/>
      <c r="H88" s="31"/>
      <c r="I88" s="31"/>
      <c r="J88" s="472"/>
      <c r="K88" s="480"/>
      <c r="L88" s="31"/>
      <c r="M88" s="31"/>
      <c r="N88" s="31"/>
      <c r="O88" s="31"/>
      <c r="Q88" s="5"/>
      <c r="S88" s="53"/>
    </row>
    <row r="89" spans="1:19" s="53" customFormat="1">
      <c r="A89" s="53" t="s">
        <v>102</v>
      </c>
      <c r="B89" s="53" t="s">
        <v>69</v>
      </c>
      <c r="C89" s="51"/>
      <c r="D89" s="55" t="s">
        <v>30</v>
      </c>
      <c r="E89" s="52" t="s">
        <v>31</v>
      </c>
      <c r="F89" s="125"/>
      <c r="G89" s="125"/>
      <c r="H89" s="127"/>
      <c r="I89" s="125">
        <f t="shared" ref="I89:I106" ca="1" si="0">IF(I9=0,0,I69/I9*1000)</f>
        <v>20.431638005231878</v>
      </c>
      <c r="J89" s="226"/>
      <c r="K89" s="486"/>
      <c r="L89" s="113"/>
      <c r="M89" s="113"/>
      <c r="N89" s="113"/>
      <c r="O89" s="113"/>
      <c r="Q89" s="5"/>
    </row>
    <row r="90" spans="1:19" s="53" customFormat="1">
      <c r="A90" s="53" t="s">
        <v>102</v>
      </c>
      <c r="B90" s="53" t="s">
        <v>69</v>
      </c>
      <c r="C90" s="51"/>
      <c r="D90" s="55" t="s">
        <v>30</v>
      </c>
      <c r="E90" s="52" t="s">
        <v>32</v>
      </c>
      <c r="F90" s="126"/>
      <c r="G90" s="126"/>
      <c r="H90" s="127"/>
      <c r="I90" s="158">
        <f t="shared" ca="1" si="0"/>
        <v>24.438141584581874</v>
      </c>
      <c r="J90" s="226"/>
      <c r="K90" s="486"/>
      <c r="L90" s="113"/>
      <c r="M90" s="113"/>
      <c r="N90" s="113"/>
      <c r="O90" s="113"/>
      <c r="Q90" s="5"/>
    </row>
    <row r="91" spans="1:19" s="53" customFormat="1">
      <c r="A91" s="53" t="s">
        <v>102</v>
      </c>
      <c r="B91" s="53" t="s">
        <v>69</v>
      </c>
      <c r="C91" s="51"/>
      <c r="D91" s="55" t="s">
        <v>30</v>
      </c>
      <c r="E91" s="52" t="s">
        <v>33</v>
      </c>
      <c r="F91" s="126"/>
      <c r="G91" s="126"/>
      <c r="H91" s="127"/>
      <c r="I91" s="158">
        <f t="shared" ca="1" si="0"/>
        <v>21.875341653121762</v>
      </c>
      <c r="J91" s="226"/>
      <c r="K91" s="486"/>
      <c r="L91" s="113"/>
      <c r="M91" s="113"/>
      <c r="N91" s="113"/>
      <c r="O91" s="113"/>
      <c r="Q91" s="5"/>
    </row>
    <row r="92" spans="1:19" s="53" customFormat="1">
      <c r="A92" s="53" t="s">
        <v>102</v>
      </c>
      <c r="B92" s="53" t="s">
        <v>69</v>
      </c>
      <c r="C92" s="51"/>
      <c r="D92" s="55" t="s">
        <v>30</v>
      </c>
      <c r="E92" s="52" t="s">
        <v>46</v>
      </c>
      <c r="F92" s="126"/>
      <c r="G92" s="126"/>
      <c r="H92" s="127"/>
      <c r="I92" s="158">
        <f t="shared" ca="1" si="0"/>
        <v>21.47447618098531</v>
      </c>
      <c r="J92" s="226"/>
      <c r="K92" s="486"/>
      <c r="L92" s="113"/>
      <c r="M92" s="113"/>
      <c r="N92" s="113"/>
      <c r="O92" s="113"/>
      <c r="Q92" s="5"/>
    </row>
    <row r="93" spans="1:19" s="53" customFormat="1">
      <c r="A93" s="53" t="s">
        <v>102</v>
      </c>
      <c r="B93" s="53" t="s">
        <v>69</v>
      </c>
      <c r="C93" s="51"/>
      <c r="D93" s="55" t="s">
        <v>30</v>
      </c>
      <c r="E93" s="52" t="s">
        <v>47</v>
      </c>
      <c r="F93" s="126"/>
      <c r="G93" s="126"/>
      <c r="H93" s="127"/>
      <c r="I93" s="158">
        <f t="shared" ca="1" si="0"/>
        <v>26.172448344771009</v>
      </c>
      <c r="J93" s="226"/>
      <c r="K93" s="486"/>
      <c r="L93" s="113"/>
      <c r="M93" s="113"/>
      <c r="N93" s="113"/>
      <c r="O93" s="113"/>
      <c r="Q93" s="5"/>
    </row>
    <row r="94" spans="1:19" s="53" customFormat="1">
      <c r="A94" s="53" t="s">
        <v>102</v>
      </c>
      <c r="B94" s="53" t="s">
        <v>69</v>
      </c>
      <c r="C94" s="51"/>
      <c r="D94" s="55" t="s">
        <v>30</v>
      </c>
      <c r="E94" s="52" t="s">
        <v>48</v>
      </c>
      <c r="F94" s="126"/>
      <c r="G94" s="126"/>
      <c r="H94" s="127"/>
      <c r="I94" s="158">
        <f t="shared" ca="1" si="0"/>
        <v>31.143088098692534</v>
      </c>
      <c r="J94" s="226"/>
      <c r="K94" s="486"/>
      <c r="L94" s="113"/>
      <c r="M94" s="113"/>
      <c r="N94" s="113"/>
      <c r="O94" s="113"/>
      <c r="Q94" s="5"/>
    </row>
    <row r="95" spans="1:19" s="53" customFormat="1">
      <c r="A95" s="53" t="s">
        <v>102</v>
      </c>
      <c r="B95" s="53" t="s">
        <v>69</v>
      </c>
      <c r="C95" s="51"/>
      <c r="D95" s="55" t="s">
        <v>30</v>
      </c>
      <c r="E95" s="52" t="s">
        <v>49</v>
      </c>
      <c r="F95" s="126"/>
      <c r="G95" s="126"/>
      <c r="H95" s="127"/>
      <c r="I95" s="158">
        <f t="shared" ca="1" si="0"/>
        <v>21.735919836764477</v>
      </c>
      <c r="J95" s="226"/>
      <c r="K95" s="486"/>
      <c r="L95" s="113"/>
      <c r="M95" s="113"/>
      <c r="N95" s="113"/>
      <c r="O95" s="113"/>
      <c r="Q95" s="5"/>
    </row>
    <row r="96" spans="1:19" s="53" customFormat="1">
      <c r="A96" s="53" t="s">
        <v>102</v>
      </c>
      <c r="B96" s="53" t="s">
        <v>69</v>
      </c>
      <c r="C96" s="51"/>
      <c r="D96" s="55" t="s">
        <v>30</v>
      </c>
      <c r="E96" s="52" t="s">
        <v>50</v>
      </c>
      <c r="F96" s="126"/>
      <c r="G96" s="126"/>
      <c r="H96" s="127"/>
      <c r="I96" s="158">
        <f t="shared" ca="1" si="0"/>
        <v>28.945668218930372</v>
      </c>
      <c r="J96" s="226"/>
      <c r="K96" s="486"/>
      <c r="L96" s="113"/>
      <c r="M96" s="113"/>
      <c r="N96" s="113"/>
      <c r="O96" s="113"/>
      <c r="Q96" s="5"/>
    </row>
    <row r="97" spans="1:17" s="53" customFormat="1">
      <c r="A97" s="53" t="s">
        <v>102</v>
      </c>
      <c r="B97" s="53" t="s">
        <v>69</v>
      </c>
      <c r="C97" s="51"/>
      <c r="D97" s="55" t="s">
        <v>30</v>
      </c>
      <c r="E97" s="52" t="s">
        <v>51</v>
      </c>
      <c r="F97" s="126"/>
      <c r="G97" s="126"/>
      <c r="H97" s="127"/>
      <c r="I97" s="158">
        <f t="shared" ca="1" si="0"/>
        <v>19.063371633673388</v>
      </c>
      <c r="J97" s="226"/>
      <c r="K97" s="486"/>
      <c r="L97" s="113"/>
      <c r="M97" s="113"/>
      <c r="N97" s="113"/>
      <c r="O97" s="113"/>
      <c r="Q97" s="5"/>
    </row>
    <row r="98" spans="1:17" s="53" customFormat="1">
      <c r="A98" s="53" t="s">
        <v>102</v>
      </c>
      <c r="B98" s="53" t="s">
        <v>69</v>
      </c>
      <c r="C98" s="51"/>
      <c r="D98" s="55" t="s">
        <v>30</v>
      </c>
      <c r="E98" s="52" t="s">
        <v>52</v>
      </c>
      <c r="F98" s="126"/>
      <c r="G98" s="126"/>
      <c r="H98" s="127"/>
      <c r="I98" s="158">
        <f t="shared" ca="1" si="0"/>
        <v>18.207570466011109</v>
      </c>
      <c r="J98" s="226"/>
      <c r="K98" s="486"/>
      <c r="L98" s="113"/>
      <c r="M98" s="113"/>
      <c r="N98" s="113"/>
      <c r="O98" s="113"/>
      <c r="Q98" s="5"/>
    </row>
    <row r="99" spans="1:17" s="53" customFormat="1">
      <c r="A99" s="53" t="s">
        <v>102</v>
      </c>
      <c r="B99" s="53" t="s">
        <v>69</v>
      </c>
      <c r="C99" s="51"/>
      <c r="D99" s="55" t="s">
        <v>30</v>
      </c>
      <c r="E99" s="52" t="s">
        <v>53</v>
      </c>
      <c r="F99" s="126"/>
      <c r="G99" s="126"/>
      <c r="H99" s="127"/>
      <c r="I99" s="158">
        <f t="shared" ca="1" si="0"/>
        <v>15.982236522173521</v>
      </c>
      <c r="J99" s="226"/>
      <c r="K99" s="486"/>
      <c r="L99" s="113"/>
      <c r="M99" s="113"/>
      <c r="N99" s="113"/>
      <c r="O99" s="113"/>
      <c r="Q99" s="5"/>
    </row>
    <row r="100" spans="1:17" s="53" customFormat="1">
      <c r="A100" s="53" t="s">
        <v>102</v>
      </c>
      <c r="B100" s="53" t="s">
        <v>69</v>
      </c>
      <c r="C100" s="51"/>
      <c r="D100" s="55" t="s">
        <v>30</v>
      </c>
      <c r="E100" s="52" t="s">
        <v>54</v>
      </c>
      <c r="F100" s="126"/>
      <c r="G100" s="126"/>
      <c r="H100" s="127"/>
      <c r="I100" s="158">
        <f t="shared" ca="1" si="0"/>
        <v>16.48773988180065</v>
      </c>
      <c r="J100" s="226"/>
      <c r="K100" s="486"/>
      <c r="L100" s="113"/>
      <c r="M100" s="113"/>
      <c r="N100" s="113"/>
      <c r="O100" s="113"/>
      <c r="Q100" s="5"/>
    </row>
    <row r="101" spans="1:17" s="53" customFormat="1">
      <c r="A101" s="53" t="s">
        <v>102</v>
      </c>
      <c r="B101" s="53" t="s">
        <v>69</v>
      </c>
      <c r="C101" s="51"/>
      <c r="D101" s="55" t="s">
        <v>30</v>
      </c>
      <c r="E101" s="52" t="s">
        <v>66</v>
      </c>
      <c r="F101" s="126"/>
      <c r="G101" s="126"/>
      <c r="H101" s="127"/>
      <c r="I101" s="158">
        <f t="shared" ca="1" si="0"/>
        <v>22.457304912371423</v>
      </c>
      <c r="J101" s="226"/>
      <c r="K101" s="486"/>
      <c r="L101" s="113"/>
      <c r="M101" s="113"/>
      <c r="N101" s="113"/>
      <c r="O101" s="113"/>
      <c r="Q101" s="5"/>
    </row>
    <row r="102" spans="1:17" s="53" customFormat="1">
      <c r="A102" s="53" t="s">
        <v>102</v>
      </c>
      <c r="B102" s="53" t="s">
        <v>69</v>
      </c>
      <c r="C102" s="51"/>
      <c r="D102" s="55" t="s">
        <v>30</v>
      </c>
      <c r="E102" s="52" t="s">
        <v>55</v>
      </c>
      <c r="F102" s="126"/>
      <c r="G102" s="126"/>
      <c r="H102" s="127"/>
      <c r="I102" s="226">
        <f t="shared" ca="1" si="0"/>
        <v>21.605703293472612</v>
      </c>
      <c r="J102" s="226"/>
      <c r="K102" s="486"/>
      <c r="L102" s="113"/>
      <c r="M102" s="113"/>
      <c r="N102" s="113"/>
      <c r="O102" s="113"/>
      <c r="Q102" s="5"/>
    </row>
    <row r="103" spans="1:17" s="53" customFormat="1">
      <c r="A103" s="53" t="s">
        <v>102</v>
      </c>
      <c r="B103" s="53" t="s">
        <v>69</v>
      </c>
      <c r="C103" s="51"/>
      <c r="D103" s="55" t="s">
        <v>30</v>
      </c>
      <c r="E103" s="52" t="s">
        <v>56</v>
      </c>
      <c r="F103" s="126"/>
      <c r="G103" s="126"/>
      <c r="H103" s="127"/>
      <c r="I103" s="158">
        <f t="shared" ca="1" si="0"/>
        <v>13.961230018213664</v>
      </c>
      <c r="J103" s="226"/>
      <c r="K103" s="486"/>
      <c r="L103" s="113"/>
      <c r="M103" s="113"/>
      <c r="N103" s="113"/>
      <c r="O103" s="113"/>
      <c r="Q103" s="5"/>
    </row>
    <row r="104" spans="1:17" s="53" customFormat="1">
      <c r="A104" s="53" t="s">
        <v>102</v>
      </c>
      <c r="B104" s="53" t="s">
        <v>69</v>
      </c>
      <c r="C104" s="51"/>
      <c r="D104" s="55" t="s">
        <v>30</v>
      </c>
      <c r="E104" s="52" t="s">
        <v>57</v>
      </c>
      <c r="F104" s="126"/>
      <c r="G104" s="126"/>
      <c r="H104" s="127"/>
      <c r="I104" s="158">
        <f t="shared" ca="1" si="0"/>
        <v>22.448162734760263</v>
      </c>
      <c r="J104" s="226"/>
      <c r="K104" s="486"/>
      <c r="L104" s="113"/>
      <c r="M104" s="113"/>
      <c r="N104" s="113"/>
      <c r="O104" s="113"/>
      <c r="Q104" s="5"/>
    </row>
    <row r="105" spans="1:17" s="53" customFormat="1">
      <c r="A105" s="53" t="s">
        <v>102</v>
      </c>
      <c r="B105" s="53" t="s">
        <v>69</v>
      </c>
      <c r="C105" s="51"/>
      <c r="D105" s="55" t="s">
        <v>30</v>
      </c>
      <c r="E105" s="52" t="s">
        <v>58</v>
      </c>
      <c r="F105" s="126"/>
      <c r="G105" s="126"/>
      <c r="H105" s="127"/>
      <c r="I105" s="158">
        <f t="shared" ca="1" si="0"/>
        <v>20.314845320690331</v>
      </c>
      <c r="J105" s="226"/>
      <c r="K105" s="486"/>
      <c r="L105" s="113"/>
      <c r="M105" s="113"/>
      <c r="N105" s="113"/>
      <c r="O105" s="113"/>
      <c r="Q105" s="5"/>
    </row>
    <row r="106" spans="1:17" s="53" customFormat="1">
      <c r="A106" s="53" t="s">
        <v>102</v>
      </c>
      <c r="B106" s="53" t="s">
        <v>69</v>
      </c>
      <c r="C106" s="51"/>
      <c r="D106" s="55" t="s">
        <v>30</v>
      </c>
      <c r="E106" s="52" t="s">
        <v>59</v>
      </c>
      <c r="F106" s="126"/>
      <c r="G106" s="126"/>
      <c r="H106" s="127"/>
      <c r="I106" s="158">
        <f t="shared" ca="1" si="0"/>
        <v>19.668864165427895</v>
      </c>
      <c r="J106" s="226"/>
      <c r="K106" s="486"/>
      <c r="L106" s="113"/>
      <c r="M106" s="113"/>
      <c r="N106" s="113"/>
      <c r="O106" s="113"/>
      <c r="Q106" s="5"/>
    </row>
    <row r="107" spans="1:17" s="53" customFormat="1">
      <c r="C107" s="51"/>
      <c r="D107" s="54"/>
      <c r="E107" s="52"/>
      <c r="F107" s="126"/>
      <c r="G107" s="126"/>
      <c r="H107" s="126"/>
      <c r="I107" s="126"/>
      <c r="J107" s="474"/>
      <c r="K107" s="485"/>
      <c r="L107" s="124"/>
      <c r="M107" s="124"/>
      <c r="N107" s="124"/>
      <c r="O107" s="124"/>
      <c r="Q107" s="5"/>
    </row>
    <row r="108" spans="1:17">
      <c r="A108" s="27"/>
      <c r="B108" s="28"/>
      <c r="C108" s="29"/>
      <c r="D108" s="30"/>
      <c r="E108" s="32" t="s">
        <v>459</v>
      </c>
      <c r="F108" s="31"/>
      <c r="G108" s="31"/>
      <c r="H108" s="31"/>
      <c r="I108" s="31"/>
      <c r="J108" s="472"/>
      <c r="K108" s="480"/>
      <c r="L108" s="31"/>
      <c r="M108" s="31"/>
      <c r="N108" s="31"/>
      <c r="O108" s="31"/>
      <c r="Q108" s="5"/>
    </row>
    <row r="109" spans="1:17" s="53" customFormat="1">
      <c r="C109" s="51"/>
      <c r="D109" s="54" t="s">
        <v>153</v>
      </c>
      <c r="E109" s="52" t="s">
        <v>154</v>
      </c>
      <c r="F109" s="164"/>
      <c r="G109" s="164"/>
      <c r="H109" s="164"/>
      <c r="I109" s="218">
        <f ca="1">COUNTIF(I89:I106,"&lt;&gt;0")</f>
        <v>18</v>
      </c>
      <c r="J109" s="227"/>
      <c r="K109" s="485"/>
      <c r="L109" s="154"/>
      <c r="M109" s="154"/>
      <c r="N109" s="154"/>
      <c r="O109" s="154"/>
      <c r="Q109" s="5"/>
    </row>
    <row r="110" spans="1:17" s="53" customFormat="1">
      <c r="A110" s="53" t="s">
        <v>101</v>
      </c>
      <c r="B110" s="53" t="s">
        <v>69</v>
      </c>
      <c r="C110" s="51"/>
      <c r="D110" s="55" t="s">
        <v>30</v>
      </c>
      <c r="E110" s="52" t="s">
        <v>68</v>
      </c>
      <c r="F110" s="125"/>
      <c r="G110" s="125"/>
      <c r="H110" s="125"/>
      <c r="I110" s="125">
        <f ca="1">IF(I109=0,0,SUM(I89:I106)/I109)</f>
        <v>21.467430603981892</v>
      </c>
      <c r="J110" s="226"/>
      <c r="K110" s="486"/>
      <c r="L110" s="113"/>
      <c r="M110" s="113"/>
      <c r="N110" s="113"/>
      <c r="O110" s="113"/>
      <c r="Q110" s="5"/>
    </row>
    <row r="111" spans="1:17" s="53" customFormat="1">
      <c r="C111" s="51"/>
      <c r="D111" s="54"/>
      <c r="E111" s="52"/>
      <c r="F111" s="126"/>
      <c r="G111" s="126"/>
      <c r="H111" s="126"/>
      <c r="I111" s="126"/>
      <c r="J111" s="227"/>
      <c r="K111" s="485"/>
      <c r="L111" s="124"/>
      <c r="M111" s="124"/>
      <c r="N111" s="124"/>
      <c r="O111" s="124"/>
      <c r="Q111" s="5"/>
    </row>
    <row r="112" spans="1:17" s="53" customFormat="1">
      <c r="A112" s="27"/>
      <c r="B112" s="212"/>
      <c r="C112" s="213"/>
      <c r="D112" s="214"/>
      <c r="E112" s="217" t="s">
        <v>460</v>
      </c>
      <c r="F112" s="215"/>
      <c r="G112" s="215"/>
      <c r="H112" s="215"/>
      <c r="I112" s="215"/>
      <c r="J112" s="215"/>
      <c r="K112" s="487"/>
      <c r="L112" s="216"/>
      <c r="M112" s="216"/>
      <c r="N112" s="216"/>
      <c r="O112" s="216"/>
      <c r="Q112" s="5"/>
    </row>
    <row r="113" spans="1:17" s="53" customFormat="1">
      <c r="A113" s="53" t="s">
        <v>161</v>
      </c>
      <c r="B113" s="53" t="s">
        <v>69</v>
      </c>
      <c r="C113" s="51"/>
      <c r="D113" s="55" t="s">
        <v>30</v>
      </c>
      <c r="E113" s="52" t="s">
        <v>31</v>
      </c>
      <c r="F113" s="164"/>
      <c r="G113" s="164"/>
      <c r="H113" s="164"/>
      <c r="I113" s="164"/>
      <c r="J113" s="227"/>
      <c r="K113" s="488">
        <f ca="1">IF(K9=0,0,(INDEX(ANH,ROW(Input!B9)-5,COLUMN()-2)-INDEX(ANH,ROW(Input!B14)-5,COLUMN()-2)-INDEX(ANH,ROW(Input!B15)-5,COLUMN()-2)-INDEX(ANH,ROW(Input!B16)-5,COLUMN()-2)+INDEX(ANH,ROW(Input!B11)-5,COLUMN()-2)+INDEX(ANH,ROW(Input!B10)-5,COLUMN()-2))/K9*1000)</f>
        <v>20.117452451942</v>
      </c>
      <c r="L113" s="241">
        <f ca="1">IF(L9=0,0,(INDEX(ANH,ROW(Input!C9)-5,COLUMN()-2)-INDEX(ANH,ROW(Input!C14)-5,COLUMN()-2)-INDEX(ANH,ROW(Input!C15)-5,COLUMN()-2)-INDEX(ANH,ROW(Input!C16)-5,COLUMN()-2)+INDEX(ANH,ROW(Input!C11)-5,COLUMN()-2)+INDEX(ANH,ROW(Input!C10)-5,COLUMN()-2))/L9*1000)</f>
        <v>20.451136058476468</v>
      </c>
      <c r="M113" s="241">
        <f ca="1">IF(M9=0,0,(INDEX(ANH,ROW(Input!D9)-5,COLUMN()-2)-INDEX(ANH,ROW(Input!D14)-5,COLUMN()-2)-INDEX(ANH,ROW(Input!D15)-5,COLUMN()-2)-INDEX(ANH,ROW(Input!D16)-5,COLUMN()-2)+INDEX(ANH,ROW(Input!D11)-5,COLUMN()-2)+INDEX(ANH,ROW(Input!D10)-5,COLUMN()-2))/M9*1000)</f>
        <v>20.620105311992361</v>
      </c>
      <c r="N113" s="241">
        <f ca="1">IF(N9=0,0,(INDEX(ANH,ROW(Input!E9)-5,COLUMN()-2)-INDEX(ANH,ROW(Input!E14)-5,COLUMN()-2)-INDEX(ANH,ROW(Input!E15)-5,COLUMN()-2)-INDEX(ANH,ROW(Input!E16)-5,COLUMN()-2)+INDEX(ANH,ROW(Input!E11)-5,COLUMN()-2)+INDEX(ANH,ROW(Input!E10)-5,COLUMN()-2))/N9*1000)</f>
        <v>20.572126434492031</v>
      </c>
      <c r="O113" s="241">
        <f ca="1">IF(O9=0,0,(INDEX(ANH,ROW(Input!F9)-5,COLUMN()-2)-INDEX(ANH,ROW(Input!F14)-5,COLUMN()-2)-INDEX(ANH,ROW(Input!F15)-5,COLUMN()-2)-INDEX(ANH,ROW(Input!F16)-5,COLUMN()-2)+INDEX(ANH,ROW(Input!F11)-5,COLUMN()-2)+INDEX(ANH,ROW(Input!F10)-5,COLUMN()-2))/O9*1000)</f>
        <v>20.45299878255797</v>
      </c>
      <c r="Q113" s="5"/>
    </row>
    <row r="114" spans="1:17" s="53" customFormat="1">
      <c r="A114" s="53" t="s">
        <v>161</v>
      </c>
      <c r="B114" s="53" t="s">
        <v>69</v>
      </c>
      <c r="C114" s="51"/>
      <c r="D114" s="55" t="s">
        <v>30</v>
      </c>
      <c r="E114" s="52" t="s">
        <v>32</v>
      </c>
      <c r="F114" s="164"/>
      <c r="G114" s="164"/>
      <c r="H114" s="164"/>
      <c r="I114" s="164"/>
      <c r="J114" s="228"/>
      <c r="K114" s="488">
        <f ca="1">IF(K10=0,0,(INDEX(WSH,ROW(Input!B9)-5,COLUMN()-2)-INDEX(WSH,ROW(Input!B14)-5,COLUMN()-2)-INDEX(WSH,ROW(Input!B15)-5,COLUMN()-2)-INDEX(WSH,ROW(Input!B16)-5,COLUMN()-2)+INDEX(WSH,ROW(Input!B11)-5,COLUMN()-2)+INDEX(WSH,ROW(Input!B10)-5,COLUMN()-2))/K10*1000)</f>
        <v>25.817065679593149</v>
      </c>
      <c r="L114" s="241">
        <f ca="1">IF(L10=0,0,(INDEX(WSH,ROW(Input!C9)-5,COLUMN()-2)-INDEX(WSH,ROW(Input!C14)-5,COLUMN()-2)-INDEX(WSH,ROW(Input!C15)-5,COLUMN()-2)-INDEX(WSH,ROW(Input!C16)-5,COLUMN()-2)+INDEX(WSH,ROW(Input!C11)-5,COLUMN()-2)+INDEX(WSH,ROW(Input!C10)-5,COLUMN()-2))/L10*1000)</f>
        <v>25.165987976717965</v>
      </c>
      <c r="M114" s="241">
        <f ca="1">IF(M10=0,0,(INDEX(WSH,ROW(Input!D9)-5,COLUMN()-2)-INDEX(WSH,ROW(Input!D14)-5,COLUMN()-2)-INDEX(WSH,ROW(Input!D15)-5,COLUMN()-2)-INDEX(WSH,ROW(Input!D16)-5,COLUMN()-2)+INDEX(WSH,ROW(Input!D11)-5,COLUMN()-2)+INDEX(WSH,ROW(Input!D10)-5,COLUMN()-2))/M10*1000)</f>
        <v>24.522894402259347</v>
      </c>
      <c r="N114" s="241">
        <f ca="1">IF(N10=0,0,(INDEX(WSH,ROW(Input!E9)-5,COLUMN()-2)-INDEX(WSH,ROW(Input!E14)-5,COLUMN()-2)-INDEX(WSH,ROW(Input!E15)-5,COLUMN()-2)-INDEX(WSH,ROW(Input!E16)-5,COLUMN()-2)+INDEX(WSH,ROW(Input!E11)-5,COLUMN()-2)+INDEX(WSH,ROW(Input!E10)-5,COLUMN()-2))/N10*1000)</f>
        <v>23.929875781666944</v>
      </c>
      <c r="O114" s="241">
        <f ca="1">IF(O10=0,0,(INDEX(WSH,ROW(Input!F9)-5,COLUMN()-2)-INDEX(WSH,ROW(Input!F14)-5,COLUMN()-2)-INDEX(WSH,ROW(Input!F15)-5,COLUMN()-2)-INDEX(WSH,ROW(Input!F16)-5,COLUMN()-2)+INDEX(WSH,ROW(Input!F11)-5,COLUMN()-2)+INDEX(WSH,ROW(Input!F10)-5,COLUMN()-2))/O10*1000)</f>
        <v>23.890147109240544</v>
      </c>
      <c r="Q114" s="5"/>
    </row>
    <row r="115" spans="1:17" s="53" customFormat="1">
      <c r="A115" s="53" t="s">
        <v>161</v>
      </c>
      <c r="B115" s="53" t="s">
        <v>69</v>
      </c>
      <c r="C115" s="51"/>
      <c r="D115" s="55" t="s">
        <v>30</v>
      </c>
      <c r="E115" s="52" t="s">
        <v>33</v>
      </c>
      <c r="F115" s="164"/>
      <c r="G115" s="164"/>
      <c r="H115" s="164"/>
      <c r="I115" s="164"/>
      <c r="J115" s="227"/>
      <c r="K115" s="488">
        <f ca="1">IF(K11=0,0,(INDEX(NES,ROW(Input!B9)-5,COLUMN()-2)-INDEX(NES,ROW(Input!B14)-5,COLUMN()-2)-INDEX(NES,ROW(Input!B15)-5,COLUMN()-2)-INDEX(NES,ROW(Input!B16)-5,COLUMN()-2)+INDEX(NES,ROW(Input!B11)-5,COLUMN()-2)+INDEX(NES,ROW(Input!B10)-5,COLUMN()-2))/K11*1000)</f>
        <v>21.62596444939232</v>
      </c>
      <c r="L115" s="241">
        <f ca="1">IF(L11=0,0,(INDEX(NES,ROW(Input!C9)-5,COLUMN()-2)-INDEX(NES,ROW(Input!C14)-5,COLUMN()-2)-INDEX(NES,ROW(Input!C15)-5,COLUMN()-2)-INDEX(NES,ROW(Input!C16)-5,COLUMN()-2)+INDEX(NES,ROW(Input!C11)-5,COLUMN()-2)+INDEX(NES,ROW(Input!C10)-5,COLUMN()-2))/L11*1000)</f>
        <v>21.750165300789064</v>
      </c>
      <c r="M115" s="241">
        <f ca="1">IF(M11=0,0,(INDEX(NES,ROW(Input!D9)-5,COLUMN()-2)-INDEX(NES,ROW(Input!D14)-5,COLUMN()-2)-INDEX(NES,ROW(Input!D15)-5,COLUMN()-2)-INDEX(NES,ROW(Input!D16)-5,COLUMN()-2)+INDEX(NES,ROW(Input!D11)-5,COLUMN()-2)+INDEX(NES,ROW(Input!D10)-5,COLUMN()-2))/M11*1000)</f>
        <v>21.879275894251421</v>
      </c>
      <c r="N115" s="241">
        <f ca="1">IF(N11=0,0,(INDEX(NES,ROW(Input!E9)-5,COLUMN()-2)-INDEX(NES,ROW(Input!E14)-5,COLUMN()-2)-INDEX(NES,ROW(Input!E15)-5,COLUMN()-2)-INDEX(NES,ROW(Input!E16)-5,COLUMN()-2)+INDEX(NES,ROW(Input!E11)-5,COLUMN()-2)+INDEX(NES,ROW(Input!E10)-5,COLUMN()-2))/N11*1000)</f>
        <v>21.956193001651865</v>
      </c>
      <c r="O115" s="241">
        <f ca="1">IF(O11=0,0,(INDEX(NES,ROW(Input!F9)-5,COLUMN()-2)-INDEX(NES,ROW(Input!F14)-5,COLUMN()-2)-INDEX(NES,ROW(Input!F15)-5,COLUMN()-2)-INDEX(NES,ROW(Input!F16)-5,COLUMN()-2)+INDEX(NES,ROW(Input!F11)-5,COLUMN()-2)+INDEX(NES,ROW(Input!F10)-5,COLUMN()-2))/O11*1000)</f>
        <v>22.167147642241357</v>
      </c>
      <c r="Q115" s="5"/>
    </row>
    <row r="116" spans="1:17" s="53" customFormat="1">
      <c r="A116" s="53" t="s">
        <v>161</v>
      </c>
      <c r="B116" s="53" t="s">
        <v>69</v>
      </c>
      <c r="C116" s="51"/>
      <c r="D116" s="55" t="s">
        <v>30</v>
      </c>
      <c r="E116" s="52" t="s">
        <v>46</v>
      </c>
      <c r="F116" s="164"/>
      <c r="G116" s="164"/>
      <c r="H116" s="164"/>
      <c r="I116" s="164"/>
      <c r="J116" s="227"/>
      <c r="K116" s="488">
        <f ca="1">IF(K12=0,0,(INDEX(SVT,ROW(Input!B9)-5,COLUMN()-2)-INDEX(SVT,ROW(Input!B14)-5,COLUMN()-2)-INDEX(SVT,ROW(Input!B15)-5,COLUMN()-2)-INDEX(SVT,ROW(Input!B16)-5,COLUMN()-2)+INDEX(SVT,ROW(Input!B11)-5,COLUMN()-2)+INDEX(SVT,ROW(Input!B10)-5,COLUMN()-2))/K12*1000)</f>
        <v>21.122092870900964</v>
      </c>
      <c r="L116" s="241">
        <f ca="1">IF(L12=0,0,(INDEX(SVT,ROW(Input!C9)-5,COLUMN()-2)-INDEX(SVT,ROW(Input!C14)-5,COLUMN()-2)-INDEX(SVT,ROW(Input!C15)-5,COLUMN()-2)-INDEX(SVT,ROW(Input!C16)-5,COLUMN()-2)+INDEX(SVT,ROW(Input!C11)-5,COLUMN()-2)+INDEX(SVT,ROW(Input!C10)-5,COLUMN()-2))/L12*1000)</f>
        <v>21.092782746091064</v>
      </c>
      <c r="M116" s="241">
        <f ca="1">IF(M12=0,0,(INDEX(SVT,ROW(Input!D9)-5,COLUMN()-2)-INDEX(SVT,ROW(Input!D14)-5,COLUMN()-2)-INDEX(SVT,ROW(Input!D15)-5,COLUMN()-2)-INDEX(SVT,ROW(Input!D16)-5,COLUMN()-2)+INDEX(SVT,ROW(Input!D11)-5,COLUMN()-2)+INDEX(SVT,ROW(Input!D10)-5,COLUMN()-2))/M12*1000)</f>
        <v>21.531262461470146</v>
      </c>
      <c r="N116" s="241">
        <f ca="1">IF(N12=0,0,(INDEX(SVT,ROW(Input!E9)-5,COLUMN()-2)-INDEX(SVT,ROW(Input!E14)-5,COLUMN()-2)-INDEX(SVT,ROW(Input!E15)-5,COLUMN()-2)-INDEX(SVT,ROW(Input!E16)-5,COLUMN()-2)+INDEX(SVT,ROW(Input!E11)-5,COLUMN()-2)+INDEX(SVT,ROW(Input!E10)-5,COLUMN()-2))/N12*1000)</f>
        <v>22.098637734948603</v>
      </c>
      <c r="O116" s="241">
        <f ca="1">IF(O12=0,0,(INDEX(SVT,ROW(Input!F9)-5,COLUMN()-2)-INDEX(SVT,ROW(Input!F14)-5,COLUMN()-2)-INDEX(SVT,ROW(Input!F15)-5,COLUMN()-2)-INDEX(SVT,ROW(Input!F16)-5,COLUMN()-2)+INDEX(SVT,ROW(Input!F11)-5,COLUMN()-2)+INDEX(SVT,ROW(Input!F10)-5,COLUMN()-2))/O12*1000)</f>
        <v>22.625081014484181</v>
      </c>
      <c r="Q116" s="5"/>
    </row>
    <row r="117" spans="1:17" s="53" customFormat="1">
      <c r="A117" s="53" t="s">
        <v>161</v>
      </c>
      <c r="B117" s="53" t="s">
        <v>69</v>
      </c>
      <c r="C117" s="51"/>
      <c r="D117" s="55" t="s">
        <v>30</v>
      </c>
      <c r="E117" s="52" t="s">
        <v>47</v>
      </c>
      <c r="F117" s="164"/>
      <c r="G117" s="164"/>
      <c r="H117" s="164"/>
      <c r="I117" s="164"/>
      <c r="J117" s="227"/>
      <c r="K117" s="488">
        <f ca="1">IF(K13=0,0,(INDEX(SWT,ROW(Input!B9)-5,COLUMN()-2)-INDEX(SWT,ROW(Input!B14)-5,COLUMN()-2)-INDEX(SWT,ROW(Input!B15)-5,COLUMN()-2)-INDEX(SWT,ROW(Input!B16)-5,COLUMN()-2)+INDEX(SWT,ROW(Input!B11)-5,COLUMN()-2)+INDEX(SWT,ROW(Input!B10)-5,COLUMN()-2))/K13*1000)</f>
        <v>22.444811426213747</v>
      </c>
      <c r="L117" s="241">
        <f ca="1">IF(L13=0,0,(INDEX(SWT,ROW(Input!C9)-5,COLUMN()-2)-INDEX(SWT,ROW(Input!C14)-5,COLUMN()-2)-INDEX(SWT,ROW(Input!C15)-5,COLUMN()-2)-INDEX(SWT,ROW(Input!C16)-5,COLUMN()-2)+INDEX(SWT,ROW(Input!C11)-5,COLUMN()-2)+INDEX(SWT,ROW(Input!C10)-5,COLUMN()-2))/L13*1000)</f>
        <v>21.978676048916814</v>
      </c>
      <c r="M117" s="241">
        <f ca="1">IF(M13=0,0,(INDEX(SWT,ROW(Input!D9)-5,COLUMN()-2)-INDEX(SWT,ROW(Input!D14)-5,COLUMN()-2)-INDEX(SWT,ROW(Input!D15)-5,COLUMN()-2)-INDEX(SWT,ROW(Input!D16)-5,COLUMN()-2)+INDEX(SWT,ROW(Input!D11)-5,COLUMN()-2)+INDEX(SWT,ROW(Input!D10)-5,COLUMN()-2))/M13*1000)</f>
        <v>21.87321388738966</v>
      </c>
      <c r="N117" s="241">
        <f ca="1">IF(N13=0,0,(INDEX(SWT,ROW(Input!E9)-5,COLUMN()-2)-INDEX(SWT,ROW(Input!E14)-5,COLUMN()-2)-INDEX(SWT,ROW(Input!E15)-5,COLUMN()-2)-INDEX(SWT,ROW(Input!E16)-5,COLUMN()-2)+INDEX(SWT,ROW(Input!E11)-5,COLUMN()-2)+INDEX(SWT,ROW(Input!E10)-5,COLUMN()-2))/N13*1000)</f>
        <v>21.678974604073549</v>
      </c>
      <c r="O117" s="241">
        <f ca="1">IF(O13=0,0,(INDEX(SWT,ROW(Input!F9)-5,COLUMN()-2)-INDEX(SWT,ROW(Input!F14)-5,COLUMN()-2)-INDEX(SWT,ROW(Input!F15)-5,COLUMN()-2)-INDEX(SWT,ROW(Input!F16)-5,COLUMN()-2)+INDEX(SWT,ROW(Input!F11)-5,COLUMN()-2)+INDEX(SWT,ROW(Input!F10)-5,COLUMN()-2))/O13*1000)</f>
        <v>21.270810408903248</v>
      </c>
      <c r="Q117" s="5"/>
    </row>
    <row r="118" spans="1:17" s="53" customFormat="1">
      <c r="A118" s="53" t="s">
        <v>161</v>
      </c>
      <c r="B118" s="53" t="s">
        <v>69</v>
      </c>
      <c r="C118" s="51"/>
      <c r="D118" s="55" t="s">
        <v>30</v>
      </c>
      <c r="E118" s="52" t="s">
        <v>48</v>
      </c>
      <c r="F118" s="164"/>
      <c r="G118" s="164"/>
      <c r="H118" s="164"/>
      <c r="I118" s="164"/>
      <c r="J118" s="227"/>
      <c r="K118" s="488">
        <f ca="1">IF(K14=0,0,(INDEX(SRN,ROW(Input!B9)-5,COLUMN()-2)-INDEX(SRN,ROW(Input!B14)-5,COLUMN()-2)-INDEX(SRN,ROW(Input!B15)-5,COLUMN()-2)-INDEX(SRN,ROW(Input!B16)-5,COLUMN()-2)+INDEX(SRN,ROW(Input!B11)-5,COLUMN()-2)+INDEX(SRN,ROW(Input!B10)-5,COLUMN()-2))/K14*1000)</f>
        <v>27.409272680377899</v>
      </c>
      <c r="L118" s="241">
        <f ca="1">IF(L14=0,0,(INDEX(SRN,ROW(Input!C9)-5,COLUMN()-2)-INDEX(SRN,ROW(Input!C14)-5,COLUMN()-2)-INDEX(SRN,ROW(Input!C15)-5,COLUMN()-2)-INDEX(SRN,ROW(Input!C16)-5,COLUMN()-2)+INDEX(SRN,ROW(Input!C11)-5,COLUMN()-2)+INDEX(SRN,ROW(Input!C10)-5,COLUMN()-2))/L14*1000)</f>
        <v>27.616088492867515</v>
      </c>
      <c r="M118" s="241">
        <f ca="1">IF(M14=0,0,(INDEX(SRN,ROW(Input!D9)-5,COLUMN()-2)-INDEX(SRN,ROW(Input!D14)-5,COLUMN()-2)-INDEX(SRN,ROW(Input!D15)-5,COLUMN()-2)-INDEX(SRN,ROW(Input!D16)-5,COLUMN()-2)+INDEX(SRN,ROW(Input!D11)-5,COLUMN()-2)+INDEX(SRN,ROW(Input!D10)-5,COLUMN()-2))/M14*1000)</f>
        <v>27.047837925569866</v>
      </c>
      <c r="N118" s="241">
        <f ca="1">IF(N14=0,0,(INDEX(SRN,ROW(Input!E9)-5,COLUMN()-2)-INDEX(SRN,ROW(Input!E14)-5,COLUMN()-2)-INDEX(SRN,ROW(Input!E15)-5,COLUMN()-2)-INDEX(SRN,ROW(Input!E16)-5,COLUMN()-2)+INDEX(SRN,ROW(Input!E11)-5,COLUMN()-2)+INDEX(SRN,ROW(Input!E10)-5,COLUMN()-2))/N14*1000)</f>
        <v>24.736430538216499</v>
      </c>
      <c r="O118" s="241">
        <f ca="1">IF(O14=0,0,(INDEX(SRN,ROW(Input!F9)-5,COLUMN()-2)-INDEX(SRN,ROW(Input!F14)-5,COLUMN()-2)-INDEX(SRN,ROW(Input!F15)-5,COLUMN()-2)-INDEX(SRN,ROW(Input!F16)-5,COLUMN()-2)+INDEX(SRN,ROW(Input!F11)-5,COLUMN()-2)+INDEX(SRN,ROW(Input!F10)-5,COLUMN()-2))/O14*1000)</f>
        <v>24.443998036758501</v>
      </c>
      <c r="Q118" s="5"/>
    </row>
    <row r="119" spans="1:17" s="53" customFormat="1">
      <c r="A119" s="53" t="s">
        <v>161</v>
      </c>
      <c r="B119" s="53" t="s">
        <v>69</v>
      </c>
      <c r="C119" s="51"/>
      <c r="D119" s="55" t="s">
        <v>30</v>
      </c>
      <c r="E119" s="52" t="s">
        <v>49</v>
      </c>
      <c r="F119" s="164"/>
      <c r="G119" s="164"/>
      <c r="H119" s="164"/>
      <c r="I119" s="164"/>
      <c r="J119" s="227"/>
      <c r="K119" s="488">
        <f ca="1">IF(K15=0,0,(INDEX(TMS,ROW(Input!B9)-5,COLUMN()-2)-INDEX(TMS,ROW(Input!B14)-5,COLUMN()-2)-INDEX(TMS,ROW(Input!B15)-5,COLUMN()-2)-INDEX(TMS,ROW(Input!B16)-5,COLUMN()-2)+INDEX(TMS,ROW(Input!B11)-5,COLUMN()-2)+INDEX(TMS,ROW(Input!B10)-5,COLUMN()-2))/K15*1000)</f>
        <v>21.866326835391646</v>
      </c>
      <c r="L119" s="241">
        <f ca="1">IF(L15=0,0,(INDEX(TMS,ROW(Input!C9)-5,COLUMN()-2)-INDEX(TMS,ROW(Input!C14)-5,COLUMN()-2)-INDEX(TMS,ROW(Input!C15)-5,COLUMN()-2)-INDEX(TMS,ROW(Input!C16)-5,COLUMN()-2)+INDEX(TMS,ROW(Input!C11)-5,COLUMN()-2)+INDEX(TMS,ROW(Input!C10)-5,COLUMN()-2))/L15*1000)</f>
        <v>22.561284897111904</v>
      </c>
      <c r="M119" s="241">
        <f ca="1">IF(M15=0,0,(INDEX(TMS,ROW(Input!D9)-5,COLUMN()-2)-INDEX(TMS,ROW(Input!D14)-5,COLUMN()-2)-INDEX(TMS,ROW(Input!D15)-5,COLUMN()-2)-INDEX(TMS,ROW(Input!D16)-5,COLUMN()-2)+INDEX(TMS,ROW(Input!D11)-5,COLUMN()-2)+INDEX(TMS,ROW(Input!D10)-5,COLUMN()-2))/M15*1000)</f>
        <v>22.337632928553411</v>
      </c>
      <c r="N119" s="241">
        <f ca="1">IF(N15=0,0,(INDEX(TMS,ROW(Input!E9)-5,COLUMN()-2)-INDEX(TMS,ROW(Input!E14)-5,COLUMN()-2)-INDEX(TMS,ROW(Input!E15)-5,COLUMN()-2)-INDEX(TMS,ROW(Input!E16)-5,COLUMN()-2)+INDEX(TMS,ROW(Input!E11)-5,COLUMN()-2)+INDEX(TMS,ROW(Input!E10)-5,COLUMN()-2))/N15*1000)</f>
        <v>22.558760542529182</v>
      </c>
      <c r="O119" s="241">
        <f ca="1">IF(O15=0,0,(INDEX(TMS,ROW(Input!F9)-5,COLUMN()-2)-INDEX(TMS,ROW(Input!F14)-5,COLUMN()-2)-INDEX(TMS,ROW(Input!F15)-5,COLUMN()-2)-INDEX(TMS,ROW(Input!F16)-5,COLUMN()-2)+INDEX(TMS,ROW(Input!F11)-5,COLUMN()-2)+INDEX(TMS,ROW(Input!F10)-5,COLUMN()-2))/O15*1000)</f>
        <v>21.61376413284842</v>
      </c>
      <c r="Q119" s="5"/>
    </row>
    <row r="120" spans="1:17" s="53" customFormat="1">
      <c r="A120" s="53" t="s">
        <v>161</v>
      </c>
      <c r="B120" s="53" t="s">
        <v>69</v>
      </c>
      <c r="C120" s="51"/>
      <c r="D120" s="55" t="s">
        <v>30</v>
      </c>
      <c r="E120" s="52" t="s">
        <v>50</v>
      </c>
      <c r="F120" s="164"/>
      <c r="G120" s="164"/>
      <c r="H120" s="164"/>
      <c r="I120" s="164"/>
      <c r="J120" s="227"/>
      <c r="K120" s="488">
        <f ca="1">IF(K16=0,0,(INDEX(NWT,ROW(Input!B9)-5,COLUMN()-2)-INDEX(NWT,ROW(Input!B14)-5,COLUMN()-2)-INDEX(NWT,ROW(Input!B15)-5,COLUMN()-2)-INDEX(NWT,ROW(Input!B16)-5,COLUMN()-2)+INDEX(NWT,ROW(Input!B11)-5,COLUMN()-2)+INDEX(NWT,ROW(Input!B10)-5,COLUMN()-2))/K16*1000)</f>
        <v>27.851602675007037</v>
      </c>
      <c r="L120" s="241">
        <f ca="1">IF(L16=0,0,(INDEX(NWT,ROW(Input!C9)-5,COLUMN()-2)-INDEX(NWT,ROW(Input!C14)-5,COLUMN()-2)-INDEX(NWT,ROW(Input!C15)-5,COLUMN()-2)-INDEX(NWT,ROW(Input!C16)-5,COLUMN()-2)+INDEX(NWT,ROW(Input!C11)-5,COLUMN()-2)+INDEX(NWT,ROW(Input!C10)-5,COLUMN()-2))/L16*1000)</f>
        <v>28.523373768882447</v>
      </c>
      <c r="M120" s="241">
        <f ca="1">IF(M16=0,0,(INDEX(NWT,ROW(Input!D9)-5,COLUMN()-2)-INDEX(NWT,ROW(Input!D14)-5,COLUMN()-2)-INDEX(NWT,ROW(Input!D15)-5,COLUMN()-2)-INDEX(NWT,ROW(Input!D16)-5,COLUMN()-2)+INDEX(NWT,ROW(Input!D11)-5,COLUMN()-2)+INDEX(NWT,ROW(Input!D10)-5,COLUMN()-2))/M16*1000)</f>
        <v>29.110866212584124</v>
      </c>
      <c r="N120" s="241">
        <f ca="1">IF(N16=0,0,(INDEX(NWT,ROW(Input!E9)-5,COLUMN()-2)-INDEX(NWT,ROW(Input!E14)-5,COLUMN()-2)-INDEX(NWT,ROW(Input!E15)-5,COLUMN()-2)-INDEX(NWT,ROW(Input!E16)-5,COLUMN()-2)+INDEX(NWT,ROW(Input!E11)-5,COLUMN()-2)+INDEX(NWT,ROW(Input!E10)-5,COLUMN()-2))/N16*1000)</f>
        <v>28.98684944421624</v>
      </c>
      <c r="O120" s="241">
        <f ca="1">IF(O16=0,0,(INDEX(NWT,ROW(Input!F9)-5,COLUMN()-2)-INDEX(NWT,ROW(Input!F14)-5,COLUMN()-2)-INDEX(NWT,ROW(Input!F15)-5,COLUMN()-2)-INDEX(NWT,ROW(Input!F16)-5,COLUMN()-2)+INDEX(NWT,ROW(Input!F11)-5,COLUMN()-2)+INDEX(NWT,ROW(Input!F10)-5,COLUMN()-2))/O16*1000)</f>
        <v>29.525586398257698</v>
      </c>
      <c r="Q120" s="5"/>
    </row>
    <row r="121" spans="1:17" s="53" customFormat="1">
      <c r="A121" s="53" t="s">
        <v>161</v>
      </c>
      <c r="B121" s="53" t="s">
        <v>69</v>
      </c>
      <c r="C121" s="51"/>
      <c r="D121" s="55" t="s">
        <v>30</v>
      </c>
      <c r="E121" s="52" t="s">
        <v>51</v>
      </c>
      <c r="F121" s="164"/>
      <c r="G121" s="164"/>
      <c r="H121" s="164"/>
      <c r="I121" s="164"/>
      <c r="J121" s="227"/>
      <c r="K121" s="488">
        <f ca="1">IF(K17=0,0,(INDEX(WSX,ROW(Input!B9)-5,COLUMN()-2)-INDEX(WSX,ROW(Input!B14)-5,COLUMN()-2)-INDEX(WSX,ROW(Input!B15)-5,COLUMN()-2)-INDEX(WSX,ROW(Input!B16)-5,COLUMN()-2)+INDEX(WSX,ROW(Input!B11)-5,COLUMN()-2)+INDEX(WSX,ROW(Input!B10)-5,COLUMN()-2))/K17*1000)</f>
        <v>19.039928881088226</v>
      </c>
      <c r="L121" s="241">
        <f ca="1">IF(L17=0,0,(INDEX(WSX,ROW(Input!C9)-5,COLUMN()-2)-INDEX(WSX,ROW(Input!C14)-5,COLUMN()-2)-INDEX(WSX,ROW(Input!C15)-5,COLUMN()-2)-INDEX(WSX,ROW(Input!C16)-5,COLUMN()-2)+INDEX(WSX,ROW(Input!C11)-5,COLUMN()-2)+INDEX(WSX,ROW(Input!C10)-5,COLUMN()-2))/L17*1000)</f>
        <v>19.017457312996672</v>
      </c>
      <c r="M121" s="241">
        <f ca="1">IF(M17=0,0,(INDEX(WSX,ROW(Input!D9)-5,COLUMN()-2)-INDEX(WSX,ROW(Input!D14)-5,COLUMN()-2)-INDEX(WSX,ROW(Input!D15)-5,COLUMN()-2)-INDEX(WSX,ROW(Input!D16)-5,COLUMN()-2)+INDEX(WSX,ROW(Input!D11)-5,COLUMN()-2)+INDEX(WSX,ROW(Input!D10)-5,COLUMN()-2))/M17*1000)</f>
        <v>19.111078955771919</v>
      </c>
      <c r="N121" s="241">
        <f ca="1">IF(N17=0,0,(INDEX(WSX,ROW(Input!E9)-5,COLUMN()-2)-INDEX(WSX,ROW(Input!E14)-5,COLUMN()-2)-INDEX(WSX,ROW(Input!E15)-5,COLUMN()-2)-INDEX(WSX,ROW(Input!E16)-5,COLUMN()-2)+INDEX(WSX,ROW(Input!E11)-5,COLUMN()-2)+INDEX(WSX,ROW(Input!E10)-5,COLUMN()-2))/N17*1000)</f>
        <v>19.092968881179523</v>
      </c>
      <c r="O121" s="241">
        <f ca="1">IF(O17=0,0,(INDEX(WSX,ROW(Input!F9)-5,COLUMN()-2)-INDEX(WSX,ROW(Input!F14)-5,COLUMN()-2)-INDEX(WSX,ROW(Input!F15)-5,COLUMN()-2)-INDEX(WSX,ROW(Input!F16)-5,COLUMN()-2)+INDEX(WSX,ROW(Input!F11)-5,COLUMN()-2)+INDEX(WSX,ROW(Input!F10)-5,COLUMN()-2))/O17*1000)</f>
        <v>19.055373651005112</v>
      </c>
      <c r="Q121" s="5"/>
    </row>
    <row r="122" spans="1:17" s="53" customFormat="1">
      <c r="A122" s="53" t="s">
        <v>161</v>
      </c>
      <c r="B122" s="53" t="s">
        <v>69</v>
      </c>
      <c r="C122" s="51"/>
      <c r="D122" s="55" t="s">
        <v>30</v>
      </c>
      <c r="E122" s="52" t="s">
        <v>52</v>
      </c>
      <c r="F122" s="164"/>
      <c r="G122" s="164"/>
      <c r="H122" s="164"/>
      <c r="I122" s="164"/>
      <c r="J122" s="227"/>
      <c r="K122" s="488">
        <f ca="1">IF(K18=0,0,(INDEX(YKY,ROW(Input!B9)-5,COLUMN()-2)-INDEX(YKY,ROW(Input!B14)-5,COLUMN()-2)-INDEX(YKY,ROW(Input!B15)-5,COLUMN()-2)-INDEX(YKY,ROW(Input!B16)-5,COLUMN()-2)+INDEX(YKY,ROW(Input!B11)-5,COLUMN()-2)+INDEX(YKY,ROW(Input!B10)-5,COLUMN()-2))/K18*1000)</f>
        <v>17.669850420190134</v>
      </c>
      <c r="L122" s="241">
        <f ca="1">IF(L18=0,0,(INDEX(YKY,ROW(Input!C9)-5,COLUMN()-2)-INDEX(YKY,ROW(Input!C14)-5,COLUMN()-2)-INDEX(YKY,ROW(Input!C15)-5,COLUMN()-2)-INDEX(YKY,ROW(Input!C16)-5,COLUMN()-2)+INDEX(YKY,ROW(Input!C11)-5,COLUMN()-2)+INDEX(YKY,ROW(Input!C10)-5,COLUMN()-2))/L18*1000)</f>
        <v>17.450967530520412</v>
      </c>
      <c r="M122" s="241">
        <f ca="1">IF(M18=0,0,(INDEX(YKY,ROW(Input!D9)-5,COLUMN()-2)-INDEX(YKY,ROW(Input!D14)-5,COLUMN()-2)-INDEX(YKY,ROW(Input!D15)-5,COLUMN()-2)-INDEX(YKY,ROW(Input!D16)-5,COLUMN()-2)+INDEX(YKY,ROW(Input!D11)-5,COLUMN()-2)+INDEX(YKY,ROW(Input!D10)-5,COLUMN()-2))/M18*1000)</f>
        <v>17.144271792045899</v>
      </c>
      <c r="N122" s="241">
        <f ca="1">IF(N18=0,0,(INDEX(YKY,ROW(Input!E9)-5,COLUMN()-2)-INDEX(YKY,ROW(Input!E14)-5,COLUMN()-2)-INDEX(YKY,ROW(Input!E15)-5,COLUMN()-2)-INDEX(YKY,ROW(Input!E16)-5,COLUMN()-2)+INDEX(YKY,ROW(Input!E11)-5,COLUMN()-2)+INDEX(YKY,ROW(Input!E10)-5,COLUMN()-2))/N18*1000)</f>
        <v>16.412237013075355</v>
      </c>
      <c r="O122" s="241">
        <f ca="1">IF(O18=0,0,(INDEX(YKY,ROW(Input!F9)-5,COLUMN()-2)-INDEX(YKY,ROW(Input!F14)-5,COLUMN()-2)-INDEX(YKY,ROW(Input!F15)-5,COLUMN()-2)-INDEX(YKY,ROW(Input!F16)-5,COLUMN()-2)+INDEX(YKY,ROW(Input!F11)-5,COLUMN()-2)+INDEX(YKY,ROW(Input!F10)-5,COLUMN()-2))/O18*1000)</f>
        <v>16.325564971855783</v>
      </c>
      <c r="Q122" s="5"/>
    </row>
    <row r="123" spans="1:17" s="53" customFormat="1">
      <c r="A123" s="53" t="s">
        <v>161</v>
      </c>
      <c r="B123" s="53" t="s">
        <v>69</v>
      </c>
      <c r="C123" s="51"/>
      <c r="D123" s="55" t="s">
        <v>30</v>
      </c>
      <c r="E123" s="52" t="s">
        <v>53</v>
      </c>
      <c r="F123" s="164"/>
      <c r="G123" s="164"/>
      <c r="H123" s="164"/>
      <c r="I123" s="164"/>
      <c r="J123" s="227"/>
      <c r="K123" s="488">
        <f ca="1">IF(K19=0,0,(INDEX(AFW,ROW(Input!B9)-5,COLUMN()-2)-INDEX(AFW,ROW(Input!B14)-5,COLUMN()-2)-INDEX(AFW,ROW(Input!B15)-5,COLUMN()-2)-INDEX(AFW,ROW(Input!B16)-5,COLUMN()-2)+INDEX(AFW,ROW(Input!B11)-5,COLUMN()-2)+INDEX(AFW,ROW(Input!B10)-5,COLUMN()-2))/K19*1000)</f>
        <v>16.74459469843497</v>
      </c>
      <c r="L123" s="241">
        <f ca="1">IF(L19=0,0,(INDEX(AFW,ROW(Input!C9)-5,COLUMN()-2)-INDEX(AFW,ROW(Input!C14)-5,COLUMN()-2)-INDEX(AFW,ROW(Input!C15)-5,COLUMN()-2)-INDEX(AFW,ROW(Input!C16)-5,COLUMN()-2)+INDEX(AFW,ROW(Input!C11)-5,COLUMN()-2)+INDEX(AFW,ROW(Input!C10)-5,COLUMN()-2))/L19*1000)</f>
        <v>16.470316790047878</v>
      </c>
      <c r="M123" s="241">
        <f ca="1">IF(M19=0,0,(INDEX(AFW,ROW(Input!D9)-5,COLUMN()-2)-INDEX(AFW,ROW(Input!D14)-5,COLUMN()-2)-INDEX(AFW,ROW(Input!D15)-5,COLUMN()-2)-INDEX(AFW,ROW(Input!D16)-5,COLUMN()-2)+INDEX(AFW,ROW(Input!D11)-5,COLUMN()-2)+INDEX(AFW,ROW(Input!D10)-5,COLUMN()-2))/M19*1000)</f>
        <v>16.195698545015848</v>
      </c>
      <c r="N123" s="241">
        <f ca="1">IF(N19=0,0,(INDEX(AFW,ROW(Input!E9)-5,COLUMN()-2)-INDEX(AFW,ROW(Input!E14)-5,COLUMN()-2)-INDEX(AFW,ROW(Input!E15)-5,COLUMN()-2)-INDEX(AFW,ROW(Input!E16)-5,COLUMN()-2)+INDEX(AFW,ROW(Input!E11)-5,COLUMN()-2)+INDEX(AFW,ROW(Input!E10)-5,COLUMN()-2))/N19*1000)</f>
        <v>15.640275709285827</v>
      </c>
      <c r="O123" s="241">
        <f ca="1">IF(O19=0,0,(INDEX(AFW,ROW(Input!F9)-5,COLUMN()-2)-INDEX(AFW,ROW(Input!F14)-5,COLUMN()-2)-INDEX(AFW,ROW(Input!F15)-5,COLUMN()-2)-INDEX(AFW,ROW(Input!F16)-5,COLUMN()-2)+INDEX(AFW,ROW(Input!F11)-5,COLUMN()-2)+INDEX(AFW,ROW(Input!F10)-5,COLUMN()-2))/O19*1000)</f>
        <v>14.780683039611898</v>
      </c>
      <c r="Q123" s="5"/>
    </row>
    <row r="124" spans="1:17" s="53" customFormat="1">
      <c r="A124" s="53" t="s">
        <v>161</v>
      </c>
      <c r="B124" s="53" t="s">
        <v>69</v>
      </c>
      <c r="C124" s="51"/>
      <c r="D124" s="55" t="s">
        <v>30</v>
      </c>
      <c r="E124" s="52" t="s">
        <v>54</v>
      </c>
      <c r="F124" s="164"/>
      <c r="G124" s="164"/>
      <c r="H124" s="164"/>
      <c r="I124" s="164"/>
      <c r="J124" s="227"/>
      <c r="K124" s="488">
        <f ca="1">IF(K20=0,0,(INDEX(BRL,ROW(Input!B9)-5,COLUMN()-2)-INDEX(BRL,ROW(Input!B14)-5,COLUMN()-2)-INDEX(BRL,ROW(Input!B15)-5,COLUMN()-2)-INDEX(BRL,ROW(Input!B16)-5,COLUMN()-2)+INDEX(BRL,ROW(Input!B11)-5,COLUMN()-2)+INDEX(BRL,ROW(Input!B10)-5,COLUMN()-2))/K20*1000)</f>
        <v>16.388178447112654</v>
      </c>
      <c r="L124" s="241">
        <f ca="1">IF(L20=0,0,(INDEX(BRL,ROW(Input!C9)-5,COLUMN()-2)-INDEX(BRL,ROW(Input!C14)-5,COLUMN()-2)-INDEX(BRL,ROW(Input!C15)-5,COLUMN()-2)-INDEX(BRL,ROW(Input!C16)-5,COLUMN()-2)+INDEX(BRL,ROW(Input!C11)-5,COLUMN()-2)+INDEX(BRL,ROW(Input!C10)-5,COLUMN()-2))/L20*1000)</f>
        <v>16.540138200212816</v>
      </c>
      <c r="M124" s="241">
        <f ca="1">IF(M20=0,0,(INDEX(BRL,ROW(Input!D9)-5,COLUMN()-2)-INDEX(BRL,ROW(Input!D14)-5,COLUMN()-2)-INDEX(BRL,ROW(Input!D15)-5,COLUMN()-2)-INDEX(BRL,ROW(Input!D16)-5,COLUMN()-2)+INDEX(BRL,ROW(Input!D11)-5,COLUMN()-2)+INDEX(BRL,ROW(Input!D10)-5,COLUMN()-2))/M20*1000)</f>
        <v>16.542043442405248</v>
      </c>
      <c r="N124" s="241">
        <f ca="1">IF(N20=0,0,(INDEX(BRL,ROW(Input!E9)-5,COLUMN()-2)-INDEX(BRL,ROW(Input!E14)-5,COLUMN()-2)-INDEX(BRL,ROW(Input!E15)-5,COLUMN()-2)-INDEX(BRL,ROW(Input!E16)-5,COLUMN()-2)+INDEX(BRL,ROW(Input!E11)-5,COLUMN()-2)+INDEX(BRL,ROW(Input!E10)-5,COLUMN()-2))/N20*1000)</f>
        <v>16.493560784457213</v>
      </c>
      <c r="O124" s="241">
        <f ca="1">IF(O20=0,0,(INDEX(BRL,ROW(Input!F9)-5,COLUMN()-2)-INDEX(BRL,ROW(Input!F14)-5,COLUMN()-2)-INDEX(BRL,ROW(Input!F15)-5,COLUMN()-2)-INDEX(BRL,ROW(Input!F16)-5,COLUMN()-2)+INDEX(BRL,ROW(Input!F11)-5,COLUMN()-2)+INDEX(BRL,ROW(Input!F10)-5,COLUMN()-2))/O20*1000)</f>
        <v>16.474778534815407</v>
      </c>
      <c r="Q124" s="5"/>
    </row>
    <row r="125" spans="1:17" s="53" customFormat="1">
      <c r="A125" s="53" t="s">
        <v>161</v>
      </c>
      <c r="B125" s="53" t="s">
        <v>69</v>
      </c>
      <c r="C125" s="51"/>
      <c r="D125" s="55" t="s">
        <v>30</v>
      </c>
      <c r="E125" s="52" t="s">
        <v>66</v>
      </c>
      <c r="F125" s="164"/>
      <c r="G125" s="164"/>
      <c r="H125" s="164"/>
      <c r="I125" s="164"/>
      <c r="J125" s="227"/>
      <c r="K125" s="488">
        <f ca="1">IF(K21=0,0,(INDEX(SSC,ROW(Input!B9)-5,COLUMN()-2)-INDEX(SSC,ROW(Input!B14)-5,COLUMN()-2)-INDEX(SSC,ROW(Input!B15)-5,COLUMN()-2)-INDEX(SSC,ROW(Input!B16)-5,COLUMN()-2)+INDEX(SSC,ROW(Input!B11)-5,COLUMN()-2)+INDEX(SSC,ROW(Input!B10)-5,COLUMN()-2))/K21*1000)</f>
        <v>23.124584512240524</v>
      </c>
      <c r="L125" s="241">
        <f ca="1">IF(L21=0,0,(INDEX(SSC,ROW(Input!C9)-5,COLUMN()-2)-INDEX(SSC,ROW(Input!C14)-5,COLUMN()-2)-INDEX(SSC,ROW(Input!C15)-5,COLUMN()-2)-INDEX(SSC,ROW(Input!C16)-5,COLUMN()-2)+INDEX(SSC,ROW(Input!C11)-5,COLUMN()-2)+INDEX(SSC,ROW(Input!C10)-5,COLUMN()-2))/L21*1000)</f>
        <v>22.99524137106269</v>
      </c>
      <c r="M125" s="241">
        <f ca="1">IF(M21=0,0,(INDEX(SSC,ROW(Input!D9)-5,COLUMN()-2)-INDEX(SSC,ROW(Input!D14)-5,COLUMN()-2)-INDEX(SSC,ROW(Input!D15)-5,COLUMN()-2)-INDEX(SSC,ROW(Input!D16)-5,COLUMN()-2)+INDEX(SSC,ROW(Input!D11)-5,COLUMN()-2)+INDEX(SSC,ROW(Input!D10)-5,COLUMN()-2))/M21*1000)</f>
        <v>22.516540427684099</v>
      </c>
      <c r="N125" s="241">
        <f ca="1">IF(N21=0,0,(INDEX(SSC,ROW(Input!E9)-5,COLUMN()-2)-INDEX(SSC,ROW(Input!E14)-5,COLUMN()-2)-INDEX(SSC,ROW(Input!E15)-5,COLUMN()-2)-INDEX(SSC,ROW(Input!E16)-5,COLUMN()-2)+INDEX(SSC,ROW(Input!E11)-5,COLUMN()-2)+INDEX(SSC,ROW(Input!E10)-5,COLUMN()-2))/N21*1000)</f>
        <v>21.529826777374829</v>
      </c>
      <c r="O125" s="241">
        <f ca="1">IF(O21=0,0,(INDEX(SSC,ROW(Input!F9)-5,COLUMN()-2)-INDEX(SSC,ROW(Input!F14)-5,COLUMN()-2)-INDEX(SSC,ROW(Input!F15)-5,COLUMN()-2)-INDEX(SSC,ROW(Input!F16)-5,COLUMN()-2)+INDEX(SSC,ROW(Input!F11)-5,COLUMN()-2)+INDEX(SSC,ROW(Input!F10)-5,COLUMN()-2))/O21*1000)</f>
        <v>20.904161887897121</v>
      </c>
      <c r="Q125" s="5"/>
    </row>
    <row r="126" spans="1:17" s="53" customFormat="1">
      <c r="A126" s="53" t="s">
        <v>161</v>
      </c>
      <c r="B126" s="53" t="s">
        <v>69</v>
      </c>
      <c r="C126" s="51"/>
      <c r="D126" s="55" t="s">
        <v>30</v>
      </c>
      <c r="E126" s="52" t="s">
        <v>55</v>
      </c>
      <c r="F126" s="164"/>
      <c r="G126" s="164"/>
      <c r="H126" s="164"/>
      <c r="I126" s="164"/>
      <c r="J126" s="227"/>
      <c r="K126" s="488">
        <f ca="1">IF(K22=0,0,(INDEX(DVW,ROW(Input!B9)-5,COLUMN()-2)-INDEX(DVW,ROW(Input!B14)-5,COLUMN()-2)-INDEX(DVW,ROW(Input!B15)-5,COLUMN()-2)-INDEX(DVW,ROW(Input!B16)-5,COLUMN()-2)+INDEX(DVW,ROW(Input!B11)-5,COLUMN()-2)+INDEX(DVW,ROW(Input!B10)-5,COLUMN()-2))/K22*1000)</f>
        <v>21.520153290628897</v>
      </c>
      <c r="L126" s="241">
        <f ca="1">IF(L22=0,0,(INDEX(DVW,ROW(Input!C9)-5,COLUMN()-2)-INDEX(DVW,ROW(Input!C14)-5,COLUMN()-2)-INDEX(DVW,ROW(Input!C15)-5,COLUMN()-2)-INDEX(DVW,ROW(Input!C16)-5,COLUMN()-2)+INDEX(DVW,ROW(Input!C11)-5,COLUMN()-2)+INDEX(DVW,ROW(Input!C10)-5,COLUMN()-2))/L22*1000)</f>
        <v>21.530364583449966</v>
      </c>
      <c r="M126" s="241">
        <f ca="1">IF(M22=0,0,(INDEX(DVW,ROW(Input!D9)-5,COLUMN()-2)-INDEX(DVW,ROW(Input!D14)-5,COLUMN()-2)-INDEX(DVW,ROW(Input!D15)-5,COLUMN()-2)-INDEX(DVW,ROW(Input!D16)-5,COLUMN()-2)+INDEX(DVW,ROW(Input!D11)-5,COLUMN()-2)+INDEX(DVW,ROW(Input!D10)-5,COLUMN()-2))/M22*1000)</f>
        <v>21.722828999148611</v>
      </c>
      <c r="N126" s="241">
        <f ca="1">IF(N22=0,0,(INDEX(DVW,ROW(Input!E9)-5,COLUMN()-2)-INDEX(DVW,ROW(Input!E14)-5,COLUMN()-2)-INDEX(DVW,ROW(Input!E15)-5,COLUMN()-2)-INDEX(DVW,ROW(Input!E16)-5,COLUMN()-2)+INDEX(DVW,ROW(Input!E11)-5,COLUMN()-2)+INDEX(DVW,ROW(Input!E10)-5,COLUMN()-2))/N22*1000)</f>
        <v>21.629599036058423</v>
      </c>
      <c r="O126" s="241">
        <f ca="1">IF(O22=0,0,(INDEX(DVW,ROW(Input!F9)-5,COLUMN()-2)-INDEX(DVW,ROW(Input!F14)-5,COLUMN()-2)-INDEX(DVW,ROW(Input!F15)-5,COLUMN()-2)-INDEX(DVW,ROW(Input!F16)-5,COLUMN()-2)+INDEX(DVW,ROW(Input!F11)-5,COLUMN()-2)+INDEX(DVW,ROW(Input!F10)-5,COLUMN()-2))/O22*1000)</f>
        <v>21.563147432595542</v>
      </c>
      <c r="Q126" s="5"/>
    </row>
    <row r="127" spans="1:17" s="53" customFormat="1">
      <c r="A127" s="53" t="s">
        <v>161</v>
      </c>
      <c r="B127" s="53" t="s">
        <v>69</v>
      </c>
      <c r="C127" s="51"/>
      <c r="D127" s="55" t="s">
        <v>30</v>
      </c>
      <c r="E127" s="52" t="s">
        <v>56</v>
      </c>
      <c r="F127" s="164"/>
      <c r="G127" s="164"/>
      <c r="H127" s="164"/>
      <c r="I127" s="164"/>
      <c r="J127" s="227"/>
      <c r="K127" s="488">
        <f ca="1">IF(K23=0,0,(INDEX(PRT,ROW(Input!B9)-5,COLUMN()-2)-INDEX(PRT,ROW(Input!B14)-5,COLUMN()-2)-INDEX(PRT,ROW(Input!B15)-5,COLUMN()-2)-INDEX(PRT,ROW(Input!B16)-5,COLUMN()-2)+INDEX(PRT,ROW(Input!B11)-5,COLUMN()-2)+INDEX(PRT,ROW(Input!B10)-5,COLUMN()-2))/K23*1000)</f>
        <v>13.928631732825133</v>
      </c>
      <c r="L127" s="241">
        <f ca="1">IF(L23=0,0,(INDEX(PRT,ROW(Input!C9)-5,COLUMN()-2)-INDEX(PRT,ROW(Input!C14)-5,COLUMN()-2)-INDEX(PRT,ROW(Input!C15)-5,COLUMN()-2)-INDEX(PRT,ROW(Input!C16)-5,COLUMN()-2)+INDEX(PRT,ROW(Input!C11)-5,COLUMN()-2)+INDEX(PRT,ROW(Input!C10)-5,COLUMN()-2))/L23*1000)</f>
        <v>13.83917407246982</v>
      </c>
      <c r="M127" s="241">
        <f ca="1">IF(M23=0,0,(INDEX(PRT,ROW(Input!D9)-5,COLUMN()-2)-INDEX(PRT,ROW(Input!D14)-5,COLUMN()-2)-INDEX(PRT,ROW(Input!D15)-5,COLUMN()-2)-INDEX(PRT,ROW(Input!D16)-5,COLUMN()-2)+INDEX(PRT,ROW(Input!D11)-5,COLUMN()-2)+INDEX(PRT,ROW(Input!D10)-5,COLUMN()-2))/M23*1000)</f>
        <v>13.622027254767064</v>
      </c>
      <c r="N127" s="241">
        <f ca="1">IF(N23=0,0,(INDEX(PRT,ROW(Input!E9)-5,COLUMN()-2)-INDEX(PRT,ROW(Input!E14)-5,COLUMN()-2)-INDEX(PRT,ROW(Input!E15)-5,COLUMN()-2)-INDEX(PRT,ROW(Input!E16)-5,COLUMN()-2)+INDEX(PRT,ROW(Input!E11)-5,COLUMN()-2)+INDEX(PRT,ROW(Input!E10)-5,COLUMN()-2))/N23*1000)</f>
        <v>13.445490122972593</v>
      </c>
      <c r="O127" s="241">
        <f ca="1">IF(O23=0,0,(INDEX(PRT,ROW(Input!F9)-5,COLUMN()-2)-INDEX(PRT,ROW(Input!F14)-5,COLUMN()-2)-INDEX(PRT,ROW(Input!F15)-5,COLUMN()-2)-INDEX(PRT,ROW(Input!F16)-5,COLUMN()-2)+INDEX(PRT,ROW(Input!F11)-5,COLUMN()-2)+INDEX(PRT,ROW(Input!F10)-5,COLUMN()-2))/O23*1000)</f>
        <v>13.302938164386026</v>
      </c>
      <c r="Q127" s="5"/>
    </row>
    <row r="128" spans="1:17" s="53" customFormat="1">
      <c r="A128" s="53" t="s">
        <v>161</v>
      </c>
      <c r="B128" s="53" t="s">
        <v>69</v>
      </c>
      <c r="C128" s="51"/>
      <c r="D128" s="55" t="s">
        <v>30</v>
      </c>
      <c r="E128" s="52" t="s">
        <v>57</v>
      </c>
      <c r="F128" s="164"/>
      <c r="G128" s="164"/>
      <c r="H128" s="164"/>
      <c r="I128" s="164"/>
      <c r="J128" s="227"/>
      <c r="K128" s="488">
        <f ca="1">IF(K24=0,0,(INDEX(SBW,ROW(Input!B9)-5,COLUMN()-2)-INDEX(SBW,ROW(Input!B14)-5,COLUMN()-2)-INDEX(SBW,ROW(Input!B15)-5,COLUMN()-2)-INDEX(SBW,ROW(Input!B16)-5,COLUMN()-2)+INDEX(SBW,ROW(Input!B11)-5,COLUMN()-2)+INDEX(SBW,ROW(Input!B10)-5,COLUMN()-2))/K24*1000)</f>
        <v>21.819378178383761</v>
      </c>
      <c r="L128" s="241">
        <f ca="1">IF(L24=0,0,(INDEX(SBW,ROW(Input!C9)-5,COLUMN()-2)-INDEX(SBW,ROW(Input!C14)-5,COLUMN()-2)-INDEX(SBW,ROW(Input!C15)-5,COLUMN()-2)-INDEX(SBW,ROW(Input!C16)-5,COLUMN()-2)+INDEX(SBW,ROW(Input!C11)-5,COLUMN()-2)+INDEX(SBW,ROW(Input!C10)-5,COLUMN()-2))/L24*1000)</f>
        <v>21.98821107789021</v>
      </c>
      <c r="M128" s="241">
        <f ca="1">IF(M24=0,0,(INDEX(SBW,ROW(Input!D9)-5,COLUMN()-2)-INDEX(SBW,ROW(Input!D14)-5,COLUMN()-2)-INDEX(SBW,ROW(Input!D15)-5,COLUMN()-2)-INDEX(SBW,ROW(Input!D16)-5,COLUMN()-2)+INDEX(SBW,ROW(Input!D11)-5,COLUMN()-2)+INDEX(SBW,ROW(Input!D10)-5,COLUMN()-2))/M24*1000)</f>
        <v>21.825651586671256</v>
      </c>
      <c r="N128" s="241">
        <f ca="1">IF(N24=0,0,(INDEX(SBW,ROW(Input!E9)-5,COLUMN()-2)-INDEX(SBW,ROW(Input!E14)-5,COLUMN()-2)-INDEX(SBW,ROW(Input!E15)-5,COLUMN()-2)-INDEX(SBW,ROW(Input!E16)-5,COLUMN()-2)+INDEX(SBW,ROW(Input!E11)-5,COLUMN()-2)+INDEX(SBW,ROW(Input!E10)-5,COLUMN()-2))/N24*1000)</f>
        <v>21.493300128687892</v>
      </c>
      <c r="O128" s="241">
        <f ca="1">IF(O24=0,0,(INDEX(SBW,ROW(Input!F9)-5,COLUMN()-2)-INDEX(SBW,ROW(Input!F14)-5,COLUMN()-2)-INDEX(SBW,ROW(Input!F15)-5,COLUMN()-2)-INDEX(SBW,ROW(Input!F16)-5,COLUMN()-2)+INDEX(SBW,ROW(Input!F11)-5,COLUMN()-2)+INDEX(SBW,ROW(Input!F10)-5,COLUMN()-2))/O24*1000)</f>
        <v>20.828590024873851</v>
      </c>
      <c r="Q128" s="5"/>
    </row>
    <row r="129" spans="1:28" s="53" customFormat="1">
      <c r="A129" s="53" t="s">
        <v>161</v>
      </c>
      <c r="B129" s="53" t="s">
        <v>69</v>
      </c>
      <c r="C129" s="51"/>
      <c r="D129" s="55" t="s">
        <v>30</v>
      </c>
      <c r="E129" s="52" t="s">
        <v>58</v>
      </c>
      <c r="F129" s="164"/>
      <c r="G129" s="164"/>
      <c r="H129" s="164"/>
      <c r="I129" s="164"/>
      <c r="J129" s="227"/>
      <c r="K129" s="488">
        <f ca="1">IF(K25=0,0,(INDEX(SEW,ROW(Input!B9)-5,COLUMN()-2)-INDEX(SEW,ROW(Input!B14)-5,COLUMN()-2)-INDEX(SEW,ROW(Input!B15)-5,COLUMN()-2)-INDEX(SEW,ROW(Input!B16)-5,COLUMN()-2)+INDEX(SEW,ROW(Input!B11)-5,COLUMN()-2)+INDEX(SEW,ROW(Input!B10)-5,COLUMN()-2))/K25*1000)</f>
        <v>18.624026059442016</v>
      </c>
      <c r="L129" s="241">
        <f ca="1">IF(L25=0,0,(INDEX(SEW,ROW(Input!C9)-5,COLUMN()-2)-INDEX(SEW,ROW(Input!C14)-5,COLUMN()-2)-INDEX(SEW,ROW(Input!C15)-5,COLUMN()-2)-INDEX(SEW,ROW(Input!C16)-5,COLUMN()-2)+INDEX(SEW,ROW(Input!C11)-5,COLUMN()-2)+INDEX(SEW,ROW(Input!C10)-5,COLUMN()-2))/L25*1000)</f>
        <v>18.728925652437468</v>
      </c>
      <c r="M129" s="241">
        <f ca="1">IF(M25=0,0,(INDEX(SEW,ROW(Input!D9)-5,COLUMN()-2)-INDEX(SEW,ROW(Input!D14)-5,COLUMN()-2)-INDEX(SEW,ROW(Input!D15)-5,COLUMN()-2)-INDEX(SEW,ROW(Input!D16)-5,COLUMN()-2)+INDEX(SEW,ROW(Input!D11)-5,COLUMN()-2)+INDEX(SEW,ROW(Input!D10)-5,COLUMN()-2))/M25*1000)</f>
        <v>18.360832912395104</v>
      </c>
      <c r="N129" s="241">
        <f ca="1">IF(N25=0,0,(INDEX(SEW,ROW(Input!E9)-5,COLUMN()-2)-INDEX(SEW,ROW(Input!E14)-5,COLUMN()-2)-INDEX(SEW,ROW(Input!E15)-5,COLUMN()-2)-INDEX(SEW,ROW(Input!E16)-5,COLUMN()-2)+INDEX(SEW,ROW(Input!E11)-5,COLUMN()-2)+INDEX(SEW,ROW(Input!E10)-5,COLUMN()-2))/N25*1000)</f>
        <v>18.211172600478033</v>
      </c>
      <c r="O129" s="241">
        <f ca="1">IF(O25=0,0,(INDEX(SEW,ROW(Input!F9)-5,COLUMN()-2)-INDEX(SEW,ROW(Input!F14)-5,COLUMN()-2)-INDEX(SEW,ROW(Input!F15)-5,COLUMN()-2)-INDEX(SEW,ROW(Input!F16)-5,COLUMN()-2)+INDEX(SEW,ROW(Input!F11)-5,COLUMN()-2)+INDEX(SEW,ROW(Input!F10)-5,COLUMN()-2))/O25*1000)</f>
        <v>18.296102945189137</v>
      </c>
      <c r="Q129" s="5"/>
    </row>
    <row r="130" spans="1:28" s="53" customFormat="1">
      <c r="A130" s="53" t="s">
        <v>161</v>
      </c>
      <c r="B130" s="53" t="s">
        <v>69</v>
      </c>
      <c r="C130" s="51"/>
      <c r="D130" s="55" t="s">
        <v>30</v>
      </c>
      <c r="E130" s="52" t="s">
        <v>59</v>
      </c>
      <c r="F130" s="164"/>
      <c r="G130" s="164"/>
      <c r="H130" s="164"/>
      <c r="I130" s="164"/>
      <c r="J130" s="227"/>
      <c r="K130" s="488">
        <f ca="1">IF(K26=0,0,(INDEX(SES,ROW(Input!B9)-5,COLUMN()-2)-INDEX(SES,ROW(Input!B14)-5,COLUMN()-2)-INDEX(SES,ROW(Input!B15)-5,COLUMN()-2)-INDEX(SES,ROW(Input!B16)-5,COLUMN()-2)+INDEX(SES,ROW(Input!B11)-5,COLUMN()-2)+INDEX(SES,ROW(Input!B10)-5,COLUMN()-2))/K26*1000)</f>
        <v>17.420859741540404</v>
      </c>
      <c r="L130" s="241">
        <f ca="1">IF(L26=0,0,(INDEX(SES,ROW(Input!C9)-5,COLUMN()-2)-INDEX(SES,ROW(Input!C14)-5,COLUMN()-2)-INDEX(SES,ROW(Input!C15)-5,COLUMN()-2)-INDEX(SES,ROW(Input!C16)-5,COLUMN()-2)+INDEX(SES,ROW(Input!C11)-5,COLUMN()-2)+INDEX(SES,ROW(Input!C10)-5,COLUMN()-2))/L26*1000)</f>
        <v>17.235775656058326</v>
      </c>
      <c r="M130" s="241">
        <f ca="1">IF(M26=0,0,(INDEX(SES,ROW(Input!D9)-5,COLUMN()-2)-INDEX(SES,ROW(Input!D14)-5,COLUMN()-2)-INDEX(SES,ROW(Input!D15)-5,COLUMN()-2)-INDEX(SES,ROW(Input!D16)-5,COLUMN()-2)+INDEX(SES,ROW(Input!D11)-5,COLUMN()-2)+INDEX(SES,ROW(Input!D10)-5,COLUMN()-2))/M26*1000)</f>
        <v>17.819711743493329</v>
      </c>
      <c r="N130" s="241">
        <f ca="1">IF(N26=0,0,(INDEX(SES,ROW(Input!E9)-5,COLUMN()-2)-INDEX(SES,ROW(Input!E14)-5,COLUMN()-2)-INDEX(SES,ROW(Input!E15)-5,COLUMN()-2)-INDEX(SES,ROW(Input!E16)-5,COLUMN()-2)+INDEX(SES,ROW(Input!E11)-5,COLUMN()-2)+INDEX(SES,ROW(Input!E10)-5,COLUMN()-2))/N26*1000)</f>
        <v>17.55193452104718</v>
      </c>
      <c r="O130" s="241">
        <f ca="1">IF(O26=0,0,(INDEX(SES,ROW(Input!F9)-5,COLUMN()-2)-INDEX(SES,ROW(Input!F14)-5,COLUMN()-2)-INDEX(SES,ROW(Input!F15)-5,COLUMN()-2)-INDEX(SES,ROW(Input!F16)-5,COLUMN()-2)+INDEX(SES,ROW(Input!F11)-5,COLUMN()-2)+INDEX(SES,ROW(Input!F10)-5,COLUMN()-2))/O26*1000)</f>
        <v>17.06814442404416</v>
      </c>
      <c r="Q130" s="5"/>
    </row>
    <row r="131" spans="1:28" s="53" customFormat="1">
      <c r="C131" s="51"/>
      <c r="D131" s="54"/>
      <c r="E131" s="52"/>
      <c r="F131" s="164"/>
      <c r="G131" s="164"/>
      <c r="H131" s="164"/>
      <c r="I131" s="164"/>
      <c r="J131" s="227"/>
      <c r="K131" s="485"/>
      <c r="L131" s="154"/>
      <c r="M131" s="154"/>
      <c r="N131" s="154"/>
      <c r="O131" s="154"/>
      <c r="Q131" s="5"/>
    </row>
    <row r="132" spans="1:28">
      <c r="A132" s="27"/>
      <c r="B132" s="28"/>
      <c r="C132" s="29"/>
      <c r="D132" s="30"/>
      <c r="E132" s="231" t="s">
        <v>461</v>
      </c>
      <c r="F132" s="28"/>
      <c r="G132" s="28"/>
      <c r="H132" s="28"/>
      <c r="I132" s="31"/>
      <c r="J132" s="472"/>
      <c r="K132" s="480"/>
      <c r="L132" s="31"/>
      <c r="M132" s="31"/>
      <c r="N132" s="31"/>
      <c r="O132" s="31"/>
      <c r="Q132" s="5"/>
    </row>
    <row r="133" spans="1:28" s="53" customFormat="1">
      <c r="A133" s="53" t="s">
        <v>142</v>
      </c>
      <c r="B133" s="53" t="s">
        <v>69</v>
      </c>
      <c r="C133" s="51"/>
      <c r="D133" s="55" t="s">
        <v>30</v>
      </c>
      <c r="E133" s="52" t="s">
        <v>31</v>
      </c>
      <c r="F133" s="125"/>
      <c r="G133" s="125"/>
      <c r="H133" s="125"/>
      <c r="I133" s="125"/>
      <c r="J133" s="226"/>
      <c r="K133" s="486">
        <f ca="1">MIN(IF($I89&lt;$I$110,$I$110,$I89-($I89-$I$110)*Input!K$442),K113)</f>
        <v>20.117452451942</v>
      </c>
      <c r="L133" s="162">
        <f ca="1">MIN(IF($I89&lt;$I$110,$I$110,$I89-($I89-$I$110)*Input!L$442),L113)</f>
        <v>20.451136058476468</v>
      </c>
      <c r="M133" s="162">
        <f ca="1">MIN(IF($I89&lt;$I$110,$I$110,$I89-($I89-$I$110)*Input!M$442),M113)</f>
        <v>20.620105311992361</v>
      </c>
      <c r="N133" s="162">
        <f ca="1">MIN(IF($I89&lt;$I$110,$I$110,$I89-($I89-$I$110)*Input!N$442),N113)</f>
        <v>20.572126434492031</v>
      </c>
      <c r="O133" s="162">
        <f ca="1">MIN(IF($I89&lt;$I$110,$I$110,$I89-($I89-$I$110)*Input!O$442),O113)</f>
        <v>20.45299878255797</v>
      </c>
      <c r="Q133" s="5"/>
      <c r="R133" s="172"/>
      <c r="S133" s="172"/>
      <c r="T133" s="172"/>
      <c r="U133" s="172"/>
      <c r="V133" s="172"/>
      <c r="X133" s="172"/>
      <c r="Y133" s="172"/>
      <c r="Z133" s="172"/>
      <c r="AA133" s="172"/>
      <c r="AB133" s="172"/>
    </row>
    <row r="134" spans="1:28" s="53" customFormat="1">
      <c r="A134" s="53" t="s">
        <v>142</v>
      </c>
      <c r="B134" s="53" t="s">
        <v>69</v>
      </c>
      <c r="C134" s="51"/>
      <c r="D134" s="55" t="s">
        <v>30</v>
      </c>
      <c r="E134" s="52" t="s">
        <v>32</v>
      </c>
      <c r="F134" s="126"/>
      <c r="G134" s="126"/>
      <c r="H134" s="125"/>
      <c r="I134" s="125"/>
      <c r="J134" s="226"/>
      <c r="K134" s="486">
        <f ca="1">MIN(IF($I90&lt;$I$110,$I$110,$I90-($I90-$I$110)*Input!K$442),K114)</f>
        <v>23.695463839431881</v>
      </c>
      <c r="L134" s="162">
        <f ca="1">MIN(IF($I90&lt;$I$110,$I$110,$I90-($I90-$I$110)*Input!L$442),L114)</f>
        <v>22.952786094281883</v>
      </c>
      <c r="M134" s="162">
        <f ca="1">MIN(IF($I90&lt;$I$110,$I$110,$I90-($I90-$I$110)*Input!M$442),M114)</f>
        <v>22.210108349131886</v>
      </c>
      <c r="N134" s="162">
        <f ca="1">MIN(IF($I90&lt;$I$110,$I$110,$I90-($I90-$I$110)*Input!N$442),N114)</f>
        <v>21.467430603981892</v>
      </c>
      <c r="O134" s="162">
        <f ca="1">MIN(IF($I90&lt;$I$110,$I$110,$I90-($I90-$I$110)*Input!O$442),O114)</f>
        <v>21.467430603981892</v>
      </c>
      <c r="Q134" s="5"/>
      <c r="X134" s="172"/>
      <c r="Y134" s="172"/>
      <c r="Z134" s="172"/>
      <c r="AA134" s="172"/>
      <c r="AB134" s="172"/>
    </row>
    <row r="135" spans="1:28" s="53" customFormat="1">
      <c r="A135" s="53" t="s">
        <v>142</v>
      </c>
      <c r="B135" s="53" t="s">
        <v>69</v>
      </c>
      <c r="C135" s="51"/>
      <c r="D135" s="55" t="s">
        <v>30</v>
      </c>
      <c r="E135" s="52" t="s">
        <v>33</v>
      </c>
      <c r="F135" s="126"/>
      <c r="G135" s="126"/>
      <c r="H135" s="125"/>
      <c r="I135" s="125"/>
      <c r="J135" s="226"/>
      <c r="K135" s="486">
        <f ca="1">MIN(IF($I91&lt;$I$110,$I$110,$I91-($I91-$I$110)*Input!K$442),K115)</f>
        <v>21.62596444939232</v>
      </c>
      <c r="L135" s="162">
        <f ca="1">MIN(IF($I91&lt;$I$110,$I$110,$I91-($I91-$I$110)*Input!L$442),L115)</f>
        <v>21.671386128551827</v>
      </c>
      <c r="M135" s="162">
        <f ca="1">MIN(IF($I91&lt;$I$110,$I$110,$I91-($I91-$I$110)*Input!M$442),M115)</f>
        <v>21.56940836626686</v>
      </c>
      <c r="N135" s="162">
        <f ca="1">MIN(IF($I91&lt;$I$110,$I$110,$I91-($I91-$I$110)*Input!N$442),N115)</f>
        <v>21.467430603981892</v>
      </c>
      <c r="O135" s="162">
        <f ca="1">MIN(IF($I91&lt;$I$110,$I$110,$I91-($I91-$I$110)*Input!O$442),O115)</f>
        <v>21.467430603981892</v>
      </c>
      <c r="Q135" s="5"/>
      <c r="X135" s="172"/>
      <c r="Y135" s="172"/>
      <c r="Z135" s="172"/>
      <c r="AA135" s="172"/>
      <c r="AB135" s="172"/>
    </row>
    <row r="136" spans="1:28" s="53" customFormat="1">
      <c r="A136" s="53" t="s">
        <v>142</v>
      </c>
      <c r="B136" s="53" t="s">
        <v>69</v>
      </c>
      <c r="C136" s="51"/>
      <c r="D136" s="55" t="s">
        <v>30</v>
      </c>
      <c r="E136" s="52" t="s">
        <v>46</v>
      </c>
      <c r="F136" s="126"/>
      <c r="G136" s="126"/>
      <c r="H136" s="125"/>
      <c r="I136" s="125"/>
      <c r="J136" s="226"/>
      <c r="K136" s="486">
        <f ca="1">MIN(IF($I92&lt;$I$110,$I$110,$I92-($I92-$I$110)*Input!K$442),K116)</f>
        <v>21.122092870900964</v>
      </c>
      <c r="L136" s="162">
        <f ca="1">MIN(IF($I92&lt;$I$110,$I$110,$I92-($I92-$I$110)*Input!L$442),L116)</f>
        <v>21.092782746091064</v>
      </c>
      <c r="M136" s="162">
        <f ca="1">MIN(IF($I92&lt;$I$110,$I$110,$I92-($I92-$I$110)*Input!M$442),M116)</f>
        <v>21.469191998232745</v>
      </c>
      <c r="N136" s="162">
        <f ca="1">MIN(IF($I92&lt;$I$110,$I$110,$I92-($I92-$I$110)*Input!N$442),N116)</f>
        <v>21.467430603981892</v>
      </c>
      <c r="O136" s="162">
        <f ca="1">MIN(IF($I92&lt;$I$110,$I$110,$I92-($I92-$I$110)*Input!O$442),O116)</f>
        <v>21.467430603981892</v>
      </c>
      <c r="Q136" s="5"/>
      <c r="X136" s="172"/>
      <c r="Y136" s="172"/>
      <c r="Z136" s="172"/>
      <c r="AA136" s="172"/>
      <c r="AB136" s="172"/>
    </row>
    <row r="137" spans="1:28" s="53" customFormat="1">
      <c r="A137" s="53" t="s">
        <v>142</v>
      </c>
      <c r="B137" s="53" t="s">
        <v>69</v>
      </c>
      <c r="C137" s="51"/>
      <c r="D137" s="55" t="s">
        <v>30</v>
      </c>
      <c r="E137" s="52" t="s">
        <v>47</v>
      </c>
      <c r="F137" s="126"/>
      <c r="G137" s="126"/>
      <c r="H137" s="125"/>
      <c r="I137" s="125"/>
      <c r="J137" s="226"/>
      <c r="K137" s="486">
        <f ca="1">MIN(IF($I93&lt;$I$110,$I$110,$I93-($I93-$I$110)*Input!K$442),K117)</f>
        <v>22.444811426213747</v>
      </c>
      <c r="L137" s="162">
        <f ca="1">MIN(IF($I93&lt;$I$110,$I$110,$I93-($I93-$I$110)*Input!L$442),L117)</f>
        <v>21.978676048916814</v>
      </c>
      <c r="M137" s="162">
        <f ca="1">MIN(IF($I93&lt;$I$110,$I$110,$I93-($I93-$I$110)*Input!M$442),M117)</f>
        <v>21.87321388738966</v>
      </c>
      <c r="N137" s="162">
        <f ca="1">MIN(IF($I93&lt;$I$110,$I$110,$I93-($I93-$I$110)*Input!N$442),N117)</f>
        <v>21.467430603981892</v>
      </c>
      <c r="O137" s="162">
        <f ca="1">MIN(IF($I93&lt;$I$110,$I$110,$I93-($I93-$I$110)*Input!O$442),O117)</f>
        <v>21.270810408903248</v>
      </c>
      <c r="Q137" s="5"/>
      <c r="X137" s="172"/>
      <c r="Y137" s="172"/>
      <c r="Z137" s="172"/>
      <c r="AA137" s="172"/>
      <c r="AB137" s="172"/>
    </row>
    <row r="138" spans="1:28" s="53" customFormat="1">
      <c r="A138" s="53" t="s">
        <v>142</v>
      </c>
      <c r="B138" s="53" t="s">
        <v>69</v>
      </c>
      <c r="C138" s="51"/>
      <c r="D138" s="55" t="s">
        <v>30</v>
      </c>
      <c r="E138" s="52" t="s">
        <v>48</v>
      </c>
      <c r="F138" s="126"/>
      <c r="G138" s="126"/>
      <c r="H138" s="125"/>
      <c r="I138" s="125"/>
      <c r="J138" s="226"/>
      <c r="K138" s="486">
        <f ca="1">MIN(IF($I94&lt;$I$110,$I$110,$I94-($I94-$I$110)*Input!K$442),K118)</f>
        <v>27.409272680377899</v>
      </c>
      <c r="L138" s="162">
        <f ca="1">MIN(IF($I94&lt;$I$110,$I$110,$I94-($I94-$I$110)*Input!L$442),L118)</f>
        <v>26.305259351337213</v>
      </c>
      <c r="M138" s="162">
        <f ca="1">MIN(IF($I94&lt;$I$110,$I$110,$I94-($I94-$I$110)*Input!M$442),M118)</f>
        <v>23.886344977659554</v>
      </c>
      <c r="N138" s="162">
        <f ca="1">MIN(IF($I94&lt;$I$110,$I$110,$I94-($I94-$I$110)*Input!N$442),N118)</f>
        <v>21.467430603981892</v>
      </c>
      <c r="O138" s="162">
        <f ca="1">MIN(IF($I94&lt;$I$110,$I$110,$I94-($I94-$I$110)*Input!O$442),O118)</f>
        <v>21.467430603981892</v>
      </c>
      <c r="Q138" s="5"/>
      <c r="X138" s="172"/>
      <c r="Y138" s="172"/>
      <c r="Z138" s="172"/>
      <c r="AA138" s="172"/>
      <c r="AB138" s="172"/>
    </row>
    <row r="139" spans="1:28" s="53" customFormat="1">
      <c r="A139" s="53" t="s">
        <v>142</v>
      </c>
      <c r="B139" s="53" t="s">
        <v>69</v>
      </c>
      <c r="C139" s="51"/>
      <c r="D139" s="55" t="s">
        <v>30</v>
      </c>
      <c r="E139" s="52" t="s">
        <v>49</v>
      </c>
      <c r="F139" s="126"/>
      <c r="G139" s="126"/>
      <c r="H139" s="125"/>
      <c r="I139" s="125"/>
      <c r="J139" s="226"/>
      <c r="K139" s="486">
        <f ca="1">MIN(IF($I95&lt;$I$110,$I$110,$I95-($I95-$I$110)*Input!K$442),K119)</f>
        <v>21.668797528568831</v>
      </c>
      <c r="L139" s="162">
        <f ca="1">MIN(IF($I95&lt;$I$110,$I$110,$I95-($I95-$I$110)*Input!L$442),L119)</f>
        <v>21.601675220373185</v>
      </c>
      <c r="M139" s="162">
        <f ca="1">MIN(IF($I95&lt;$I$110,$I$110,$I95-($I95-$I$110)*Input!M$442),M119)</f>
        <v>21.534552912177539</v>
      </c>
      <c r="N139" s="162">
        <f ca="1">MIN(IF($I95&lt;$I$110,$I$110,$I95-($I95-$I$110)*Input!N$442),N119)</f>
        <v>21.467430603981892</v>
      </c>
      <c r="O139" s="162">
        <f ca="1">MIN(IF($I95&lt;$I$110,$I$110,$I95-($I95-$I$110)*Input!O$442),O119)</f>
        <v>21.467430603981892</v>
      </c>
      <c r="Q139" s="5"/>
      <c r="X139" s="172"/>
      <c r="Y139" s="172"/>
      <c r="Z139" s="172"/>
      <c r="AA139" s="172"/>
      <c r="AB139" s="172"/>
    </row>
    <row r="140" spans="1:28" s="53" customFormat="1">
      <c r="A140" s="53" t="s">
        <v>142</v>
      </c>
      <c r="B140" s="53" t="s">
        <v>69</v>
      </c>
      <c r="C140" s="51"/>
      <c r="D140" s="55" t="s">
        <v>30</v>
      </c>
      <c r="E140" s="52" t="s">
        <v>50</v>
      </c>
      <c r="F140" s="126"/>
      <c r="G140" s="126"/>
      <c r="H140" s="125"/>
      <c r="I140" s="125"/>
      <c r="J140" s="226"/>
      <c r="K140" s="486">
        <f ca="1">MIN(IF($I96&lt;$I$110,$I$110,$I96-($I96-$I$110)*Input!K$442),K120)</f>
        <v>27.076108815193251</v>
      </c>
      <c r="L140" s="162">
        <f ca="1">MIN(IF($I96&lt;$I$110,$I$110,$I96-($I96-$I$110)*Input!L$442),L120)</f>
        <v>25.20654941145613</v>
      </c>
      <c r="M140" s="162">
        <f ca="1">MIN(IF($I96&lt;$I$110,$I$110,$I96-($I96-$I$110)*Input!M$442),M120)</f>
        <v>23.336990007719013</v>
      </c>
      <c r="N140" s="162">
        <f ca="1">MIN(IF($I96&lt;$I$110,$I$110,$I96-($I96-$I$110)*Input!N$442),N120)</f>
        <v>21.467430603981892</v>
      </c>
      <c r="O140" s="162">
        <f ca="1">MIN(IF($I96&lt;$I$110,$I$110,$I96-($I96-$I$110)*Input!O$442),O120)</f>
        <v>21.467430603981892</v>
      </c>
      <c r="Q140" s="5"/>
      <c r="X140" s="172"/>
      <c r="Y140" s="172"/>
      <c r="Z140" s="172"/>
      <c r="AA140" s="172"/>
      <c r="AB140" s="172"/>
    </row>
    <row r="141" spans="1:28" s="53" customFormat="1">
      <c r="A141" s="53" t="s">
        <v>142</v>
      </c>
      <c r="B141" s="53" t="s">
        <v>69</v>
      </c>
      <c r="C141" s="51"/>
      <c r="D141" s="55" t="s">
        <v>30</v>
      </c>
      <c r="E141" s="52" t="s">
        <v>51</v>
      </c>
      <c r="F141" s="126"/>
      <c r="G141" s="126"/>
      <c r="H141" s="125"/>
      <c r="I141" s="125"/>
      <c r="J141" s="226"/>
      <c r="K141" s="486">
        <f ca="1">MIN(IF($I97&lt;$I$110,$I$110,$I97-($I97-$I$110)*Input!K$442),K121)</f>
        <v>19.039928881088226</v>
      </c>
      <c r="L141" s="162">
        <f ca="1">MIN(IF($I97&lt;$I$110,$I$110,$I97-($I97-$I$110)*Input!L$442),L121)</f>
        <v>19.017457312996672</v>
      </c>
      <c r="M141" s="162">
        <f ca="1">MIN(IF($I97&lt;$I$110,$I$110,$I97-($I97-$I$110)*Input!M$442),M121)</f>
        <v>19.111078955771919</v>
      </c>
      <c r="N141" s="162">
        <f ca="1">MIN(IF($I97&lt;$I$110,$I$110,$I97-($I97-$I$110)*Input!N$442),N121)</f>
        <v>19.092968881179523</v>
      </c>
      <c r="O141" s="162">
        <f ca="1">MIN(IF($I97&lt;$I$110,$I$110,$I97-($I97-$I$110)*Input!O$442),O121)</f>
        <v>19.055373651005112</v>
      </c>
      <c r="Q141" s="5"/>
      <c r="X141" s="172"/>
      <c r="Y141" s="172"/>
      <c r="Z141" s="172"/>
      <c r="AA141" s="172"/>
      <c r="AB141" s="172"/>
    </row>
    <row r="142" spans="1:28" s="53" customFormat="1">
      <c r="A142" s="53" t="s">
        <v>142</v>
      </c>
      <c r="B142" s="53" t="s">
        <v>69</v>
      </c>
      <c r="C142" s="51"/>
      <c r="D142" s="55" t="s">
        <v>30</v>
      </c>
      <c r="E142" s="52" t="s">
        <v>52</v>
      </c>
      <c r="F142" s="126"/>
      <c r="G142" s="126"/>
      <c r="H142" s="125"/>
      <c r="I142" s="125"/>
      <c r="J142" s="226"/>
      <c r="K142" s="486">
        <f ca="1">MIN(IF($I98&lt;$I$110,$I$110,$I98-($I98-$I$110)*Input!K$442),K122)</f>
        <v>17.669850420190134</v>
      </c>
      <c r="L142" s="162">
        <f ca="1">MIN(IF($I98&lt;$I$110,$I$110,$I98-($I98-$I$110)*Input!L$442),L122)</f>
        <v>17.450967530520412</v>
      </c>
      <c r="M142" s="162">
        <f ca="1">MIN(IF($I98&lt;$I$110,$I$110,$I98-($I98-$I$110)*Input!M$442),M122)</f>
        <v>17.144271792045899</v>
      </c>
      <c r="N142" s="162">
        <f ca="1">MIN(IF($I98&lt;$I$110,$I$110,$I98-($I98-$I$110)*Input!N$442),N122)</f>
        <v>16.412237013075355</v>
      </c>
      <c r="O142" s="162">
        <f ca="1">MIN(IF($I98&lt;$I$110,$I$110,$I98-($I98-$I$110)*Input!O$442),O122)</f>
        <v>16.325564971855783</v>
      </c>
      <c r="Q142" s="5"/>
      <c r="X142" s="172"/>
      <c r="Y142" s="172"/>
      <c r="Z142" s="172"/>
      <c r="AA142" s="172"/>
      <c r="AB142" s="172"/>
    </row>
    <row r="143" spans="1:28" s="53" customFormat="1">
      <c r="A143" s="53" t="s">
        <v>142</v>
      </c>
      <c r="B143" s="53" t="s">
        <v>69</v>
      </c>
      <c r="C143" s="51"/>
      <c r="D143" s="55" t="s">
        <v>30</v>
      </c>
      <c r="E143" s="52" t="s">
        <v>53</v>
      </c>
      <c r="F143" s="126"/>
      <c r="G143" s="126"/>
      <c r="H143" s="125"/>
      <c r="I143" s="125"/>
      <c r="J143" s="226"/>
      <c r="K143" s="486">
        <f ca="1">MIN(IF($I99&lt;$I$110,$I$110,$I99-($I99-$I$110)*Input!K$442),K123)</f>
        <v>16.74459469843497</v>
      </c>
      <c r="L143" s="162">
        <f ca="1">MIN(IF($I99&lt;$I$110,$I$110,$I99-($I99-$I$110)*Input!L$442),L123)</f>
        <v>16.470316790047878</v>
      </c>
      <c r="M143" s="162">
        <f ca="1">MIN(IF($I99&lt;$I$110,$I$110,$I99-($I99-$I$110)*Input!M$442),M123)</f>
        <v>16.195698545015848</v>
      </c>
      <c r="N143" s="162">
        <f ca="1">MIN(IF($I99&lt;$I$110,$I$110,$I99-($I99-$I$110)*Input!N$442),N123)</f>
        <v>15.640275709285827</v>
      </c>
      <c r="O143" s="162">
        <f ca="1">MIN(IF($I99&lt;$I$110,$I$110,$I99-($I99-$I$110)*Input!O$442),O123)</f>
        <v>14.780683039611898</v>
      </c>
      <c r="Q143" s="5"/>
      <c r="X143" s="172"/>
      <c r="Y143" s="172"/>
      <c r="Z143" s="172"/>
      <c r="AA143" s="172"/>
      <c r="AB143" s="172"/>
    </row>
    <row r="144" spans="1:28" s="53" customFormat="1">
      <c r="A144" s="53" t="s">
        <v>142</v>
      </c>
      <c r="B144" s="53" t="s">
        <v>69</v>
      </c>
      <c r="C144" s="51"/>
      <c r="D144" s="55" t="s">
        <v>30</v>
      </c>
      <c r="E144" s="52" t="s">
        <v>54</v>
      </c>
      <c r="F144" s="126"/>
      <c r="G144" s="126"/>
      <c r="H144" s="125"/>
      <c r="I144" s="125"/>
      <c r="J144" s="226"/>
      <c r="K144" s="486">
        <f ca="1">MIN(IF($I100&lt;$I$110,$I$110,$I100-($I100-$I$110)*Input!K$442),K124)</f>
        <v>16.388178447112654</v>
      </c>
      <c r="L144" s="162">
        <f ca="1">MIN(IF($I100&lt;$I$110,$I$110,$I100-($I100-$I$110)*Input!L$442),L124)</f>
        <v>16.540138200212816</v>
      </c>
      <c r="M144" s="162">
        <f ca="1">MIN(IF($I100&lt;$I$110,$I$110,$I100-($I100-$I$110)*Input!M$442),M124)</f>
        <v>16.542043442405248</v>
      </c>
      <c r="N144" s="162">
        <f ca="1">MIN(IF($I100&lt;$I$110,$I$110,$I100-($I100-$I$110)*Input!N$442),N124)</f>
        <v>16.493560784457213</v>
      </c>
      <c r="O144" s="162">
        <f ca="1">MIN(IF($I100&lt;$I$110,$I$110,$I100-($I100-$I$110)*Input!O$442),O124)</f>
        <v>16.474778534815407</v>
      </c>
      <c r="Q144" s="5"/>
      <c r="X144" s="172"/>
      <c r="Y144" s="172"/>
      <c r="Z144" s="172"/>
      <c r="AA144" s="172"/>
      <c r="AB144" s="172"/>
    </row>
    <row r="145" spans="1:28" s="53" customFormat="1">
      <c r="A145" s="53" t="s">
        <v>142</v>
      </c>
      <c r="B145" s="53" t="s">
        <v>69</v>
      </c>
      <c r="C145" s="51"/>
      <c r="D145" s="55" t="s">
        <v>30</v>
      </c>
      <c r="E145" s="52" t="s">
        <v>66</v>
      </c>
      <c r="F145" s="126"/>
      <c r="G145" s="126"/>
      <c r="H145" s="125"/>
      <c r="I145" s="125"/>
      <c r="J145" s="226"/>
      <c r="K145" s="486">
        <f ca="1">MIN(IF($I101&lt;$I$110,$I$110,$I101-($I101-$I$110)*Input!K$442),K125)</f>
        <v>22.209836335274041</v>
      </c>
      <c r="L145" s="162">
        <f ca="1">MIN(IF($I101&lt;$I$110,$I$110,$I101-($I101-$I$110)*Input!L$442),L125)</f>
        <v>21.962367758176658</v>
      </c>
      <c r="M145" s="162">
        <f ca="1">MIN(IF($I101&lt;$I$110,$I$110,$I101-($I101-$I$110)*Input!M$442),M125)</f>
        <v>21.714899181079275</v>
      </c>
      <c r="N145" s="162">
        <f ca="1">MIN(IF($I101&lt;$I$110,$I$110,$I101-($I101-$I$110)*Input!N$442),N125)</f>
        <v>21.467430603981892</v>
      </c>
      <c r="O145" s="162">
        <f ca="1">MIN(IF($I101&lt;$I$110,$I$110,$I101-($I101-$I$110)*Input!O$442),O125)</f>
        <v>20.904161887897121</v>
      </c>
      <c r="Q145" s="5"/>
      <c r="X145" s="172"/>
      <c r="Y145" s="172"/>
      <c r="Z145" s="172"/>
      <c r="AA145" s="172"/>
      <c r="AB145" s="172"/>
    </row>
    <row r="146" spans="1:28" s="53" customFormat="1">
      <c r="A146" s="53" t="s">
        <v>142</v>
      </c>
      <c r="B146" s="53" t="s">
        <v>69</v>
      </c>
      <c r="C146" s="51"/>
      <c r="D146" s="55" t="s">
        <v>30</v>
      </c>
      <c r="E146" s="52" t="s">
        <v>55</v>
      </c>
      <c r="F146" s="126"/>
      <c r="G146" s="126"/>
      <c r="H146" s="125"/>
      <c r="I146" s="125"/>
      <c r="J146" s="226"/>
      <c r="K146" s="486">
        <f ca="1">MIN(IF($I102&lt;$I$110,$I$110,$I102-($I102-$I$110)*Input!K$442),K126)</f>
        <v>21.520153290628897</v>
      </c>
      <c r="L146" s="162">
        <f ca="1">MIN(IF($I102&lt;$I$110,$I$110,$I102-($I102-$I$110)*Input!L$442),L126)</f>
        <v>21.530364583449966</v>
      </c>
      <c r="M146" s="162">
        <f ca="1">MIN(IF($I102&lt;$I$110,$I$110,$I102-($I102-$I$110)*Input!M$442),M126)</f>
        <v>21.501998776354572</v>
      </c>
      <c r="N146" s="162">
        <f ca="1">MIN(IF($I102&lt;$I$110,$I$110,$I102-($I102-$I$110)*Input!N$442),N126)</f>
        <v>21.467430603981892</v>
      </c>
      <c r="O146" s="162">
        <f ca="1">MIN(IF($I102&lt;$I$110,$I$110,$I102-($I102-$I$110)*Input!O$442),O126)</f>
        <v>21.467430603981892</v>
      </c>
      <c r="Q146" s="5"/>
      <c r="X146" s="172"/>
      <c r="Y146" s="172"/>
      <c r="Z146" s="172"/>
      <c r="AA146" s="172"/>
      <c r="AB146" s="172"/>
    </row>
    <row r="147" spans="1:28" s="53" customFormat="1">
      <c r="A147" s="53" t="s">
        <v>142</v>
      </c>
      <c r="B147" s="53" t="s">
        <v>69</v>
      </c>
      <c r="C147" s="51"/>
      <c r="D147" s="55" t="s">
        <v>30</v>
      </c>
      <c r="E147" s="52" t="s">
        <v>56</v>
      </c>
      <c r="F147" s="126"/>
      <c r="G147" s="126"/>
      <c r="H147" s="125"/>
      <c r="I147" s="125"/>
      <c r="J147" s="226"/>
      <c r="K147" s="486">
        <f ca="1">MIN(IF($I103&lt;$I$110,$I$110,$I103-($I103-$I$110)*Input!K$442),K127)</f>
        <v>13.928631732825133</v>
      </c>
      <c r="L147" s="162">
        <f ca="1">MIN(IF($I103&lt;$I$110,$I$110,$I103-($I103-$I$110)*Input!L$442),L127)</f>
        <v>13.83917407246982</v>
      </c>
      <c r="M147" s="162">
        <f ca="1">MIN(IF($I103&lt;$I$110,$I$110,$I103-($I103-$I$110)*Input!M$442),M127)</f>
        <v>13.622027254767064</v>
      </c>
      <c r="N147" s="162">
        <f ca="1">MIN(IF($I103&lt;$I$110,$I$110,$I103-($I103-$I$110)*Input!N$442),N127)</f>
        <v>13.445490122972593</v>
      </c>
      <c r="O147" s="162">
        <f ca="1">MIN(IF($I103&lt;$I$110,$I$110,$I103-($I103-$I$110)*Input!O$442),O127)</f>
        <v>13.302938164386026</v>
      </c>
      <c r="Q147" s="5"/>
      <c r="X147" s="172"/>
      <c r="Y147" s="172"/>
      <c r="Z147" s="172"/>
      <c r="AA147" s="172"/>
      <c r="AB147" s="172"/>
    </row>
    <row r="148" spans="1:28" s="53" customFormat="1">
      <c r="A148" s="53" t="s">
        <v>142</v>
      </c>
      <c r="B148" s="53" t="s">
        <v>69</v>
      </c>
      <c r="C148" s="51"/>
      <c r="D148" s="55" t="s">
        <v>30</v>
      </c>
      <c r="E148" s="52" t="s">
        <v>57</v>
      </c>
      <c r="F148" s="126"/>
      <c r="G148" s="126"/>
      <c r="H148" s="125"/>
      <c r="I148" s="125"/>
      <c r="J148" s="226"/>
      <c r="K148" s="486">
        <f ca="1">MIN(IF($I104&lt;$I$110,$I$110,$I104-($I104-$I$110)*Input!K$442),K128)</f>
        <v>21.819378178383761</v>
      </c>
      <c r="L148" s="162">
        <f ca="1">MIN(IF($I104&lt;$I$110,$I$110,$I104-($I104-$I$110)*Input!L$442),L128)</f>
        <v>21.957796669371078</v>
      </c>
      <c r="M148" s="162">
        <f ca="1">MIN(IF($I104&lt;$I$110,$I$110,$I104-($I104-$I$110)*Input!M$442),M128)</f>
        <v>21.712613636676487</v>
      </c>
      <c r="N148" s="162">
        <f ca="1">MIN(IF($I104&lt;$I$110,$I$110,$I104-($I104-$I$110)*Input!N$442),N128)</f>
        <v>21.467430603981892</v>
      </c>
      <c r="O148" s="162">
        <f ca="1">MIN(IF($I104&lt;$I$110,$I$110,$I104-($I104-$I$110)*Input!O$442),O128)</f>
        <v>20.828590024873851</v>
      </c>
      <c r="Q148" s="5"/>
      <c r="X148" s="172"/>
      <c r="Y148" s="172"/>
      <c r="Z148" s="172"/>
      <c r="AA148" s="172"/>
      <c r="AB148" s="172"/>
    </row>
    <row r="149" spans="1:28" s="53" customFormat="1">
      <c r="A149" s="53" t="s">
        <v>142</v>
      </c>
      <c r="B149" s="53" t="s">
        <v>69</v>
      </c>
      <c r="C149" s="51"/>
      <c r="D149" s="55" t="s">
        <v>30</v>
      </c>
      <c r="E149" s="52" t="s">
        <v>58</v>
      </c>
      <c r="F149" s="126"/>
      <c r="G149" s="126"/>
      <c r="H149" s="125"/>
      <c r="I149" s="125"/>
      <c r="J149" s="226"/>
      <c r="K149" s="486">
        <f ca="1">MIN(IF($I105&lt;$I$110,$I$110,$I105-($I105-$I$110)*Input!K$442),K129)</f>
        <v>18.624026059442016</v>
      </c>
      <c r="L149" s="162">
        <f ca="1">MIN(IF($I105&lt;$I$110,$I$110,$I105-($I105-$I$110)*Input!L$442),L129)</f>
        <v>18.728925652437468</v>
      </c>
      <c r="M149" s="162">
        <f ca="1">MIN(IF($I105&lt;$I$110,$I$110,$I105-($I105-$I$110)*Input!M$442),M129)</f>
        <v>18.360832912395104</v>
      </c>
      <c r="N149" s="162">
        <f ca="1">MIN(IF($I105&lt;$I$110,$I$110,$I105-($I105-$I$110)*Input!N$442),N129)</f>
        <v>18.211172600478033</v>
      </c>
      <c r="O149" s="162">
        <f ca="1">MIN(IF($I105&lt;$I$110,$I$110,$I105-($I105-$I$110)*Input!O$442),O129)</f>
        <v>18.296102945189137</v>
      </c>
      <c r="Q149" s="5"/>
      <c r="X149" s="172"/>
      <c r="Y149" s="172"/>
      <c r="Z149" s="172"/>
      <c r="AA149" s="172"/>
      <c r="AB149" s="172"/>
    </row>
    <row r="150" spans="1:28" s="53" customFormat="1">
      <c r="A150" s="53" t="s">
        <v>142</v>
      </c>
      <c r="B150" s="53" t="s">
        <v>69</v>
      </c>
      <c r="C150" s="51"/>
      <c r="D150" s="55" t="s">
        <v>30</v>
      </c>
      <c r="E150" s="52" t="s">
        <v>59</v>
      </c>
      <c r="F150" s="126"/>
      <c r="G150" s="126"/>
      <c r="H150" s="125"/>
      <c r="I150" s="125"/>
      <c r="J150" s="226"/>
      <c r="K150" s="486">
        <f ca="1">MIN(IF($I106&lt;$I$110,$I$110,$I106-($I106-$I$110)*Input!K$442),K130)</f>
        <v>17.420859741540404</v>
      </c>
      <c r="L150" s="162">
        <f ca="1">MIN(IF($I106&lt;$I$110,$I$110,$I106-($I106-$I$110)*Input!L$442),L130)</f>
        <v>17.235775656058326</v>
      </c>
      <c r="M150" s="162">
        <f ca="1">MIN(IF($I106&lt;$I$110,$I$110,$I106-($I106-$I$110)*Input!M$442),M130)</f>
        <v>17.819711743493329</v>
      </c>
      <c r="N150" s="162">
        <f ca="1">MIN(IF($I106&lt;$I$110,$I$110,$I106-($I106-$I$110)*Input!N$442),N130)</f>
        <v>17.55193452104718</v>
      </c>
      <c r="O150" s="162">
        <f ca="1">MIN(IF($I106&lt;$I$110,$I$110,$I106-($I106-$I$110)*Input!O$442),O130)</f>
        <v>17.06814442404416</v>
      </c>
      <c r="Q150" s="5"/>
      <c r="X150" s="172"/>
      <c r="Y150" s="172"/>
      <c r="Z150" s="172"/>
      <c r="AA150" s="172"/>
      <c r="AB150" s="172"/>
    </row>
    <row r="151" spans="1:28" s="53" customFormat="1">
      <c r="C151" s="51"/>
      <c r="D151" s="54"/>
      <c r="E151" s="52"/>
      <c r="F151" s="126"/>
      <c r="G151" s="126"/>
      <c r="H151" s="126"/>
      <c r="I151" s="126"/>
      <c r="J151" s="227"/>
      <c r="K151" s="485"/>
      <c r="L151" s="124"/>
      <c r="M151" s="124"/>
      <c r="N151" s="124"/>
      <c r="O151" s="124"/>
      <c r="Q151" s="5"/>
    </row>
    <row r="152" spans="1:28">
      <c r="A152" s="27"/>
      <c r="B152" s="28"/>
      <c r="C152" s="29"/>
      <c r="D152" s="30"/>
      <c r="E152" s="28" t="s">
        <v>462</v>
      </c>
      <c r="F152" s="28"/>
      <c r="G152" s="28"/>
      <c r="H152" s="28"/>
      <c r="I152" s="31"/>
      <c r="J152" s="472"/>
      <c r="K152" s="480"/>
      <c r="L152" s="31"/>
      <c r="M152" s="31"/>
      <c r="N152" s="31"/>
      <c r="O152" s="31"/>
      <c r="Q152" s="5"/>
    </row>
    <row r="153" spans="1:28" s="53" customFormat="1">
      <c r="A153" s="53" t="s">
        <v>105</v>
      </c>
      <c r="B153" s="53" t="s">
        <v>69</v>
      </c>
      <c r="C153" s="51"/>
      <c r="D153" s="55" t="s">
        <v>30</v>
      </c>
      <c r="E153" s="52" t="s">
        <v>31</v>
      </c>
      <c r="F153" s="158"/>
      <c r="G153" s="158"/>
      <c r="H153" s="158"/>
      <c r="I153" s="226"/>
      <c r="J153" s="226"/>
      <c r="K153" s="486">
        <f>IF(K9=0,0,INDEX(ANH,ROW(Input!D$10)-5,COLUMN()-2)/K9*1000)</f>
        <v>0.9800396880764719</v>
      </c>
      <c r="L153" s="162">
        <f>IF(L9=0,0,INDEX(ANH,ROW(Input!E$10)-5,COLUMN()-2)/L9*1000)</f>
        <v>0.74217267003945497</v>
      </c>
      <c r="M153" s="162">
        <f>IF(M9=0,0,INDEX(ANH,ROW(Input!F$10)-5,COLUMN()-2)/M9*1000)</f>
        <v>0.55773004227731571</v>
      </c>
      <c r="N153" s="162">
        <f>IF(N9=0,0,INDEX(ANH,ROW(Input!G$10)-5,COLUMN()-2)/N9*1000)</f>
        <v>0.35100113416500067</v>
      </c>
      <c r="O153" s="162">
        <f>IF(O9=0,0,INDEX(ANH,ROW(Input!H$10)-5,COLUMN()-2)/O9*1000)</f>
        <v>8.3910751898804328E-2</v>
      </c>
      <c r="Q153" s="5"/>
    </row>
    <row r="154" spans="1:28" s="53" customFormat="1">
      <c r="A154" s="53" t="s">
        <v>105</v>
      </c>
      <c r="B154" s="53" t="s">
        <v>69</v>
      </c>
      <c r="C154" s="51"/>
      <c r="D154" s="55" t="s">
        <v>30</v>
      </c>
      <c r="E154" s="52" t="s">
        <v>32</v>
      </c>
      <c r="F154" s="164"/>
      <c r="G154" s="164"/>
      <c r="H154" s="158"/>
      <c r="I154" s="226"/>
      <c r="J154" s="226"/>
      <c r="K154" s="486">
        <f>IF(K10=0,0,INDEX(WSH,ROW(Input!D$10)-5,COLUMN()-2)/K10*1000)</f>
        <v>2.0670367888289953</v>
      </c>
      <c r="L154" s="162">
        <f>IF(L10=0,0,INDEX(WSH,ROW(Input!E$10)-5,COLUMN()-2)/L10*1000)</f>
        <v>1.9855130757822959</v>
      </c>
      <c r="M154" s="162">
        <f>IF(M10=0,0,INDEX(WSH,ROW(Input!F$10)-5,COLUMN()-2)/M10*1000)</f>
        <v>1.8655789729058023</v>
      </c>
      <c r="N154" s="162">
        <f>IF(N10=0,0,INDEX(WSH,ROW(Input!G$10)-5,COLUMN()-2)/N10*1000)</f>
        <v>1.8095690364716279</v>
      </c>
      <c r="O154" s="162">
        <f>IF(O10=0,0,INDEX(WSH,ROW(Input!H$10)-5,COLUMN()-2)/O10*1000)</f>
        <v>1.79653529739378</v>
      </c>
      <c r="Q154" s="5"/>
    </row>
    <row r="155" spans="1:28" s="53" customFormat="1">
      <c r="A155" s="53" t="s">
        <v>105</v>
      </c>
      <c r="B155" s="53" t="s">
        <v>69</v>
      </c>
      <c r="C155" s="51"/>
      <c r="D155" s="55" t="s">
        <v>30</v>
      </c>
      <c r="E155" s="52" t="s">
        <v>33</v>
      </c>
      <c r="F155" s="164"/>
      <c r="G155" s="164"/>
      <c r="H155" s="158"/>
      <c r="I155" s="226"/>
      <c r="J155" s="226"/>
      <c r="K155" s="486">
        <f>IF(K11=0,0,INDEX(NES,ROW(Input!D$10)-5,COLUMN()-2)/K11*1000)</f>
        <v>1.2023915437989867</v>
      </c>
      <c r="L155" s="162">
        <f>IF(L11=0,0,INDEX(NES,ROW(Input!E$10)-5,COLUMN()-2)/L11*1000)</f>
        <v>1.036724285729141</v>
      </c>
      <c r="M155" s="162">
        <f>IF(M11=0,0,INDEX(NES,ROW(Input!F$10)-5,COLUMN()-2)/M11*1000)</f>
        <v>0.84150851914297098</v>
      </c>
      <c r="N155" s="162">
        <f>IF(N11=0,0,INDEX(NES,ROW(Input!G$10)-5,COLUMN()-2)/N11*1000)</f>
        <v>0.66686033815918522</v>
      </c>
      <c r="O155" s="162">
        <f>IF(O11=0,0,INDEX(NES,ROW(Input!H$10)-5,COLUMN()-2)/O11*1000)</f>
        <v>0.6051994713907467</v>
      </c>
      <c r="Q155" s="5"/>
    </row>
    <row r="156" spans="1:28" s="53" customFormat="1">
      <c r="A156" s="53" t="s">
        <v>105</v>
      </c>
      <c r="B156" s="53" t="s">
        <v>69</v>
      </c>
      <c r="C156" s="51"/>
      <c r="D156" s="55" t="s">
        <v>30</v>
      </c>
      <c r="E156" s="52" t="s">
        <v>46</v>
      </c>
      <c r="F156" s="164"/>
      <c r="G156" s="164"/>
      <c r="H156" s="158"/>
      <c r="I156" s="226"/>
      <c r="J156" s="226"/>
      <c r="K156" s="486">
        <f>IF(K12=0,0,INDEX(SVT,ROW(Input!D$10)-5,COLUMN()-2)/K12*1000)</f>
        <v>1.8109160085915212</v>
      </c>
      <c r="L156" s="162">
        <f>IF(L12=0,0,INDEX(SVT,ROW(Input!E$10)-5,COLUMN()-2)/L12*1000)</f>
        <v>1.2160115931536937</v>
      </c>
      <c r="M156" s="162">
        <f>IF(M12=0,0,INDEX(SVT,ROW(Input!F$10)-5,COLUMN()-2)/M12*1000)</f>
        <v>1.0521584973043041</v>
      </c>
      <c r="N156" s="162">
        <f>IF(N12=0,0,INDEX(SVT,ROW(Input!G$10)-5,COLUMN()-2)/N12*1000)</f>
        <v>0.83896573312624612</v>
      </c>
      <c r="O156" s="162">
        <f>IF(O12=0,0,INDEX(SVT,ROW(Input!H$10)-5,COLUMN()-2)/O12*1000)</f>
        <v>0.69499948848517501</v>
      </c>
      <c r="Q156" s="5"/>
    </row>
    <row r="157" spans="1:28" s="53" customFormat="1">
      <c r="A157" s="53" t="s">
        <v>105</v>
      </c>
      <c r="B157" s="53" t="s">
        <v>69</v>
      </c>
      <c r="C157" s="51"/>
      <c r="D157" s="55" t="s">
        <v>30</v>
      </c>
      <c r="E157" s="52" t="s">
        <v>47</v>
      </c>
      <c r="F157" s="164"/>
      <c r="G157" s="164"/>
      <c r="H157" s="158"/>
      <c r="I157" s="226"/>
      <c r="J157" s="226"/>
      <c r="K157" s="486">
        <f>IF(K13=0,0,INDEX(SWT,ROW(Input!D$10)-5,COLUMN()-2)/K13*1000)</f>
        <v>2.1644483950787969</v>
      </c>
      <c r="L157" s="162">
        <f>IF(L13=0,0,INDEX(SWT,ROW(Input!E$10)-5,COLUMN()-2)/L13*1000)</f>
        <v>1.4987164029264839</v>
      </c>
      <c r="M157" s="162">
        <f>IF(M13=0,0,INDEX(SWT,ROW(Input!F$10)-5,COLUMN()-2)/M13*1000)</f>
        <v>1.2649364910619261</v>
      </c>
      <c r="N157" s="162">
        <f>IF(N13=0,0,INDEX(SWT,ROW(Input!G$10)-5,COLUMN()-2)/N13*1000)</f>
        <v>1.0333342909038068</v>
      </c>
      <c r="O157" s="162">
        <f>IF(O13=0,0,INDEX(SWT,ROW(Input!H$10)-5,COLUMN()-2)/O13*1000)</f>
        <v>0.58743580203142165</v>
      </c>
      <c r="Q157" s="5"/>
    </row>
    <row r="158" spans="1:28" s="53" customFormat="1">
      <c r="A158" s="53" t="s">
        <v>105</v>
      </c>
      <c r="B158" s="53" t="s">
        <v>69</v>
      </c>
      <c r="C158" s="51"/>
      <c r="D158" s="55" t="s">
        <v>30</v>
      </c>
      <c r="E158" s="52" t="s">
        <v>48</v>
      </c>
      <c r="F158" s="164"/>
      <c r="G158" s="164"/>
      <c r="H158" s="158"/>
      <c r="I158" s="226"/>
      <c r="J158" s="226"/>
      <c r="K158" s="486">
        <f>IF(K14=0,0,INDEX(SRN,ROW(Input!D$10)-5,COLUMN()-2)/K14*1000)</f>
        <v>3.5048920386274123</v>
      </c>
      <c r="L158" s="162">
        <f>IF(L14=0,0,INDEX(SRN,ROW(Input!E$10)-5,COLUMN()-2)/L14*1000)</f>
        <v>3.0779969113402732</v>
      </c>
      <c r="M158" s="162">
        <f>IF(M14=0,0,INDEX(SRN,ROW(Input!F$10)-5,COLUMN()-2)/M14*1000)</f>
        <v>2.6297567878573207</v>
      </c>
      <c r="N158" s="162">
        <f>IF(N14=0,0,INDEX(SRN,ROW(Input!G$10)-5,COLUMN()-2)/N14*1000)</f>
        <v>2.2232929547029538</v>
      </c>
      <c r="O158" s="162">
        <f>IF(O14=0,0,INDEX(SRN,ROW(Input!H$10)-5,COLUMN()-2)/O14*1000)</f>
        <v>1.7991052471101749</v>
      </c>
      <c r="Q158" s="5"/>
    </row>
    <row r="159" spans="1:28" s="53" customFormat="1">
      <c r="A159" s="53" t="s">
        <v>105</v>
      </c>
      <c r="B159" s="53" t="s">
        <v>69</v>
      </c>
      <c r="C159" s="51"/>
      <c r="D159" s="55" t="s">
        <v>30</v>
      </c>
      <c r="E159" s="52" t="s">
        <v>49</v>
      </c>
      <c r="F159" s="164"/>
      <c r="G159" s="164"/>
      <c r="H159" s="158"/>
      <c r="I159" s="226"/>
      <c r="J159" s="226"/>
      <c r="K159" s="486">
        <f>IF(K15=0,0,INDEX(TMS,ROW(Input!D$10)-5,COLUMN()-2)/K15*1000)</f>
        <v>1.1948455825749258</v>
      </c>
      <c r="L159" s="162">
        <f>IF(L15=0,0,INDEX(TMS,ROW(Input!E$10)-5,COLUMN()-2)/L15*1000)</f>
        <v>1.1130064994337738</v>
      </c>
      <c r="M159" s="162">
        <f>IF(M15=0,0,INDEX(TMS,ROW(Input!F$10)-5,COLUMN()-2)/M15*1000)</f>
        <v>0.67670634630483684</v>
      </c>
      <c r="N159" s="162">
        <f>IF(N15=0,0,INDEX(TMS,ROW(Input!G$10)-5,COLUMN()-2)/N15*1000)</f>
        <v>0.41465320211026846</v>
      </c>
      <c r="O159" s="162">
        <f>IF(O15=0,0,INDEX(TMS,ROW(Input!H$10)-5,COLUMN()-2)/O15*1000)</f>
        <v>0.10552907579340977</v>
      </c>
      <c r="Q159" s="5"/>
    </row>
    <row r="160" spans="1:28" s="53" customFormat="1">
      <c r="A160" s="53" t="s">
        <v>105</v>
      </c>
      <c r="B160" s="53" t="s">
        <v>69</v>
      </c>
      <c r="C160" s="51"/>
      <c r="D160" s="55" t="s">
        <v>30</v>
      </c>
      <c r="E160" s="52" t="s">
        <v>50</v>
      </c>
      <c r="F160" s="164"/>
      <c r="G160" s="164"/>
      <c r="H160" s="158"/>
      <c r="I160" s="226"/>
      <c r="J160" s="226"/>
      <c r="K160" s="486">
        <f>IF(K16=0,0,INDEX(NWT,ROW(Input!D$10)-5,COLUMN()-2)/K16*1000)</f>
        <v>2.8467881556087438</v>
      </c>
      <c r="L160" s="162">
        <f>IF(L16=0,0,INDEX(NWT,ROW(Input!E$10)-5,COLUMN()-2)/L16*1000)</f>
        <v>2.4991164300203605</v>
      </c>
      <c r="M160" s="162">
        <f>IF(M16=0,0,INDEX(NWT,ROW(Input!F$10)-5,COLUMN()-2)/M16*1000)</f>
        <v>2.3729664082510031</v>
      </c>
      <c r="N160" s="162">
        <f>IF(N16=0,0,INDEX(NWT,ROW(Input!G$10)-5,COLUMN()-2)/N16*1000)</f>
        <v>1.8993734843600054</v>
      </c>
      <c r="O160" s="162">
        <f>IF(O16=0,0,INDEX(NWT,ROW(Input!H$10)-5,COLUMN()-2)/O16*1000)</f>
        <v>1.4266683901324957</v>
      </c>
      <c r="Q160" s="5"/>
    </row>
    <row r="161" spans="1:17" s="53" customFormat="1">
      <c r="A161" s="53" t="s">
        <v>105</v>
      </c>
      <c r="B161" s="53" t="s">
        <v>69</v>
      </c>
      <c r="C161" s="51"/>
      <c r="D161" s="55" t="s">
        <v>30</v>
      </c>
      <c r="E161" s="52" t="s">
        <v>51</v>
      </c>
      <c r="F161" s="164"/>
      <c r="G161" s="164"/>
      <c r="H161" s="158"/>
      <c r="I161" s="226"/>
      <c r="J161" s="226"/>
      <c r="K161" s="486">
        <f>IF(K17=0,0,INDEX(WSX,ROW(Input!D$10)-5,COLUMN()-2)/K17*1000)</f>
        <v>0.63303504947549416</v>
      </c>
      <c r="L161" s="162">
        <f>IF(L17=0,0,INDEX(WSX,ROW(Input!E$10)-5,COLUMN()-2)/L17*1000)</f>
        <v>0.62695669500124229</v>
      </c>
      <c r="M161" s="162">
        <f>IF(M17=0,0,INDEX(WSX,ROW(Input!F$10)-5,COLUMN()-2)/M17*1000)</f>
        <v>0.62094114263051425</v>
      </c>
      <c r="N161" s="162">
        <f>IF(N17=0,0,INDEX(WSX,ROW(Input!G$10)-5,COLUMN()-2)/N17*1000)</f>
        <v>0.61507432020942476</v>
      </c>
      <c r="O161" s="162">
        <f>IF(O17=0,0,INDEX(WSX,ROW(Input!H$10)-5,COLUMN()-2)/O17*1000)</f>
        <v>0.60937988213448602</v>
      </c>
      <c r="Q161" s="5"/>
    </row>
    <row r="162" spans="1:17" s="53" customFormat="1">
      <c r="A162" s="53" t="s">
        <v>105</v>
      </c>
      <c r="B162" s="53" t="s">
        <v>69</v>
      </c>
      <c r="C162" s="51"/>
      <c r="D162" s="55" t="s">
        <v>30</v>
      </c>
      <c r="E162" s="52" t="s">
        <v>52</v>
      </c>
      <c r="F162" s="164"/>
      <c r="G162" s="164"/>
      <c r="H162" s="158"/>
      <c r="I162" s="226"/>
      <c r="J162" s="226"/>
      <c r="K162" s="486">
        <f>IF(K18=0,0,INDEX(YKY,ROW(Input!D$10)-5,COLUMN()-2)/K18*1000)</f>
        <v>1.7810061912245865</v>
      </c>
      <c r="L162" s="162">
        <f>IF(L18=0,0,INDEX(YKY,ROW(Input!E$10)-5,COLUMN()-2)/L18*1000)</f>
        <v>1.6070755550845728</v>
      </c>
      <c r="M162" s="162">
        <f>IF(M18=0,0,INDEX(YKY,ROW(Input!F$10)-5,COLUMN()-2)/M18*1000)</f>
        <v>1.3406101558471892</v>
      </c>
      <c r="N162" s="162">
        <f>IF(N18=0,0,INDEX(YKY,ROW(Input!G$10)-5,COLUMN()-2)/N18*1000)</f>
        <v>0.65476630318432072</v>
      </c>
      <c r="O162" s="162">
        <f>IF(O18=0,0,INDEX(YKY,ROW(Input!H$10)-5,COLUMN()-2)/O18*1000)</f>
        <v>0.63091610313079383</v>
      </c>
      <c r="Q162" s="5"/>
    </row>
    <row r="163" spans="1:17" s="53" customFormat="1">
      <c r="A163" s="53" t="s">
        <v>105</v>
      </c>
      <c r="B163" s="53" t="s">
        <v>69</v>
      </c>
      <c r="C163" s="51"/>
      <c r="D163" s="55" t="s">
        <v>30</v>
      </c>
      <c r="E163" s="52" t="s">
        <v>53</v>
      </c>
      <c r="F163" s="164"/>
      <c r="G163" s="164"/>
      <c r="H163" s="158"/>
      <c r="I163" s="226"/>
      <c r="J163" s="226"/>
      <c r="K163" s="486">
        <f>IF(K19=0,0,INDEX(AFW,ROW(Input!D$10)-5,COLUMN()-2)/K19*1000)</f>
        <v>1.3084895333127422</v>
      </c>
      <c r="L163" s="162">
        <f>IF(L19=0,0,INDEX(AFW,ROW(Input!E$10)-5,COLUMN()-2)/L19*1000)</f>
        <v>1.2589180281115255</v>
      </c>
      <c r="M163" s="162">
        <f>IF(M19=0,0,INDEX(AFW,ROW(Input!F$10)-5,COLUMN()-2)/M19*1000)</f>
        <v>1.2174231059131049</v>
      </c>
      <c r="N163" s="162">
        <f>IF(N19=0,0,INDEX(AFW,ROW(Input!G$10)-5,COLUMN()-2)/N19*1000)</f>
        <v>0.88326858931603536</v>
      </c>
      <c r="O163" s="162">
        <f>IF(O19=0,0,INDEX(AFW,ROW(Input!H$10)-5,COLUMN()-2)/O19*1000)</f>
        <v>0.12465914212014909</v>
      </c>
      <c r="Q163" s="5"/>
    </row>
    <row r="164" spans="1:17" s="53" customFormat="1">
      <c r="A164" s="53" t="s">
        <v>105</v>
      </c>
      <c r="B164" s="53" t="s">
        <v>69</v>
      </c>
      <c r="C164" s="51"/>
      <c r="D164" s="55" t="s">
        <v>30</v>
      </c>
      <c r="E164" s="52" t="s">
        <v>54</v>
      </c>
      <c r="F164" s="164"/>
      <c r="G164" s="164"/>
      <c r="H164" s="158"/>
      <c r="I164" s="226"/>
      <c r="J164" s="226"/>
      <c r="K164" s="486">
        <f>IF(K20=0,0,INDEX(BRL,ROW(Input!D$10)-5,COLUMN()-2)/K20*1000)</f>
        <v>1.3663543079324858</v>
      </c>
      <c r="L164" s="162">
        <f>IF(L20=0,0,INDEX(BRL,ROW(Input!E$10)-5,COLUMN()-2)/L20*1000)</f>
        <v>1.2426115693449353</v>
      </c>
      <c r="M164" s="162">
        <f>IF(M20=0,0,INDEX(BRL,ROW(Input!F$10)-5,COLUMN()-2)/M20*1000)</f>
        <v>0.96031889614757426</v>
      </c>
      <c r="N164" s="162">
        <f>IF(N20=0,0,INDEX(BRL,ROW(Input!G$10)-5,COLUMN()-2)/N20*1000)</f>
        <v>0.61594091846232679</v>
      </c>
      <c r="O164" s="162">
        <f>IF(O20=0,0,INDEX(BRL,ROW(Input!H$10)-5,COLUMN()-2)/O20*1000)</f>
        <v>0.29002061690576897</v>
      </c>
      <c r="Q164" s="5"/>
    </row>
    <row r="165" spans="1:17" s="53" customFormat="1">
      <c r="A165" s="53" t="s">
        <v>105</v>
      </c>
      <c r="B165" s="53" t="s">
        <v>69</v>
      </c>
      <c r="C165" s="51"/>
      <c r="D165" s="55" t="s">
        <v>30</v>
      </c>
      <c r="E165" s="52" t="s">
        <v>66</v>
      </c>
      <c r="F165" s="164"/>
      <c r="G165" s="164"/>
      <c r="H165" s="158"/>
      <c r="I165" s="226"/>
      <c r="J165" s="226"/>
      <c r="K165" s="486">
        <f>IF(K21=0,0,INDEX(SSC,ROW(Input!D$10)-5,COLUMN()-2)/K21*1000)</f>
        <v>3.7367110119070865</v>
      </c>
      <c r="L165" s="162">
        <f>IF(L21=0,0,INDEX(SSC,ROW(Input!E$10)-5,COLUMN()-2)/L21*1000)</f>
        <v>3.2934681895341709</v>
      </c>
      <c r="M165" s="162">
        <f>IF(M21=0,0,INDEX(SSC,ROW(Input!F$10)-5,COLUMN()-2)/M21*1000)</f>
        <v>2.4915269179839821</v>
      </c>
      <c r="N165" s="162">
        <f>IF(N21=0,0,INDEX(SSC,ROW(Input!G$10)-5,COLUMN()-2)/N21*1000)</f>
        <v>1.2194210498395788</v>
      </c>
      <c r="O165" s="162">
        <f>IF(O21=0,0,INDEX(SSC,ROW(Input!H$10)-5,COLUMN()-2)/O21*1000)</f>
        <v>0.40427727812833547</v>
      </c>
      <c r="Q165" s="5"/>
    </row>
    <row r="166" spans="1:17" s="53" customFormat="1">
      <c r="A166" s="53" t="s">
        <v>105</v>
      </c>
      <c r="B166" s="53" t="s">
        <v>69</v>
      </c>
      <c r="C166" s="51"/>
      <c r="D166" s="55" t="s">
        <v>30</v>
      </c>
      <c r="E166" s="52" t="s">
        <v>55</v>
      </c>
      <c r="F166" s="164"/>
      <c r="G166" s="164"/>
      <c r="H166" s="158"/>
      <c r="I166" s="226"/>
      <c r="J166" s="226"/>
      <c r="K166" s="486">
        <f>IF(K22=0,0,INDEX(DVW,ROW(Input!D$10)-5,COLUMN()-2)/K22*1000)</f>
        <v>0.42105854853319308</v>
      </c>
      <c r="L166" s="162">
        <f>IF(L22=0,0,INDEX(DVW,ROW(Input!E$10)-5,COLUMN()-2)/L22*1000)</f>
        <v>0.41770372735803069</v>
      </c>
      <c r="M166" s="162">
        <f>IF(M22=0,0,INDEX(DVW,ROW(Input!F$10)-5,COLUMN()-2)/M22*1000)</f>
        <v>0.41440194327321755</v>
      </c>
      <c r="N166" s="162">
        <f>IF(N22=0,0,INDEX(DVW,ROW(Input!G$10)-5,COLUMN()-2)/N22*1000)</f>
        <v>0.4111519484303332</v>
      </c>
      <c r="O166" s="162">
        <f>IF(O22=0,0,INDEX(DVW,ROW(Input!H$10)-5,COLUMN()-2)/O22*1000)</f>
        <v>0.40794916387302249</v>
      </c>
      <c r="Q166" s="5"/>
    </row>
    <row r="167" spans="1:17" s="53" customFormat="1">
      <c r="A167" s="53" t="s">
        <v>105</v>
      </c>
      <c r="B167" s="53" t="s">
        <v>69</v>
      </c>
      <c r="C167" s="51"/>
      <c r="D167" s="55" t="s">
        <v>30</v>
      </c>
      <c r="E167" s="52" t="s">
        <v>56</v>
      </c>
      <c r="F167" s="164"/>
      <c r="G167" s="164"/>
      <c r="H167" s="158"/>
      <c r="I167" s="226"/>
      <c r="J167" s="226"/>
      <c r="K167" s="486">
        <f>IF(K23=0,0,INDEX(PRT,ROW(Input!D$10)-5,COLUMN()-2)/K23*1000)</f>
        <v>0.63912460399274507</v>
      </c>
      <c r="L167" s="162">
        <f>IF(L23=0,0,INDEX(PRT,ROW(Input!E$10)-5,COLUMN()-2)/L23*1000)</f>
        <v>0.60601760983158492</v>
      </c>
      <c r="M167" s="162">
        <f>IF(M23=0,0,INDEX(PRT,ROW(Input!F$10)-5,COLUMN()-2)/M23*1000)</f>
        <v>0.46027484404810043</v>
      </c>
      <c r="N167" s="162">
        <f>IF(N23=0,0,INDEX(PRT,ROW(Input!G$10)-5,COLUMN()-2)/N23*1000)</f>
        <v>0.37213332725247478</v>
      </c>
      <c r="O167" s="162">
        <f>IF(O23=0,0,INDEX(PRT,ROW(Input!H$10)-5,COLUMN()-2)/O23*1000)</f>
        <v>0.3168186153568508</v>
      </c>
      <c r="Q167" s="5"/>
    </row>
    <row r="168" spans="1:17" s="53" customFormat="1">
      <c r="A168" s="53" t="s">
        <v>105</v>
      </c>
      <c r="B168" s="53" t="s">
        <v>69</v>
      </c>
      <c r="C168" s="51"/>
      <c r="D168" s="55" t="s">
        <v>30</v>
      </c>
      <c r="E168" s="52" t="s">
        <v>57</v>
      </c>
      <c r="F168" s="164"/>
      <c r="G168" s="164"/>
      <c r="H168" s="158"/>
      <c r="I168" s="226"/>
      <c r="J168" s="226"/>
      <c r="K168" s="486">
        <f>IF(K24=0,0,INDEX(SBW,ROW(Input!D$10)-5,COLUMN()-2)/K24*1000)</f>
        <v>2.6685176225195617</v>
      </c>
      <c r="L168" s="162">
        <f>IF(L24=0,0,INDEX(SBW,ROW(Input!E$10)-5,COLUMN()-2)/L24*1000)</f>
        <v>2.5878097775019446</v>
      </c>
      <c r="M168" s="162">
        <f>IF(M24=0,0,INDEX(SBW,ROW(Input!F$10)-5,COLUMN()-2)/M24*1000)</f>
        <v>2.1868956450930526</v>
      </c>
      <c r="N168" s="162">
        <f>IF(N24=0,0,INDEX(SBW,ROW(Input!G$10)-5,COLUMN()-2)/N24*1000)</f>
        <v>1.6467075211263136</v>
      </c>
      <c r="O168" s="162">
        <f>IF(O24=0,0,INDEX(SBW,ROW(Input!H$10)-5,COLUMN()-2)/O24*1000)</f>
        <v>1.1398997110221298</v>
      </c>
      <c r="Q168" s="5"/>
    </row>
    <row r="169" spans="1:17" s="53" customFormat="1">
      <c r="A169" s="53" t="s">
        <v>105</v>
      </c>
      <c r="B169" s="53" t="s">
        <v>69</v>
      </c>
      <c r="C169" s="51"/>
      <c r="D169" s="55" t="s">
        <v>30</v>
      </c>
      <c r="E169" s="52" t="s">
        <v>58</v>
      </c>
      <c r="F169" s="164"/>
      <c r="G169" s="164"/>
      <c r="H169" s="158"/>
      <c r="I169" s="226"/>
      <c r="J169" s="226"/>
      <c r="K169" s="486">
        <f>IF(K25=0,0,INDEX(SEW,ROW(Input!D$10)-5,COLUMN()-2)/K25*1000)</f>
        <v>1.8203217069195721</v>
      </c>
      <c r="L169" s="162">
        <f>IF(L25=0,0,INDEX(SEW,ROW(Input!E$10)-5,COLUMN()-2)/L25*1000)</f>
        <v>1.5860820183588422</v>
      </c>
      <c r="M169" s="162">
        <f>IF(M25=0,0,INDEX(SEW,ROW(Input!F$10)-5,COLUMN()-2)/M25*1000)</f>
        <v>0.87542430452255049</v>
      </c>
      <c r="N169" s="162">
        <f>IF(N25=0,0,INDEX(SEW,ROW(Input!G$10)-5,COLUMN()-2)/N25*1000)</f>
        <v>0.47491855801640082</v>
      </c>
      <c r="O169" s="162">
        <f>IF(O25=0,0,INDEX(SEW,ROW(Input!H$10)-5,COLUMN()-2)/O25*1000)</f>
        <v>0.29790558871701384</v>
      </c>
      <c r="Q169" s="5"/>
    </row>
    <row r="170" spans="1:17" s="53" customFormat="1">
      <c r="A170" s="53" t="s">
        <v>105</v>
      </c>
      <c r="B170" s="53" t="s">
        <v>69</v>
      </c>
      <c r="C170" s="51"/>
      <c r="D170" s="55" t="s">
        <v>30</v>
      </c>
      <c r="E170" s="52" t="s">
        <v>59</v>
      </c>
      <c r="F170" s="164"/>
      <c r="G170" s="164"/>
      <c r="H170" s="158"/>
      <c r="I170" s="226"/>
      <c r="J170" s="226"/>
      <c r="K170" s="486">
        <f>IF(K26=0,0,INDEX(SES,ROW(Input!D$10)-5,COLUMN()-2)/K26*1000)</f>
        <v>0.7537418857938718</v>
      </c>
      <c r="L170" s="162">
        <f>IF(L26=0,0,INDEX(SES,ROW(Input!E$10)-5,COLUMN()-2)/L26*1000)</f>
        <v>0.6192692992656188</v>
      </c>
      <c r="M170" s="162">
        <f>IF(M26=0,0,INDEX(SES,ROW(Input!F$10)-5,COLUMN()-2)/M26*1000)</f>
        <v>0.5351320276413406</v>
      </c>
      <c r="N170" s="162">
        <f>IF(N26=0,0,INDEX(SES,ROW(Input!G$10)-5,COLUMN()-2)/N26*1000)</f>
        <v>0.41154483951369691</v>
      </c>
      <c r="O170" s="162">
        <f>IF(O26=0,0,INDEX(SES,ROW(Input!H$10)-5,COLUMN()-2)/O26*1000)</f>
        <v>0.31061522739781672</v>
      </c>
      <c r="Q170" s="5"/>
    </row>
    <row r="171" spans="1:17" s="53" customFormat="1">
      <c r="C171" s="51"/>
      <c r="D171" s="54"/>
      <c r="E171" s="52"/>
      <c r="F171" s="164"/>
      <c r="G171" s="164"/>
      <c r="H171" s="164"/>
      <c r="I171" s="164"/>
      <c r="J171" s="227"/>
      <c r="K171" s="485"/>
      <c r="L171" s="154"/>
      <c r="M171" s="154"/>
      <c r="N171" s="154"/>
      <c r="O171" s="154"/>
      <c r="Q171" s="5"/>
    </row>
    <row r="172" spans="1:17">
      <c r="A172" s="27"/>
      <c r="B172" s="28"/>
      <c r="C172" s="29"/>
      <c r="D172" s="30"/>
      <c r="E172" s="28" t="s">
        <v>463</v>
      </c>
      <c r="F172" s="28"/>
      <c r="G172" s="28"/>
      <c r="H172" s="28"/>
      <c r="I172" s="31"/>
      <c r="J172" s="472"/>
      <c r="K172" s="480"/>
      <c r="L172" s="31"/>
      <c r="M172" s="31"/>
      <c r="N172" s="31"/>
      <c r="O172" s="31"/>
      <c r="Q172" s="5"/>
    </row>
    <row r="173" spans="1:17" s="53" customFormat="1">
      <c r="A173" s="53" t="s">
        <v>151</v>
      </c>
      <c r="B173" s="53" t="s">
        <v>69</v>
      </c>
      <c r="C173" s="51"/>
      <c r="D173" s="55" t="s">
        <v>30</v>
      </c>
      <c r="E173" s="52" t="s">
        <v>31</v>
      </c>
      <c r="F173" s="164"/>
      <c r="G173" s="164"/>
      <c r="H173" s="164"/>
      <c r="I173" s="164"/>
      <c r="J173" s="228"/>
      <c r="K173" s="489">
        <f t="shared" ref="K173:O182" ca="1" si="1">(+K133-K153)</f>
        <v>19.137412763865527</v>
      </c>
      <c r="L173" s="180">
        <f t="shared" ca="1" si="1"/>
        <v>19.708963388437013</v>
      </c>
      <c r="M173" s="180">
        <f t="shared" ca="1" si="1"/>
        <v>20.062375269715044</v>
      </c>
      <c r="N173" s="180">
        <f t="shared" ca="1" si="1"/>
        <v>20.221125300327031</v>
      </c>
      <c r="O173" s="180">
        <f t="shared" ca="1" si="1"/>
        <v>20.369088030659164</v>
      </c>
      <c r="Q173" s="5"/>
    </row>
    <row r="174" spans="1:17" s="53" customFormat="1">
      <c r="A174" s="53" t="s">
        <v>151</v>
      </c>
      <c r="B174" s="53" t="s">
        <v>69</v>
      </c>
      <c r="C174" s="51"/>
      <c r="D174" s="55" t="s">
        <v>30</v>
      </c>
      <c r="E174" s="52" t="s">
        <v>32</v>
      </c>
      <c r="F174" s="164"/>
      <c r="G174" s="164"/>
      <c r="H174" s="164"/>
      <c r="I174" s="164"/>
      <c r="J174" s="227"/>
      <c r="K174" s="489">
        <f t="shared" ca="1" si="1"/>
        <v>21.628427050602884</v>
      </c>
      <c r="L174" s="180">
        <f t="shared" ca="1" si="1"/>
        <v>20.967273018499586</v>
      </c>
      <c r="M174" s="180">
        <f t="shared" ca="1" si="1"/>
        <v>20.344529376226085</v>
      </c>
      <c r="N174" s="180">
        <f t="shared" ca="1" si="1"/>
        <v>19.657861567510263</v>
      </c>
      <c r="O174" s="180">
        <f t="shared" ca="1" si="1"/>
        <v>19.670895306588111</v>
      </c>
      <c r="Q174" s="5"/>
    </row>
    <row r="175" spans="1:17" s="53" customFormat="1">
      <c r="A175" s="53" t="s">
        <v>151</v>
      </c>
      <c r="B175" s="53" t="s">
        <v>69</v>
      </c>
      <c r="C175" s="51"/>
      <c r="D175" s="55" t="s">
        <v>30</v>
      </c>
      <c r="E175" s="52" t="s">
        <v>33</v>
      </c>
      <c r="F175" s="164"/>
      <c r="G175" s="164"/>
      <c r="H175" s="164"/>
      <c r="I175" s="164"/>
      <c r="J175" s="227"/>
      <c r="K175" s="489">
        <f t="shared" ca="1" si="1"/>
        <v>20.423572905593332</v>
      </c>
      <c r="L175" s="180">
        <f t="shared" ca="1" si="1"/>
        <v>20.634661842822688</v>
      </c>
      <c r="M175" s="180">
        <f t="shared" ca="1" si="1"/>
        <v>20.72789984712389</v>
      </c>
      <c r="N175" s="180">
        <f t="shared" ca="1" si="1"/>
        <v>20.800570265822707</v>
      </c>
      <c r="O175" s="180">
        <f t="shared" ca="1" si="1"/>
        <v>20.862231132591145</v>
      </c>
      <c r="Q175" s="5"/>
    </row>
    <row r="176" spans="1:17" s="53" customFormat="1">
      <c r="A176" s="53" t="s">
        <v>151</v>
      </c>
      <c r="B176" s="53" t="s">
        <v>69</v>
      </c>
      <c r="C176" s="51"/>
      <c r="D176" s="55" t="s">
        <v>30</v>
      </c>
      <c r="E176" s="52" t="s">
        <v>46</v>
      </c>
      <c r="F176" s="164"/>
      <c r="G176" s="164"/>
      <c r="H176" s="164"/>
      <c r="I176" s="164"/>
      <c r="J176" s="227"/>
      <c r="K176" s="489">
        <f t="shared" ca="1" si="1"/>
        <v>19.311176862309441</v>
      </c>
      <c r="L176" s="180">
        <f t="shared" ca="1" si="1"/>
        <v>19.876771152937369</v>
      </c>
      <c r="M176" s="180">
        <f t="shared" ca="1" si="1"/>
        <v>20.41703350092844</v>
      </c>
      <c r="N176" s="180">
        <f t="shared" ca="1" si="1"/>
        <v>20.628464870855645</v>
      </c>
      <c r="O176" s="180">
        <f t="shared" ca="1" si="1"/>
        <v>20.772431115496719</v>
      </c>
      <c r="Q176" s="5"/>
    </row>
    <row r="177" spans="1:17" s="53" customFormat="1">
      <c r="A177" s="53" t="s">
        <v>151</v>
      </c>
      <c r="B177" s="53" t="s">
        <v>69</v>
      </c>
      <c r="C177" s="51"/>
      <c r="D177" s="55" t="s">
        <v>30</v>
      </c>
      <c r="E177" s="52" t="s">
        <v>47</v>
      </c>
      <c r="F177" s="164"/>
      <c r="G177" s="164"/>
      <c r="H177" s="164"/>
      <c r="I177" s="164"/>
      <c r="J177" s="227"/>
      <c r="K177" s="489">
        <f t="shared" ca="1" si="1"/>
        <v>20.28036303113495</v>
      </c>
      <c r="L177" s="180">
        <f t="shared" ca="1" si="1"/>
        <v>20.479959645990331</v>
      </c>
      <c r="M177" s="180">
        <f t="shared" ca="1" si="1"/>
        <v>20.608277396327733</v>
      </c>
      <c r="N177" s="180">
        <f t="shared" ca="1" si="1"/>
        <v>20.434096313078086</v>
      </c>
      <c r="O177" s="180">
        <f t="shared" ca="1" si="1"/>
        <v>20.683374606871826</v>
      </c>
      <c r="Q177" s="5"/>
    </row>
    <row r="178" spans="1:17" s="53" customFormat="1">
      <c r="A178" s="53" t="s">
        <v>151</v>
      </c>
      <c r="B178" s="53" t="s">
        <v>69</v>
      </c>
      <c r="C178" s="51"/>
      <c r="D178" s="55" t="s">
        <v>30</v>
      </c>
      <c r="E178" s="52" t="s">
        <v>48</v>
      </c>
      <c r="F178" s="164"/>
      <c r="G178" s="164"/>
      <c r="H178" s="164"/>
      <c r="I178" s="164"/>
      <c r="J178" s="227"/>
      <c r="K178" s="489">
        <f t="shared" ca="1" si="1"/>
        <v>23.904380641750485</v>
      </c>
      <c r="L178" s="180">
        <f t="shared" ca="1" si="1"/>
        <v>23.227262439996942</v>
      </c>
      <c r="M178" s="180">
        <f t="shared" ca="1" si="1"/>
        <v>21.256588189802233</v>
      </c>
      <c r="N178" s="180">
        <f t="shared" ca="1" si="1"/>
        <v>19.24413764927894</v>
      </c>
      <c r="O178" s="180">
        <f t="shared" ca="1" si="1"/>
        <v>19.668325356871719</v>
      </c>
      <c r="Q178" s="5"/>
    </row>
    <row r="179" spans="1:17" s="53" customFormat="1">
      <c r="A179" s="53" t="s">
        <v>151</v>
      </c>
      <c r="B179" s="53" t="s">
        <v>69</v>
      </c>
      <c r="C179" s="51"/>
      <c r="D179" s="55" t="s">
        <v>30</v>
      </c>
      <c r="E179" s="52" t="s">
        <v>49</v>
      </c>
      <c r="F179" s="164"/>
      <c r="G179" s="164"/>
      <c r="H179" s="164"/>
      <c r="I179" s="164"/>
      <c r="J179" s="227"/>
      <c r="K179" s="489">
        <f t="shared" ca="1" si="1"/>
        <v>20.473951945993907</v>
      </c>
      <c r="L179" s="180">
        <f t="shared" ca="1" si="1"/>
        <v>20.488668720939412</v>
      </c>
      <c r="M179" s="180">
        <f t="shared" ca="1" si="1"/>
        <v>20.857846565872702</v>
      </c>
      <c r="N179" s="180">
        <f t="shared" ca="1" si="1"/>
        <v>21.052777401871623</v>
      </c>
      <c r="O179" s="180">
        <f t="shared" ca="1" si="1"/>
        <v>21.361901528188483</v>
      </c>
      <c r="Q179" s="5"/>
    </row>
    <row r="180" spans="1:17" s="53" customFormat="1">
      <c r="A180" s="53" t="s">
        <v>151</v>
      </c>
      <c r="B180" s="53" t="s">
        <v>69</v>
      </c>
      <c r="C180" s="51"/>
      <c r="D180" s="55" t="s">
        <v>30</v>
      </c>
      <c r="E180" s="52" t="s">
        <v>50</v>
      </c>
      <c r="F180" s="164"/>
      <c r="G180" s="164"/>
      <c r="H180" s="164"/>
      <c r="I180" s="164"/>
      <c r="J180" s="227"/>
      <c r="K180" s="489">
        <f t="shared" ca="1" si="1"/>
        <v>24.229320659584509</v>
      </c>
      <c r="L180" s="180">
        <f t="shared" ca="1" si="1"/>
        <v>22.707432981435769</v>
      </c>
      <c r="M180" s="180">
        <f t="shared" ca="1" si="1"/>
        <v>20.96402359946801</v>
      </c>
      <c r="N180" s="180">
        <f t="shared" ca="1" si="1"/>
        <v>19.568057119621887</v>
      </c>
      <c r="O180" s="180">
        <f t="shared" ca="1" si="1"/>
        <v>20.040762213849398</v>
      </c>
      <c r="Q180" s="5"/>
    </row>
    <row r="181" spans="1:17" s="53" customFormat="1">
      <c r="A181" s="53" t="s">
        <v>151</v>
      </c>
      <c r="B181" s="53" t="s">
        <v>69</v>
      </c>
      <c r="C181" s="51"/>
      <c r="D181" s="55" t="s">
        <v>30</v>
      </c>
      <c r="E181" s="52" t="s">
        <v>51</v>
      </c>
      <c r="F181" s="164"/>
      <c r="G181" s="164"/>
      <c r="H181" s="164"/>
      <c r="I181" s="164"/>
      <c r="J181" s="227"/>
      <c r="K181" s="489">
        <f t="shared" ca="1" si="1"/>
        <v>18.406893831612731</v>
      </c>
      <c r="L181" s="180">
        <f t="shared" ca="1" si="1"/>
        <v>18.390500617995428</v>
      </c>
      <c r="M181" s="180">
        <f t="shared" ca="1" si="1"/>
        <v>18.490137813141406</v>
      </c>
      <c r="N181" s="180">
        <f t="shared" ca="1" si="1"/>
        <v>18.4778945609701</v>
      </c>
      <c r="O181" s="180">
        <f t="shared" ca="1" si="1"/>
        <v>18.445993768870625</v>
      </c>
      <c r="Q181" s="5"/>
    </row>
    <row r="182" spans="1:17" s="53" customFormat="1">
      <c r="A182" s="53" t="s">
        <v>151</v>
      </c>
      <c r="B182" s="53" t="s">
        <v>69</v>
      </c>
      <c r="C182" s="51"/>
      <c r="D182" s="55" t="s">
        <v>30</v>
      </c>
      <c r="E182" s="52" t="s">
        <v>52</v>
      </c>
      <c r="F182" s="164"/>
      <c r="G182" s="164"/>
      <c r="H182" s="164"/>
      <c r="I182" s="164"/>
      <c r="J182" s="227"/>
      <c r="K182" s="489">
        <f t="shared" ca="1" si="1"/>
        <v>15.888844228965548</v>
      </c>
      <c r="L182" s="180">
        <f t="shared" ca="1" si="1"/>
        <v>15.84389197543584</v>
      </c>
      <c r="M182" s="180">
        <f t="shared" ca="1" si="1"/>
        <v>15.80366163619871</v>
      </c>
      <c r="N182" s="180">
        <f t="shared" ca="1" si="1"/>
        <v>15.757470709891034</v>
      </c>
      <c r="O182" s="180">
        <f t="shared" ca="1" si="1"/>
        <v>15.69464886872499</v>
      </c>
      <c r="Q182" s="5"/>
    </row>
    <row r="183" spans="1:17" s="53" customFormat="1">
      <c r="A183" s="53" t="s">
        <v>151</v>
      </c>
      <c r="B183" s="53" t="s">
        <v>69</v>
      </c>
      <c r="C183" s="51"/>
      <c r="D183" s="55" t="s">
        <v>30</v>
      </c>
      <c r="E183" s="52" t="s">
        <v>53</v>
      </c>
      <c r="F183" s="164"/>
      <c r="G183" s="164"/>
      <c r="H183" s="164"/>
      <c r="I183" s="164"/>
      <c r="J183" s="227"/>
      <c r="K183" s="489">
        <f t="shared" ref="K183:O190" ca="1" si="2">(+K143-K163)</f>
        <v>15.436105165122228</v>
      </c>
      <c r="L183" s="180">
        <f t="shared" ca="1" si="2"/>
        <v>15.211398761936353</v>
      </c>
      <c r="M183" s="180">
        <f t="shared" ca="1" si="2"/>
        <v>14.978275439102744</v>
      </c>
      <c r="N183" s="180">
        <f t="shared" ca="1" si="2"/>
        <v>14.757007119969792</v>
      </c>
      <c r="O183" s="180">
        <f t="shared" ca="1" si="2"/>
        <v>14.656023897491748</v>
      </c>
      <c r="Q183" s="5"/>
    </row>
    <row r="184" spans="1:17" s="53" customFormat="1">
      <c r="A184" s="53" t="s">
        <v>151</v>
      </c>
      <c r="B184" s="53" t="s">
        <v>69</v>
      </c>
      <c r="C184" s="51"/>
      <c r="D184" s="55" t="s">
        <v>30</v>
      </c>
      <c r="E184" s="52" t="s">
        <v>54</v>
      </c>
      <c r="F184" s="164"/>
      <c r="G184" s="164"/>
      <c r="H184" s="164"/>
      <c r="I184" s="164"/>
      <c r="J184" s="227"/>
      <c r="K184" s="489">
        <f t="shared" ca="1" si="2"/>
        <v>15.021824139180168</v>
      </c>
      <c r="L184" s="180">
        <f t="shared" ca="1" si="2"/>
        <v>15.29752663086788</v>
      </c>
      <c r="M184" s="180">
        <f t="shared" ca="1" si="2"/>
        <v>15.581724546257673</v>
      </c>
      <c r="N184" s="180">
        <f t="shared" ca="1" si="2"/>
        <v>15.877619865994886</v>
      </c>
      <c r="O184" s="180">
        <f t="shared" ca="1" si="2"/>
        <v>16.184757917909639</v>
      </c>
      <c r="Q184" s="5"/>
    </row>
    <row r="185" spans="1:17" s="53" customFormat="1">
      <c r="A185" s="53" t="s">
        <v>151</v>
      </c>
      <c r="B185" s="53" t="s">
        <v>69</v>
      </c>
      <c r="C185" s="51"/>
      <c r="D185" s="55" t="s">
        <v>30</v>
      </c>
      <c r="E185" s="52" t="s">
        <v>66</v>
      </c>
      <c r="F185" s="164"/>
      <c r="G185" s="164"/>
      <c r="H185" s="164"/>
      <c r="I185" s="164"/>
      <c r="J185" s="227"/>
      <c r="K185" s="489">
        <f t="shared" ca="1" si="2"/>
        <v>18.473125323366954</v>
      </c>
      <c r="L185" s="180">
        <f t="shared" ca="1" si="2"/>
        <v>18.668899568642487</v>
      </c>
      <c r="M185" s="180">
        <f t="shared" ca="1" si="2"/>
        <v>19.223372263095293</v>
      </c>
      <c r="N185" s="180">
        <f t="shared" ca="1" si="2"/>
        <v>20.248009554142314</v>
      </c>
      <c r="O185" s="180">
        <f t="shared" ca="1" si="2"/>
        <v>20.499884609768785</v>
      </c>
      <c r="Q185" s="5"/>
    </row>
    <row r="186" spans="1:17" s="53" customFormat="1">
      <c r="A186" s="53" t="s">
        <v>151</v>
      </c>
      <c r="B186" s="53" t="s">
        <v>69</v>
      </c>
      <c r="C186" s="51"/>
      <c r="D186" s="55" t="s">
        <v>30</v>
      </c>
      <c r="E186" s="52" t="s">
        <v>55</v>
      </c>
      <c r="F186" s="164"/>
      <c r="G186" s="164"/>
      <c r="H186" s="164"/>
      <c r="I186" s="164"/>
      <c r="J186" s="227"/>
      <c r="K186" s="489">
        <f t="shared" ca="1" si="2"/>
        <v>21.099094742095705</v>
      </c>
      <c r="L186" s="180">
        <f t="shared" ca="1" si="2"/>
        <v>21.112660856091935</v>
      </c>
      <c r="M186" s="180">
        <f t="shared" ca="1" si="2"/>
        <v>21.087596833081356</v>
      </c>
      <c r="N186" s="180">
        <f t="shared" ca="1" si="2"/>
        <v>21.056278655551559</v>
      </c>
      <c r="O186" s="180">
        <f t="shared" ca="1" si="2"/>
        <v>21.059481440108868</v>
      </c>
      <c r="Q186" s="5"/>
    </row>
    <row r="187" spans="1:17" s="53" customFormat="1">
      <c r="A187" s="53" t="s">
        <v>151</v>
      </c>
      <c r="B187" s="53" t="s">
        <v>69</v>
      </c>
      <c r="C187" s="51"/>
      <c r="D187" s="55" t="s">
        <v>30</v>
      </c>
      <c r="E187" s="52" t="s">
        <v>56</v>
      </c>
      <c r="F187" s="164"/>
      <c r="G187" s="164"/>
      <c r="H187" s="164"/>
      <c r="I187" s="164"/>
      <c r="J187" s="227"/>
      <c r="K187" s="489">
        <f t="shared" ca="1" si="2"/>
        <v>13.289507128832389</v>
      </c>
      <c r="L187" s="180">
        <f t="shared" ca="1" si="2"/>
        <v>13.233156462638235</v>
      </c>
      <c r="M187" s="180">
        <f t="shared" ca="1" si="2"/>
        <v>13.161752410718963</v>
      </c>
      <c r="N187" s="180">
        <f t="shared" ca="1" si="2"/>
        <v>13.073356795720118</v>
      </c>
      <c r="O187" s="180">
        <f t="shared" ca="1" si="2"/>
        <v>12.986119549029175</v>
      </c>
      <c r="Q187" s="5"/>
    </row>
    <row r="188" spans="1:17" s="53" customFormat="1">
      <c r="A188" s="53" t="s">
        <v>151</v>
      </c>
      <c r="B188" s="53" t="s">
        <v>69</v>
      </c>
      <c r="C188" s="51"/>
      <c r="D188" s="55" t="s">
        <v>30</v>
      </c>
      <c r="E188" s="52" t="s">
        <v>57</v>
      </c>
      <c r="F188" s="164"/>
      <c r="G188" s="164"/>
      <c r="H188" s="164"/>
      <c r="I188" s="164"/>
      <c r="J188" s="227"/>
      <c r="K188" s="489">
        <f t="shared" ca="1" si="2"/>
        <v>19.150860555864199</v>
      </c>
      <c r="L188" s="180">
        <f t="shared" ca="1" si="2"/>
        <v>19.369986891869132</v>
      </c>
      <c r="M188" s="180">
        <f t="shared" ca="1" si="2"/>
        <v>19.525717991583434</v>
      </c>
      <c r="N188" s="180">
        <f t="shared" ca="1" si="2"/>
        <v>19.820723082855579</v>
      </c>
      <c r="O188" s="180">
        <f t="shared" ca="1" si="2"/>
        <v>19.688690313851723</v>
      </c>
      <c r="Q188" s="5"/>
    </row>
    <row r="189" spans="1:17" s="53" customFormat="1">
      <c r="A189" s="53" t="s">
        <v>151</v>
      </c>
      <c r="B189" s="53" t="s">
        <v>69</v>
      </c>
      <c r="C189" s="51"/>
      <c r="D189" s="55" t="s">
        <v>30</v>
      </c>
      <c r="E189" s="52" t="s">
        <v>58</v>
      </c>
      <c r="F189" s="164"/>
      <c r="G189" s="164"/>
      <c r="H189" s="164"/>
      <c r="J189" s="227"/>
      <c r="K189" s="489">
        <f t="shared" ca="1" si="2"/>
        <v>16.803704352522445</v>
      </c>
      <c r="L189" s="180">
        <f t="shared" ca="1" si="2"/>
        <v>17.142843634078627</v>
      </c>
      <c r="M189" s="180">
        <f t="shared" ca="1" si="2"/>
        <v>17.485408607872554</v>
      </c>
      <c r="N189" s="180">
        <f t="shared" ca="1" si="2"/>
        <v>17.736254042461631</v>
      </c>
      <c r="O189" s="180">
        <f t="shared" ca="1" si="2"/>
        <v>17.998197356472122</v>
      </c>
      <c r="Q189" s="5"/>
    </row>
    <row r="190" spans="1:17" s="53" customFormat="1">
      <c r="A190" s="53" t="s">
        <v>151</v>
      </c>
      <c r="B190" s="53" t="s">
        <v>69</v>
      </c>
      <c r="C190" s="51"/>
      <c r="D190" s="55" t="s">
        <v>30</v>
      </c>
      <c r="E190" s="52" t="s">
        <v>59</v>
      </c>
      <c r="F190" s="164"/>
      <c r="G190" s="164"/>
      <c r="H190" s="164"/>
      <c r="I190" s="164"/>
      <c r="J190" s="227"/>
      <c r="K190" s="489">
        <f t="shared" ca="1" si="2"/>
        <v>16.667117855746532</v>
      </c>
      <c r="L190" s="180">
        <f t="shared" ca="1" si="2"/>
        <v>16.616506356792708</v>
      </c>
      <c r="M190" s="180">
        <f t="shared" ca="1" si="2"/>
        <v>17.28457971585199</v>
      </c>
      <c r="N190" s="180">
        <f t="shared" ca="1" si="2"/>
        <v>17.140389681533485</v>
      </c>
      <c r="O190" s="180">
        <f t="shared" ca="1" si="2"/>
        <v>16.757529196646342</v>
      </c>
      <c r="Q190" s="5"/>
    </row>
    <row r="191" spans="1:17" s="53" customFormat="1">
      <c r="C191" s="51"/>
      <c r="D191" s="54"/>
      <c r="E191" s="52"/>
      <c r="F191" s="164"/>
      <c r="G191" s="164"/>
      <c r="H191" s="164"/>
      <c r="I191" s="164"/>
      <c r="J191" s="227"/>
      <c r="K191" s="485"/>
      <c r="L191" s="154"/>
      <c r="M191" s="154"/>
      <c r="N191" s="154"/>
      <c r="O191" s="154"/>
      <c r="Q191" s="5"/>
    </row>
    <row r="192" spans="1:17" s="53" customFormat="1">
      <c r="A192" s="27"/>
      <c r="B192" s="28"/>
      <c r="C192" s="29"/>
      <c r="D192" s="30"/>
      <c r="E192" s="28" t="s">
        <v>464</v>
      </c>
      <c r="F192" s="28"/>
      <c r="G192" s="28"/>
      <c r="H192" s="28"/>
      <c r="I192" s="31"/>
      <c r="J192" s="472"/>
      <c r="K192" s="480"/>
      <c r="L192" s="31"/>
      <c r="M192" s="31"/>
      <c r="N192" s="31"/>
      <c r="O192" s="31"/>
      <c r="Q192" s="5"/>
    </row>
    <row r="193" spans="1:17" s="53" customFormat="1">
      <c r="A193" s="53" t="s">
        <v>155</v>
      </c>
      <c r="B193" s="53" t="s">
        <v>69</v>
      </c>
      <c r="C193" s="51"/>
      <c r="D193" s="55" t="s">
        <v>30</v>
      </c>
      <c r="E193" s="52" t="s">
        <v>31</v>
      </c>
      <c r="F193" s="158"/>
      <c r="G193" s="158"/>
      <c r="H193" s="158"/>
      <c r="I193" s="158"/>
      <c r="J193" s="226"/>
      <c r="K193" s="490">
        <f>IF(K9=0,0,INDEX(ANH,ROW(Input!B$27)-5,COLUMN()-2)/K9*1000)</f>
        <v>0.53984819997137623</v>
      </c>
      <c r="L193" s="240">
        <f>IF(L9=0,0,INDEX(ANH,ROW(Input!C$27)-5,COLUMN()-2)/L9*1000)</f>
        <v>0.53565972684627772</v>
      </c>
      <c r="M193" s="240">
        <f>IF(M9=0,0,INDEX(ANH,ROW(Input!D$27)-5,COLUMN()-2)/M9*1000)</f>
        <v>0.53124058240072425</v>
      </c>
      <c r="N193" s="240">
        <f>IF(N9=0,0,INDEX(ANH,ROW(Input!E$27)-5,COLUMN()-2)/N9*1000)</f>
        <v>0.52653230060284206</v>
      </c>
      <c r="O193" s="240">
        <f>IF(O9=0,0,INDEX(ANH,ROW(Input!F$27)-5,COLUMN()-2)/O9*1000)</f>
        <v>0.52152972962277744</v>
      </c>
      <c r="Q193" s="5"/>
    </row>
    <row r="194" spans="1:17" s="53" customFormat="1">
      <c r="A194" s="53" t="s">
        <v>155</v>
      </c>
      <c r="B194" s="53" t="s">
        <v>69</v>
      </c>
      <c r="C194" s="51"/>
      <c r="D194" s="55" t="s">
        <v>30</v>
      </c>
      <c r="E194" s="52" t="s">
        <v>32</v>
      </c>
      <c r="F194" s="164"/>
      <c r="G194" s="164"/>
      <c r="H194" s="158"/>
      <c r="I194" s="158"/>
      <c r="J194" s="226"/>
      <c r="K194" s="490">
        <f>IF(K10=0,0,INDEX(WSH,ROW(Input!B$27)-5,COLUMN()-2)/K10*1000)</f>
        <v>5.8331603972053543</v>
      </c>
      <c r="L194" s="240">
        <f>IF(L10=0,0,INDEX(WSH,ROW(Input!C$27)-5,COLUMN()-2)/L10*1000)</f>
        <v>5.518375672599972</v>
      </c>
      <c r="M194" s="240">
        <f>IF(M10=0,0,INDEX(WSH,ROW(Input!D$27)-5,COLUMN()-2)/M10*1000)</f>
        <v>5.2185768681937539</v>
      </c>
      <c r="N194" s="240">
        <f>IF(N10=0,0,INDEX(WSH,ROW(Input!E$27)-5,COLUMN()-2)/N10*1000)</f>
        <v>4.9343117729513208</v>
      </c>
      <c r="O194" s="240">
        <f>IF(O10=0,0,INDEX(WSH,ROW(Input!F$27)-5,COLUMN()-2)/O10*1000)</f>
        <v>4.6644369046860277</v>
      </c>
      <c r="Q194" s="5"/>
    </row>
    <row r="195" spans="1:17" s="53" customFormat="1">
      <c r="A195" s="53" t="s">
        <v>155</v>
      </c>
      <c r="B195" s="53" t="s">
        <v>69</v>
      </c>
      <c r="C195" s="51"/>
      <c r="D195" s="55" t="s">
        <v>30</v>
      </c>
      <c r="E195" s="52" t="s">
        <v>33</v>
      </c>
      <c r="F195" s="164"/>
      <c r="G195" s="164"/>
      <c r="H195" s="158"/>
      <c r="I195" s="158"/>
      <c r="J195" s="226"/>
      <c r="K195" s="490">
        <f>IF(K11=0,0,INDEX(NES,ROW(Input!B$27)-5,COLUMN()-2)/K11*1000)</f>
        <v>1.6778840195910116</v>
      </c>
      <c r="L195" s="240">
        <f>IF(L11=0,0,INDEX(NES,ROW(Input!C$27)-5,COLUMN()-2)/L11*1000)</f>
        <v>1.6686364509857972</v>
      </c>
      <c r="M195" s="240">
        <f>IF(M11=0,0,INDEX(NES,ROW(Input!D$27)-5,COLUMN()-2)/M11*1000)</f>
        <v>1.6593059421838021</v>
      </c>
      <c r="N195" s="240">
        <f>IF(N11=0,0,INDEX(NES,ROW(Input!E$27)-5,COLUMN()-2)/N11*1000)</f>
        <v>1.6498825457733965</v>
      </c>
      <c r="O195" s="240">
        <f>IF(O11=0,0,INDEX(NES,ROW(Input!F$27)-5,COLUMN()-2)/O11*1000)</f>
        <v>1.6402990984999422</v>
      </c>
      <c r="Q195" s="5"/>
    </row>
    <row r="196" spans="1:17" s="53" customFormat="1">
      <c r="A196" s="53" t="s">
        <v>155</v>
      </c>
      <c r="B196" s="53" t="s">
        <v>69</v>
      </c>
      <c r="C196" s="51"/>
      <c r="D196" s="55" t="s">
        <v>30</v>
      </c>
      <c r="E196" s="52" t="s">
        <v>46</v>
      </c>
      <c r="F196" s="164"/>
      <c r="G196" s="164"/>
      <c r="H196" s="158"/>
      <c r="I196" s="158"/>
      <c r="J196" s="226"/>
      <c r="K196" s="490">
        <f>IF(K12=0,0,INDEX(SVT,ROW(Input!B$27)-5,COLUMN()-2)/K12*1000)</f>
        <v>0.22178127857285054</v>
      </c>
      <c r="L196" s="240">
        <f>IF(L12=0,0,INDEX(SVT,ROW(Input!C$27)-5,COLUMN()-2)/L12*1000)</f>
        <v>0.33077035421051232</v>
      </c>
      <c r="M196" s="240">
        <f>IF(M12=0,0,INDEX(SVT,ROW(Input!D$27)-5,COLUMN()-2)/M12*1000)</f>
        <v>0.41299419722010988</v>
      </c>
      <c r="N196" s="240">
        <f>IF(N12=0,0,INDEX(SVT,ROW(Input!E$27)-5,COLUMN()-2)/N12*1000)</f>
        <v>0.45264837082878745</v>
      </c>
      <c r="O196" s="240">
        <f>IF(O12=0,0,INDEX(SVT,ROW(Input!F$27)-5,COLUMN()-2)/O12*1000)</f>
        <v>0.43644153106484324</v>
      </c>
      <c r="Q196" s="5"/>
    </row>
    <row r="197" spans="1:17" s="53" customFormat="1">
      <c r="A197" s="53" t="s">
        <v>155</v>
      </c>
      <c r="B197" s="53" t="s">
        <v>69</v>
      </c>
      <c r="C197" s="51"/>
      <c r="D197" s="55" t="s">
        <v>30</v>
      </c>
      <c r="E197" s="52" t="s">
        <v>47</v>
      </c>
      <c r="F197" s="164"/>
      <c r="G197" s="164"/>
      <c r="H197" s="158"/>
      <c r="I197" s="158"/>
      <c r="J197" s="226"/>
      <c r="K197" s="490">
        <f>IF(K13=0,0,INDEX(SWT,ROW(Input!B$27)-5,COLUMN()-2)/K13*1000)</f>
        <v>8.268173714985247</v>
      </c>
      <c r="L197" s="240">
        <f>IF(L13=0,0,INDEX(SWT,ROW(Input!C$27)-5,COLUMN()-2)/L13*1000)</f>
        <v>8.1950479473281526</v>
      </c>
      <c r="M197" s="240">
        <f>IF(M13=0,0,INDEX(SWT,ROW(Input!D$27)-5,COLUMN()-2)/M13*1000)</f>
        <v>8.1236749903454193</v>
      </c>
      <c r="N197" s="240">
        <f>IF(N13=0,0,INDEX(SWT,ROW(Input!E$27)-5,COLUMN()-2)/N13*1000)</f>
        <v>8.0554429785904116</v>
      </c>
      <c r="O197" s="240">
        <f>IF(O13=0,0,INDEX(SWT,ROW(Input!F$27)-5,COLUMN()-2)/O13*1000)</f>
        <v>7.9875224312487294</v>
      </c>
      <c r="Q197" s="5"/>
    </row>
    <row r="198" spans="1:17" s="53" customFormat="1">
      <c r="A198" s="53" t="s">
        <v>155</v>
      </c>
      <c r="B198" s="53" t="s">
        <v>69</v>
      </c>
      <c r="C198" s="51"/>
      <c r="D198" s="55" t="s">
        <v>30</v>
      </c>
      <c r="E198" s="52" t="s">
        <v>48</v>
      </c>
      <c r="F198" s="164"/>
      <c r="G198" s="164"/>
      <c r="H198" s="158"/>
      <c r="I198" s="158"/>
      <c r="J198" s="226"/>
      <c r="K198" s="490">
        <f>IF(K14=0,0,INDEX(SRN,ROW(Input!B$27)-5,COLUMN()-2)/K14*1000)</f>
        <v>0.36213240170639532</v>
      </c>
      <c r="L198" s="240">
        <f>IF(L14=0,0,INDEX(SRN,ROW(Input!C$27)-5,COLUMN()-2)/L14*1000)</f>
        <v>0.36728300466739144</v>
      </c>
      <c r="M198" s="240">
        <f>IF(M14=0,0,INDEX(SRN,ROW(Input!D$27)-5,COLUMN()-2)/M14*1000)</f>
        <v>0.37544846647630981</v>
      </c>
      <c r="N198" s="240">
        <f>IF(N14=0,0,INDEX(SRN,ROW(Input!E$27)-5,COLUMN()-2)/N14*1000)</f>
        <v>0.38676269644606437</v>
      </c>
      <c r="O198" s="240">
        <f>IF(O14=0,0,INDEX(SRN,ROW(Input!F$27)-5,COLUMN()-2)/O14*1000)</f>
        <v>0.40129095712820934</v>
      </c>
      <c r="Q198" s="5"/>
    </row>
    <row r="199" spans="1:17" s="53" customFormat="1">
      <c r="A199" s="53" t="s">
        <v>155</v>
      </c>
      <c r="B199" s="53" t="s">
        <v>69</v>
      </c>
      <c r="C199" s="51"/>
      <c r="D199" s="55" t="s">
        <v>30</v>
      </c>
      <c r="E199" s="52" t="s">
        <v>49</v>
      </c>
      <c r="F199" s="164"/>
      <c r="G199" s="164"/>
      <c r="H199" s="158"/>
      <c r="I199" s="158"/>
      <c r="J199" s="226"/>
      <c r="K199" s="490">
        <f>IF(K15=0,0,INDEX(TMS,ROW(Input!B$27)-5,COLUMN()-2)/K15*1000)</f>
        <v>0.26167545530605668</v>
      </c>
      <c r="L199" s="240">
        <f>IF(L15=0,0,INDEX(TMS,ROW(Input!C$27)-5,COLUMN()-2)/L15*1000)</f>
        <v>0.25917762508133668</v>
      </c>
      <c r="M199" s="240">
        <f>IF(M15=0,0,INDEX(TMS,ROW(Input!D$27)-5,COLUMN()-2)/M15*1000)</f>
        <v>0.25662457163871116</v>
      </c>
      <c r="N199" s="240">
        <f>IF(N15=0,0,INDEX(TMS,ROW(Input!E$27)-5,COLUMN()-2)/N15*1000)</f>
        <v>0.25411659325873348</v>
      </c>
      <c r="O199" s="240">
        <f>IF(O15=0,0,INDEX(TMS,ROW(Input!F$27)-5,COLUMN()-2)/O15*1000)</f>
        <v>0.25168870052766029</v>
      </c>
      <c r="Q199" s="5"/>
    </row>
    <row r="200" spans="1:17" s="53" customFormat="1">
      <c r="A200" s="53" t="s">
        <v>155</v>
      </c>
      <c r="B200" s="53" t="s">
        <v>69</v>
      </c>
      <c r="C200" s="51"/>
      <c r="D200" s="55" t="s">
        <v>30</v>
      </c>
      <c r="E200" s="52" t="s">
        <v>50</v>
      </c>
      <c r="F200" s="164"/>
      <c r="G200" s="164"/>
      <c r="H200" s="158"/>
      <c r="I200" s="158"/>
      <c r="J200" s="226"/>
      <c r="K200" s="490">
        <f>IF(K16=0,0,INDEX(NWT,ROW(Input!B$27)-5,COLUMN()-2)/K16*1000)</f>
        <v>5.6254558623060866</v>
      </c>
      <c r="L200" s="240">
        <f>IF(L16=0,0,INDEX(NWT,ROW(Input!C$27)-5,COLUMN()-2)/L16*1000)</f>
        <v>5.6014988874090017</v>
      </c>
      <c r="M200" s="240">
        <f>IF(M16=0,0,INDEX(NWT,ROW(Input!D$27)-5,COLUMN()-2)/M16*1000)</f>
        <v>5.5750808122727298</v>
      </c>
      <c r="N200" s="240">
        <f>IF(N16=0,0,INDEX(NWT,ROW(Input!E$27)-5,COLUMN()-2)/N16*1000)</f>
        <v>5.5459720338381073</v>
      </c>
      <c r="O200" s="240">
        <f>IF(O16=0,0,INDEX(NWT,ROW(Input!F$27)-5,COLUMN()-2)/O16*1000)</f>
        <v>5.5150771084840509</v>
      </c>
      <c r="Q200" s="5"/>
    </row>
    <row r="201" spans="1:17" s="53" customFormat="1">
      <c r="A201" s="53" t="s">
        <v>155</v>
      </c>
      <c r="B201" s="53" t="s">
        <v>69</v>
      </c>
      <c r="C201" s="51"/>
      <c r="D201" s="55" t="s">
        <v>30</v>
      </c>
      <c r="E201" s="52" t="s">
        <v>51</v>
      </c>
      <c r="F201" s="164"/>
      <c r="G201" s="164"/>
      <c r="H201" s="158"/>
      <c r="I201" s="158"/>
      <c r="J201" s="226"/>
      <c r="K201" s="490">
        <f>IF(K17=0,0,INDEX(WSX,ROW(Input!B$27)-5,COLUMN()-2)/K17*1000)</f>
        <v>1.1692893351192055</v>
      </c>
      <c r="L201" s="240">
        <f>IF(L17=0,0,INDEX(WSX,ROW(Input!C$27)-5,COLUMN()-2)/L17*1000)</f>
        <v>1.6299886859582886</v>
      </c>
      <c r="M201" s="240">
        <f>IF(M17=0,0,INDEX(WSX,ROW(Input!D$27)-5,COLUMN()-2)/M17*1000)</f>
        <v>2.114112073070626</v>
      </c>
      <c r="N201" s="240">
        <f>IF(N17=0,0,INDEX(WSX,ROW(Input!E$27)-5,COLUMN()-2)/N17*1000)</f>
        <v>2.6204911738853305</v>
      </c>
      <c r="O201" s="240">
        <f>IF(O17=0,0,INDEX(WSX,ROW(Input!F$27)-5,COLUMN()-2)/O17*1000)</f>
        <v>3.1479953792483841</v>
      </c>
      <c r="Q201" s="5"/>
    </row>
    <row r="202" spans="1:17" s="53" customFormat="1">
      <c r="A202" s="53" t="s">
        <v>155</v>
      </c>
      <c r="B202" s="53" t="s">
        <v>69</v>
      </c>
      <c r="C202" s="51"/>
      <c r="D202" s="55" t="s">
        <v>30</v>
      </c>
      <c r="E202" s="52" t="s">
        <v>52</v>
      </c>
      <c r="F202" s="164"/>
      <c r="G202" s="164"/>
      <c r="H202" s="158"/>
      <c r="I202" s="158"/>
      <c r="J202" s="226"/>
      <c r="K202" s="490">
        <f>IF(K18=0,0,INDEX(YKY,ROW(Input!B$27)-5,COLUMN()-2)/K18*1000)</f>
        <v>1.0315667614754331</v>
      </c>
      <c r="L202" s="240">
        <f>IF(L18=0,0,INDEX(YKY,ROW(Input!C$27)-5,COLUMN()-2)/L18*1000)</f>
        <v>1.3675339441358014</v>
      </c>
      <c r="M202" s="240">
        <f>IF(M18=0,0,INDEX(YKY,ROW(Input!D$27)-5,COLUMN()-2)/M18*1000)</f>
        <v>1.7101583597860177</v>
      </c>
      <c r="N202" s="240">
        <f>IF(N18=0,0,INDEX(YKY,ROW(Input!E$27)-5,COLUMN()-2)/N18*1000)</f>
        <v>2.0603793783695807</v>
      </c>
      <c r="O202" s="240">
        <f>IF(O18=0,0,INDEX(YKY,ROW(Input!F$27)-5,COLUMN()-2)/O18*1000)</f>
        <v>2.4166270927033775</v>
      </c>
      <c r="Q202" s="5"/>
    </row>
    <row r="203" spans="1:17" s="53" customFormat="1">
      <c r="A203" s="53" t="s">
        <v>155</v>
      </c>
      <c r="B203" s="53" t="s">
        <v>69</v>
      </c>
      <c r="C203" s="51"/>
      <c r="D203" s="55" t="s">
        <v>30</v>
      </c>
      <c r="E203" s="52" t="s">
        <v>53</v>
      </c>
      <c r="F203" s="164"/>
      <c r="G203" s="164"/>
      <c r="H203" s="158"/>
      <c r="I203" s="158"/>
      <c r="J203" s="226"/>
      <c r="K203" s="490">
        <f>IF(K19=0,0,INDEX(AFW,ROW(Input!B$27)-5,COLUMN()-2)/K19*1000)</f>
        <v>8.8202237281788429E-2</v>
      </c>
      <c r="L203" s="240">
        <f>IF(L19=0,0,INDEX(AFW,ROW(Input!C$27)-5,COLUMN()-2)/L19*1000)</f>
        <v>8.7650319071498603E-2</v>
      </c>
      <c r="M203" s="240">
        <f>IF(M19=0,0,INDEX(AFW,ROW(Input!D$27)-5,COLUMN()-2)/M19*1000)</f>
        <v>8.7117657856767353E-2</v>
      </c>
      <c r="N203" s="240">
        <f>IF(N19=0,0,INDEX(AFW,ROW(Input!E$27)-5,COLUMN()-2)/N19*1000)</f>
        <v>8.6609209646175189E-2</v>
      </c>
      <c r="O203" s="240">
        <f>IF(O19=0,0,INDEX(AFW,ROW(Input!F$27)-5,COLUMN()-2)/O19*1000)</f>
        <v>8.6104314440857574E-2</v>
      </c>
      <c r="Q203" s="5"/>
    </row>
    <row r="204" spans="1:17" s="53" customFormat="1">
      <c r="A204" s="53" t="s">
        <v>155</v>
      </c>
      <c r="B204" s="53" t="s">
        <v>69</v>
      </c>
      <c r="C204" s="51"/>
      <c r="D204" s="55" t="s">
        <v>30</v>
      </c>
      <c r="E204" s="52" t="s">
        <v>54</v>
      </c>
      <c r="F204" s="164"/>
      <c r="G204" s="164"/>
      <c r="H204" s="158"/>
      <c r="I204" s="158"/>
      <c r="J204" s="226"/>
      <c r="K204" s="490">
        <f>IF(K20=0,0,INDEX(BRL,ROW(Input!B$27)-5,COLUMN()-2)/K20*1000)</f>
        <v>1.3391364405461295</v>
      </c>
      <c r="L204" s="240">
        <f>IF(L20=0,0,INDEX(BRL,ROW(Input!C$27)-5,COLUMN()-2)/L20*1000)</f>
        <v>1.7178176649905648</v>
      </c>
      <c r="M204" s="240">
        <f>IF(M20=0,0,INDEX(BRL,ROW(Input!D$27)-5,COLUMN()-2)/M20*1000)</f>
        <v>2.1174690598023793</v>
      </c>
      <c r="N204" s="240">
        <f>IF(N20=0,0,INDEX(BRL,ROW(Input!E$27)-5,COLUMN()-2)/N20*1000)</f>
        <v>2.5375251920281321</v>
      </c>
      <c r="O204" s="240">
        <f>IF(O20=0,0,INDEX(BRL,ROW(Input!F$27)-5,COLUMN()-2)/O20*1000)</f>
        <v>2.9771054217886146</v>
      </c>
      <c r="Q204" s="5"/>
    </row>
    <row r="205" spans="1:17" s="53" customFormat="1">
      <c r="A205" s="53" t="s">
        <v>155</v>
      </c>
      <c r="B205" s="53" t="s">
        <v>69</v>
      </c>
      <c r="C205" s="51"/>
      <c r="D205" s="55" t="s">
        <v>30</v>
      </c>
      <c r="E205" s="52" t="s">
        <v>66</v>
      </c>
      <c r="F205" s="164"/>
      <c r="G205" s="164"/>
      <c r="H205" s="158"/>
      <c r="I205" s="158"/>
      <c r="J205" s="226"/>
      <c r="K205" s="490">
        <f>IF(K21=0,0,INDEX(SSC,ROW(Input!B$27)-5,COLUMN()-2)/K21*1000)</f>
        <v>0.45253750380040619</v>
      </c>
      <c r="L205" s="240">
        <f>IF(L21=0,0,INDEX(SSC,ROW(Input!C$27)-5,COLUMN()-2)/L21*1000)</f>
        <v>0.44998442745016232</v>
      </c>
      <c r="M205" s="240">
        <f>IF(M21=0,0,INDEX(SSC,ROW(Input!D$27)-5,COLUMN()-2)/M21*1000)</f>
        <v>0.44734259190497383</v>
      </c>
      <c r="N205" s="240">
        <f>IF(N21=0,0,INDEX(SSC,ROW(Input!E$27)-5,COLUMN()-2)/N21*1000)</f>
        <v>0.44462854528819556</v>
      </c>
      <c r="O205" s="240">
        <f>IF(O21=0,0,INDEX(SSC,ROW(Input!F$27)-5,COLUMN()-2)/O21*1000)</f>
        <v>0.44188334753041469</v>
      </c>
      <c r="Q205" s="5"/>
    </row>
    <row r="206" spans="1:17" s="53" customFormat="1">
      <c r="A206" s="53" t="s">
        <v>155</v>
      </c>
      <c r="B206" s="53" t="s">
        <v>69</v>
      </c>
      <c r="C206" s="51"/>
      <c r="D206" s="55" t="s">
        <v>30</v>
      </c>
      <c r="E206" s="52" t="s">
        <v>55</v>
      </c>
      <c r="F206" s="164"/>
      <c r="G206" s="164"/>
      <c r="H206" s="158"/>
      <c r="I206" s="158"/>
      <c r="J206" s="226"/>
      <c r="K206" s="490">
        <f>IF(K22=0,0,INDEX(DVW,ROW(Input!B$27)-5,COLUMN()-2)/K22*1000)</f>
        <v>0.32769231149917555</v>
      </c>
      <c r="L206" s="240">
        <f>IF(L22=0,0,INDEX(DVW,ROW(Input!C$27)-5,COLUMN()-2)/L22*1000)</f>
        <v>0.32508139406409425</v>
      </c>
      <c r="M206" s="240">
        <f>IF(M22=0,0,INDEX(DVW,ROW(Input!D$27)-5,COLUMN()-2)/M22*1000)</f>
        <v>0.32251175318495101</v>
      </c>
      <c r="N206" s="240">
        <f>IF(N22=0,0,INDEX(DVW,ROW(Input!E$27)-5,COLUMN()-2)/N22*1000)</f>
        <v>0.31998241771335162</v>
      </c>
      <c r="O206" s="240">
        <f>IF(O22=0,0,INDEX(DVW,ROW(Input!F$27)-5,COLUMN()-2)/O22*1000)</f>
        <v>0.31748982403849291</v>
      </c>
      <c r="Q206" s="5"/>
    </row>
    <row r="207" spans="1:17" s="53" customFormat="1">
      <c r="A207" s="53" t="s">
        <v>155</v>
      </c>
      <c r="B207" s="53" t="s">
        <v>69</v>
      </c>
      <c r="C207" s="51"/>
      <c r="D207" s="55" t="s">
        <v>30</v>
      </c>
      <c r="E207" s="52" t="s">
        <v>56</v>
      </c>
      <c r="F207" s="164"/>
      <c r="G207" s="164"/>
      <c r="H207" s="158"/>
      <c r="I207" s="158"/>
      <c r="J207" s="226"/>
      <c r="K207" s="490">
        <f>IF(K23=0,0,INDEX(PRT,ROW(Input!B$27)-5,COLUMN()-2)/K23*1000)</f>
        <v>0.21169529758806174</v>
      </c>
      <c r="L207" s="240">
        <f>IF(L23=0,0,INDEX(PRT,ROW(Input!C$27)-5,COLUMN()-2)/L23*1000)</f>
        <v>0.31690262133581348</v>
      </c>
      <c r="M207" s="240">
        <f>IF(M23=0,0,INDEX(PRT,ROW(Input!D$27)-5,COLUMN()-2)/M23*1000)</f>
        <v>0.42004897156302617</v>
      </c>
      <c r="N207" s="240">
        <f>IF(N23=0,0,INDEX(PRT,ROW(Input!E$27)-5,COLUMN()-2)/N23*1000)</f>
        <v>0.52395665019301885</v>
      </c>
      <c r="O207" s="240">
        <f>IF(O23=0,0,INDEX(PRT,ROW(Input!F$27)-5,COLUMN()-2)/O23*1000)</f>
        <v>0.62591209114886659</v>
      </c>
      <c r="Q207" s="5"/>
    </row>
    <row r="208" spans="1:17" s="53" customFormat="1">
      <c r="A208" s="53" t="s">
        <v>155</v>
      </c>
      <c r="B208" s="53" t="s">
        <v>69</v>
      </c>
      <c r="C208" s="51"/>
      <c r="D208" s="55" t="s">
        <v>30</v>
      </c>
      <c r="E208" s="52" t="s">
        <v>57</v>
      </c>
      <c r="F208" s="164"/>
      <c r="G208" s="164"/>
      <c r="H208" s="158"/>
      <c r="I208" s="158"/>
      <c r="J208" s="226"/>
      <c r="K208" s="490">
        <f>IF(K24=0,0,INDEX(SBW,ROW(Input!B$27)-5,COLUMN()-2)/K24*1000)</f>
        <v>0.43780535297059625</v>
      </c>
      <c r="L208" s="240">
        <f>IF(L24=0,0,INDEX(SBW,ROW(Input!C$27)-5,COLUMN()-2)/L24*1000)</f>
        <v>0.435290003017337</v>
      </c>
      <c r="M208" s="240">
        <f>IF(M24=0,0,INDEX(SBW,ROW(Input!D$27)-5,COLUMN()-2)/M24*1000)</f>
        <v>0.43250053397145238</v>
      </c>
      <c r="N208" s="240">
        <f>IF(N24=0,0,INDEX(SBW,ROW(Input!E$27)-5,COLUMN()-2)/N24*1000)</f>
        <v>0.429966872521095</v>
      </c>
      <c r="O208" s="240">
        <f>IF(O24=0,0,INDEX(SBW,ROW(Input!F$27)-5,COLUMN()-2)/O24*1000)</f>
        <v>0.42758946205087189</v>
      </c>
      <c r="Q208" s="5"/>
    </row>
    <row r="209" spans="1:17" s="53" customFormat="1">
      <c r="A209" s="53" t="s">
        <v>155</v>
      </c>
      <c r="B209" s="53" t="s">
        <v>69</v>
      </c>
      <c r="C209" s="51"/>
      <c r="D209" s="55" t="s">
        <v>30</v>
      </c>
      <c r="E209" s="52" t="s">
        <v>58</v>
      </c>
      <c r="F209" s="164"/>
      <c r="G209" s="164"/>
      <c r="H209" s="158"/>
      <c r="I209" s="158"/>
      <c r="J209" s="226"/>
      <c r="K209" s="490">
        <f>IF(K25=0,0,INDEX(SEW,ROW(Input!B$27)-5,COLUMN()-2)/K25*1000)</f>
        <v>0.73630942992808102</v>
      </c>
      <c r="L209" s="240">
        <f>IF(L25=0,0,INDEX(SEW,ROW(Input!C$27)-5,COLUMN()-2)/L25*1000)</f>
        <v>0.7292627556077268</v>
      </c>
      <c r="M209" s="240">
        <f>IF(M25=0,0,INDEX(SEW,ROW(Input!D$27)-5,COLUMN()-2)/M25*1000)</f>
        <v>0.72209125297133225</v>
      </c>
      <c r="N209" s="240">
        <f>IF(N25=0,0,INDEX(SEW,ROW(Input!E$27)-5,COLUMN()-2)/N25*1000)</f>
        <v>0.71555372533474926</v>
      </c>
      <c r="O209" s="240">
        <f>IF(O25=0,0,INDEX(SEW,ROW(Input!F$27)-5,COLUMN()-2)/O25*1000)</f>
        <v>0.7091709293934565</v>
      </c>
      <c r="Q209" s="5"/>
    </row>
    <row r="210" spans="1:17" s="53" customFormat="1">
      <c r="A210" s="53" t="s">
        <v>155</v>
      </c>
      <c r="B210" s="53" t="s">
        <v>69</v>
      </c>
      <c r="C210" s="51"/>
      <c r="D210" s="55" t="s">
        <v>30</v>
      </c>
      <c r="E210" s="52" t="s">
        <v>59</v>
      </c>
      <c r="F210" s="164"/>
      <c r="G210" s="164"/>
      <c r="H210" s="158"/>
      <c r="I210" s="158"/>
      <c r="J210" s="226"/>
      <c r="K210" s="490">
        <f>IF(K26=0,0,INDEX(SES,ROW(Input!B$27)-5,COLUMN()-2)/K26*1000)</f>
        <v>3.0665197361929505E-2</v>
      </c>
      <c r="L210" s="240">
        <f>IF(L26=0,0,INDEX(SES,ROW(Input!C$27)-5,COLUMN()-2)/L26*1000)</f>
        <v>3.0390508142607166E-2</v>
      </c>
      <c r="M210" s="240">
        <f>IF(M26=0,0,INDEX(SES,ROW(Input!D$27)-5,COLUMN()-2)/M26*1000)</f>
        <v>3.0123381681696423E-2</v>
      </c>
      <c r="N210" s="240">
        <f>IF(N26=0,0,INDEX(SES,ROW(Input!E$27)-5,COLUMN()-2)/N26*1000)</f>
        <v>2.9852452642077261E-2</v>
      </c>
      <c r="O210" s="240">
        <f>IF(O26=0,0,INDEX(SES,ROW(Input!F$27)-5,COLUMN()-2)/O26*1000)</f>
        <v>2.9585874160221255E-2</v>
      </c>
      <c r="Q210" s="5"/>
    </row>
    <row r="211" spans="1:17" s="53" customFormat="1">
      <c r="C211" s="51"/>
      <c r="D211" s="54"/>
      <c r="E211" s="52"/>
      <c r="F211" s="164"/>
      <c r="G211" s="164"/>
      <c r="H211" s="164"/>
      <c r="I211" s="164"/>
      <c r="J211" s="227"/>
      <c r="K211" s="485"/>
      <c r="L211" s="154"/>
      <c r="M211" s="154"/>
      <c r="N211" s="154"/>
      <c r="O211" s="154"/>
      <c r="Q211" s="5"/>
    </row>
    <row r="212" spans="1:17">
      <c r="A212" s="27"/>
      <c r="B212" s="28"/>
      <c r="C212" s="29"/>
      <c r="D212" s="30"/>
      <c r="E212" s="28" t="s">
        <v>465</v>
      </c>
      <c r="F212" s="28"/>
      <c r="G212" s="28"/>
      <c r="H212" s="28"/>
      <c r="I212" s="31"/>
      <c r="J212" s="472"/>
      <c r="K212" s="480"/>
      <c r="L212" s="31"/>
      <c r="M212" s="31"/>
      <c r="N212" s="31"/>
      <c r="O212" s="31"/>
      <c r="Q212" s="5"/>
    </row>
    <row r="213" spans="1:17" s="53" customFormat="1">
      <c r="A213" s="53" t="s">
        <v>141</v>
      </c>
      <c r="B213" s="53" t="s">
        <v>69</v>
      </c>
      <c r="C213" s="51"/>
      <c r="D213" s="55" t="s">
        <v>30</v>
      </c>
      <c r="E213" s="52" t="s">
        <v>31</v>
      </c>
      <c r="F213" s="164"/>
      <c r="G213" s="164"/>
      <c r="H213" s="164"/>
      <c r="I213" s="164"/>
      <c r="J213" s="227"/>
      <c r="K213" s="489">
        <f t="shared" ref="K213:O222" ca="1" si="3">K193+K173</f>
        <v>19.677260963836904</v>
      </c>
      <c r="L213" s="180">
        <f t="shared" ca="1" si="3"/>
        <v>20.244623115283289</v>
      </c>
      <c r="M213" s="180">
        <f t="shared" ca="1" si="3"/>
        <v>20.593615852115768</v>
      </c>
      <c r="N213" s="180">
        <f t="shared" ca="1" si="3"/>
        <v>20.747657600929873</v>
      </c>
      <c r="O213" s="180">
        <f t="shared" ca="1" si="3"/>
        <v>20.890617760281941</v>
      </c>
      <c r="Q213" s="5"/>
    </row>
    <row r="214" spans="1:17" s="53" customFormat="1">
      <c r="A214" s="53" t="s">
        <v>141</v>
      </c>
      <c r="B214" s="53" t="s">
        <v>69</v>
      </c>
      <c r="C214" s="51"/>
      <c r="D214" s="55" t="s">
        <v>30</v>
      </c>
      <c r="E214" s="52" t="s">
        <v>32</v>
      </c>
      <c r="F214" s="164"/>
      <c r="G214" s="164"/>
      <c r="H214" s="164"/>
      <c r="I214" s="164"/>
      <c r="J214" s="227"/>
      <c r="K214" s="489">
        <f t="shared" ca="1" si="3"/>
        <v>27.461587447808238</v>
      </c>
      <c r="L214" s="180">
        <f t="shared" ca="1" si="3"/>
        <v>26.485648691099559</v>
      </c>
      <c r="M214" s="180">
        <f t="shared" ca="1" si="3"/>
        <v>25.563106244419838</v>
      </c>
      <c r="N214" s="180">
        <f t="shared" ca="1" si="3"/>
        <v>24.592173340461585</v>
      </c>
      <c r="O214" s="180">
        <f t="shared" ca="1" si="3"/>
        <v>24.335332211274139</v>
      </c>
      <c r="Q214" s="5"/>
    </row>
    <row r="215" spans="1:17" s="53" customFormat="1">
      <c r="A215" s="53" t="s">
        <v>141</v>
      </c>
      <c r="B215" s="53" t="s">
        <v>69</v>
      </c>
      <c r="C215" s="51"/>
      <c r="D215" s="55" t="s">
        <v>30</v>
      </c>
      <c r="E215" s="52" t="s">
        <v>33</v>
      </c>
      <c r="F215" s="164"/>
      <c r="G215" s="164"/>
      <c r="H215" s="164"/>
      <c r="I215" s="164"/>
      <c r="J215" s="227"/>
      <c r="K215" s="489">
        <f t="shared" ca="1" si="3"/>
        <v>22.101456925184344</v>
      </c>
      <c r="L215" s="180">
        <f t="shared" ca="1" si="3"/>
        <v>22.303298293808485</v>
      </c>
      <c r="M215" s="180">
        <f t="shared" ca="1" si="3"/>
        <v>22.387205789307693</v>
      </c>
      <c r="N215" s="180">
        <f t="shared" ca="1" si="3"/>
        <v>22.450452811596104</v>
      </c>
      <c r="O215" s="180">
        <f t="shared" ca="1" si="3"/>
        <v>22.502530231091086</v>
      </c>
      <c r="Q215" s="5"/>
    </row>
    <row r="216" spans="1:17" s="53" customFormat="1">
      <c r="A216" s="53" t="s">
        <v>141</v>
      </c>
      <c r="B216" s="53" t="s">
        <v>69</v>
      </c>
      <c r="C216" s="51"/>
      <c r="D216" s="55" t="s">
        <v>30</v>
      </c>
      <c r="E216" s="52" t="s">
        <v>46</v>
      </c>
      <c r="F216" s="164"/>
      <c r="G216" s="164"/>
      <c r="H216" s="164"/>
      <c r="I216" s="164"/>
      <c r="J216" s="227"/>
      <c r="K216" s="489">
        <f t="shared" ca="1" si="3"/>
        <v>19.532958140882293</v>
      </c>
      <c r="L216" s="180">
        <f t="shared" ca="1" si="3"/>
        <v>20.20754150714788</v>
      </c>
      <c r="M216" s="180">
        <f t="shared" ca="1" si="3"/>
        <v>20.830027698148548</v>
      </c>
      <c r="N216" s="180">
        <f t="shared" ca="1" si="3"/>
        <v>21.081113241684431</v>
      </c>
      <c r="O216" s="180">
        <f t="shared" ca="1" si="3"/>
        <v>21.208872646561563</v>
      </c>
      <c r="Q216" s="5"/>
    </row>
    <row r="217" spans="1:17" s="53" customFormat="1">
      <c r="A217" s="53" t="s">
        <v>141</v>
      </c>
      <c r="B217" s="53" t="s">
        <v>69</v>
      </c>
      <c r="C217" s="51"/>
      <c r="D217" s="55" t="s">
        <v>30</v>
      </c>
      <c r="E217" s="52" t="s">
        <v>47</v>
      </c>
      <c r="F217" s="164"/>
      <c r="G217" s="164"/>
      <c r="H217" s="164"/>
      <c r="I217" s="164"/>
      <c r="J217" s="227"/>
      <c r="K217" s="489">
        <f t="shared" ca="1" si="3"/>
        <v>28.548536746120199</v>
      </c>
      <c r="L217" s="180">
        <f t="shared" ca="1" si="3"/>
        <v>28.675007593318483</v>
      </c>
      <c r="M217" s="180">
        <f t="shared" ca="1" si="3"/>
        <v>28.73195238667315</v>
      </c>
      <c r="N217" s="180">
        <f t="shared" ca="1" si="3"/>
        <v>28.4895392916685</v>
      </c>
      <c r="O217" s="180">
        <f t="shared" ca="1" si="3"/>
        <v>28.670897038120557</v>
      </c>
      <c r="Q217" s="5"/>
    </row>
    <row r="218" spans="1:17" s="53" customFormat="1">
      <c r="A218" s="53" t="s">
        <v>141</v>
      </c>
      <c r="B218" s="53" t="s">
        <v>69</v>
      </c>
      <c r="C218" s="51"/>
      <c r="D218" s="55" t="s">
        <v>30</v>
      </c>
      <c r="E218" s="52" t="s">
        <v>48</v>
      </c>
      <c r="F218" s="164"/>
      <c r="G218" s="164"/>
      <c r="H218" s="164"/>
      <c r="I218" s="164"/>
      <c r="J218" s="227"/>
      <c r="K218" s="489">
        <f t="shared" ca="1" si="3"/>
        <v>24.266513043456882</v>
      </c>
      <c r="L218" s="180">
        <f t="shared" ca="1" si="3"/>
        <v>23.594545444664334</v>
      </c>
      <c r="M218" s="180">
        <f t="shared" ca="1" si="3"/>
        <v>21.632036656278544</v>
      </c>
      <c r="N218" s="180">
        <f t="shared" ca="1" si="3"/>
        <v>19.630900345725003</v>
      </c>
      <c r="O218" s="180">
        <f t="shared" ca="1" si="3"/>
        <v>20.06961631399993</v>
      </c>
      <c r="Q218" s="5"/>
    </row>
    <row r="219" spans="1:17" s="53" customFormat="1">
      <c r="A219" s="53" t="s">
        <v>141</v>
      </c>
      <c r="B219" s="53" t="s">
        <v>69</v>
      </c>
      <c r="C219" s="51"/>
      <c r="D219" s="55" t="s">
        <v>30</v>
      </c>
      <c r="E219" s="52" t="s">
        <v>49</v>
      </c>
      <c r="F219" s="164"/>
      <c r="G219" s="164"/>
      <c r="H219" s="164"/>
      <c r="I219" s="164"/>
      <c r="J219" s="227"/>
      <c r="K219" s="489">
        <f t="shared" ca="1" si="3"/>
        <v>20.735627401299965</v>
      </c>
      <c r="L219" s="180">
        <f t="shared" ca="1" si="3"/>
        <v>20.747846346020747</v>
      </c>
      <c r="M219" s="180">
        <f t="shared" ca="1" si="3"/>
        <v>21.114471137511412</v>
      </c>
      <c r="N219" s="180">
        <f t="shared" ca="1" si="3"/>
        <v>21.306893995130356</v>
      </c>
      <c r="O219" s="180">
        <f t="shared" ca="1" si="3"/>
        <v>21.613590228716141</v>
      </c>
      <c r="Q219" s="5"/>
    </row>
    <row r="220" spans="1:17" s="53" customFormat="1">
      <c r="A220" s="53" t="s">
        <v>141</v>
      </c>
      <c r="B220" s="53" t="s">
        <v>69</v>
      </c>
      <c r="C220" s="51"/>
      <c r="D220" s="55" t="s">
        <v>30</v>
      </c>
      <c r="E220" s="52" t="s">
        <v>50</v>
      </c>
      <c r="F220" s="164"/>
      <c r="G220" s="164"/>
      <c r="H220" s="164"/>
      <c r="I220" s="164"/>
      <c r="J220" s="227"/>
      <c r="K220" s="489">
        <f t="shared" ca="1" si="3"/>
        <v>29.854776521890596</v>
      </c>
      <c r="L220" s="180">
        <f t="shared" ca="1" si="3"/>
        <v>28.30893186884477</v>
      </c>
      <c r="M220" s="180">
        <f t="shared" ca="1" si="3"/>
        <v>26.539104411740741</v>
      </c>
      <c r="N220" s="180">
        <f t="shared" ca="1" si="3"/>
        <v>25.114029153459995</v>
      </c>
      <c r="O220" s="180">
        <f t="shared" ca="1" si="3"/>
        <v>25.555839322333448</v>
      </c>
      <c r="Q220" s="5"/>
    </row>
    <row r="221" spans="1:17" s="53" customFormat="1">
      <c r="A221" s="53" t="s">
        <v>141</v>
      </c>
      <c r="B221" s="53" t="s">
        <v>69</v>
      </c>
      <c r="C221" s="51"/>
      <c r="D221" s="55" t="s">
        <v>30</v>
      </c>
      <c r="E221" s="52" t="s">
        <v>51</v>
      </c>
      <c r="F221" s="164"/>
      <c r="G221" s="164"/>
      <c r="H221" s="164"/>
      <c r="I221" s="164"/>
      <c r="J221" s="227"/>
      <c r="K221" s="489">
        <f t="shared" ca="1" si="3"/>
        <v>19.576183166731937</v>
      </c>
      <c r="L221" s="180">
        <f t="shared" ca="1" si="3"/>
        <v>20.020489303953717</v>
      </c>
      <c r="M221" s="180">
        <f t="shared" ca="1" si="3"/>
        <v>20.604249886212031</v>
      </c>
      <c r="N221" s="180">
        <f t="shared" ca="1" si="3"/>
        <v>21.09838573485543</v>
      </c>
      <c r="O221" s="180">
        <f t="shared" ca="1" si="3"/>
        <v>21.593989148119011</v>
      </c>
      <c r="Q221" s="5"/>
    </row>
    <row r="222" spans="1:17" s="53" customFormat="1">
      <c r="A222" s="53" t="s">
        <v>141</v>
      </c>
      <c r="B222" s="53" t="s">
        <v>69</v>
      </c>
      <c r="C222" s="51"/>
      <c r="D222" s="55" t="s">
        <v>30</v>
      </c>
      <c r="E222" s="52" t="s">
        <v>52</v>
      </c>
      <c r="F222" s="164"/>
      <c r="G222" s="164"/>
      <c r="H222" s="164"/>
      <c r="I222" s="164"/>
      <c r="J222" s="227"/>
      <c r="K222" s="489">
        <f t="shared" ca="1" si="3"/>
        <v>16.920410990440981</v>
      </c>
      <c r="L222" s="180">
        <f t="shared" ca="1" si="3"/>
        <v>17.211425919571642</v>
      </c>
      <c r="M222" s="180">
        <f t="shared" ca="1" si="3"/>
        <v>17.513819995984726</v>
      </c>
      <c r="N222" s="180">
        <f t="shared" ca="1" si="3"/>
        <v>17.817850088260617</v>
      </c>
      <c r="O222" s="180">
        <f t="shared" ca="1" si="3"/>
        <v>18.111275961428369</v>
      </c>
      <c r="Q222" s="5"/>
    </row>
    <row r="223" spans="1:17" s="53" customFormat="1">
      <c r="A223" s="53" t="s">
        <v>141</v>
      </c>
      <c r="B223" s="53" t="s">
        <v>69</v>
      </c>
      <c r="C223" s="51"/>
      <c r="D223" s="55" t="s">
        <v>30</v>
      </c>
      <c r="E223" s="52" t="s">
        <v>53</v>
      </c>
      <c r="F223" s="164"/>
      <c r="G223" s="164"/>
      <c r="H223" s="164"/>
      <c r="I223" s="164"/>
      <c r="J223" s="227"/>
      <c r="K223" s="489">
        <f t="shared" ref="K223:O230" ca="1" si="4">K203+K183</f>
        <v>15.524307402404016</v>
      </c>
      <c r="L223" s="180">
        <f t="shared" ca="1" si="4"/>
        <v>15.299049081007851</v>
      </c>
      <c r="M223" s="180">
        <f t="shared" ca="1" si="4"/>
        <v>15.065393096959511</v>
      </c>
      <c r="N223" s="180">
        <f t="shared" ca="1" si="4"/>
        <v>14.843616329615967</v>
      </c>
      <c r="O223" s="180">
        <f t="shared" ca="1" si="4"/>
        <v>14.742128211932606</v>
      </c>
      <c r="Q223" s="5"/>
    </row>
    <row r="224" spans="1:17" s="53" customFormat="1">
      <c r="A224" s="53" t="s">
        <v>141</v>
      </c>
      <c r="B224" s="53" t="s">
        <v>69</v>
      </c>
      <c r="C224" s="51"/>
      <c r="D224" s="55" t="s">
        <v>30</v>
      </c>
      <c r="E224" s="52" t="s">
        <v>54</v>
      </c>
      <c r="F224" s="164"/>
      <c r="G224" s="164"/>
      <c r="H224" s="164"/>
      <c r="I224" s="164"/>
      <c r="J224" s="227"/>
      <c r="K224" s="489">
        <f t="shared" ca="1" si="4"/>
        <v>16.360960579726299</v>
      </c>
      <c r="L224" s="180">
        <f t="shared" ca="1" si="4"/>
        <v>17.015344295858444</v>
      </c>
      <c r="M224" s="180">
        <f t="shared" ca="1" si="4"/>
        <v>17.699193606060053</v>
      </c>
      <c r="N224" s="180">
        <f t="shared" ca="1" si="4"/>
        <v>18.415145058023018</v>
      </c>
      <c r="O224" s="180">
        <f t="shared" ca="1" si="4"/>
        <v>19.161863339698254</v>
      </c>
      <c r="Q224" s="5"/>
    </row>
    <row r="225" spans="1:27" s="53" customFormat="1">
      <c r="A225" s="53" t="s">
        <v>141</v>
      </c>
      <c r="B225" s="53" t="s">
        <v>69</v>
      </c>
      <c r="C225" s="51"/>
      <c r="D225" s="55" t="s">
        <v>30</v>
      </c>
      <c r="E225" s="52" t="s">
        <v>66</v>
      </c>
      <c r="F225" s="164"/>
      <c r="G225" s="164"/>
      <c r="H225" s="164"/>
      <c r="I225" s="164"/>
      <c r="J225" s="227"/>
      <c r="K225" s="489">
        <f t="shared" ca="1" si="4"/>
        <v>18.925662827167361</v>
      </c>
      <c r="L225" s="180">
        <f t="shared" ca="1" si="4"/>
        <v>19.118883996092649</v>
      </c>
      <c r="M225" s="180">
        <f t="shared" ca="1" si="4"/>
        <v>19.670714855000266</v>
      </c>
      <c r="N225" s="180">
        <f t="shared" ca="1" si="4"/>
        <v>20.692638099430511</v>
      </c>
      <c r="O225" s="180">
        <f t="shared" ca="1" si="4"/>
        <v>20.941767957299199</v>
      </c>
      <c r="Q225" s="5"/>
    </row>
    <row r="226" spans="1:27" s="53" customFormat="1">
      <c r="A226" s="53" t="s">
        <v>141</v>
      </c>
      <c r="B226" s="53" t="s">
        <v>69</v>
      </c>
      <c r="C226" s="51"/>
      <c r="D226" s="55" t="s">
        <v>30</v>
      </c>
      <c r="E226" s="52" t="s">
        <v>55</v>
      </c>
      <c r="F226" s="164"/>
      <c r="G226" s="164"/>
      <c r="H226" s="164"/>
      <c r="I226" s="164"/>
      <c r="J226" s="227"/>
      <c r="K226" s="489">
        <f t="shared" ca="1" si="4"/>
        <v>21.426787053594879</v>
      </c>
      <c r="L226" s="180">
        <f t="shared" ca="1" si="4"/>
        <v>21.437742250156031</v>
      </c>
      <c r="M226" s="180">
        <f t="shared" ca="1" si="4"/>
        <v>21.410108586266308</v>
      </c>
      <c r="N226" s="180">
        <f t="shared" ca="1" si="4"/>
        <v>21.37626107326491</v>
      </c>
      <c r="O226" s="180">
        <f t="shared" ca="1" si="4"/>
        <v>21.376971264147361</v>
      </c>
      <c r="Q226" s="5"/>
    </row>
    <row r="227" spans="1:27" s="53" customFormat="1">
      <c r="A227" s="53" t="s">
        <v>141</v>
      </c>
      <c r="B227" s="53" t="s">
        <v>69</v>
      </c>
      <c r="C227" s="51"/>
      <c r="D227" s="55" t="s">
        <v>30</v>
      </c>
      <c r="E227" s="52" t="s">
        <v>56</v>
      </c>
      <c r="F227" s="164"/>
      <c r="G227" s="164"/>
      <c r="H227" s="164"/>
      <c r="I227" s="164"/>
      <c r="J227" s="227"/>
      <c r="K227" s="489">
        <f t="shared" ca="1" si="4"/>
        <v>13.50120242642045</v>
      </c>
      <c r="L227" s="180">
        <f t="shared" ca="1" si="4"/>
        <v>13.550059083974048</v>
      </c>
      <c r="M227" s="180">
        <f t="shared" ca="1" si="4"/>
        <v>13.58180138228199</v>
      </c>
      <c r="N227" s="180">
        <f t="shared" ca="1" si="4"/>
        <v>13.597313445913137</v>
      </c>
      <c r="O227" s="180">
        <f t="shared" ca="1" si="4"/>
        <v>13.61203164017804</v>
      </c>
      <c r="Q227" s="5"/>
    </row>
    <row r="228" spans="1:27" s="53" customFormat="1">
      <c r="A228" s="53" t="s">
        <v>141</v>
      </c>
      <c r="B228" s="53" t="s">
        <v>69</v>
      </c>
      <c r="C228" s="51"/>
      <c r="D228" s="55" t="s">
        <v>30</v>
      </c>
      <c r="E228" s="52" t="s">
        <v>57</v>
      </c>
      <c r="F228" s="164"/>
      <c r="G228" s="164"/>
      <c r="H228" s="164"/>
      <c r="I228" s="164"/>
      <c r="J228" s="227"/>
      <c r="K228" s="489">
        <f t="shared" ca="1" si="4"/>
        <v>19.588665908834795</v>
      </c>
      <c r="L228" s="180">
        <f t="shared" ca="1" si="4"/>
        <v>19.805276894886468</v>
      </c>
      <c r="M228" s="180">
        <f t="shared" ca="1" si="4"/>
        <v>19.958218525554887</v>
      </c>
      <c r="N228" s="180">
        <f t="shared" ca="1" si="4"/>
        <v>20.250689955376675</v>
      </c>
      <c r="O228" s="180">
        <f t="shared" ca="1" si="4"/>
        <v>20.116279775902594</v>
      </c>
      <c r="Q228" s="5"/>
    </row>
    <row r="229" spans="1:27" s="53" customFormat="1">
      <c r="A229" s="53" t="s">
        <v>141</v>
      </c>
      <c r="B229" s="53" t="s">
        <v>69</v>
      </c>
      <c r="C229" s="51"/>
      <c r="D229" s="55" t="s">
        <v>30</v>
      </c>
      <c r="E229" s="52" t="s">
        <v>58</v>
      </c>
      <c r="F229" s="164"/>
      <c r="G229" s="164"/>
      <c r="H229" s="164"/>
      <c r="I229" s="164"/>
      <c r="J229" s="227"/>
      <c r="K229" s="489">
        <f t="shared" ca="1" si="4"/>
        <v>17.540013782450526</v>
      </c>
      <c r="L229" s="180">
        <f t="shared" ca="1" si="4"/>
        <v>17.872106389686355</v>
      </c>
      <c r="M229" s="180">
        <f t="shared" ca="1" si="4"/>
        <v>18.207499860843885</v>
      </c>
      <c r="N229" s="180">
        <f t="shared" ca="1" si="4"/>
        <v>18.451807767796382</v>
      </c>
      <c r="O229" s="180">
        <f t="shared" ca="1" si="4"/>
        <v>18.707368285865577</v>
      </c>
      <c r="Q229" s="5"/>
    </row>
    <row r="230" spans="1:27" s="53" customFormat="1">
      <c r="A230" s="53" t="s">
        <v>141</v>
      </c>
      <c r="B230" s="53" t="s">
        <v>69</v>
      </c>
      <c r="C230" s="51"/>
      <c r="D230" s="55" t="s">
        <v>30</v>
      </c>
      <c r="E230" s="52" t="s">
        <v>59</v>
      </c>
      <c r="F230" s="164"/>
      <c r="G230" s="164"/>
      <c r="H230" s="164"/>
      <c r="I230" s="164"/>
      <c r="J230" s="227"/>
      <c r="K230" s="489">
        <f t="shared" ca="1" si="4"/>
        <v>16.697783053108463</v>
      </c>
      <c r="L230" s="180">
        <f t="shared" ca="1" si="4"/>
        <v>16.646896864935314</v>
      </c>
      <c r="M230" s="180">
        <f t="shared" ca="1" si="4"/>
        <v>17.314703097533688</v>
      </c>
      <c r="N230" s="180">
        <f t="shared" ca="1" si="4"/>
        <v>17.170242134175563</v>
      </c>
      <c r="O230" s="180">
        <f t="shared" ca="1" si="4"/>
        <v>16.787115070806564</v>
      </c>
      <c r="Q230" s="5"/>
    </row>
    <row r="231" spans="1:27" s="53" customFormat="1">
      <c r="C231" s="51"/>
      <c r="D231" s="54"/>
      <c r="E231" s="52"/>
      <c r="F231" s="164"/>
      <c r="G231" s="164"/>
      <c r="H231" s="164"/>
      <c r="I231" s="164"/>
      <c r="J231" s="227"/>
      <c r="K231" s="485"/>
      <c r="L231" s="154"/>
      <c r="M231" s="154"/>
      <c r="N231" s="154"/>
      <c r="O231" s="154"/>
      <c r="Q231" s="5"/>
    </row>
    <row r="232" spans="1:27">
      <c r="A232" s="27"/>
      <c r="B232" s="28"/>
      <c r="C232" s="29"/>
      <c r="D232" s="30"/>
      <c r="E232" s="32" t="s">
        <v>466</v>
      </c>
      <c r="F232" s="31"/>
      <c r="G232" s="31"/>
      <c r="H232" s="31"/>
      <c r="I232" s="31"/>
      <c r="J232" s="472"/>
      <c r="K232" s="480"/>
      <c r="L232" s="31"/>
      <c r="M232" s="31"/>
      <c r="N232" s="31"/>
      <c r="O232" s="31"/>
      <c r="Q232" s="5"/>
      <c r="R232" s="53"/>
      <c r="S232" s="53"/>
      <c r="T232" s="53"/>
      <c r="U232" s="53"/>
      <c r="V232" s="53"/>
      <c r="W232" s="53"/>
      <c r="X232" s="53"/>
      <c r="Y232" s="53"/>
      <c r="Z232" s="53"/>
      <c r="AA232" s="53"/>
    </row>
    <row r="233" spans="1:27" s="53" customFormat="1">
      <c r="A233" s="53" t="s">
        <v>103</v>
      </c>
      <c r="B233" s="53" t="s">
        <v>69</v>
      </c>
      <c r="C233" s="51"/>
      <c r="D233" s="55" t="s">
        <v>74</v>
      </c>
      <c r="E233" s="52" t="s">
        <v>31</v>
      </c>
      <c r="F233" s="155"/>
      <c r="G233" s="155"/>
      <c r="H233" s="155"/>
      <c r="I233" s="155"/>
      <c r="J233" s="227"/>
      <c r="K233" s="491">
        <f t="shared" ref="K233:O242" ca="1" si="5">+K9*K213/1000</f>
        <v>64.411975003312733</v>
      </c>
      <c r="L233" s="177">
        <f t="shared" ca="1" si="5"/>
        <v>66.787367962686389</v>
      </c>
      <c r="M233" s="177">
        <f t="shared" ca="1" si="5"/>
        <v>68.503851743598531</v>
      </c>
      <c r="N233" s="177">
        <f t="shared" ca="1" si="5"/>
        <v>69.633412926186438</v>
      </c>
      <c r="O233" s="177">
        <f t="shared" ca="1" si="5"/>
        <v>70.785750417383341</v>
      </c>
      <c r="Q233" s="5"/>
    </row>
    <row r="234" spans="1:27" s="53" customFormat="1">
      <c r="A234" s="53" t="s">
        <v>103</v>
      </c>
      <c r="B234" s="53" t="s">
        <v>69</v>
      </c>
      <c r="C234" s="51"/>
      <c r="D234" s="55" t="s">
        <v>74</v>
      </c>
      <c r="E234" s="52" t="s">
        <v>32</v>
      </c>
      <c r="F234" s="155"/>
      <c r="G234" s="155"/>
      <c r="H234" s="155"/>
      <c r="I234" s="155"/>
      <c r="J234" s="227"/>
      <c r="K234" s="491">
        <f t="shared" ca="1" si="5"/>
        <v>47.088817889838474</v>
      </c>
      <c r="L234" s="177">
        <f t="shared" ca="1" si="5"/>
        <v>45.633170313018731</v>
      </c>
      <c r="M234" s="177">
        <f t="shared" ca="1" si="5"/>
        <v>44.267068695124465</v>
      </c>
      <c r="N234" s="177">
        <f t="shared" ca="1" si="5"/>
        <v>42.813237578305781</v>
      </c>
      <c r="O234" s="177">
        <f t="shared" ca="1" si="5"/>
        <v>42.603776061548452</v>
      </c>
      <c r="Q234" s="5"/>
    </row>
    <row r="235" spans="1:27" s="53" customFormat="1">
      <c r="A235" s="53" t="s">
        <v>103</v>
      </c>
      <c r="B235" s="53" t="s">
        <v>69</v>
      </c>
      <c r="C235" s="51"/>
      <c r="D235" s="55" t="s">
        <v>74</v>
      </c>
      <c r="E235" s="52" t="s">
        <v>33</v>
      </c>
      <c r="F235" s="155"/>
      <c r="G235" s="155"/>
      <c r="H235" s="155"/>
      <c r="I235" s="155"/>
      <c r="J235" s="227"/>
      <c r="K235" s="491">
        <f t="shared" ca="1" si="5"/>
        <v>48.232458107405378</v>
      </c>
      <c r="L235" s="177">
        <f t="shared" ca="1" si="5"/>
        <v>48.942685634418268</v>
      </c>
      <c r="M235" s="177">
        <f t="shared" ca="1" si="5"/>
        <v>49.403060401819069</v>
      </c>
      <c r="N235" s="177">
        <f t="shared" ca="1" si="5"/>
        <v>49.825596541128874</v>
      </c>
      <c r="O235" s="177">
        <f t="shared" ca="1" si="5"/>
        <v>50.232956297614358</v>
      </c>
      <c r="Q235" s="5"/>
    </row>
    <row r="236" spans="1:27" s="53" customFormat="1">
      <c r="A236" s="53" t="s">
        <v>103</v>
      </c>
      <c r="B236" s="53" t="s">
        <v>69</v>
      </c>
      <c r="C236" s="51"/>
      <c r="D236" s="55" t="s">
        <v>74</v>
      </c>
      <c r="E236" s="52" t="s">
        <v>46</v>
      </c>
      <c r="F236" s="155"/>
      <c r="G236" s="155"/>
      <c r="H236" s="155"/>
      <c r="I236" s="155"/>
      <c r="J236" s="227"/>
      <c r="K236" s="491">
        <f t="shared" ca="1" si="5"/>
        <v>92.703190801017115</v>
      </c>
      <c r="L236" s="177">
        <f t="shared" ca="1" si="5"/>
        <v>96.318585807213097</v>
      </c>
      <c r="M236" s="177">
        <f t="shared" ca="1" si="5"/>
        <v>99.766802857124418</v>
      </c>
      <c r="N236" s="177">
        <f t="shared" ca="1" si="5"/>
        <v>101.51155994353913</v>
      </c>
      <c r="O236" s="177">
        <f t="shared" ca="1" si="5"/>
        <v>102.72652991058305</v>
      </c>
      <c r="Q236" s="5"/>
    </row>
    <row r="237" spans="1:27" s="53" customFormat="1">
      <c r="A237" s="53" t="s">
        <v>103</v>
      </c>
      <c r="B237" s="53" t="s">
        <v>69</v>
      </c>
      <c r="C237" s="51"/>
      <c r="D237" s="55" t="s">
        <v>74</v>
      </c>
      <c r="E237" s="52" t="s">
        <v>47</v>
      </c>
      <c r="F237" s="155"/>
      <c r="G237" s="155"/>
      <c r="H237" s="155"/>
      <c r="I237" s="155"/>
      <c r="J237" s="227"/>
      <c r="K237" s="491">
        <f t="shared" ca="1" si="5"/>
        <v>26.432262265667053</v>
      </c>
      <c r="L237" s="177">
        <f t="shared" ca="1" si="5"/>
        <v>26.786262265667101</v>
      </c>
      <c r="M237" s="177">
        <f t="shared" ca="1" si="5"/>
        <v>27.075262265667096</v>
      </c>
      <c r="N237" s="177">
        <f t="shared" ca="1" si="5"/>
        <v>27.07422741187521</v>
      </c>
      <c r="O237" s="177">
        <f t="shared" ca="1" si="5"/>
        <v>27.478262265667045</v>
      </c>
      <c r="Q237" s="5"/>
    </row>
    <row r="238" spans="1:27" s="53" customFormat="1">
      <c r="A238" s="53" t="s">
        <v>103</v>
      </c>
      <c r="B238" s="53" t="s">
        <v>69</v>
      </c>
      <c r="C238" s="51"/>
      <c r="D238" s="55" t="s">
        <v>74</v>
      </c>
      <c r="E238" s="52" t="s">
        <v>48</v>
      </c>
      <c r="F238" s="155"/>
      <c r="G238" s="155"/>
      <c r="H238" s="155"/>
      <c r="I238" s="155"/>
      <c r="J238" s="227"/>
      <c r="K238" s="491">
        <f t="shared" ca="1" si="5"/>
        <v>52.532341363366491</v>
      </c>
      <c r="L238" s="177">
        <f t="shared" ca="1" si="5"/>
        <v>51.484969286313891</v>
      </c>
      <c r="M238" s="177">
        <f t="shared" ca="1" si="5"/>
        <v>47.598734234662203</v>
      </c>
      <c r="N238" s="177">
        <f t="shared" ca="1" si="5"/>
        <v>43.550701498105923</v>
      </c>
      <c r="O238" s="177">
        <f t="shared" ca="1" si="5"/>
        <v>44.867349684548749</v>
      </c>
      <c r="Q238" s="5"/>
    </row>
    <row r="239" spans="1:27" s="53" customFormat="1">
      <c r="A239" s="53" t="s">
        <v>103</v>
      </c>
      <c r="B239" s="53" t="s">
        <v>69</v>
      </c>
      <c r="C239" s="51"/>
      <c r="D239" s="55" t="s">
        <v>74</v>
      </c>
      <c r="E239" s="52" t="s">
        <v>49</v>
      </c>
      <c r="F239" s="155"/>
      <c r="G239" s="155"/>
      <c r="H239" s="155"/>
      <c r="I239" s="155"/>
      <c r="J239" s="227"/>
      <c r="K239" s="491">
        <f t="shared" ca="1" si="5"/>
        <v>132.67327904529714</v>
      </c>
      <c r="L239" s="177">
        <f t="shared" ca="1" si="5"/>
        <v>134.03085501941493</v>
      </c>
      <c r="M239" s="177">
        <f t="shared" ca="1" si="5"/>
        <v>137.75622767441837</v>
      </c>
      <c r="N239" s="177">
        <f t="shared" ca="1" si="5"/>
        <v>140.38360533102306</v>
      </c>
      <c r="O239" s="177">
        <f t="shared" ca="1" si="5"/>
        <v>143.77800921246742</v>
      </c>
      <c r="Q239" s="5"/>
    </row>
    <row r="240" spans="1:27" s="53" customFormat="1">
      <c r="A240" s="53" t="s">
        <v>103</v>
      </c>
      <c r="B240" s="53" t="s">
        <v>69</v>
      </c>
      <c r="C240" s="51"/>
      <c r="D240" s="55" t="s">
        <v>74</v>
      </c>
      <c r="E240" s="52" t="s">
        <v>50</v>
      </c>
      <c r="F240" s="155"/>
      <c r="G240" s="155"/>
      <c r="H240" s="155"/>
      <c r="I240" s="155"/>
      <c r="J240" s="227"/>
      <c r="K240" s="491">
        <f t="shared" ca="1" si="5"/>
        <v>112.84595307143886</v>
      </c>
      <c r="L240" s="177">
        <f t="shared" ca="1" si="5"/>
        <v>107.46056382947542</v>
      </c>
      <c r="M240" s="177">
        <f t="shared" ca="1" si="5"/>
        <v>101.21968509987286</v>
      </c>
      <c r="N240" s="177">
        <f t="shared" ca="1" si="5"/>
        <v>96.287210376991879</v>
      </c>
      <c r="O240" s="177">
        <f t="shared" ca="1" si="5"/>
        <v>98.529991612295106</v>
      </c>
      <c r="Q240" s="5"/>
    </row>
    <row r="241" spans="1:17" s="53" customFormat="1">
      <c r="A241" s="53" t="s">
        <v>103</v>
      </c>
      <c r="B241" s="53" t="s">
        <v>69</v>
      </c>
      <c r="C241" s="51"/>
      <c r="D241" s="55" t="s">
        <v>74</v>
      </c>
      <c r="E241" s="52" t="s">
        <v>51</v>
      </c>
      <c r="F241" s="155"/>
      <c r="G241" s="155"/>
      <c r="H241" s="155"/>
      <c r="I241" s="155"/>
      <c r="J241" s="227"/>
      <c r="K241" s="491">
        <f t="shared" ca="1" si="5"/>
        <v>25.512603941112214</v>
      </c>
      <c r="L241" s="177">
        <f t="shared" ca="1" si="5"/>
        <v>26.344603508314155</v>
      </c>
      <c r="M241" s="177">
        <f t="shared" ca="1" si="5"/>
        <v>27.375426586742876</v>
      </c>
      <c r="N241" s="177">
        <f t="shared" ca="1" si="5"/>
        <v>28.29933019115737</v>
      </c>
      <c r="O241" s="177">
        <f t="shared" ca="1" si="5"/>
        <v>29.234743645720911</v>
      </c>
      <c r="Q241" s="5"/>
    </row>
    <row r="242" spans="1:17" s="53" customFormat="1">
      <c r="A242" s="53" t="s">
        <v>103</v>
      </c>
      <c r="B242" s="53" t="s">
        <v>69</v>
      </c>
      <c r="C242" s="51"/>
      <c r="D242" s="55" t="s">
        <v>74</v>
      </c>
      <c r="E242" s="52" t="s">
        <v>52</v>
      </c>
      <c r="F242" s="155"/>
      <c r="G242" s="155"/>
      <c r="H242" s="155"/>
      <c r="I242" s="155"/>
      <c r="J242" s="227"/>
      <c r="K242" s="491">
        <f t="shared" ca="1" si="5"/>
        <v>45.74710267597743</v>
      </c>
      <c r="L242" s="177">
        <f t="shared" ca="1" si="5"/>
        <v>46.882001688637935</v>
      </c>
      <c r="M242" s="177">
        <f t="shared" ca="1" si="5"/>
        <v>48.163765088745819</v>
      </c>
      <c r="N242" s="177">
        <f t="shared" ca="1" si="5"/>
        <v>49.526316145043317</v>
      </c>
      <c r="O242" s="177">
        <f t="shared" ca="1" si="5"/>
        <v>50.924818477424481</v>
      </c>
      <c r="Q242" s="5"/>
    </row>
    <row r="243" spans="1:17" s="53" customFormat="1">
      <c r="A243" s="53" t="s">
        <v>103</v>
      </c>
      <c r="B243" s="53" t="s">
        <v>69</v>
      </c>
      <c r="C243" s="51"/>
      <c r="D243" s="55" t="s">
        <v>74</v>
      </c>
      <c r="E243" s="52" t="s">
        <v>53</v>
      </c>
      <c r="F243" s="155"/>
      <c r="G243" s="155"/>
      <c r="H243" s="155"/>
      <c r="I243" s="155"/>
      <c r="J243" s="227"/>
      <c r="K243" s="491">
        <f t="shared" ref="K243:O250" ca="1" si="6">+K19*K223/1000</f>
        <v>21.123723266454913</v>
      </c>
      <c r="L243" s="177">
        <f t="shared" ca="1" si="6"/>
        <v>20.948299449415408</v>
      </c>
      <c r="M243" s="177">
        <f t="shared" ca="1" si="6"/>
        <v>20.754492295985042</v>
      </c>
      <c r="N243" s="177">
        <f t="shared" ca="1" si="6"/>
        <v>20.569014380385628</v>
      </c>
      <c r="O243" s="177">
        <f t="shared" ca="1" si="6"/>
        <v>20.548167986920127</v>
      </c>
      <c r="Q243" s="5"/>
    </row>
    <row r="244" spans="1:17" s="53" customFormat="1">
      <c r="A244" s="53" t="s">
        <v>103</v>
      </c>
      <c r="B244" s="53" t="s">
        <v>69</v>
      </c>
      <c r="C244" s="51"/>
      <c r="D244" s="55" t="s">
        <v>74</v>
      </c>
      <c r="E244" s="52" t="s">
        <v>54</v>
      </c>
      <c r="F244" s="155"/>
      <c r="G244" s="155"/>
      <c r="H244" s="155"/>
      <c r="I244" s="155"/>
      <c r="J244" s="227"/>
      <c r="K244" s="491">
        <f t="shared" ca="1" si="6"/>
        <v>7.8974193108733051</v>
      </c>
      <c r="L244" s="177">
        <f t="shared" ca="1" si="6"/>
        <v>8.3058531492360448</v>
      </c>
      <c r="M244" s="177">
        <f t="shared" ca="1" si="6"/>
        <v>8.7358617849174838</v>
      </c>
      <c r="N244" s="177">
        <f t="shared" ca="1" si="6"/>
        <v>9.1879419843796573</v>
      </c>
      <c r="O244" s="177">
        <f t="shared" ca="1" si="6"/>
        <v>9.6616797619626151</v>
      </c>
      <c r="Q244" s="5"/>
    </row>
    <row r="245" spans="1:17" s="53" customFormat="1">
      <c r="A245" s="53" t="s">
        <v>103</v>
      </c>
      <c r="B245" s="53" t="s">
        <v>69</v>
      </c>
      <c r="C245" s="51"/>
      <c r="D245" s="55" t="s">
        <v>74</v>
      </c>
      <c r="E245" s="52" t="s">
        <v>66</v>
      </c>
      <c r="F245" s="155"/>
      <c r="G245" s="155"/>
      <c r="H245" s="155"/>
      <c r="I245" s="155"/>
      <c r="J245" s="227"/>
      <c r="K245" s="491">
        <f t="shared" ca="1" si="6"/>
        <v>12.384061820729166</v>
      </c>
      <c r="L245" s="177">
        <f t="shared" ca="1" si="6"/>
        <v>12.581477444103935</v>
      </c>
      <c r="M245" s="177">
        <f t="shared" ca="1" si="6"/>
        <v>13.02106428143316</v>
      </c>
      <c r="N245" s="177">
        <f t="shared" ca="1" si="6"/>
        <v>13.781138928377432</v>
      </c>
      <c r="O245" s="177">
        <f t="shared" ca="1" si="6"/>
        <v>14.033703525575191</v>
      </c>
      <c r="Q245" s="5"/>
    </row>
    <row r="246" spans="1:17" s="53" customFormat="1">
      <c r="A246" s="53" t="s">
        <v>103</v>
      </c>
      <c r="B246" s="53" t="s">
        <v>69</v>
      </c>
      <c r="C246" s="51"/>
      <c r="D246" s="55" t="s">
        <v>74</v>
      </c>
      <c r="E246" s="52" t="s">
        <v>55</v>
      </c>
      <c r="F246" s="155"/>
      <c r="G246" s="155"/>
      <c r="H246" s="155"/>
      <c r="I246" s="155"/>
      <c r="J246" s="227"/>
      <c r="K246" s="491">
        <f t="shared" ca="1" si="6"/>
        <v>2.5130835731549825</v>
      </c>
      <c r="L246" s="177">
        <f t="shared" ca="1" si="6"/>
        <v>2.5345628284936974</v>
      </c>
      <c r="M246" s="177">
        <f t="shared" ca="1" si="6"/>
        <v>2.5514640503339425</v>
      </c>
      <c r="N246" s="177">
        <f t="shared" ca="1" si="6"/>
        <v>2.5675668462930679</v>
      </c>
      <c r="O246" s="177">
        <f t="shared" ca="1" si="6"/>
        <v>2.587810633352623</v>
      </c>
      <c r="Q246" s="5"/>
    </row>
    <row r="247" spans="1:17" s="53" customFormat="1">
      <c r="A247" s="53" t="s">
        <v>103</v>
      </c>
      <c r="B247" s="53" t="s">
        <v>69</v>
      </c>
      <c r="C247" s="51"/>
      <c r="D247" s="55" t="s">
        <v>74</v>
      </c>
      <c r="E247" s="52" t="s">
        <v>56</v>
      </c>
      <c r="F247" s="155"/>
      <c r="G247" s="155"/>
      <c r="H247" s="155"/>
      <c r="I247" s="155"/>
      <c r="J247" s="227"/>
      <c r="K247" s="491">
        <f t="shared" ca="1" si="6"/>
        <v>3.8903714791730533</v>
      </c>
      <c r="L247" s="177">
        <f t="shared" ca="1" si="6"/>
        <v>3.933717652668506</v>
      </c>
      <c r="M247" s="177">
        <f t="shared" ca="1" si="6"/>
        <v>3.9770638261639588</v>
      </c>
      <c r="N247" s="177">
        <f t="shared" ca="1" si="6"/>
        <v>4.0224388474507</v>
      </c>
      <c r="O247" s="177">
        <f t="shared" ca="1" si="6"/>
        <v>4.0667850209461518</v>
      </c>
      <c r="Q247" s="5"/>
    </row>
    <row r="248" spans="1:17" s="53" customFormat="1">
      <c r="A248" s="53" t="s">
        <v>103</v>
      </c>
      <c r="B248" s="53" t="s">
        <v>69</v>
      </c>
      <c r="C248" s="51"/>
      <c r="D248" s="55" t="s">
        <v>74</v>
      </c>
      <c r="E248" s="52" t="s">
        <v>57</v>
      </c>
      <c r="F248" s="155"/>
      <c r="G248" s="155"/>
      <c r="H248" s="155"/>
      <c r="I248" s="155"/>
      <c r="J248" s="227"/>
      <c r="K248" s="491">
        <f t="shared" ca="1" si="6"/>
        <v>3.6780266770405476</v>
      </c>
      <c r="L248" s="177">
        <f t="shared" ca="1" si="6"/>
        <v>3.7401869310455198</v>
      </c>
      <c r="M248" s="177">
        <f t="shared" ca="1" si="6"/>
        <v>3.793378762278115</v>
      </c>
      <c r="N248" s="177">
        <f t="shared" ca="1" si="6"/>
        <v>3.8716484098086452</v>
      </c>
      <c r="O248" s="177">
        <f t="shared" ca="1" si="6"/>
        <v>3.8673346706374976</v>
      </c>
      <c r="Q248" s="5"/>
    </row>
    <row r="249" spans="1:17" s="53" customFormat="1">
      <c r="A249" s="53" t="s">
        <v>103</v>
      </c>
      <c r="B249" s="53" t="s">
        <v>69</v>
      </c>
      <c r="C249" s="51"/>
      <c r="D249" s="55" t="s">
        <v>74</v>
      </c>
      <c r="E249" s="52" t="s">
        <v>58</v>
      </c>
      <c r="F249" s="155"/>
      <c r="G249" s="155"/>
      <c r="H249" s="155"/>
      <c r="I249" s="155"/>
      <c r="J249" s="227"/>
      <c r="K249" s="491">
        <f t="shared" ca="1" si="6"/>
        <v>14.659884712515145</v>
      </c>
      <c r="L249" s="177">
        <f t="shared" ca="1" si="6"/>
        <v>15.081783220410015</v>
      </c>
      <c r="M249" s="177">
        <f t="shared" ca="1" si="6"/>
        <v>15.517409396671965</v>
      </c>
      <c r="N249" s="177">
        <f t="shared" ca="1" si="6"/>
        <v>15.869296026330613</v>
      </c>
      <c r="O249" s="177">
        <f t="shared" ca="1" si="6"/>
        <v>16.233895978379078</v>
      </c>
      <c r="Q249" s="5"/>
    </row>
    <row r="250" spans="1:17" s="53" customFormat="1">
      <c r="A250" s="53" t="s">
        <v>103</v>
      </c>
      <c r="B250" s="53" t="s">
        <v>69</v>
      </c>
      <c r="C250" s="51"/>
      <c r="D250" s="55" t="s">
        <v>74</v>
      </c>
      <c r="E250" s="52" t="s">
        <v>59</v>
      </c>
      <c r="F250" s="155"/>
      <c r="G250" s="155"/>
      <c r="H250" s="155"/>
      <c r="I250" s="155"/>
      <c r="J250" s="227"/>
      <c r="K250" s="491">
        <f t="shared" ca="1" si="6"/>
        <v>4.4413110632581247</v>
      </c>
      <c r="L250" s="177">
        <f t="shared" ca="1" si="6"/>
        <v>4.4677973765996795</v>
      </c>
      <c r="M250" s="177">
        <f t="shared" ca="1" si="6"/>
        <v>4.6882360057016266</v>
      </c>
      <c r="N250" s="177">
        <f t="shared" ca="1" si="6"/>
        <v>4.6913144426305395</v>
      </c>
      <c r="O250" s="177">
        <f t="shared" ca="1" si="6"/>
        <v>4.627962202507085</v>
      </c>
      <c r="Q250" s="5"/>
    </row>
    <row r="251" spans="1:17" s="53" customFormat="1">
      <c r="A251" s="53" t="s">
        <v>104</v>
      </c>
      <c r="B251" s="53" t="s">
        <v>69</v>
      </c>
      <c r="C251" s="51"/>
      <c r="D251" s="55" t="s">
        <v>74</v>
      </c>
      <c r="E251" s="52" t="s">
        <v>65</v>
      </c>
      <c r="F251" s="155"/>
      <c r="G251" s="155"/>
      <c r="H251" s="155"/>
      <c r="I251" s="155"/>
      <c r="J251" s="227"/>
      <c r="K251" s="492">
        <f ca="1">SUM(K233:K250)</f>
        <v>718.76786606763199</v>
      </c>
      <c r="L251" s="178">
        <f ca="1">SUM(L233:L250)</f>
        <v>722.26474336713295</v>
      </c>
      <c r="M251" s="178">
        <f ca="1">SUM(M233:M250)</f>
        <v>724.16885505126095</v>
      </c>
      <c r="N251" s="178">
        <f ca="1">SUM(N233:N250)</f>
        <v>723.46555780901338</v>
      </c>
      <c r="O251" s="177">
        <f ca="1">SUM(O233:O250)</f>
        <v>736.78952736553344</v>
      </c>
      <c r="Q251" s="5"/>
    </row>
    <row r="252" spans="1:17" s="53" customFormat="1">
      <c r="C252" s="51"/>
      <c r="D252" s="54"/>
      <c r="E252" s="52"/>
      <c r="F252" s="227"/>
      <c r="G252" s="227"/>
      <c r="H252" s="227"/>
      <c r="I252" s="227"/>
      <c r="J252" s="227"/>
      <c r="K252" s="485"/>
      <c r="L252" s="154"/>
      <c r="M252" s="154"/>
      <c r="N252" s="154"/>
      <c r="O252" s="154"/>
      <c r="Q252" s="5"/>
    </row>
    <row r="253" spans="1:17">
      <c r="A253" s="27"/>
      <c r="B253" s="28"/>
      <c r="C253" s="29"/>
      <c r="D253" s="30"/>
      <c r="E253" s="32" t="s">
        <v>467</v>
      </c>
      <c r="F253" s="31"/>
      <c r="G253" s="31"/>
      <c r="H253" s="31"/>
      <c r="I253" s="31"/>
      <c r="J253" s="472"/>
      <c r="K253" s="480"/>
      <c r="L253" s="31"/>
      <c r="M253" s="31"/>
      <c r="N253" s="31"/>
      <c r="O253" s="31"/>
      <c r="Q253" s="5"/>
    </row>
    <row r="254" spans="1:17" s="53" customFormat="1">
      <c r="A254" s="53" t="s">
        <v>106</v>
      </c>
      <c r="B254" s="53" t="s">
        <v>69</v>
      </c>
      <c r="C254" s="51"/>
      <c r="D254" s="55" t="s">
        <v>30</v>
      </c>
      <c r="E254" s="52" t="s">
        <v>31</v>
      </c>
      <c r="F254" s="125"/>
      <c r="G254" s="128"/>
      <c r="H254" s="158"/>
      <c r="I254" s="226">
        <f>IF(INDEX(ANH,ROW(Input!B$20)-5,COLUMN()-2)=0,0,INDEX(ANH,ROW(Input!B$14)-5,COLUMN()-2)/INDEX(ANH,ROW(Input!B$20)-5,COLUMN()-2)*1000)</f>
        <v>2.5289136112335906</v>
      </c>
      <c r="J254" s="226"/>
      <c r="K254" s="486"/>
      <c r="L254" s="113"/>
      <c r="M254" s="162"/>
      <c r="N254" s="162"/>
      <c r="O254" s="162"/>
      <c r="Q254" s="5"/>
    </row>
    <row r="255" spans="1:17" s="53" customFormat="1">
      <c r="A255" s="53" t="s">
        <v>106</v>
      </c>
      <c r="B255" s="53" t="s">
        <v>69</v>
      </c>
      <c r="C255" s="51"/>
      <c r="D255" s="55" t="s">
        <v>30</v>
      </c>
      <c r="E255" s="52" t="s">
        <v>32</v>
      </c>
      <c r="F255" s="126"/>
      <c r="G255" s="159"/>
      <c r="H255" s="161"/>
      <c r="I255" s="226">
        <f>IF(INDEX(WSH,ROW(Input!B$20)-5,COLUMN()-2)=0,0,INDEX(WSH,ROW(Input!B$14)-5,COLUMN()-2)/INDEX(WSH,ROW(Input!B$20)-5,COLUMN()-2)*1000)</f>
        <v>8.3337365683018749</v>
      </c>
      <c r="J255" s="226"/>
      <c r="K255" s="486"/>
      <c r="L255" s="113"/>
      <c r="M255" s="162"/>
      <c r="N255" s="162"/>
      <c r="O255" s="162"/>
      <c r="Q255" s="5"/>
    </row>
    <row r="256" spans="1:17" s="53" customFormat="1">
      <c r="A256" s="53" t="s">
        <v>106</v>
      </c>
      <c r="B256" s="53" t="s">
        <v>69</v>
      </c>
      <c r="C256" s="51"/>
      <c r="D256" s="55" t="s">
        <v>30</v>
      </c>
      <c r="E256" s="52" t="s">
        <v>33</v>
      </c>
      <c r="F256" s="126"/>
      <c r="G256" s="159"/>
      <c r="H256" s="161"/>
      <c r="I256" s="226">
        <f>IF(INDEX(NES,ROW(Input!B$20)-5,COLUMN()-2)=0,0,INDEX(NES,ROW(Input!B$14)-5,COLUMN()-2)/INDEX(NES,ROW(Input!B$20)-5,COLUMN()-2)*1000)</f>
        <v>2.652469749590634</v>
      </c>
      <c r="J256" s="226"/>
      <c r="K256" s="486"/>
      <c r="L256" s="113"/>
      <c r="M256" s="162"/>
      <c r="N256" s="162"/>
      <c r="O256" s="162"/>
      <c r="Q256" s="5"/>
    </row>
    <row r="257" spans="1:17" s="53" customFormat="1">
      <c r="A257" s="53" t="s">
        <v>106</v>
      </c>
      <c r="B257" s="53" t="s">
        <v>69</v>
      </c>
      <c r="C257" s="51"/>
      <c r="D257" s="55" t="s">
        <v>30</v>
      </c>
      <c r="E257" s="52" t="s">
        <v>46</v>
      </c>
      <c r="F257" s="126"/>
      <c r="G257" s="159"/>
      <c r="H257" s="161"/>
      <c r="I257" s="226">
        <f>IF(INDEX(SVT,ROW(Input!B$20)-5,COLUMN()-2)=0,0,INDEX(SVT,ROW(Input!B$14)-5,COLUMN()-2)/INDEX(SVT,ROW(Input!B$20)-5,COLUMN()-2)*1000)</f>
        <v>7.7963906089418762</v>
      </c>
      <c r="J257" s="226"/>
      <c r="K257" s="486"/>
      <c r="L257" s="113"/>
      <c r="M257" s="162"/>
      <c r="N257" s="162"/>
      <c r="O257" s="162"/>
      <c r="Q257" s="5"/>
    </row>
    <row r="258" spans="1:17" s="53" customFormat="1">
      <c r="A258" s="53" t="s">
        <v>106</v>
      </c>
      <c r="B258" s="53" t="s">
        <v>69</v>
      </c>
      <c r="C258" s="51"/>
      <c r="D258" s="55" t="s">
        <v>30</v>
      </c>
      <c r="E258" s="52" t="s">
        <v>47</v>
      </c>
      <c r="F258" s="126"/>
      <c r="G258" s="159"/>
      <c r="H258" s="161"/>
      <c r="I258" s="226">
        <f>IF(INDEX(SWT,ROW(Input!B$20)-5,COLUMN()-2)=0,0,INDEX(SWT,ROW(Input!B$14)-5,COLUMN()-2)/INDEX(SWT,ROW(Input!B$20)-5,COLUMN()-2)*1000)</f>
        <v>2.9579316389132342</v>
      </c>
      <c r="J258" s="226"/>
      <c r="K258" s="486"/>
      <c r="L258" s="113"/>
      <c r="M258" s="162"/>
      <c r="N258" s="162"/>
      <c r="O258" s="162"/>
      <c r="Q258" s="5"/>
    </row>
    <row r="259" spans="1:17" s="53" customFormat="1">
      <c r="A259" s="53" t="s">
        <v>106</v>
      </c>
      <c r="B259" s="53" t="s">
        <v>69</v>
      </c>
      <c r="C259" s="51"/>
      <c r="D259" s="55" t="s">
        <v>30</v>
      </c>
      <c r="E259" s="52" t="s">
        <v>48</v>
      </c>
      <c r="F259" s="126"/>
      <c r="G259" s="159"/>
      <c r="H259" s="161"/>
      <c r="I259" s="226">
        <f>IF(INDEX(SRN,ROW(Input!B$20)-5,COLUMN()-2)=0,0,INDEX(SRN,ROW(Input!B$14)-5,COLUMN()-2)/INDEX(SRN,ROW(Input!B$20)-5,COLUMN()-2)*1000)</f>
        <v>7.6780237520624057</v>
      </c>
      <c r="J259" s="226"/>
      <c r="K259" s="486"/>
      <c r="L259" s="113"/>
      <c r="M259" s="162"/>
      <c r="N259" s="162"/>
      <c r="O259" s="162"/>
      <c r="Q259" s="5"/>
    </row>
    <row r="260" spans="1:17" s="53" customFormat="1">
      <c r="A260" s="53" t="s">
        <v>106</v>
      </c>
      <c r="B260" s="53" t="s">
        <v>69</v>
      </c>
      <c r="C260" s="51"/>
      <c r="D260" s="55" t="s">
        <v>30</v>
      </c>
      <c r="E260" s="52" t="s">
        <v>49</v>
      </c>
      <c r="F260" s="126"/>
      <c r="G260" s="159"/>
      <c r="H260" s="161"/>
      <c r="I260" s="226">
        <f>IF(INDEX(TMS,ROW(Input!B$20)-5,COLUMN()-2)=0,0,INDEX(TMS,ROW(Input!B$14)-5,COLUMN()-2)/INDEX(TMS,ROW(Input!B$20)-5,COLUMN()-2)*1000)</f>
        <v>8.5873414487722375</v>
      </c>
      <c r="J260" s="226"/>
      <c r="K260" s="486"/>
      <c r="L260" s="113"/>
      <c r="M260" s="162"/>
      <c r="N260" s="162"/>
      <c r="O260" s="162"/>
      <c r="Q260" s="5"/>
    </row>
    <row r="261" spans="1:17" s="53" customFormat="1">
      <c r="A261" s="53" t="s">
        <v>106</v>
      </c>
      <c r="B261" s="53" t="s">
        <v>69</v>
      </c>
      <c r="C261" s="51"/>
      <c r="D261" s="55" t="s">
        <v>30</v>
      </c>
      <c r="E261" s="52" t="s">
        <v>50</v>
      </c>
      <c r="F261" s="126"/>
      <c r="G261" s="159"/>
      <c r="H261" s="161"/>
      <c r="I261" s="226">
        <f>IF(INDEX(NWT,ROW(Input!B$20)-5,COLUMN()-2)=0,0,INDEX(NWT,ROW(Input!B$14)-5,COLUMN()-2)/INDEX(NWT,ROW(Input!B$20)-5,COLUMN()-2)*1000)</f>
        <v>4.9188881150151103</v>
      </c>
      <c r="J261" s="226"/>
      <c r="K261" s="486"/>
      <c r="L261" s="113"/>
      <c r="M261" s="162"/>
      <c r="N261" s="162"/>
      <c r="O261" s="162"/>
      <c r="Q261" s="5"/>
    </row>
    <row r="262" spans="1:17" s="53" customFormat="1">
      <c r="A262" s="53" t="s">
        <v>106</v>
      </c>
      <c r="B262" s="53" t="s">
        <v>69</v>
      </c>
      <c r="C262" s="51"/>
      <c r="D262" s="55" t="s">
        <v>30</v>
      </c>
      <c r="E262" s="52" t="s">
        <v>51</v>
      </c>
      <c r="F262" s="126"/>
      <c r="G262" s="159"/>
      <c r="H262" s="161"/>
      <c r="I262" s="226">
        <f>IF(INDEX(WSX,ROW(Input!B$20)-5,COLUMN()-2)=0,0,INDEX(WSX,ROW(Input!B$14)-5,COLUMN()-2)/INDEX(WSX,ROW(Input!B$20)-5,COLUMN()-2)*1000)</f>
        <v>4.8759997144532843</v>
      </c>
      <c r="J262" s="226"/>
      <c r="K262" s="486"/>
      <c r="L262" s="113"/>
      <c r="M262" s="162"/>
      <c r="N262" s="162"/>
      <c r="O262" s="162"/>
      <c r="Q262" s="5"/>
    </row>
    <row r="263" spans="1:17" s="53" customFormat="1">
      <c r="A263" s="53" t="s">
        <v>106</v>
      </c>
      <c r="B263" s="53" t="s">
        <v>69</v>
      </c>
      <c r="C263" s="51"/>
      <c r="D263" s="55" t="s">
        <v>30</v>
      </c>
      <c r="E263" s="52" t="s">
        <v>52</v>
      </c>
      <c r="F263" s="126"/>
      <c r="G263" s="159"/>
      <c r="H263" s="161"/>
      <c r="I263" s="226">
        <f>IF(INDEX(YKY,ROW(Input!B$20)-5,COLUMN()-2)=0,0,INDEX(YKY,ROW(Input!B$14)-5,COLUMN()-2)/INDEX(YKY,ROW(Input!B$20)-5,COLUMN()-2)*1000)</f>
        <v>5.3841437660865106</v>
      </c>
      <c r="J263" s="226"/>
      <c r="K263" s="486"/>
      <c r="L263" s="113"/>
      <c r="M263" s="162"/>
      <c r="N263" s="162"/>
      <c r="O263" s="162"/>
      <c r="Q263" s="5"/>
    </row>
    <row r="264" spans="1:17" s="53" customFormat="1">
      <c r="A264" s="53" t="s">
        <v>106</v>
      </c>
      <c r="B264" s="53" t="s">
        <v>69</v>
      </c>
      <c r="C264" s="51"/>
      <c r="D264" s="55" t="s">
        <v>30</v>
      </c>
      <c r="E264" s="52" t="s">
        <v>53</v>
      </c>
      <c r="F264" s="126"/>
      <c r="G264" s="159"/>
      <c r="H264" s="161"/>
      <c r="I264" s="226">
        <f>IF(INDEX(AFW,ROW(Input!B$20)-5,COLUMN()-2)=0,0,INDEX(AFW,ROW(Input!B$14)-5,COLUMN()-2)/INDEX(AFW,ROW(Input!B$20)-5,COLUMN()-2)*1000)</f>
        <v>8.1881316570510432</v>
      </c>
      <c r="J264" s="226"/>
      <c r="K264" s="486"/>
      <c r="L264" s="113"/>
      <c r="M264" s="162"/>
      <c r="N264" s="162"/>
      <c r="O264" s="162"/>
      <c r="Q264" s="5"/>
    </row>
    <row r="265" spans="1:17" s="53" customFormat="1">
      <c r="A265" s="53" t="s">
        <v>106</v>
      </c>
      <c r="B265" s="53" t="s">
        <v>69</v>
      </c>
      <c r="C265" s="51"/>
      <c r="D265" s="55" t="s">
        <v>30</v>
      </c>
      <c r="E265" s="52" t="s">
        <v>54</v>
      </c>
      <c r="F265" s="126"/>
      <c r="G265" s="159"/>
      <c r="H265" s="161"/>
      <c r="I265" s="226">
        <f>IF(INDEX(BRL,ROW(Input!B$20)-5,COLUMN()-2)=0,0,INDEX(BRL,ROW(Input!B$14)-5,COLUMN()-2)/INDEX(BRL,ROW(Input!B$20)-5,COLUMN()-2)*1000)</f>
        <v>7.5675713627593524</v>
      </c>
      <c r="J265" s="226"/>
      <c r="K265" s="486"/>
      <c r="L265" s="113"/>
      <c r="M265" s="162"/>
      <c r="N265" s="162"/>
      <c r="O265" s="162"/>
      <c r="Q265" s="5"/>
    </row>
    <row r="266" spans="1:17" s="53" customFormat="1">
      <c r="A266" s="53" t="s">
        <v>106</v>
      </c>
      <c r="B266" s="53" t="s">
        <v>69</v>
      </c>
      <c r="C266" s="51"/>
      <c r="D266" s="55" t="s">
        <v>30</v>
      </c>
      <c r="E266" s="52" t="s">
        <v>66</v>
      </c>
      <c r="F266" s="126"/>
      <c r="G266" s="159"/>
      <c r="H266" s="161"/>
      <c r="I266" s="226">
        <f>IF(INDEX(SSC,ROW(Input!B$20)-5,COLUMN()-2)=0,0,INDEX(SSC,ROW(Input!B$14)-5,COLUMN()-2)/INDEX(SSC,ROW(Input!B$20)-5,COLUMN()-2)*1000)</f>
        <v>5.0536366976957083</v>
      </c>
      <c r="J266" s="226"/>
      <c r="K266" s="486"/>
      <c r="L266" s="113"/>
      <c r="M266" s="162"/>
      <c r="N266" s="162"/>
      <c r="O266" s="162"/>
      <c r="Q266" s="5"/>
    </row>
    <row r="267" spans="1:17" s="53" customFormat="1">
      <c r="A267" s="53" t="s">
        <v>106</v>
      </c>
      <c r="B267" s="53" t="s">
        <v>69</v>
      </c>
      <c r="C267" s="51"/>
      <c r="D267" s="55" t="s">
        <v>30</v>
      </c>
      <c r="E267" s="52" t="s">
        <v>55</v>
      </c>
      <c r="F267" s="126"/>
      <c r="G267" s="159"/>
      <c r="H267" s="161"/>
      <c r="I267" s="226">
        <f>IF(INDEX(DVW,ROW(Input!B$20)-5,COLUMN()-2)=0,0,INDEX(DVW,ROW(Input!B$14)-5,COLUMN()-2)/INDEX(DVW,ROW(Input!B$20)-5,COLUMN()-2)*1000)</f>
        <v>3.0099939799317807</v>
      </c>
      <c r="J267" s="226"/>
      <c r="K267" s="486"/>
      <c r="L267" s="113"/>
      <c r="M267" s="162"/>
      <c r="N267" s="162"/>
      <c r="O267" s="162"/>
      <c r="Q267" s="5"/>
    </row>
    <row r="268" spans="1:17" s="53" customFormat="1">
      <c r="A268" s="53" t="s">
        <v>106</v>
      </c>
      <c r="B268" s="53" t="s">
        <v>69</v>
      </c>
      <c r="C268" s="51"/>
      <c r="D268" s="55" t="s">
        <v>30</v>
      </c>
      <c r="E268" s="52" t="s">
        <v>56</v>
      </c>
      <c r="F268" s="126"/>
      <c r="G268" s="159"/>
      <c r="H268" s="161"/>
      <c r="I268" s="226">
        <f>IF(INDEX(PRT,ROW(Input!B$20)-5,COLUMN()-2)=0,0,INDEX(PRT,ROW(Input!B$14)-5,COLUMN()-2)/INDEX(PRT,ROW(Input!B$20)-5,COLUMN()-2)*1000)</f>
        <v>4.3172334336399372</v>
      </c>
      <c r="J268" s="226"/>
      <c r="K268" s="486"/>
      <c r="L268" s="113"/>
      <c r="M268" s="162"/>
      <c r="N268" s="162"/>
      <c r="O268" s="162"/>
      <c r="Q268" s="5"/>
    </row>
    <row r="269" spans="1:17" s="53" customFormat="1">
      <c r="A269" s="53" t="s">
        <v>106</v>
      </c>
      <c r="B269" s="53" t="s">
        <v>69</v>
      </c>
      <c r="C269" s="51"/>
      <c r="D269" s="55" t="s">
        <v>30</v>
      </c>
      <c r="E269" s="52" t="s">
        <v>57</v>
      </c>
      <c r="F269" s="126"/>
      <c r="G269" s="159"/>
      <c r="H269" s="161"/>
      <c r="I269" s="226">
        <f>IF(INDEX(SBW,ROW(Input!B$20)-5,COLUMN()-2)=0,0,INDEX(SBW,ROW(Input!B$14)-5,COLUMN()-2)/INDEX(SBW,ROW(Input!B$20)-5,COLUMN()-2)*1000)</f>
        <v>5.3930980739637997</v>
      </c>
      <c r="J269" s="226"/>
      <c r="K269" s="486"/>
      <c r="L269" s="113"/>
      <c r="M269" s="162"/>
      <c r="N269" s="162"/>
      <c r="O269" s="162"/>
      <c r="Q269" s="5"/>
    </row>
    <row r="270" spans="1:17" s="53" customFormat="1">
      <c r="A270" s="53" t="s">
        <v>106</v>
      </c>
      <c r="B270" s="53" t="s">
        <v>69</v>
      </c>
      <c r="C270" s="51"/>
      <c r="D270" s="55" t="s">
        <v>30</v>
      </c>
      <c r="E270" s="52" t="s">
        <v>58</v>
      </c>
      <c r="F270" s="126"/>
      <c r="G270" s="159"/>
      <c r="H270" s="161"/>
      <c r="I270" s="226">
        <f>IF(INDEX(SEW,ROW(Input!B$20)-5,COLUMN()-2)=0,0,INDEX(SEW,ROW(Input!B$14)-5,COLUMN()-2)/INDEX(SEW,ROW(Input!B$20)-5,COLUMN()-2)*1000)</f>
        <v>7.058812964771529</v>
      </c>
      <c r="J270" s="226"/>
      <c r="K270" s="486"/>
      <c r="L270" s="113"/>
      <c r="M270" s="162"/>
      <c r="N270" s="162"/>
      <c r="O270" s="162"/>
      <c r="Q270" s="5"/>
    </row>
    <row r="271" spans="1:17" s="53" customFormat="1">
      <c r="A271" s="53" t="s">
        <v>106</v>
      </c>
      <c r="B271" s="53" t="s">
        <v>69</v>
      </c>
      <c r="C271" s="51"/>
      <c r="D271" s="55" t="s">
        <v>30</v>
      </c>
      <c r="E271" s="52" t="s">
        <v>59</v>
      </c>
      <c r="F271" s="126"/>
      <c r="G271" s="126"/>
      <c r="H271" s="161"/>
      <c r="I271" s="226">
        <f>IF(INDEX(SES,ROW(Input!B$20)-5,COLUMN()-2)=0,0,INDEX(SES,ROW(Input!B$14)-5,COLUMN()-2)/INDEX(SES,ROW(Input!B$20)-5,COLUMN()-2)*1000)</f>
        <v>7.9342787103421957</v>
      </c>
      <c r="J271" s="226"/>
      <c r="K271" s="486"/>
      <c r="L271" s="113"/>
      <c r="M271" s="162"/>
      <c r="N271" s="162"/>
      <c r="O271" s="162"/>
      <c r="Q271" s="5"/>
    </row>
    <row r="272" spans="1:17" s="53" customFormat="1">
      <c r="C272" s="51"/>
      <c r="D272" s="54"/>
      <c r="E272" s="52"/>
      <c r="F272" s="126"/>
      <c r="G272" s="126"/>
      <c r="H272" s="126"/>
      <c r="I272" s="126"/>
      <c r="J272" s="227"/>
      <c r="K272" s="485"/>
      <c r="L272" s="124"/>
      <c r="M272" s="124"/>
      <c r="N272" s="124"/>
      <c r="O272" s="124"/>
      <c r="Q272" s="5"/>
    </row>
    <row r="273" spans="1:17">
      <c r="A273" s="27"/>
      <c r="B273" s="28"/>
      <c r="C273" s="29"/>
      <c r="D273" s="30"/>
      <c r="E273" s="32" t="s">
        <v>468</v>
      </c>
      <c r="F273" s="31"/>
      <c r="G273" s="31"/>
      <c r="H273" s="31"/>
      <c r="I273" s="31"/>
      <c r="J273" s="472"/>
      <c r="K273" s="480"/>
      <c r="L273" s="31"/>
      <c r="M273" s="31"/>
      <c r="N273" s="31"/>
      <c r="O273" s="31"/>
      <c r="Q273" s="5"/>
    </row>
    <row r="274" spans="1:17" s="53" customFormat="1">
      <c r="C274" s="51"/>
      <c r="D274" s="54" t="s">
        <v>153</v>
      </c>
      <c r="E274" s="52" t="s">
        <v>154</v>
      </c>
      <c r="F274" s="164"/>
      <c r="G274" s="164"/>
      <c r="H274" s="164"/>
      <c r="I274" s="228">
        <f>COUNTIF(I254:I271,"&lt;&gt;0")</f>
        <v>18</v>
      </c>
      <c r="J274" s="227"/>
      <c r="K274" s="485"/>
      <c r="L274" s="154"/>
      <c r="M274" s="154"/>
      <c r="N274" s="154"/>
      <c r="O274" s="154"/>
      <c r="Q274" s="5"/>
    </row>
    <row r="275" spans="1:17" s="53" customFormat="1">
      <c r="A275" s="53" t="s">
        <v>107</v>
      </c>
      <c r="B275" s="53" t="s">
        <v>69</v>
      </c>
      <c r="C275" s="51"/>
      <c r="D275" s="55" t="s">
        <v>30</v>
      </c>
      <c r="E275" s="52" t="s">
        <v>44</v>
      </c>
      <c r="F275" s="125"/>
      <c r="G275" s="125"/>
      <c r="H275" s="125"/>
      <c r="I275" s="226">
        <f>IF(I274=0,0,SUM(I254:I271)/I274)</f>
        <v>5.7909219918625618</v>
      </c>
      <c r="J275" s="226"/>
      <c r="K275" s="486"/>
      <c r="L275" s="113"/>
      <c r="M275" s="113"/>
      <c r="N275" s="113"/>
      <c r="O275" s="113"/>
      <c r="Q275" s="5"/>
    </row>
    <row r="276" spans="1:17" s="53" customFormat="1">
      <c r="C276" s="51"/>
      <c r="D276" s="54"/>
      <c r="E276" s="52"/>
      <c r="F276" s="126"/>
      <c r="G276" s="126"/>
      <c r="H276" s="126"/>
      <c r="I276" s="126"/>
      <c r="J276" s="227"/>
      <c r="K276" s="485"/>
      <c r="L276" s="124"/>
      <c r="M276" s="124"/>
      <c r="N276" s="124"/>
      <c r="O276" s="124"/>
      <c r="Q276" s="5"/>
    </row>
    <row r="277" spans="1:17">
      <c r="A277" s="27"/>
      <c r="B277" s="28"/>
      <c r="C277" s="29"/>
      <c r="D277" s="30"/>
      <c r="E277" s="47" t="s">
        <v>469</v>
      </c>
      <c r="F277" s="31"/>
      <c r="G277" s="31"/>
      <c r="H277" s="31"/>
      <c r="I277" s="31"/>
      <c r="J277" s="472"/>
      <c r="K277" s="480"/>
      <c r="L277" s="31"/>
      <c r="M277" s="31"/>
      <c r="N277" s="31"/>
      <c r="O277" s="31"/>
      <c r="Q277" s="5"/>
    </row>
    <row r="278" spans="1:17" s="53" customFormat="1">
      <c r="A278" s="53" t="s">
        <v>143</v>
      </c>
      <c r="B278" s="53" t="s">
        <v>69</v>
      </c>
      <c r="C278" s="51"/>
      <c r="D278" s="55" t="s">
        <v>30</v>
      </c>
      <c r="E278" s="52" t="s">
        <v>31</v>
      </c>
      <c r="F278" s="125"/>
      <c r="G278" s="125"/>
      <c r="H278" s="125"/>
      <c r="I278" s="125"/>
      <c r="J278" s="226"/>
      <c r="K278" s="493">
        <f>MIN(IF($I254&lt;$I$275,$I$275,$I254-($I254-$I$275)*Input!K$442),IF(INDEX(ANH,ROW(Input!B$20)-5,COLUMN()-2)=0,0,INDEX(ANH,ROW(Input!B$14)-5,COLUMN()-2)/INDEX(ANH,ROW(Input!B$20)-5,COLUMN()-2)*1000))</f>
        <v>2.4799999999999973</v>
      </c>
      <c r="L278" s="176">
        <f>MIN(IF($I254&lt;$I$275,$I$275,$I254-($I254-$I$275)*Input!L$442),IF(INDEX(ANH,ROW(Input!C$20)-5,COLUMN()-2)=0,0,INDEX(ANH,ROW(Input!C$14)-5,COLUMN()-2)/INDEX(ANH,ROW(Input!C$20)-5,COLUMN()-2)*1000))</f>
        <v>2.4800000000000013</v>
      </c>
      <c r="M278" s="176">
        <f>MIN(IF($I254&lt;$I$275,$I$275,$I254-($I254-$I$275)*Input!M$442),IF(INDEX(ANH,ROW(Input!D$20)-5,COLUMN()-2)=0,0,INDEX(ANH,ROW(Input!D$14)-5,COLUMN()-2)/INDEX(ANH,ROW(Input!D$20)-5,COLUMN()-2)*1000))</f>
        <v>2.4800000000000018</v>
      </c>
      <c r="N278" s="176">
        <f>MIN(IF($I254&lt;$I$275,$I$275,$I254-($I254-$I$275)*Input!N$442),IF(INDEX(ANH,ROW(Input!E$20)-5,COLUMN()-2)=0,0,INDEX(ANH,ROW(Input!E$14)-5,COLUMN()-2)/INDEX(ANH,ROW(Input!E$20)-5,COLUMN()-2)*1000))</f>
        <v>2.4799999999999995</v>
      </c>
      <c r="O278" s="176">
        <f>MIN(IF($I254&lt;$I$275,$I$275,$I254-($I254-$I$275)*Input!O$442),IF(INDEX(ANH,ROW(Input!F$20)-5,COLUMN()-2)=0,0,INDEX(ANH,ROW(Input!F$14)-5,COLUMN()-2)/INDEX(ANH,ROW(Input!F$20)-5,COLUMN()-2)*1000))</f>
        <v>2.4799999999999991</v>
      </c>
      <c r="Q278" s="5"/>
    </row>
    <row r="279" spans="1:17" s="53" customFormat="1">
      <c r="A279" s="53" t="s">
        <v>143</v>
      </c>
      <c r="B279" s="53" t="s">
        <v>69</v>
      </c>
      <c r="C279" s="51"/>
      <c r="D279" s="55" t="s">
        <v>30</v>
      </c>
      <c r="E279" s="52" t="s">
        <v>32</v>
      </c>
      <c r="F279" s="126"/>
      <c r="G279" s="126"/>
      <c r="H279" s="125"/>
      <c r="I279" s="125"/>
      <c r="J279" s="226"/>
      <c r="K279" s="493">
        <f>MIN(IF($I255&lt;$I$275,$I$275,$I255-($I255-$I$275)*Input!K$442),IF(INDEX(WSH,ROW(Input!B$20)-5,COLUMN()-2)=0,0,INDEX(WSH,ROW(Input!B$14)-5,COLUMN()-2)/INDEX(WSH,ROW(Input!B$20)-5,COLUMN()-2)*1000))</f>
        <v>7.6700838028609128</v>
      </c>
      <c r="L279" s="176">
        <f>MIN(IF($I255&lt;$I$275,$I$275,$I255-($I255-$I$275)*Input!L$442),IF(INDEX(WSH,ROW(Input!C$20)-5,COLUMN()-2)=0,0,INDEX(WSH,ROW(Input!C$14)-5,COLUMN()-2)/INDEX(WSH,ROW(Input!C$20)-5,COLUMN()-2)*1000))</f>
        <v>7.0623292800822188</v>
      </c>
      <c r="M279" s="176">
        <f>MIN(IF($I255&lt;$I$275,$I$275,$I255-($I255-$I$275)*Input!M$442),IF(INDEX(WSH,ROW(Input!D$20)-5,COLUMN()-2)=0,0,INDEX(WSH,ROW(Input!D$14)-5,COLUMN()-2)/INDEX(WSH,ROW(Input!D$20)-5,COLUMN()-2)*1000))</f>
        <v>6.4266256359723899</v>
      </c>
      <c r="N279" s="176">
        <f>MIN(IF($I255&lt;$I$275,$I$275,$I255-($I255-$I$275)*Input!N$442),IF(INDEX(WSH,ROW(Input!E$20)-5,COLUMN()-2)=0,0,INDEX(WSH,ROW(Input!E$14)-5,COLUMN()-2)/INDEX(WSH,ROW(Input!E$20)-5,COLUMN()-2)*1000))</f>
        <v>5.7909219918625618</v>
      </c>
      <c r="O279" s="176">
        <f>MIN(IF($I255&lt;$I$275,$I$275,$I255-($I255-$I$275)*Input!O$442),IF(INDEX(WSH,ROW(Input!F$20)-5,COLUMN()-2)=0,0,INDEX(WSH,ROW(Input!F$14)-5,COLUMN()-2)/INDEX(WSH,ROW(Input!F$20)-5,COLUMN()-2)*1000))</f>
        <v>5.7909219918625618</v>
      </c>
      <c r="Q279" s="5"/>
    </row>
    <row r="280" spans="1:17" s="53" customFormat="1">
      <c r="A280" s="53" t="s">
        <v>143</v>
      </c>
      <c r="B280" s="53" t="s">
        <v>69</v>
      </c>
      <c r="C280" s="51"/>
      <c r="D280" s="55" t="s">
        <v>30</v>
      </c>
      <c r="E280" s="52" t="s">
        <v>33</v>
      </c>
      <c r="F280" s="126"/>
      <c r="G280" s="126"/>
      <c r="H280" s="125"/>
      <c r="I280" s="125"/>
      <c r="J280" s="226"/>
      <c r="K280" s="493">
        <f>MIN(IF($I256&lt;$I$275,$I$275,$I256-($I256-$I$275)*Input!K$442),IF(INDEX(NES,ROW(Input!B$20)-5,COLUMN()-2)=0,0,INDEX(NES,ROW(Input!B$14)-5,COLUMN()-2)/INDEX(NES,ROW(Input!B$20)-5,COLUMN()-2)*1000))</f>
        <v>2.6514318685578382</v>
      </c>
      <c r="L280" s="176">
        <f>MIN(IF($I256&lt;$I$275,$I$275,$I256-($I256-$I$275)*Input!L$442),IF(INDEX(NES,ROW(Input!C$20)-5,COLUMN()-2)=0,0,INDEX(NES,ROW(Input!C$14)-5,COLUMN()-2)/INDEX(NES,ROW(Input!C$20)-5,COLUMN()-2)*1000))</f>
        <v>2.6514666549333672</v>
      </c>
      <c r="M280" s="176">
        <f>MIN(IF($I256&lt;$I$275,$I$275,$I256-($I256-$I$275)*Input!M$442),IF(INDEX(NES,ROW(Input!D$20)-5,COLUMN()-2)=0,0,INDEX(NES,ROW(Input!D$14)-5,COLUMN()-2)/INDEX(NES,ROW(Input!D$20)-5,COLUMN()-2)*1000))</f>
        <v>2.6527936020183343</v>
      </c>
      <c r="N280" s="176">
        <f>MIN(IF($I256&lt;$I$275,$I$275,$I256-($I256-$I$275)*Input!N$442),IF(INDEX(NES,ROW(Input!E$20)-5,COLUMN()-2)=0,0,INDEX(NES,ROW(Input!E$14)-5,COLUMN()-2)/INDEX(NES,ROW(Input!E$20)-5,COLUMN()-2)*1000))</f>
        <v>2.6528724757031705</v>
      </c>
      <c r="O280" s="176">
        <f>MIN(IF($I256&lt;$I$275,$I$275,$I256-($I256-$I$275)*Input!O$442),IF(INDEX(NES,ROW(Input!F$20)-5,COLUMN()-2)=0,0,INDEX(NES,ROW(Input!F$14)-5,COLUMN()-2)/INDEX(NES,ROW(Input!F$20)-5,COLUMN()-2)*1000))</f>
        <v>2.6527534965118851</v>
      </c>
      <c r="Q280" s="5"/>
    </row>
    <row r="281" spans="1:17" s="53" customFormat="1">
      <c r="A281" s="53" t="s">
        <v>143</v>
      </c>
      <c r="B281" s="53" t="s">
        <v>69</v>
      </c>
      <c r="C281" s="51"/>
      <c r="D281" s="55" t="s">
        <v>30</v>
      </c>
      <c r="E281" s="52" t="s">
        <v>46</v>
      </c>
      <c r="F281" s="126"/>
      <c r="G281" s="126"/>
      <c r="H281" s="125"/>
      <c r="I281" s="125"/>
      <c r="J281" s="226"/>
      <c r="K281" s="493">
        <f>MIN(IF($I257&lt;$I$275,$I$275,$I257-($I257-$I$275)*Input!K$442),IF(INDEX(SVT,ROW(Input!B$20)-5,COLUMN()-2)=0,0,INDEX(SVT,ROW(Input!B$14)-5,COLUMN()-2)/INDEX(SVT,ROW(Input!B$20)-5,COLUMN()-2)*1000))</f>
        <v>7.1922482049055994</v>
      </c>
      <c r="L281" s="176">
        <f>MIN(IF($I257&lt;$I$275,$I$275,$I257-($I257-$I$275)*Input!L$442),IF(INDEX(SVT,ROW(Input!C$20)-5,COLUMN()-2)=0,0,INDEX(SVT,ROW(Input!C$14)-5,COLUMN()-2)/INDEX(SVT,ROW(Input!C$20)-5,COLUMN()-2)*1000))</f>
        <v>6.793656300402219</v>
      </c>
      <c r="M281" s="176">
        <f>MIN(IF($I257&lt;$I$275,$I$275,$I257-($I257-$I$275)*Input!M$442),IF(INDEX(SVT,ROW(Input!D$20)-5,COLUMN()-2)=0,0,INDEX(SVT,ROW(Input!D$14)-5,COLUMN()-2)/INDEX(SVT,ROW(Input!D$20)-5,COLUMN()-2)*1000))</f>
        <v>6.29228914613239</v>
      </c>
      <c r="N281" s="176">
        <f>MIN(IF($I257&lt;$I$275,$I$275,$I257-($I257-$I$275)*Input!N$442),IF(INDEX(SVT,ROW(Input!E$20)-5,COLUMN()-2)=0,0,INDEX(SVT,ROW(Input!E$14)-5,COLUMN()-2)/INDEX(SVT,ROW(Input!E$20)-5,COLUMN()-2)*1000))</f>
        <v>5.7909219918625618</v>
      </c>
      <c r="O281" s="176">
        <f>MIN(IF($I257&lt;$I$275,$I$275,$I257-($I257-$I$275)*Input!O$442),IF(INDEX(SVT,ROW(Input!F$20)-5,COLUMN()-2)=0,0,INDEX(SVT,ROW(Input!F$14)-5,COLUMN()-2)/INDEX(SVT,ROW(Input!F$20)-5,COLUMN()-2)*1000))</f>
        <v>5.7909219918625618</v>
      </c>
      <c r="Q281" s="5"/>
    </row>
    <row r="282" spans="1:17" s="53" customFormat="1">
      <c r="A282" s="53" t="s">
        <v>143</v>
      </c>
      <c r="B282" s="53" t="s">
        <v>69</v>
      </c>
      <c r="C282" s="51"/>
      <c r="D282" s="55" t="s">
        <v>30</v>
      </c>
      <c r="E282" s="52" t="s">
        <v>47</v>
      </c>
      <c r="F282" s="126"/>
      <c r="G282" s="126"/>
      <c r="H282" s="125"/>
      <c r="I282" s="125"/>
      <c r="J282" s="226"/>
      <c r="K282" s="493">
        <f>MIN(IF($I258&lt;$I$275,$I$275,$I258-($I258-$I$275)*Input!K$442),IF(INDEX(SWT,ROW(Input!B$20)-5,COLUMN()-2)=0,0,INDEX(SWT,ROW(Input!B$14)-5,COLUMN()-2)/INDEX(SWT,ROW(Input!B$20)-5,COLUMN()-2)*1000))</f>
        <v>2.7642490456759261</v>
      </c>
      <c r="L282" s="176">
        <f>MIN(IF($I258&lt;$I$275,$I$275,$I258-($I258-$I$275)*Input!L$442),IF(INDEX(SWT,ROW(Input!C$20)-5,COLUMN()-2)=0,0,INDEX(SWT,ROW(Input!C$14)-5,COLUMN()-2)/INDEX(SWT,ROW(Input!C$20)-5,COLUMN()-2)*1000))</f>
        <v>2.7636454996545452</v>
      </c>
      <c r="M282" s="176">
        <f>MIN(IF($I258&lt;$I$275,$I$275,$I258-($I258-$I$275)*Input!M$442),IF(INDEX(SWT,ROW(Input!D$20)-5,COLUMN()-2)=0,0,INDEX(SWT,ROW(Input!D$14)-5,COLUMN()-2)/INDEX(SWT,ROW(Input!D$20)-5,COLUMN()-2)*1000))</f>
        <v>2.7913677702074002</v>
      </c>
      <c r="N282" s="176">
        <f>MIN(IF($I258&lt;$I$275,$I$275,$I258-($I258-$I$275)*Input!N$442),IF(INDEX(SWT,ROW(Input!E$20)-5,COLUMN()-2)=0,0,INDEX(SWT,ROW(Input!E$14)-5,COLUMN()-2)/INDEX(SWT,ROW(Input!E$20)-5,COLUMN()-2)*1000))</f>
        <v>2.7883178107393372</v>
      </c>
      <c r="O282" s="176">
        <f>MIN(IF($I258&lt;$I$275,$I$275,$I258-($I258-$I$275)*Input!O$442),IF(INDEX(SWT,ROW(Input!F$20)-5,COLUMN()-2)=0,0,INDEX(SWT,ROW(Input!F$14)-5,COLUMN()-2)/INDEX(SWT,ROW(Input!F$20)-5,COLUMN()-2)*1000))</f>
        <v>2.6751241036955338</v>
      </c>
      <c r="Q282" s="5"/>
    </row>
    <row r="283" spans="1:17" s="53" customFormat="1">
      <c r="A283" s="53" t="s">
        <v>143</v>
      </c>
      <c r="B283" s="53" t="s">
        <v>69</v>
      </c>
      <c r="C283" s="51"/>
      <c r="D283" s="55" t="s">
        <v>30</v>
      </c>
      <c r="E283" s="52" t="s">
        <v>48</v>
      </c>
      <c r="F283" s="126"/>
      <c r="G283" s="126"/>
      <c r="H283" s="125"/>
      <c r="I283" s="125"/>
      <c r="J283" s="226"/>
      <c r="K283" s="493">
        <f>MIN(IF($I259&lt;$I$275,$I$275,$I259-($I259-$I$275)*Input!K$442),IF(INDEX(SRN,ROW(Input!B$20)-5,COLUMN()-2)=0,0,INDEX(SRN,ROW(Input!B$14)-5,COLUMN()-2)/INDEX(SRN,ROW(Input!B$20)-5,COLUMN()-2)*1000))</f>
        <v>3.6614721228020306</v>
      </c>
      <c r="L283" s="176">
        <f>MIN(IF($I259&lt;$I$275,$I$275,$I259-($I259-$I$275)*Input!L$442),IF(INDEX(SRN,ROW(Input!C$20)-5,COLUMN()-2)=0,0,INDEX(SRN,ROW(Input!C$14)-5,COLUMN()-2)/INDEX(SRN,ROW(Input!C$20)-5,COLUMN()-2)*1000))</f>
        <v>3.6643746381084239</v>
      </c>
      <c r="M283" s="176">
        <f>MIN(IF($I259&lt;$I$275,$I$275,$I259-($I259-$I$275)*Input!M$442),IF(INDEX(SRN,ROW(Input!D$20)-5,COLUMN()-2)=0,0,INDEX(SRN,ROW(Input!D$14)-5,COLUMN()-2)/INDEX(SRN,ROW(Input!D$20)-5,COLUMN()-2)*1000))</f>
        <v>3.3665949303914253</v>
      </c>
      <c r="N283" s="176">
        <f>MIN(IF($I259&lt;$I$275,$I$275,$I259-($I259-$I$275)*Input!N$442),IF(INDEX(SRN,ROW(Input!E$20)-5,COLUMN()-2)=0,0,INDEX(SRN,ROW(Input!E$14)-5,COLUMN()-2)/INDEX(SRN,ROW(Input!E$20)-5,COLUMN()-2)*1000))</f>
        <v>3.3651325159026042</v>
      </c>
      <c r="O283" s="176">
        <f>MIN(IF($I259&lt;$I$275,$I$275,$I259-($I259-$I$275)*Input!O$442),IF(INDEX(SRN,ROW(Input!F$20)-5,COLUMN()-2)=0,0,INDEX(SRN,ROW(Input!F$14)-5,COLUMN()-2)/INDEX(SRN,ROW(Input!F$20)-5,COLUMN()-2)*1000))</f>
        <v>3.1468435208669021</v>
      </c>
      <c r="Q283" s="5"/>
    </row>
    <row r="284" spans="1:17" s="53" customFormat="1">
      <c r="A284" s="53" t="s">
        <v>143</v>
      </c>
      <c r="B284" s="53" t="s">
        <v>69</v>
      </c>
      <c r="C284" s="51"/>
      <c r="D284" s="55" t="s">
        <v>30</v>
      </c>
      <c r="E284" s="52" t="s">
        <v>49</v>
      </c>
      <c r="F284" s="126"/>
      <c r="G284" s="126"/>
      <c r="H284" s="125"/>
      <c r="I284" s="125"/>
      <c r="J284" s="226"/>
      <c r="K284" s="493">
        <f>MIN(IF($I260&lt;$I$275,$I$275,$I260-($I260-$I$275)*Input!K$442),IF(INDEX(TMS,ROW(Input!B$20)-5,COLUMN()-2)=0,0,INDEX(TMS,ROW(Input!B$14)-5,COLUMN()-2)/INDEX(TMS,ROW(Input!B$20)-5,COLUMN()-2)*1000))</f>
        <v>7.8882365845448188</v>
      </c>
      <c r="L284" s="176">
        <f>MIN(IF($I260&lt;$I$275,$I$275,$I260-($I260-$I$275)*Input!L$442),IF(INDEX(TMS,ROW(Input!C$20)-5,COLUMN()-2)=0,0,INDEX(TMS,ROW(Input!C$14)-5,COLUMN()-2)/INDEX(TMS,ROW(Input!C$20)-5,COLUMN()-2)*1000))</f>
        <v>7.1891317203174001</v>
      </c>
      <c r="M284" s="176">
        <f>MIN(IF($I260&lt;$I$275,$I$275,$I260-($I260-$I$275)*Input!M$442),IF(INDEX(TMS,ROW(Input!D$20)-5,COLUMN()-2)=0,0,INDEX(TMS,ROW(Input!D$14)-5,COLUMN()-2)/INDEX(TMS,ROW(Input!D$20)-5,COLUMN()-2)*1000))</f>
        <v>6.4900268560899805</v>
      </c>
      <c r="N284" s="176">
        <f>MIN(IF($I260&lt;$I$275,$I$275,$I260-($I260-$I$275)*Input!N$442),IF(INDEX(TMS,ROW(Input!E$20)-5,COLUMN()-2)=0,0,INDEX(TMS,ROW(Input!E$14)-5,COLUMN()-2)/INDEX(TMS,ROW(Input!E$20)-5,COLUMN()-2)*1000))</f>
        <v>5.7909219918625618</v>
      </c>
      <c r="O284" s="176">
        <f>MIN(IF($I260&lt;$I$275,$I$275,$I260-($I260-$I$275)*Input!O$442),IF(INDEX(TMS,ROW(Input!F$20)-5,COLUMN()-2)=0,0,INDEX(TMS,ROW(Input!F$14)-5,COLUMN()-2)/INDEX(TMS,ROW(Input!F$20)-5,COLUMN()-2)*1000))</f>
        <v>5.7909219918625618</v>
      </c>
      <c r="Q284" s="5"/>
    </row>
    <row r="285" spans="1:17" s="53" customFormat="1">
      <c r="A285" s="53" t="s">
        <v>143</v>
      </c>
      <c r="B285" s="53" t="s">
        <v>69</v>
      </c>
      <c r="C285" s="51"/>
      <c r="D285" s="55" t="s">
        <v>30</v>
      </c>
      <c r="E285" s="52" t="s">
        <v>50</v>
      </c>
      <c r="F285" s="126"/>
      <c r="G285" s="126"/>
      <c r="H285" s="125"/>
      <c r="I285" s="125"/>
      <c r="J285" s="226"/>
      <c r="K285" s="493">
        <f>MIN(IF($I261&lt;$I$275,$I$275,$I261-($I261-$I$275)*Input!K$442),IF(INDEX(NWT,ROW(Input!B$20)-5,COLUMN()-2)=0,0,INDEX(NWT,ROW(Input!B$14)-5,COLUMN()-2)/INDEX(NWT,ROW(Input!B$20)-5,COLUMN()-2)*1000))</f>
        <v>5.7909219918625618</v>
      </c>
      <c r="L285" s="176">
        <f>MIN(IF($I261&lt;$I$275,$I$275,$I261-($I261-$I$275)*Input!L$442),IF(INDEX(NWT,ROW(Input!C$20)-5,COLUMN()-2)=0,0,INDEX(NWT,ROW(Input!C$14)-5,COLUMN()-2)/INDEX(NWT,ROW(Input!C$20)-5,COLUMN()-2)*1000))</f>
        <v>5.7909219918625618</v>
      </c>
      <c r="M285" s="176">
        <f>MIN(IF($I261&lt;$I$275,$I$275,$I261-($I261-$I$275)*Input!M$442),IF(INDEX(NWT,ROW(Input!D$20)-5,COLUMN()-2)=0,0,INDEX(NWT,ROW(Input!D$14)-5,COLUMN()-2)/INDEX(NWT,ROW(Input!D$20)-5,COLUMN()-2)*1000))</f>
        <v>5.7233698300257787</v>
      </c>
      <c r="N285" s="176">
        <f>MIN(IF($I261&lt;$I$275,$I$275,$I261-($I261-$I$275)*Input!N$442),IF(INDEX(NWT,ROW(Input!E$20)-5,COLUMN()-2)=0,0,INDEX(NWT,ROW(Input!E$14)-5,COLUMN()-2)/INDEX(NWT,ROW(Input!E$20)-5,COLUMN()-2)*1000))</f>
        <v>5.0994381952840211</v>
      </c>
      <c r="O285" s="176">
        <f>MIN(IF($I261&lt;$I$275,$I$275,$I261-($I261-$I$275)*Input!O$442),IF(INDEX(NWT,ROW(Input!F$20)-5,COLUMN()-2)=0,0,INDEX(NWT,ROW(Input!F$14)-5,COLUMN()-2)/INDEX(NWT,ROW(Input!F$20)-5,COLUMN()-2)*1000))</f>
        <v>4.6903623031529387</v>
      </c>
      <c r="Q285" s="5"/>
    </row>
    <row r="286" spans="1:17" s="53" customFormat="1">
      <c r="A286" s="53" t="s">
        <v>143</v>
      </c>
      <c r="B286" s="53" t="s">
        <v>69</v>
      </c>
      <c r="C286" s="51"/>
      <c r="D286" s="55" t="s">
        <v>30</v>
      </c>
      <c r="E286" s="52" t="s">
        <v>51</v>
      </c>
      <c r="F286" s="126"/>
      <c r="G286" s="126"/>
      <c r="H286" s="125"/>
      <c r="I286" s="125"/>
      <c r="J286" s="226"/>
      <c r="K286" s="493">
        <f>MIN(IF($I262&lt;$I$275,$I$275,$I262-($I262-$I$275)*Input!K$442),IF(INDEX(WSX,ROW(Input!B$20)-5,COLUMN()-2)=0,0,INDEX(WSX,ROW(Input!B$14)-5,COLUMN()-2)/INDEX(WSX,ROW(Input!B$20)-5,COLUMN()-2)*1000))</f>
        <v>4.8759997144532843</v>
      </c>
      <c r="L286" s="176">
        <f>MIN(IF($I262&lt;$I$275,$I$275,$I262-($I262-$I$275)*Input!L$442),IF(INDEX(WSX,ROW(Input!C$20)-5,COLUMN()-2)=0,0,INDEX(WSX,ROW(Input!C$14)-5,COLUMN()-2)/INDEX(WSX,ROW(Input!C$20)-5,COLUMN()-2)*1000))</f>
        <v>4.8759997144532843</v>
      </c>
      <c r="M286" s="176">
        <f>MIN(IF($I262&lt;$I$275,$I$275,$I262-($I262-$I$275)*Input!M$442),IF(INDEX(WSX,ROW(Input!D$20)-5,COLUMN()-2)=0,0,INDEX(WSX,ROW(Input!D$14)-5,COLUMN()-2)/INDEX(WSX,ROW(Input!D$20)-5,COLUMN()-2)*1000))</f>
        <v>4.8759997144532843</v>
      </c>
      <c r="N286" s="176">
        <f>MIN(IF($I262&lt;$I$275,$I$275,$I262-($I262-$I$275)*Input!N$442),IF(INDEX(WSX,ROW(Input!E$20)-5,COLUMN()-2)=0,0,INDEX(WSX,ROW(Input!E$14)-5,COLUMN()-2)/INDEX(WSX,ROW(Input!E$20)-5,COLUMN()-2)*1000))</f>
        <v>4.8759997144532843</v>
      </c>
      <c r="O286" s="176">
        <f>MIN(IF($I262&lt;$I$275,$I$275,$I262-($I262-$I$275)*Input!O$442),IF(INDEX(WSX,ROW(Input!F$20)-5,COLUMN()-2)=0,0,INDEX(WSX,ROW(Input!F$14)-5,COLUMN()-2)/INDEX(WSX,ROW(Input!F$20)-5,COLUMN()-2)*1000))</f>
        <v>4.8759997144532843</v>
      </c>
      <c r="Q286" s="5"/>
    </row>
    <row r="287" spans="1:17" s="53" customFormat="1">
      <c r="A287" s="53" t="s">
        <v>143</v>
      </c>
      <c r="B287" s="53" t="s">
        <v>69</v>
      </c>
      <c r="C287" s="51"/>
      <c r="D287" s="55" t="s">
        <v>30</v>
      </c>
      <c r="E287" s="52" t="s">
        <v>52</v>
      </c>
      <c r="F287" s="126"/>
      <c r="G287" s="126"/>
      <c r="H287" s="125"/>
      <c r="I287" s="125"/>
      <c r="J287" s="226"/>
      <c r="K287" s="493">
        <f>MIN(IF($I263&lt;$I$275,$I$275,$I263-($I263-$I$275)*Input!K$442),IF(INDEX(YKY,ROW(Input!B$20)-5,COLUMN()-2)=0,0,INDEX(YKY,ROW(Input!B$14)-5,COLUMN()-2)/INDEX(YKY,ROW(Input!B$20)-5,COLUMN()-2)*1000))</f>
        <v>4.8204078201361344</v>
      </c>
      <c r="L287" s="176">
        <f>MIN(IF($I263&lt;$I$275,$I$275,$I263-($I263-$I$275)*Input!L$442),IF(INDEX(YKY,ROW(Input!C$20)-5,COLUMN()-2)=0,0,INDEX(YKY,ROW(Input!C$14)-5,COLUMN()-2)/INDEX(YKY,ROW(Input!C$20)-5,COLUMN()-2)*1000))</f>
        <v>4.808151653420266</v>
      </c>
      <c r="M287" s="176">
        <f>MIN(IF($I263&lt;$I$275,$I$275,$I263-($I263-$I$275)*Input!M$442),IF(INDEX(YKY,ROW(Input!D$20)-5,COLUMN()-2)=0,0,INDEX(YKY,ROW(Input!D$14)-5,COLUMN()-2)/INDEX(YKY,ROW(Input!D$20)-5,COLUMN()-2)*1000))</f>
        <v>4.8174718521047737</v>
      </c>
      <c r="N287" s="176">
        <f>MIN(IF($I263&lt;$I$275,$I$275,$I263-($I263-$I$275)*Input!N$442),IF(INDEX(YKY,ROW(Input!E$20)-5,COLUMN()-2)=0,0,INDEX(YKY,ROW(Input!E$14)-5,COLUMN()-2)/INDEX(YKY,ROW(Input!E$20)-5,COLUMN()-2)*1000))</f>
        <v>4.8413895250374548</v>
      </c>
      <c r="O287" s="176">
        <f>MIN(IF($I263&lt;$I$275,$I$275,$I263-($I263-$I$275)*Input!O$442),IF(INDEX(YKY,ROW(Input!F$20)-5,COLUMN()-2)=0,0,INDEX(YKY,ROW(Input!F$14)-5,COLUMN()-2)/INDEX(YKY,ROW(Input!F$20)-5,COLUMN()-2)*1000))</f>
        <v>4.9045153958813525</v>
      </c>
      <c r="Q287" s="5"/>
    </row>
    <row r="288" spans="1:17" s="53" customFormat="1">
      <c r="A288" s="53" t="s">
        <v>143</v>
      </c>
      <c r="B288" s="53" t="s">
        <v>69</v>
      </c>
      <c r="C288" s="51"/>
      <c r="D288" s="55" t="s">
        <v>30</v>
      </c>
      <c r="E288" s="52" t="s">
        <v>53</v>
      </c>
      <c r="F288" s="126"/>
      <c r="G288" s="126"/>
      <c r="H288" s="125"/>
      <c r="I288" s="125"/>
      <c r="J288" s="226"/>
      <c r="K288" s="493">
        <f>MIN(IF($I264&lt;$I$275,$I$275,$I264-($I264-$I$275)*Input!K$442),IF(INDEX(AFW,ROW(Input!B$20)-5,COLUMN()-2)=0,0,INDEX(AFW,ROW(Input!B$14)-5,COLUMN()-2)/INDEX(AFW,ROW(Input!B$20)-5,COLUMN()-2)*1000))</f>
        <v>7.5888292407539231</v>
      </c>
      <c r="L288" s="176">
        <f>MIN(IF($I264&lt;$I$275,$I$275,$I264-($I264-$I$275)*Input!L$442),IF(INDEX(AFW,ROW(Input!C$20)-5,COLUMN()-2)=0,0,INDEX(AFW,ROW(Input!C$14)-5,COLUMN()-2)/INDEX(AFW,ROW(Input!C$20)-5,COLUMN()-2)*1000))</f>
        <v>6.989526824456803</v>
      </c>
      <c r="M288" s="176">
        <f>MIN(IF($I264&lt;$I$275,$I$275,$I264-($I264-$I$275)*Input!M$442),IF(INDEX(AFW,ROW(Input!D$20)-5,COLUMN()-2)=0,0,INDEX(AFW,ROW(Input!D$14)-5,COLUMN()-2)/INDEX(AFW,ROW(Input!D$20)-5,COLUMN()-2)*1000))</f>
        <v>6.390224408159682</v>
      </c>
      <c r="N288" s="176">
        <f>MIN(IF($I264&lt;$I$275,$I$275,$I264-($I264-$I$275)*Input!N$442),IF(INDEX(AFW,ROW(Input!E$20)-5,COLUMN()-2)=0,0,INDEX(AFW,ROW(Input!E$14)-5,COLUMN()-2)/INDEX(AFW,ROW(Input!E$20)-5,COLUMN()-2)*1000))</f>
        <v>5.7909219918625618</v>
      </c>
      <c r="O288" s="176">
        <f>MIN(IF($I264&lt;$I$275,$I$275,$I264-($I264-$I$275)*Input!O$442),IF(INDEX(AFW,ROW(Input!F$20)-5,COLUMN()-2)=0,0,INDEX(AFW,ROW(Input!F$14)-5,COLUMN()-2)/INDEX(AFW,ROW(Input!F$20)-5,COLUMN()-2)*1000))</f>
        <v>5.7909219918625618</v>
      </c>
      <c r="Q288" s="5"/>
    </row>
    <row r="289" spans="1:17" s="53" customFormat="1">
      <c r="A289" s="53" t="s">
        <v>143</v>
      </c>
      <c r="B289" s="53" t="s">
        <v>69</v>
      </c>
      <c r="C289" s="51"/>
      <c r="D289" s="55" t="s">
        <v>30</v>
      </c>
      <c r="E289" s="52" t="s">
        <v>54</v>
      </c>
      <c r="F289" s="126"/>
      <c r="G289" s="126"/>
      <c r="H289" s="125"/>
      <c r="I289" s="125"/>
      <c r="J289" s="226"/>
      <c r="K289" s="493">
        <f>MIN(IF($I265&lt;$I$275,$I$275,$I265-($I265-$I$275)*Input!K$442),IF(INDEX(BRL,ROW(Input!B$20)-5,COLUMN()-2)=0,0,INDEX(BRL,ROW(Input!B$14)-5,COLUMN()-2)/INDEX(BRL,ROW(Input!B$20)-5,COLUMN()-2)*1000))</f>
        <v>7.1234090200351545</v>
      </c>
      <c r="L289" s="176">
        <f>MIN(IF($I265&lt;$I$275,$I$275,$I265-($I265-$I$275)*Input!L$442),IF(INDEX(BRL,ROW(Input!C$20)-5,COLUMN()-2)=0,0,INDEX(BRL,ROW(Input!C$14)-5,COLUMN()-2)/INDEX(BRL,ROW(Input!C$20)-5,COLUMN()-2)*1000))</f>
        <v>6.6792466773109567</v>
      </c>
      <c r="M289" s="176">
        <f>MIN(IF($I265&lt;$I$275,$I$275,$I265-($I265-$I$275)*Input!M$442),IF(INDEX(BRL,ROW(Input!D$20)-5,COLUMN()-2)=0,0,INDEX(BRL,ROW(Input!D$14)-5,COLUMN()-2)/INDEX(BRL,ROW(Input!D$20)-5,COLUMN()-2)*1000))</f>
        <v>6.2350843345867597</v>
      </c>
      <c r="N289" s="176">
        <f>MIN(IF($I265&lt;$I$275,$I$275,$I265-($I265-$I$275)*Input!N$442),IF(INDEX(BRL,ROW(Input!E$20)-5,COLUMN()-2)=0,0,INDEX(BRL,ROW(Input!E$14)-5,COLUMN()-2)/INDEX(BRL,ROW(Input!E$20)-5,COLUMN()-2)*1000))</f>
        <v>5.7909219918625618</v>
      </c>
      <c r="O289" s="176">
        <f>MIN(IF($I265&lt;$I$275,$I$275,$I265-($I265-$I$275)*Input!O$442),IF(INDEX(BRL,ROW(Input!F$20)-5,COLUMN()-2)=0,0,INDEX(BRL,ROW(Input!F$14)-5,COLUMN()-2)/INDEX(BRL,ROW(Input!F$20)-5,COLUMN()-2)*1000))</f>
        <v>5.7909219918625618</v>
      </c>
      <c r="Q289" s="5"/>
    </row>
    <row r="290" spans="1:17" s="53" customFormat="1">
      <c r="A290" s="53" t="s">
        <v>143</v>
      </c>
      <c r="B290" s="53" t="s">
        <v>69</v>
      </c>
      <c r="C290" s="51"/>
      <c r="D290" s="55" t="s">
        <v>30</v>
      </c>
      <c r="E290" s="52" t="s">
        <v>66</v>
      </c>
      <c r="F290" s="126"/>
      <c r="G290" s="126"/>
      <c r="H290" s="125"/>
      <c r="I290" s="125"/>
      <c r="J290" s="226"/>
      <c r="K290" s="493">
        <f>MIN(IF($I266&lt;$I$275,$I$275,$I266-($I266-$I$275)*Input!K$442),IF(INDEX(SSC,ROW(Input!B$20)-5,COLUMN()-2)=0,0,INDEX(SSC,ROW(Input!B$14)-5,COLUMN()-2)/INDEX(SSC,ROW(Input!B$20)-5,COLUMN()-2)*1000))</f>
        <v>5.5940618028052009</v>
      </c>
      <c r="L290" s="176">
        <f>MIN(IF($I266&lt;$I$275,$I$275,$I266-($I266-$I$275)*Input!L$442),IF(INDEX(SSC,ROW(Input!C$20)-5,COLUMN()-2)=0,0,INDEX(SSC,ROW(Input!C$14)-5,COLUMN()-2)/INDEX(SSC,ROW(Input!C$20)-5,COLUMN()-2)*1000))</f>
        <v>5.5955020072050115</v>
      </c>
      <c r="M290" s="176">
        <f>MIN(IF($I266&lt;$I$275,$I$275,$I266-($I266-$I$275)*Input!M$442),IF(INDEX(SSC,ROW(Input!D$20)-5,COLUMN()-2)=0,0,INDEX(SSC,ROW(Input!D$14)-5,COLUMN()-2)/INDEX(SSC,ROW(Input!D$20)-5,COLUMN()-2)*1000))</f>
        <v>5.5967240581208637</v>
      </c>
      <c r="N290" s="176">
        <f>MIN(IF($I266&lt;$I$275,$I$275,$I266-($I266-$I$275)*Input!N$442),IF(INDEX(SSC,ROW(Input!E$20)-5,COLUMN()-2)=0,0,INDEX(SSC,ROW(Input!E$14)-5,COLUMN()-2)/INDEX(SSC,ROW(Input!E$20)-5,COLUMN()-2)*1000))</f>
        <v>5.5976179243852684</v>
      </c>
      <c r="O290" s="176">
        <f>MIN(IF($I266&lt;$I$275,$I$275,$I266-($I266-$I$275)*Input!O$442),IF(INDEX(SSC,ROW(Input!F$20)-5,COLUMN()-2)=0,0,INDEX(SSC,ROW(Input!F$14)-5,COLUMN()-2)/INDEX(SSC,ROW(Input!F$20)-5,COLUMN()-2)*1000))</f>
        <v>5.598321510418609</v>
      </c>
      <c r="Q290" s="5"/>
    </row>
    <row r="291" spans="1:17" s="53" customFormat="1">
      <c r="A291" s="53" t="s">
        <v>143</v>
      </c>
      <c r="B291" s="53" t="s">
        <v>69</v>
      </c>
      <c r="C291" s="51"/>
      <c r="D291" s="55" t="s">
        <v>30</v>
      </c>
      <c r="E291" s="52" t="s">
        <v>55</v>
      </c>
      <c r="F291" s="126"/>
      <c r="G291" s="126"/>
      <c r="H291" s="125"/>
      <c r="I291" s="125"/>
      <c r="J291" s="226"/>
      <c r="K291" s="493">
        <f>MIN(IF($I267&lt;$I$275,$I$275,$I267-($I267-$I$275)*Input!K$442),IF(INDEX(DVW,ROW(Input!B$20)-5,COLUMN()-2)=0,0,INDEX(DVW,ROW(Input!B$14)-5,COLUMN()-2)/INDEX(DVW,ROW(Input!B$20)-5,COLUMN()-2)*1000))</f>
        <v>3.0038669143033045</v>
      </c>
      <c r="L291" s="176">
        <f>MIN(IF($I267&lt;$I$275,$I$275,$I267-($I267-$I$275)*Input!L$442),IF(INDEX(DVW,ROW(Input!C$20)-5,COLUMN()-2)=0,0,INDEX(DVW,ROW(Input!C$14)-5,COLUMN()-2)/INDEX(DVW,ROW(Input!C$20)-5,COLUMN()-2)*1000))</f>
        <v>3.0165725109631607</v>
      </c>
      <c r="M291" s="176">
        <f>MIN(IF($I267&lt;$I$275,$I$275,$I267-($I267-$I$275)*Input!M$442),IF(INDEX(DVW,ROW(Input!D$20)-5,COLUMN()-2)=0,0,INDEX(DVW,ROW(Input!D$14)-5,COLUMN()-2)/INDEX(DVW,ROW(Input!D$20)-5,COLUMN()-2)*1000))</f>
        <v>3.0286424893671748</v>
      </c>
      <c r="N291" s="176">
        <f>MIN(IF($I267&lt;$I$275,$I$275,$I267-($I267-$I$275)*Input!N$442),IF(INDEX(DVW,ROW(Input!E$20)-5,COLUMN()-2)=0,0,INDEX(DVW,ROW(Input!E$14)-5,COLUMN()-2)/INDEX(DVW,ROW(Input!E$20)-5,COLUMN()-2)*1000))</f>
        <v>3.0418639149952127</v>
      </c>
      <c r="O291" s="176">
        <f>MIN(IF($I267&lt;$I$275,$I$275,$I267-($I267-$I$275)*Input!O$442),IF(INDEX(DVW,ROW(Input!F$20)-5,COLUMN()-2)=0,0,INDEX(DVW,ROW(Input!F$14)-5,COLUMN()-2)/INDEX(DVW,ROW(Input!F$20)-5,COLUMN()-2)*1000))</f>
        <v>3.0560148470130404</v>
      </c>
      <c r="Q291" s="5"/>
    </row>
    <row r="292" spans="1:17" s="53" customFormat="1">
      <c r="A292" s="53" t="s">
        <v>143</v>
      </c>
      <c r="B292" s="53" t="s">
        <v>69</v>
      </c>
      <c r="C292" s="51"/>
      <c r="D292" s="55" t="s">
        <v>30</v>
      </c>
      <c r="E292" s="52" t="s">
        <v>56</v>
      </c>
      <c r="F292" s="126"/>
      <c r="G292" s="126"/>
      <c r="H292" s="125"/>
      <c r="I292" s="125"/>
      <c r="J292" s="226"/>
      <c r="K292" s="493">
        <f>MIN(IF($I268&lt;$I$275,$I$275,$I268-($I268-$I$275)*Input!K$442),IF(INDEX(PRT,ROW(Input!B$20)-5,COLUMN()-2)=0,0,INDEX(PRT,ROW(Input!B$14)-5,COLUMN()-2)/INDEX(PRT,ROW(Input!B$20)-5,COLUMN()-2)*1000))</f>
        <v>4.3110112979966431</v>
      </c>
      <c r="L292" s="176">
        <f>MIN(IF($I268&lt;$I$275,$I$275,$I268-($I268-$I$275)*Input!L$442),IF(INDEX(PRT,ROW(Input!C$20)-5,COLUMN()-2)=0,0,INDEX(PRT,ROW(Input!C$14)-5,COLUMN()-2)/INDEX(PRT,ROW(Input!C$20)-5,COLUMN()-2)*1000))</f>
        <v>4.322741813213109</v>
      </c>
      <c r="M292" s="176">
        <f>MIN(IF($I268&lt;$I$275,$I$275,$I268-($I268-$I$275)*Input!M$442),IF(INDEX(PRT,ROW(Input!D$20)-5,COLUMN()-2)=0,0,INDEX(PRT,ROW(Input!D$14)-5,COLUMN()-2)/INDEX(PRT,ROW(Input!D$20)-5,COLUMN()-2)*1000))</f>
        <v>4.3166169161284689</v>
      </c>
      <c r="N292" s="176">
        <f>MIN(IF($I268&lt;$I$275,$I$275,$I268-($I268-$I$275)*Input!N$442),IF(INDEX(PRT,ROW(Input!E$20)-5,COLUMN()-2)=0,0,INDEX(PRT,ROW(Input!E$14)-5,COLUMN()-2)/INDEX(PRT,ROW(Input!E$20)-5,COLUMN()-2)*1000))</f>
        <v>4.3208354133982647</v>
      </c>
      <c r="O292" s="176">
        <f>MIN(IF($I268&lt;$I$275,$I$275,$I268-($I268-$I$275)*Input!O$442),IF(INDEX(PRT,ROW(Input!F$20)-5,COLUMN()-2)=0,0,INDEX(PRT,ROW(Input!F$14)-5,COLUMN()-2)/INDEX(PRT,ROW(Input!F$20)-5,COLUMN()-2)*1000))</f>
        <v>4.3177121130041831</v>
      </c>
      <c r="Q292" s="5"/>
    </row>
    <row r="293" spans="1:17" s="53" customFormat="1">
      <c r="A293" s="53" t="s">
        <v>143</v>
      </c>
      <c r="B293" s="53" t="s">
        <v>69</v>
      </c>
      <c r="C293" s="51"/>
      <c r="D293" s="55" t="s">
        <v>30</v>
      </c>
      <c r="E293" s="52" t="s">
        <v>57</v>
      </c>
      <c r="F293" s="126"/>
      <c r="G293" s="126"/>
      <c r="H293" s="125"/>
      <c r="I293" s="125"/>
      <c r="J293" s="226"/>
      <c r="K293" s="493">
        <f>MIN(IF($I269&lt;$I$275,$I$275,$I269-($I269-$I$275)*Input!K$442),IF(INDEX(SBW,ROW(Input!B$20)-5,COLUMN()-2)=0,0,INDEX(SBW,ROW(Input!B$14)-5,COLUMN()-2)/INDEX(SBW,ROW(Input!B$20)-5,COLUMN()-2)*1000))</f>
        <v>5.7909219918625618</v>
      </c>
      <c r="L293" s="176">
        <f>MIN(IF($I269&lt;$I$275,$I$275,$I269-($I269-$I$275)*Input!L$442),IF(INDEX(SBW,ROW(Input!C$20)-5,COLUMN()-2)=0,0,INDEX(SBW,ROW(Input!C$14)-5,COLUMN()-2)/INDEX(SBW,ROW(Input!C$20)-5,COLUMN()-2)*1000))</f>
        <v>5.7909219918625618</v>
      </c>
      <c r="M293" s="176">
        <f>MIN(IF($I269&lt;$I$275,$I$275,$I269-($I269-$I$275)*Input!M$442),IF(INDEX(SBW,ROW(Input!D$20)-5,COLUMN()-2)=0,0,INDEX(SBW,ROW(Input!D$14)-5,COLUMN()-2)/INDEX(SBW,ROW(Input!D$20)-5,COLUMN()-2)*1000))</f>
        <v>5.7909219918625618</v>
      </c>
      <c r="N293" s="176">
        <f>MIN(IF($I269&lt;$I$275,$I$275,$I269-($I269-$I$275)*Input!N$442),IF(INDEX(SBW,ROW(Input!E$20)-5,COLUMN()-2)=0,0,INDEX(SBW,ROW(Input!E$14)-5,COLUMN()-2)/INDEX(SBW,ROW(Input!E$20)-5,COLUMN()-2)*1000))</f>
        <v>5.7909219918625618</v>
      </c>
      <c r="O293" s="176">
        <f>MIN(IF($I269&lt;$I$275,$I$275,$I269-($I269-$I$275)*Input!O$442),IF(INDEX(SBW,ROW(Input!F$20)-5,COLUMN()-2)=0,0,INDEX(SBW,ROW(Input!F$14)-5,COLUMN()-2)/INDEX(SBW,ROW(Input!F$20)-5,COLUMN()-2)*1000))</f>
        <v>5.7909219918625618</v>
      </c>
      <c r="Q293" s="5"/>
    </row>
    <row r="294" spans="1:17" s="53" customFormat="1">
      <c r="A294" s="53" t="s">
        <v>143</v>
      </c>
      <c r="B294" s="53" t="s">
        <v>69</v>
      </c>
      <c r="C294" s="51"/>
      <c r="D294" s="55" t="s">
        <v>30</v>
      </c>
      <c r="E294" s="52" t="s">
        <v>58</v>
      </c>
      <c r="F294" s="126"/>
      <c r="G294" s="126"/>
      <c r="H294" s="125"/>
      <c r="I294" s="125"/>
      <c r="J294" s="226"/>
      <c r="K294" s="493">
        <f>MIN(IF($I270&lt;$I$275,$I$275,$I270-($I270-$I$275)*Input!K$442),IF(INDEX(SEW,ROW(Input!B$20)-5,COLUMN()-2)=0,0,INDEX(SEW,ROW(Input!B$14)-5,COLUMN()-2)/INDEX(SEW,ROW(Input!B$20)-5,COLUMN()-2)*1000))</f>
        <v>6.7418402215442867</v>
      </c>
      <c r="L294" s="176">
        <f>MIN(IF($I270&lt;$I$275,$I$275,$I270-($I270-$I$275)*Input!L$442),IF(INDEX(SEW,ROW(Input!C$20)-5,COLUMN()-2)=0,0,INDEX(SEW,ROW(Input!C$14)-5,COLUMN()-2)/INDEX(SEW,ROW(Input!C$20)-5,COLUMN()-2)*1000))</f>
        <v>6.4248674783170454</v>
      </c>
      <c r="M294" s="176">
        <f>MIN(IF($I270&lt;$I$275,$I$275,$I270-($I270-$I$275)*Input!M$442),IF(INDEX(SEW,ROW(Input!D$20)-5,COLUMN()-2)=0,0,INDEX(SEW,ROW(Input!D$14)-5,COLUMN()-2)/INDEX(SEW,ROW(Input!D$20)-5,COLUMN()-2)*1000))</f>
        <v>6.1078947350898041</v>
      </c>
      <c r="N294" s="176">
        <f>MIN(IF($I270&lt;$I$275,$I$275,$I270-($I270-$I$275)*Input!N$442),IF(INDEX(SEW,ROW(Input!E$20)-5,COLUMN()-2)=0,0,INDEX(SEW,ROW(Input!E$14)-5,COLUMN()-2)/INDEX(SEW,ROW(Input!E$20)-5,COLUMN()-2)*1000))</f>
        <v>5.7909219918625618</v>
      </c>
      <c r="O294" s="176">
        <f>MIN(IF($I270&lt;$I$275,$I$275,$I270-($I270-$I$275)*Input!O$442),IF(INDEX(SEW,ROW(Input!F$20)-5,COLUMN()-2)=0,0,INDEX(SEW,ROW(Input!F$14)-5,COLUMN()-2)/INDEX(SEW,ROW(Input!F$20)-5,COLUMN()-2)*1000))</f>
        <v>5.7909219918625618</v>
      </c>
      <c r="Q294" s="5"/>
    </row>
    <row r="295" spans="1:17" s="53" customFormat="1">
      <c r="A295" s="53" t="s">
        <v>143</v>
      </c>
      <c r="B295" s="53" t="s">
        <v>69</v>
      </c>
      <c r="C295" s="51"/>
      <c r="D295" s="55" t="s">
        <v>30</v>
      </c>
      <c r="E295" s="52" t="s">
        <v>59</v>
      </c>
      <c r="F295" s="126"/>
      <c r="G295" s="126"/>
      <c r="H295" s="125"/>
      <c r="I295" s="125"/>
      <c r="J295" s="226"/>
      <c r="K295" s="493">
        <f>MIN(IF($I271&lt;$I$275,$I$275,$I271-($I271-$I$275)*Input!K$442),IF(INDEX(SES,ROW(Input!B$20)-5,COLUMN()-2)=0,0,INDEX(SES,ROW(Input!B$14)-5,COLUMN()-2)/INDEX(SES,ROW(Input!B$20)-5,COLUMN()-2)*1000))</f>
        <v>7.0649700712764636</v>
      </c>
      <c r="L295" s="176">
        <f>MIN(IF($I271&lt;$I$275,$I$275,$I271-($I271-$I$275)*Input!L$442),IF(INDEX(SES,ROW(Input!C$20)-5,COLUMN()-2)=0,0,INDEX(SES,ROW(Input!C$14)-5,COLUMN()-2)/INDEX(SES,ROW(Input!C$20)-5,COLUMN()-2)*1000))</f>
        <v>6.837364840715181</v>
      </c>
      <c r="M295" s="176">
        <f>MIN(IF($I271&lt;$I$275,$I$275,$I271-($I271-$I$275)*Input!M$442),IF(INDEX(SES,ROW(Input!D$20)-5,COLUMN()-2)=0,0,INDEX(SES,ROW(Input!D$14)-5,COLUMN()-2)/INDEX(SES,ROW(Input!D$20)-5,COLUMN()-2)*1000))</f>
        <v>6.3267611714824703</v>
      </c>
      <c r="N295" s="176">
        <f>MIN(IF($I271&lt;$I$275,$I$275,$I271-($I271-$I$275)*Input!N$442),IF(INDEX(SES,ROW(Input!E$20)-5,COLUMN()-2)=0,0,INDEX(SES,ROW(Input!E$14)-5,COLUMN()-2)/INDEX(SES,ROW(Input!E$20)-5,COLUMN()-2)*1000))</f>
        <v>5.7909219918625618</v>
      </c>
      <c r="O295" s="176">
        <f>MIN(IF($I271&lt;$I$275,$I$275,$I271-($I271-$I$275)*Input!O$442),IF(INDEX(SES,ROW(Input!F$20)-5,COLUMN()-2)=0,0,INDEX(SES,ROW(Input!F$14)-5,COLUMN()-2)/INDEX(SES,ROW(Input!F$20)-5,COLUMN()-2)*1000))</f>
        <v>5.7909219918625618</v>
      </c>
      <c r="Q295" s="5"/>
    </row>
    <row r="296" spans="1:17" s="53" customFormat="1">
      <c r="C296" s="51"/>
      <c r="D296" s="54"/>
      <c r="E296" s="52"/>
      <c r="F296" s="126"/>
      <c r="G296" s="126"/>
      <c r="H296" s="126"/>
      <c r="I296" s="126"/>
      <c r="J296" s="227"/>
      <c r="K296" s="485"/>
      <c r="L296" s="124"/>
      <c r="M296" s="124"/>
      <c r="N296" s="124"/>
      <c r="O296" s="124"/>
      <c r="Q296" s="5"/>
    </row>
    <row r="297" spans="1:17">
      <c r="A297" s="27"/>
      <c r="B297" s="28"/>
      <c r="C297" s="29"/>
      <c r="D297" s="30"/>
      <c r="E297" s="32" t="s">
        <v>470</v>
      </c>
      <c r="F297" s="31"/>
      <c r="G297" s="31"/>
      <c r="H297" s="31"/>
      <c r="I297" s="31"/>
      <c r="J297" s="472"/>
      <c r="K297" s="480"/>
      <c r="L297" s="31"/>
      <c r="M297" s="31"/>
      <c r="N297" s="31"/>
      <c r="O297" s="173"/>
      <c r="Q297" s="5"/>
    </row>
    <row r="298" spans="1:17" s="53" customFormat="1">
      <c r="A298" s="53" t="s">
        <v>108</v>
      </c>
      <c r="B298" s="53" t="s">
        <v>69</v>
      </c>
      <c r="C298" s="51"/>
      <c r="D298" s="55" t="s">
        <v>74</v>
      </c>
      <c r="E298" s="52" t="s">
        <v>31</v>
      </c>
      <c r="F298" s="155"/>
      <c r="G298" s="179"/>
      <c r="H298" s="155"/>
      <c r="I298" s="155"/>
      <c r="J298" s="227"/>
      <c r="K298" s="494">
        <f>INDEX(ANH,ROW(Input!B20)-5,COLUMN()-2)*K278/1000</f>
        <v>0.34366351999999967</v>
      </c>
      <c r="L298" s="223">
        <f>INDEX(ANH,ROW(Input!C20)-5,COLUMN()-2)*L278/1000</f>
        <v>0.36618688000000021</v>
      </c>
      <c r="M298" s="223">
        <f>INDEX(ANH,ROW(Input!D20)-5,COLUMN()-2)*M278/1000</f>
        <v>0.38883424000000033</v>
      </c>
      <c r="N298" s="223">
        <f>INDEX(ANH,ROW(Input!E20)-5,COLUMN()-2)*N278/1000</f>
        <v>0.41123607999999989</v>
      </c>
      <c r="O298" s="223">
        <f>INDEX(ANH,ROW(Input!F20)-5,COLUMN()-2)*O278/1000</f>
        <v>0.43248471999999988</v>
      </c>
      <c r="Q298" s="5"/>
    </row>
    <row r="299" spans="1:17" s="53" customFormat="1">
      <c r="A299" s="53" t="s">
        <v>108</v>
      </c>
      <c r="B299" s="53" t="s">
        <v>69</v>
      </c>
      <c r="C299" s="51"/>
      <c r="D299" s="55" t="s">
        <v>74</v>
      </c>
      <c r="E299" s="52" t="s">
        <v>32</v>
      </c>
      <c r="F299" s="155"/>
      <c r="G299" s="155"/>
      <c r="H299" s="155"/>
      <c r="I299" s="155"/>
      <c r="J299" s="227"/>
      <c r="K299" s="494">
        <f>INDEX(WSH,ROW(Input!B20)-5,COLUMN()-2)*K279/1000</f>
        <v>0.20054201110960146</v>
      </c>
      <c r="L299" s="223">
        <f>INDEX(WSH,ROW(Input!C20)-5,COLUMN()-2)*L279/1000</f>
        <v>0.19061226726941907</v>
      </c>
      <c r="M299" s="223">
        <f>INDEX(WSH,ROW(Input!D20)-5,COLUMN()-2)*M279/1000</f>
        <v>0.17896867071055911</v>
      </c>
      <c r="N299" s="223">
        <f>INDEX(WSH,ROW(Input!E20)-5,COLUMN()-2)*N279/1000</f>
        <v>0.1663268614502765</v>
      </c>
      <c r="O299" s="223">
        <f>INDEX(WSH,ROW(Input!F20)-5,COLUMN()-2)*O279/1000</f>
        <v>0.17149236386701791</v>
      </c>
      <c r="Q299" s="5"/>
    </row>
    <row r="300" spans="1:17" s="53" customFormat="1">
      <c r="A300" s="53" t="s">
        <v>108</v>
      </c>
      <c r="B300" s="53" t="s">
        <v>69</v>
      </c>
      <c r="C300" s="51"/>
      <c r="D300" s="55" t="s">
        <v>74</v>
      </c>
      <c r="E300" s="52" t="s">
        <v>33</v>
      </c>
      <c r="F300" s="155"/>
      <c r="G300" s="155"/>
      <c r="H300" s="155"/>
      <c r="I300" s="155"/>
      <c r="J300" s="227"/>
      <c r="K300" s="494">
        <f>INDEX(NES,ROW(Input!B20)-5,COLUMN()-2)*K280/1000</f>
        <v>1.1340015015909761</v>
      </c>
      <c r="L300" s="223">
        <f>INDEX(NES,ROW(Input!C20)-5,COLUMN()-2)*L280/1000</f>
        <v>1.1780015598537612</v>
      </c>
      <c r="M300" s="223">
        <f>INDEX(NES,ROW(Input!D20)-5,COLUMN()-2)*M280/1000</f>
        <v>1.2240016207648614</v>
      </c>
      <c r="N300" s="223">
        <f>INDEX(NES,ROW(Input!E20)-5,COLUMN()-2)*N280/1000</f>
        <v>1.2700016816759516</v>
      </c>
      <c r="O300" s="223">
        <f>INDEX(NES,ROW(Input!F20)-5,COLUMN()-2)*O280/1000</f>
        <v>1.3150017412628996</v>
      </c>
      <c r="Q300" s="5"/>
    </row>
    <row r="301" spans="1:17" s="53" customFormat="1">
      <c r="A301" s="53" t="s">
        <v>108</v>
      </c>
      <c r="B301" s="53" t="s">
        <v>69</v>
      </c>
      <c r="C301" s="51"/>
      <c r="D301" s="55" t="s">
        <v>74</v>
      </c>
      <c r="E301" s="52" t="s">
        <v>46</v>
      </c>
      <c r="F301" s="155"/>
      <c r="G301" s="155"/>
      <c r="H301" s="155"/>
      <c r="I301" s="155"/>
      <c r="J301" s="227"/>
      <c r="K301" s="494">
        <f>INDEX(SVT,ROW(Input!B20)-5,COLUMN()-2)*K281/1000</f>
        <v>0.81790965811006966</v>
      </c>
      <c r="L301" s="223">
        <f>INDEX(SVT,ROW(Input!C20)-5,COLUMN()-2)*L281/1000</f>
        <v>0.804287382092018</v>
      </c>
      <c r="M301" s="223">
        <f>INDEX(SVT,ROW(Input!D20)-5,COLUMN()-2)*M281/1000</f>
        <v>0.77497091581595745</v>
      </c>
      <c r="N301" s="223">
        <f>INDEX(SVT,ROW(Input!E20)-5,COLUMN()-2)*N281/1000</f>
        <v>0.74150439737003349</v>
      </c>
      <c r="O301" s="223">
        <f>INDEX(SVT,ROW(Input!F20)-5,COLUMN()-2)*O281/1000</f>
        <v>0.77041847087540327</v>
      </c>
      <c r="Q301" s="5"/>
    </row>
    <row r="302" spans="1:17" s="53" customFormat="1">
      <c r="A302" s="53" t="s">
        <v>108</v>
      </c>
      <c r="B302" s="53" t="s">
        <v>69</v>
      </c>
      <c r="C302" s="51"/>
      <c r="D302" s="55" t="s">
        <v>74</v>
      </c>
      <c r="E302" s="52" t="s">
        <v>47</v>
      </c>
      <c r="F302" s="155"/>
      <c r="G302" s="155"/>
      <c r="H302" s="155"/>
      <c r="I302" s="155"/>
      <c r="J302" s="227"/>
      <c r="K302" s="494">
        <f>INDEX(SWT,ROW(Input!B20)-5,COLUMN()-2)*K282/1000</f>
        <v>8.4000000000000047E-2</v>
      </c>
      <c r="L302" s="223">
        <f>INDEX(SWT,ROW(Input!C20)-5,COLUMN()-2)*L282/1000</f>
        <v>8.8000000000000023E-2</v>
      </c>
      <c r="M302" s="223">
        <f>INDEX(SWT,ROW(Input!D20)-5,COLUMN()-2)*M282/1000</f>
        <v>9.2999999999999958E-2</v>
      </c>
      <c r="N302" s="223">
        <f>INDEX(SWT,ROW(Input!E20)-5,COLUMN()-2)*N282/1000</f>
        <v>9.7000000000000058E-2</v>
      </c>
      <c r="O302" s="223">
        <f>INDEX(SWT,ROW(Input!F20)-5,COLUMN()-2)*O282/1000</f>
        <v>9.7000000000000045E-2</v>
      </c>
      <c r="Q302" s="5"/>
    </row>
    <row r="303" spans="1:17" s="53" customFormat="1">
      <c r="A303" s="53" t="s">
        <v>108</v>
      </c>
      <c r="B303" s="53" t="s">
        <v>69</v>
      </c>
      <c r="C303" s="51"/>
      <c r="D303" s="55" t="s">
        <v>74</v>
      </c>
      <c r="E303" s="52" t="s">
        <v>48</v>
      </c>
      <c r="F303" s="155"/>
      <c r="G303" s="155"/>
      <c r="H303" s="155"/>
      <c r="I303" s="155"/>
      <c r="J303" s="227"/>
      <c r="K303" s="494">
        <f>INDEX(SRN,ROW(Input!B20)-5,COLUMN()-2)*K283/1000</f>
        <v>0.25842857242405165</v>
      </c>
      <c r="L303" s="223">
        <f>INDEX(SRN,ROW(Input!C20)-5,COLUMN()-2)*L283/1000</f>
        <v>0.26088408911940969</v>
      </c>
      <c r="M303" s="223">
        <f>INDEX(SRN,ROW(Input!D20)-5,COLUMN()-2)*M283/1000</f>
        <v>0.24186584575777614</v>
      </c>
      <c r="N303" s="223">
        <f>INDEX(SRN,ROW(Input!E20)-5,COLUMN()-2)*N283/1000</f>
        <v>0.24382392226508831</v>
      </c>
      <c r="O303" s="223">
        <f>INDEX(SRN,ROW(Input!F20)-5,COLUMN()-2)*O283/1000</f>
        <v>0.22986644207504753</v>
      </c>
      <c r="Q303" s="5"/>
    </row>
    <row r="304" spans="1:17" s="53" customFormat="1">
      <c r="A304" s="53" t="s">
        <v>108</v>
      </c>
      <c r="B304" s="53" t="s">
        <v>69</v>
      </c>
      <c r="C304" s="51"/>
      <c r="D304" s="55" t="s">
        <v>74</v>
      </c>
      <c r="E304" s="52" t="s">
        <v>49</v>
      </c>
      <c r="F304" s="155"/>
      <c r="G304" s="155"/>
      <c r="H304" s="155"/>
      <c r="I304" s="155"/>
      <c r="J304" s="227"/>
      <c r="K304" s="494">
        <f>INDEX(TMS,ROW(Input!B20)-5,COLUMN()-2)*K284/1000</f>
        <v>0.12188903170438654</v>
      </c>
      <c r="L304" s="223">
        <f>INDEX(TMS,ROW(Input!C20)-5,COLUMN()-2)*L284/1000</f>
        <v>0.11108646334234447</v>
      </c>
      <c r="M304" s="223">
        <f>INDEX(TMS,ROW(Input!D20)-5,COLUMN()-2)*M284/1000</f>
        <v>0.10028389498030238</v>
      </c>
      <c r="N304" s="223">
        <f>INDEX(TMS,ROW(Input!E20)-5,COLUMN()-2)*N284/1000</f>
        <v>8.9481326618260318E-2</v>
      </c>
      <c r="O304" s="223">
        <f>INDEX(TMS,ROW(Input!F20)-5,COLUMN()-2)*O284/1000</f>
        <v>8.9481326618260318E-2</v>
      </c>
      <c r="Q304" s="5"/>
    </row>
    <row r="305" spans="1:17" s="53" customFormat="1">
      <c r="A305" s="53" t="s">
        <v>108</v>
      </c>
      <c r="B305" s="53" t="s">
        <v>69</v>
      </c>
      <c r="C305" s="51"/>
      <c r="D305" s="55" t="s">
        <v>74</v>
      </c>
      <c r="E305" s="52" t="s">
        <v>50</v>
      </c>
      <c r="F305" s="155"/>
      <c r="G305" s="155"/>
      <c r="H305" s="155"/>
      <c r="I305" s="155"/>
      <c r="J305" s="227"/>
      <c r="K305" s="494">
        <f>INDEX(NWT,ROW(Input!B20)-5,COLUMN()-2)*K285/1000</f>
        <v>0.13427989914730906</v>
      </c>
      <c r="L305" s="223">
        <f>INDEX(NWT,ROW(Input!C20)-5,COLUMN()-2)*L285/1000</f>
        <v>0.13610403957474579</v>
      </c>
      <c r="M305" s="223">
        <f>INDEX(NWT,ROW(Input!D20)-5,COLUMN()-2)*M285/1000</f>
        <v>0.1364336900081545</v>
      </c>
      <c r="N305" s="223">
        <f>INDEX(NWT,ROW(Input!E20)-5,COLUMN()-2)*N285/1000</f>
        <v>0.12338090713489688</v>
      </c>
      <c r="O305" s="223">
        <f>INDEX(NWT,ROW(Input!F20)-5,COLUMN()-2)*O285/1000</f>
        <v>0.11526565359998346</v>
      </c>
      <c r="Q305" s="5"/>
    </row>
    <row r="306" spans="1:17" s="53" customFormat="1">
      <c r="A306" s="53" t="s">
        <v>108</v>
      </c>
      <c r="B306" s="53" t="s">
        <v>69</v>
      </c>
      <c r="C306" s="51"/>
      <c r="D306" s="55" t="s">
        <v>74</v>
      </c>
      <c r="E306" s="52" t="s">
        <v>51</v>
      </c>
      <c r="F306" s="155"/>
      <c r="G306" s="155"/>
      <c r="H306" s="155"/>
      <c r="I306" s="155"/>
      <c r="J306" s="227"/>
      <c r="K306" s="494">
        <f>INDEX(WSX,ROW(Input!B20)-5,COLUMN()-2)*K286/1000</f>
        <v>8.100010725649795E-2</v>
      </c>
      <c r="L306" s="223">
        <f>INDEX(WSX,ROW(Input!C20)-5,COLUMN()-2)*L286/1000</f>
        <v>8.100010725649795E-2</v>
      </c>
      <c r="M306" s="223">
        <f>INDEX(WSX,ROW(Input!D20)-5,COLUMN()-2)*M286/1000</f>
        <v>8.100010725649795E-2</v>
      </c>
      <c r="N306" s="223">
        <f>INDEX(WSX,ROW(Input!E20)-5,COLUMN()-2)*N286/1000</f>
        <v>8.100010725649795E-2</v>
      </c>
      <c r="O306" s="223">
        <f>INDEX(WSX,ROW(Input!F20)-5,COLUMN()-2)*O286/1000</f>
        <v>8.100010725649795E-2</v>
      </c>
      <c r="Q306" s="5"/>
    </row>
    <row r="307" spans="1:17" s="53" customFormat="1">
      <c r="A307" s="53" t="s">
        <v>108</v>
      </c>
      <c r="B307" s="53" t="s">
        <v>69</v>
      </c>
      <c r="C307" s="51"/>
      <c r="D307" s="55" t="s">
        <v>74</v>
      </c>
      <c r="E307" s="52" t="s">
        <v>52</v>
      </c>
      <c r="F307" s="155"/>
      <c r="G307" s="155"/>
      <c r="H307" s="155"/>
      <c r="I307" s="155"/>
      <c r="J307" s="227"/>
      <c r="K307" s="494">
        <f>INDEX(YKY,ROW(Input!B20)-5,COLUMN()-2)*K287/1000</f>
        <v>0.23005396321599703</v>
      </c>
      <c r="L307" s="223">
        <f>INDEX(YKY,ROW(Input!C20)-5,COLUMN()-2)*L287/1000</f>
        <v>0.24205677868813646</v>
      </c>
      <c r="M307" s="223">
        <f>INDEX(YKY,ROW(Input!D20)-5,COLUMN()-2)*M287/1000</f>
        <v>0.25706029802831076</v>
      </c>
      <c r="N307" s="223">
        <f>INDEX(YKY,ROW(Input!E20)-5,COLUMN()-2)*N287/1000</f>
        <v>0.27306405199116257</v>
      </c>
      <c r="O307" s="223">
        <f>INDEX(YKY,ROW(Input!F20)-5,COLUMN()-2)*O287/1000</f>
        <v>0.29106827519937062</v>
      </c>
      <c r="Q307" s="5"/>
    </row>
    <row r="308" spans="1:17" s="53" customFormat="1">
      <c r="A308" s="53" t="s">
        <v>108</v>
      </c>
      <c r="B308" s="53" t="s">
        <v>69</v>
      </c>
      <c r="C308" s="51"/>
      <c r="D308" s="55" t="s">
        <v>74</v>
      </c>
      <c r="E308" s="52" t="s">
        <v>53</v>
      </c>
      <c r="F308" s="155"/>
      <c r="G308" s="155"/>
      <c r="H308" s="155"/>
      <c r="I308" s="155"/>
      <c r="J308" s="227"/>
      <c r="K308" s="494">
        <f>INDEX(AFW,ROW(Input!B20)-5,COLUMN()-2)*K288/1000</f>
        <v>5.3513511813247909</v>
      </c>
      <c r="L308" s="223">
        <f>INDEX(AFW,ROW(Input!C20)-5,COLUMN()-2)*L288/1000</f>
        <v>5.4439913560254789</v>
      </c>
      <c r="M308" s="223">
        <f>INDEX(AFW,ROW(Input!D20)-5,COLUMN()-2)*M288/1000</f>
        <v>5.4955042112477948</v>
      </c>
      <c r="N308" s="223">
        <f>INDEX(AFW,ROW(Input!E20)-5,COLUMN()-2)*N288/1000</f>
        <v>5.4389371454748083</v>
      </c>
      <c r="O308" s="223">
        <f>INDEX(AFW,ROW(Input!F20)-5,COLUMN()-2)*O288/1000</f>
        <v>5.8263694679357796</v>
      </c>
      <c r="Q308" s="5"/>
    </row>
    <row r="309" spans="1:17" s="53" customFormat="1">
      <c r="A309" s="53" t="s">
        <v>108</v>
      </c>
      <c r="B309" s="53" t="s">
        <v>69</v>
      </c>
      <c r="C309" s="51"/>
      <c r="D309" s="55" t="s">
        <v>74</v>
      </c>
      <c r="E309" s="52" t="s">
        <v>54</v>
      </c>
      <c r="F309" s="155"/>
      <c r="G309" s="155"/>
      <c r="H309" s="155"/>
      <c r="I309" s="155"/>
      <c r="J309" s="227"/>
      <c r="K309" s="494">
        <f>INDEX(BRL,ROW(Input!B20)-5,COLUMN()-2)*K289/1000</f>
        <v>1.6882621845663719</v>
      </c>
      <c r="L309" s="223">
        <f>INDEX(BRL,ROW(Input!C20)-5,COLUMN()-2)*L289/1000</f>
        <v>1.7486067423799765</v>
      </c>
      <c r="M309" s="223">
        <f>INDEX(BRL,ROW(Input!D20)-5,COLUMN()-2)*M289/1000</f>
        <v>1.778694978296234</v>
      </c>
      <c r="N309" s="223">
        <f>INDEX(BRL,ROW(Input!E20)-5,COLUMN()-2)*N289/1000</f>
        <v>1.7803436844122504</v>
      </c>
      <c r="O309" s="223">
        <f>INDEX(BRL,ROW(Input!F20)-5,COLUMN()-2)*O289/1000</f>
        <v>1.9015476817019339</v>
      </c>
      <c r="Q309" s="5"/>
    </row>
    <row r="310" spans="1:17" s="53" customFormat="1">
      <c r="A310" s="53" t="s">
        <v>108</v>
      </c>
      <c r="B310" s="53" t="s">
        <v>69</v>
      </c>
      <c r="C310" s="51"/>
      <c r="D310" s="55" t="s">
        <v>74</v>
      </c>
      <c r="E310" s="52" t="s">
        <v>66</v>
      </c>
      <c r="F310" s="155"/>
      <c r="G310" s="155"/>
      <c r="H310" s="155"/>
      <c r="I310" s="155"/>
      <c r="J310" s="227"/>
      <c r="K310" s="494">
        <f>INDEX(SSC,ROW(Input!B20)-5,COLUMN()-2)*K290/1000</f>
        <v>1.5223834079666441</v>
      </c>
      <c r="L310" s="223">
        <f>INDEX(SSC,ROW(Input!C20)-5,COLUMN()-2)*L290/1000</f>
        <v>1.5908419653262422</v>
      </c>
      <c r="M310" s="223">
        <f>INDEX(SSC,ROW(Input!D20)-5,COLUMN()-2)*M290/1000</f>
        <v>1.6601712038053154</v>
      </c>
      <c r="N310" s="223">
        <f>INDEX(SSC,ROW(Input!E20)-5,COLUMN()-2)*N290/1000</f>
        <v>1.7302685881353901</v>
      </c>
      <c r="O310" s="223">
        <f>INDEX(SSC,ROW(Input!F20)-5,COLUMN()-2)*O290/1000</f>
        <v>1.8008331378208624</v>
      </c>
      <c r="Q310" s="5"/>
    </row>
    <row r="311" spans="1:17" s="53" customFormat="1">
      <c r="A311" s="53" t="s">
        <v>108</v>
      </c>
      <c r="B311" s="53" t="s">
        <v>69</v>
      </c>
      <c r="C311" s="51"/>
      <c r="D311" s="55" t="s">
        <v>74</v>
      </c>
      <c r="E311" s="52" t="s">
        <v>55</v>
      </c>
      <c r="F311" s="155"/>
      <c r="G311" s="155"/>
      <c r="H311" s="155"/>
      <c r="I311" s="155"/>
      <c r="J311" s="227"/>
      <c r="K311" s="494">
        <f>INDEX(DVW,ROW(Input!B20)-5,COLUMN()-2)*K291/1000</f>
        <v>0.20858551466230713</v>
      </c>
      <c r="L311" s="223">
        <f>INDEX(DVW,ROW(Input!C20)-5,COLUMN()-2)*L291/1000</f>
        <v>0.21694284527093763</v>
      </c>
      <c r="M311" s="223">
        <f>INDEX(DVW,ROW(Input!D20)-5,COLUMN()-2)*M291/1000</f>
        <v>0.22516745451449199</v>
      </c>
      <c r="N311" s="223">
        <f>INDEX(DVW,ROW(Input!E20)-5,COLUMN()-2)*N291/1000</f>
        <v>0.23339309260583768</v>
      </c>
      <c r="O311" s="223">
        <f>INDEX(DVW,ROW(Input!F20)-5,COLUMN()-2)*O291/1000</f>
        <v>0.24161770184939202</v>
      </c>
      <c r="Q311" s="5"/>
    </row>
    <row r="312" spans="1:17" s="53" customFormat="1">
      <c r="A312" s="53" t="s">
        <v>108</v>
      </c>
      <c r="B312" s="53" t="s">
        <v>69</v>
      </c>
      <c r="C312" s="51"/>
      <c r="D312" s="55" t="s">
        <v>74</v>
      </c>
      <c r="E312" s="52" t="s">
        <v>56</v>
      </c>
      <c r="F312" s="155"/>
      <c r="G312" s="155"/>
      <c r="H312" s="155"/>
      <c r="I312" s="155"/>
      <c r="J312" s="227"/>
      <c r="K312" s="494">
        <f>INDEX(PRT,ROW(Input!B20)-5,COLUMN()-2)*K292/1000</f>
        <v>0.34672170566397603</v>
      </c>
      <c r="L312" s="223">
        <f>INDEX(PRT,ROW(Input!C20)-5,COLUMN()-2)*L292/1000</f>
        <v>0.37861598719389661</v>
      </c>
      <c r="M312" s="223">
        <f>INDEX(PRT,ROW(Input!D20)-5,COLUMN()-2)*M292/1000</f>
        <v>0.41051026872381735</v>
      </c>
      <c r="N312" s="223">
        <f>INDEX(PRT,ROW(Input!E20)-5,COLUMN()-2)*N292/1000</f>
        <v>0.44549109362760131</v>
      </c>
      <c r="O312" s="223">
        <f>INDEX(PRT,ROW(Input!F20)-5,COLUMN()-2)*O292/1000</f>
        <v>0.47944307074009751</v>
      </c>
      <c r="Q312" s="5"/>
    </row>
    <row r="313" spans="1:17" s="53" customFormat="1">
      <c r="A313" s="53" t="s">
        <v>108</v>
      </c>
      <c r="B313" s="53" t="s">
        <v>69</v>
      </c>
      <c r="C313" s="51"/>
      <c r="D313" s="55" t="s">
        <v>74</v>
      </c>
      <c r="E313" s="52" t="s">
        <v>57</v>
      </c>
      <c r="F313" s="155"/>
      <c r="G313" s="155"/>
      <c r="H313" s="155"/>
      <c r="I313" s="155"/>
      <c r="J313" s="227"/>
      <c r="K313" s="494">
        <f>INDEX(SBW,ROW(Input!B20)-5,COLUMN()-2)*K293/1000</f>
        <v>0.74123222403641598</v>
      </c>
      <c r="L313" s="223">
        <f>INDEX(SBW,ROW(Input!C20)-5,COLUMN()-2)*L293/1000</f>
        <v>0.76830478434837357</v>
      </c>
      <c r="M313" s="223">
        <f>INDEX(SBW,ROW(Input!D20)-5,COLUMN()-2)*M293/1000</f>
        <v>0.79614753728524879</v>
      </c>
      <c r="N313" s="223">
        <f>INDEX(SBW,ROW(Input!E20)-5,COLUMN()-2)*N293/1000</f>
        <v>0.82342277986692147</v>
      </c>
      <c r="O313" s="223">
        <f>INDEX(SBW,ROW(Input!F20)-5,COLUMN()-2)*O293/1000</f>
        <v>0.85036793989505788</v>
      </c>
      <c r="Q313" s="5"/>
    </row>
    <row r="314" spans="1:17" s="53" customFormat="1">
      <c r="A314" s="53" t="s">
        <v>108</v>
      </c>
      <c r="B314" s="53" t="s">
        <v>69</v>
      </c>
      <c r="C314" s="51"/>
      <c r="D314" s="55" t="s">
        <v>74</v>
      </c>
      <c r="E314" s="52" t="s">
        <v>58</v>
      </c>
      <c r="F314" s="155"/>
      <c r="G314" s="155"/>
      <c r="H314" s="155"/>
      <c r="I314" s="155"/>
      <c r="J314" s="227"/>
      <c r="K314" s="494">
        <f>INDEX(SEW,ROW(Input!B20)-5,COLUMN()-2)*K294/1000</f>
        <v>4.032580436912987</v>
      </c>
      <c r="L314" s="223">
        <f>INDEX(SEW,ROW(Input!C20)-5,COLUMN()-2)*L294/1000</f>
        <v>4.1411580054187223</v>
      </c>
      <c r="M314" s="223">
        <f>INDEX(SEW,ROW(Input!D20)-5,COLUMN()-2)*M294/1000</f>
        <v>4.2162072663814678</v>
      </c>
      <c r="N314" s="223">
        <f>INDEX(SEW,ROW(Input!E20)-5,COLUMN()-2)*N294/1000</f>
        <v>4.2559891878335963</v>
      </c>
      <c r="O314" s="223">
        <f>INDEX(SEW,ROW(Input!F20)-5,COLUMN()-2)*O294/1000</f>
        <v>4.5114784961393903</v>
      </c>
      <c r="Q314" s="5"/>
    </row>
    <row r="315" spans="1:17" s="53" customFormat="1">
      <c r="A315" s="53" t="s">
        <v>108</v>
      </c>
      <c r="B315" s="53" t="s">
        <v>69</v>
      </c>
      <c r="C315" s="51"/>
      <c r="D315" s="55" t="s">
        <v>74</v>
      </c>
      <c r="E315" s="52" t="s">
        <v>59</v>
      </c>
      <c r="F315" s="155"/>
      <c r="G315" s="155"/>
      <c r="H315" s="155"/>
      <c r="I315" s="155"/>
      <c r="J315" s="227"/>
      <c r="K315" s="494">
        <f>INDEX(SES,ROW(Input!B20)-5,COLUMN()-2)*K295/1000</f>
        <v>0.92207144372595884</v>
      </c>
      <c r="L315" s="223">
        <f>INDEX(SES,ROW(Input!C20)-5,COLUMN()-2)*L295/1000</f>
        <v>0.95293687746459144</v>
      </c>
      <c r="M315" s="223">
        <f>INDEX(SES,ROW(Input!D20)-5,COLUMN()-2)*M295/1000</f>
        <v>0.93725952030018456</v>
      </c>
      <c r="N315" s="223">
        <f>INDEX(SES,ROW(Input!E20)-5,COLUMN()-2)*N295/1000</f>
        <v>0.90874437993571922</v>
      </c>
      <c r="O315" s="223">
        <f>INDEX(SES,ROW(Input!F20)-5,COLUMN()-2)*O295/1000</f>
        <v>0.95926909076870437</v>
      </c>
      <c r="Q315" s="5"/>
    </row>
    <row r="316" spans="1:17" s="53" customFormat="1">
      <c r="A316" s="53" t="s">
        <v>109</v>
      </c>
      <c r="B316" s="53" t="s">
        <v>69</v>
      </c>
      <c r="C316" s="51"/>
      <c r="D316" s="55" t="s">
        <v>74</v>
      </c>
      <c r="E316" s="52" t="s">
        <v>65</v>
      </c>
      <c r="F316" s="155"/>
      <c r="G316" s="155"/>
      <c r="H316" s="155"/>
      <c r="I316" s="155"/>
      <c r="J316" s="227"/>
      <c r="K316" s="495">
        <f>SUM(K298:K315)</f>
        <v>18.218956363418339</v>
      </c>
      <c r="L316" s="225">
        <f>SUM(L298:L315)</f>
        <v>18.69961813062455</v>
      </c>
      <c r="M316" s="225">
        <f>SUM(M298:M315)</f>
        <v>18.996081723876976</v>
      </c>
      <c r="N316" s="225">
        <f>SUM(N298:N315)</f>
        <v>19.113409287654292</v>
      </c>
      <c r="O316" s="225">
        <f>SUM(O298:O315)</f>
        <v>20.164005687605702</v>
      </c>
      <c r="Q316" s="5"/>
    </row>
    <row r="317" spans="1:17" s="53" customFormat="1">
      <c r="C317" s="51"/>
      <c r="D317" s="54"/>
      <c r="E317" s="52"/>
      <c r="F317" s="227"/>
      <c r="G317" s="227"/>
      <c r="H317" s="227"/>
      <c r="I317" s="227"/>
      <c r="J317" s="227"/>
      <c r="K317" s="485"/>
      <c r="L317" s="154"/>
      <c r="M317" s="154"/>
      <c r="N317" s="154"/>
      <c r="O317" s="154"/>
      <c r="Q317" s="5"/>
    </row>
    <row r="318" spans="1:17">
      <c r="A318" s="27"/>
      <c r="B318" s="28"/>
      <c r="C318" s="29"/>
      <c r="D318" s="30"/>
      <c r="E318" s="32" t="s">
        <v>471</v>
      </c>
      <c r="F318" s="31"/>
      <c r="G318" s="31"/>
      <c r="H318" s="31"/>
      <c r="I318" s="31"/>
      <c r="J318" s="472"/>
      <c r="K318" s="480"/>
      <c r="L318" s="31"/>
      <c r="M318" s="31"/>
      <c r="N318" s="31"/>
      <c r="O318" s="31"/>
      <c r="Q318" s="5"/>
    </row>
    <row r="319" spans="1:17" s="53" customFormat="1">
      <c r="A319" s="53" t="s">
        <v>95</v>
      </c>
      <c r="B319" s="53" t="s">
        <v>69</v>
      </c>
      <c r="C319" s="51"/>
      <c r="D319" s="55" t="s">
        <v>30</v>
      </c>
      <c r="E319" s="52" t="s">
        <v>31</v>
      </c>
      <c r="F319" s="125"/>
      <c r="G319" s="125"/>
      <c r="H319" s="158"/>
      <c r="I319" s="226">
        <f>IF(INDEX(ANH,ROW(Input!B22)-5,COLUMN()-2)=0,0,INDEX(ANH,ROW(Input!B15)-5,COLUMN()-2)/INDEX(ANH,ROW(Input!B22)-5,COLUMN()-2)*1000)</f>
        <v>3.1533486039989671</v>
      </c>
      <c r="J319" s="226"/>
      <c r="K319" s="486"/>
      <c r="L319" s="113"/>
      <c r="M319" s="162"/>
      <c r="N319" s="162"/>
      <c r="O319" s="162"/>
      <c r="Q319" s="5"/>
    </row>
    <row r="320" spans="1:17" s="53" customFormat="1">
      <c r="A320" s="53" t="s">
        <v>95</v>
      </c>
      <c r="B320" s="53" t="s">
        <v>69</v>
      </c>
      <c r="C320" s="51"/>
      <c r="D320" s="55" t="s">
        <v>30</v>
      </c>
      <c r="E320" s="52" t="s">
        <v>32</v>
      </c>
      <c r="F320" s="126"/>
      <c r="G320" s="126"/>
      <c r="H320" s="161"/>
      <c r="I320" s="226">
        <f>IF(INDEX(WSH,ROW(Input!B22)-5,COLUMN()-2)=0,0,INDEX(WSH,ROW(Input!B15)-5,COLUMN()-2)/INDEX(WSH,ROW(Input!B22)-5,COLUMN()-2)*1000)</f>
        <v>8.3225594020024989</v>
      </c>
      <c r="J320" s="226"/>
      <c r="K320" s="486"/>
      <c r="L320" s="113"/>
      <c r="M320" s="162"/>
      <c r="N320" s="162"/>
      <c r="O320" s="162"/>
      <c r="Q320" s="5"/>
    </row>
    <row r="321" spans="1:17" s="53" customFormat="1">
      <c r="A321" s="53" t="s">
        <v>95</v>
      </c>
      <c r="B321" s="53" t="s">
        <v>69</v>
      </c>
      <c r="C321" s="51"/>
      <c r="D321" s="55" t="s">
        <v>30</v>
      </c>
      <c r="E321" s="52" t="s">
        <v>33</v>
      </c>
      <c r="F321" s="126"/>
      <c r="G321" s="126"/>
      <c r="H321" s="161"/>
      <c r="I321" s="226">
        <f>IF(INDEX(NES,ROW(Input!B22)-5,COLUMN()-2)=0,0,INDEX(NES,ROW(Input!B15)-5,COLUMN()-2)/INDEX(NES,ROW(Input!B22)-5,COLUMN()-2)*1000)</f>
        <v>2.6595779897720648</v>
      </c>
      <c r="J321" s="226"/>
      <c r="K321" s="486"/>
      <c r="L321" s="113"/>
      <c r="M321" s="162"/>
      <c r="N321" s="162"/>
      <c r="O321" s="162"/>
      <c r="Q321" s="5"/>
    </row>
    <row r="322" spans="1:17" s="53" customFormat="1">
      <c r="A322" s="53" t="s">
        <v>95</v>
      </c>
      <c r="B322" s="53" t="s">
        <v>69</v>
      </c>
      <c r="C322" s="51"/>
      <c r="D322" s="55" t="s">
        <v>30</v>
      </c>
      <c r="E322" s="52" t="s">
        <v>46</v>
      </c>
      <c r="F322" s="126"/>
      <c r="G322" s="126"/>
      <c r="H322" s="161"/>
      <c r="I322" s="226">
        <f>IF(INDEX(SVT,ROW(Input!B22)-5,COLUMN()-2)=0,0,INDEX(SVT,ROW(Input!B15)-5,COLUMN()-2)/INDEX(SVT,ROW(Input!B22)-5,COLUMN()-2)*1000)</f>
        <v>0.49212848028214912</v>
      </c>
      <c r="J322" s="226"/>
      <c r="K322" s="486"/>
      <c r="L322" s="113"/>
      <c r="M322" s="162"/>
      <c r="N322" s="162"/>
      <c r="O322" s="162"/>
      <c r="Q322" s="5"/>
    </row>
    <row r="323" spans="1:17" s="53" customFormat="1">
      <c r="A323" s="53" t="s">
        <v>95</v>
      </c>
      <c r="B323" s="53" t="s">
        <v>69</v>
      </c>
      <c r="C323" s="51"/>
      <c r="D323" s="55" t="s">
        <v>30</v>
      </c>
      <c r="E323" s="52" t="s">
        <v>47</v>
      </c>
      <c r="F323" s="126"/>
      <c r="G323" s="126"/>
      <c r="H323" s="161"/>
      <c r="I323" s="226">
        <f>IF(INDEX(SWT,ROW(Input!B22)-5,COLUMN()-2)=0,0,INDEX(SWT,ROW(Input!B15)-5,COLUMN()-2)/INDEX(SWT,ROW(Input!B22)-5,COLUMN()-2)*1000)</f>
        <v>0</v>
      </c>
      <c r="J323" s="226"/>
      <c r="K323" s="486"/>
      <c r="L323" s="113"/>
      <c r="M323" s="162"/>
      <c r="N323" s="162"/>
      <c r="O323" s="162"/>
      <c r="Q323" s="5"/>
    </row>
    <row r="324" spans="1:17" s="53" customFormat="1">
      <c r="A324" s="53" t="s">
        <v>95</v>
      </c>
      <c r="B324" s="53" t="s">
        <v>69</v>
      </c>
      <c r="C324" s="51"/>
      <c r="D324" s="55" t="s">
        <v>30</v>
      </c>
      <c r="E324" s="52" t="s">
        <v>48</v>
      </c>
      <c r="F324" s="126"/>
      <c r="G324" s="126"/>
      <c r="H324" s="161"/>
      <c r="I324" s="226">
        <f>IF(INDEX(SRN,ROW(Input!B22)-5,COLUMN()-2)=0,0,INDEX(SRN,ROW(Input!B15)-5,COLUMN()-2)/INDEX(SRN,ROW(Input!B22)-5,COLUMN()-2)*1000)</f>
        <v>4.870271213043325</v>
      </c>
      <c r="J324" s="226"/>
      <c r="K324" s="486"/>
      <c r="L324" s="113"/>
      <c r="M324" s="162"/>
      <c r="N324" s="162"/>
      <c r="O324" s="162"/>
      <c r="Q324" s="5"/>
    </row>
    <row r="325" spans="1:17" s="53" customFormat="1">
      <c r="A325" s="53" t="s">
        <v>95</v>
      </c>
      <c r="B325" s="53" t="s">
        <v>69</v>
      </c>
      <c r="C325" s="51"/>
      <c r="D325" s="55" t="s">
        <v>30</v>
      </c>
      <c r="E325" s="52" t="s">
        <v>49</v>
      </c>
      <c r="F325" s="126"/>
      <c r="G325" s="126"/>
      <c r="H325" s="161"/>
      <c r="I325" s="226">
        <f>IF(INDEX(TMS,ROW(Input!B22)-5,COLUMN()-2)=0,0,INDEX(TMS,ROW(Input!B15)-5,COLUMN()-2)/INDEX(TMS,ROW(Input!B22)-5,COLUMN()-2)*1000)</f>
        <v>5.183764271717906</v>
      </c>
      <c r="J325" s="226"/>
      <c r="K325" s="486"/>
      <c r="L325" s="113"/>
      <c r="M325" s="162"/>
      <c r="N325" s="162"/>
      <c r="O325" s="162"/>
      <c r="Q325" s="5"/>
    </row>
    <row r="326" spans="1:17" s="53" customFormat="1">
      <c r="A326" s="53" t="s">
        <v>95</v>
      </c>
      <c r="B326" s="53" t="s">
        <v>69</v>
      </c>
      <c r="C326" s="51"/>
      <c r="D326" s="55" t="s">
        <v>30</v>
      </c>
      <c r="E326" s="52" t="s">
        <v>50</v>
      </c>
      <c r="F326" s="126"/>
      <c r="G326" s="126"/>
      <c r="H326" s="161"/>
      <c r="I326" s="226">
        <f>IF(INDEX(NWT,ROW(Input!B22)-5,COLUMN()-2)=0,0,INDEX(NWT,ROW(Input!B15)-5,COLUMN()-2)/INDEX(NWT,ROW(Input!B22)-5,COLUMN()-2)*1000)</f>
        <v>1.2594635602846915</v>
      </c>
      <c r="J326" s="226"/>
      <c r="K326" s="486"/>
      <c r="L326" s="113"/>
      <c r="M326" s="162"/>
      <c r="N326" s="162"/>
      <c r="O326" s="162"/>
      <c r="Q326" s="5"/>
    </row>
    <row r="327" spans="1:17" s="53" customFormat="1">
      <c r="A327" s="53" t="s">
        <v>95</v>
      </c>
      <c r="B327" s="53" t="s">
        <v>69</v>
      </c>
      <c r="C327" s="51"/>
      <c r="D327" s="55" t="s">
        <v>30</v>
      </c>
      <c r="E327" s="52" t="s">
        <v>51</v>
      </c>
      <c r="F327" s="126"/>
      <c r="G327" s="126"/>
      <c r="H327" s="161"/>
      <c r="I327" s="226">
        <f>IF(INDEX(WSX,ROW(Input!B22)-5,COLUMN()-2)=0,0,INDEX(WSX,ROW(Input!B15)-5,COLUMN()-2)/INDEX(WSX,ROW(Input!B22)-5,COLUMN()-2)*1000)</f>
        <v>4.8743092884188659</v>
      </c>
      <c r="J327" s="226"/>
      <c r="K327" s="486"/>
      <c r="L327" s="113"/>
      <c r="M327" s="162"/>
      <c r="N327" s="162"/>
      <c r="O327" s="162"/>
      <c r="Q327" s="5"/>
    </row>
    <row r="328" spans="1:17" s="53" customFormat="1">
      <c r="A328" s="53" t="s">
        <v>95</v>
      </c>
      <c r="B328" s="53" t="s">
        <v>69</v>
      </c>
      <c r="C328" s="51"/>
      <c r="D328" s="55" t="s">
        <v>30</v>
      </c>
      <c r="E328" s="52" t="s">
        <v>52</v>
      </c>
      <c r="F328" s="126"/>
      <c r="G328" s="126"/>
      <c r="H328" s="161"/>
      <c r="I328" s="226">
        <f>IF(INDEX(YKY,ROW(Input!B22)-5,COLUMN()-2)=0,0,INDEX(YKY,ROW(Input!B15)-5,COLUMN()-2)/INDEX(YKY,ROW(Input!B22)-5,COLUMN()-2)*1000)</f>
        <v>5.8507296030358464</v>
      </c>
      <c r="J328" s="226"/>
      <c r="K328" s="486"/>
      <c r="L328" s="113"/>
      <c r="M328" s="162"/>
      <c r="N328" s="162"/>
      <c r="O328" s="162"/>
      <c r="Q328" s="5"/>
    </row>
    <row r="329" spans="1:17" s="53" customFormat="1">
      <c r="C329" s="51"/>
      <c r="D329" s="55" t="s">
        <v>30</v>
      </c>
      <c r="E329" s="52" t="s">
        <v>53</v>
      </c>
      <c r="F329" s="126"/>
      <c r="G329" s="126"/>
      <c r="H329" s="125"/>
      <c r="I329" s="226">
        <f>IF(INDEX(AFW,ROW(Input!B22)-5,COLUMN()-2)=0,0,INDEX(AFW,ROW(Input!B15)-5,COLUMN()-2)/INDEX(AFW,ROW(Input!B22)-5,COLUMN()-2)*1000)</f>
        <v>0</v>
      </c>
      <c r="J329" s="227"/>
      <c r="K329" s="485"/>
      <c r="L329" s="124"/>
      <c r="M329" s="154"/>
      <c r="N329" s="154"/>
      <c r="O329" s="154"/>
      <c r="Q329" s="5"/>
    </row>
    <row r="330" spans="1:17" s="53" customFormat="1">
      <c r="C330" s="51"/>
      <c r="D330" s="55" t="s">
        <v>30</v>
      </c>
      <c r="E330" s="52" t="s">
        <v>54</v>
      </c>
      <c r="F330" s="126"/>
      <c r="G330" s="126"/>
      <c r="H330" s="125"/>
      <c r="I330" s="158">
        <f>IF(INDEX(BRL,ROW(Input!B22)-5,COLUMN()-2)=0,0,INDEX(BRL,ROW(Input!B15)-5,COLUMN()-2)/INDEX(BRL,ROW(Input!B22)-5,COLUMN()-2)*1000)</f>
        <v>0</v>
      </c>
      <c r="J330" s="227"/>
      <c r="K330" s="485"/>
      <c r="L330" s="124"/>
      <c r="M330" s="154"/>
      <c r="N330" s="154"/>
      <c r="O330" s="154"/>
      <c r="Q330" s="5"/>
    </row>
    <row r="331" spans="1:17" s="53" customFormat="1">
      <c r="C331" s="51"/>
      <c r="D331" s="55" t="s">
        <v>30</v>
      </c>
      <c r="E331" s="52" t="s">
        <v>66</v>
      </c>
      <c r="F331" s="126"/>
      <c r="G331" s="126"/>
      <c r="H331" s="125"/>
      <c r="I331" s="158">
        <f>IF(INDEX(SSC,ROW(Input!B22)-5,COLUMN()-2)=0,0,INDEX(SSC,ROW(Input!B15)-5,COLUMN()-2)/INDEX(SSC,ROW(Input!B22)-5,COLUMN()-2)*1000)</f>
        <v>0</v>
      </c>
      <c r="J331" s="227"/>
      <c r="K331" s="485"/>
      <c r="L331" s="124"/>
      <c r="M331" s="154"/>
      <c r="N331" s="154"/>
      <c r="O331" s="154"/>
      <c r="Q331" s="5"/>
    </row>
    <row r="332" spans="1:17" s="53" customFormat="1">
      <c r="C332" s="51"/>
      <c r="D332" s="55" t="s">
        <v>30</v>
      </c>
      <c r="E332" s="52" t="s">
        <v>55</v>
      </c>
      <c r="F332" s="126"/>
      <c r="G332" s="126"/>
      <c r="H332" s="125"/>
      <c r="I332" s="158">
        <f>IF(INDEX(DVW,ROW(Input!B22)-5,COLUMN()-2)=0,0,INDEX(DVW,ROW(Input!B15)-5,COLUMN()-2)/INDEX(DVW,ROW(Input!B22)-5,COLUMN()-2)*1000)</f>
        <v>0</v>
      </c>
      <c r="J332" s="227"/>
      <c r="K332" s="485"/>
      <c r="L332" s="124"/>
      <c r="M332" s="154"/>
      <c r="N332" s="154"/>
      <c r="O332" s="154"/>
      <c r="Q332" s="5"/>
    </row>
    <row r="333" spans="1:17" s="53" customFormat="1">
      <c r="C333" s="51"/>
      <c r="D333" s="55" t="s">
        <v>30</v>
      </c>
      <c r="E333" s="52" t="s">
        <v>56</v>
      </c>
      <c r="F333" s="126"/>
      <c r="G333" s="126"/>
      <c r="H333" s="125"/>
      <c r="I333" s="158">
        <f>IF(INDEX(PRT,ROW(Input!B22)-5,COLUMN()-2)=0,0,INDEX(PRT,ROW(Input!B15)-5,COLUMN()-2)/INDEX(PRT,ROW(Input!B22)-5,COLUMN()-2)*1000)</f>
        <v>0</v>
      </c>
      <c r="J333" s="227"/>
      <c r="K333" s="485"/>
      <c r="L333" s="124"/>
      <c r="M333" s="154"/>
      <c r="N333" s="154"/>
      <c r="O333" s="154"/>
      <c r="Q333" s="5"/>
    </row>
    <row r="334" spans="1:17" s="53" customFormat="1">
      <c r="C334" s="51"/>
      <c r="D334" s="55" t="s">
        <v>30</v>
      </c>
      <c r="E334" s="52" t="s">
        <v>57</v>
      </c>
      <c r="F334" s="126"/>
      <c r="G334" s="126"/>
      <c r="H334" s="125"/>
      <c r="I334" s="158">
        <f>IF(INDEX(SBW,ROW(Input!B22)-5,COLUMN()-2)=0,0,INDEX(SBW,ROW(Input!B15)-5,COLUMN()-2)/INDEX(SBW,ROW(Input!B22)-5,COLUMN()-2)*1000)</f>
        <v>0</v>
      </c>
      <c r="J334" s="227"/>
      <c r="K334" s="485"/>
      <c r="L334" s="124"/>
      <c r="M334" s="154"/>
      <c r="N334" s="154"/>
      <c r="O334" s="154"/>
      <c r="Q334" s="5"/>
    </row>
    <row r="335" spans="1:17" s="53" customFormat="1">
      <c r="C335" s="51"/>
      <c r="D335" s="55" t="s">
        <v>30</v>
      </c>
      <c r="E335" s="52" t="s">
        <v>58</v>
      </c>
      <c r="F335" s="126"/>
      <c r="G335" s="126"/>
      <c r="H335" s="125"/>
      <c r="I335" s="158">
        <f>IF(INDEX(SEW,ROW(Input!B22)-5,COLUMN()-2)=0,0,INDEX(SEW,ROW(Input!B15)-5,COLUMN()-2)/INDEX(SEW,ROW(Input!B22)-5,COLUMN()-2)*1000)</f>
        <v>0</v>
      </c>
      <c r="J335" s="227"/>
      <c r="K335" s="485"/>
      <c r="L335" s="124"/>
      <c r="M335" s="154"/>
      <c r="N335" s="154"/>
      <c r="O335" s="154"/>
      <c r="Q335" s="5"/>
    </row>
    <row r="336" spans="1:17" s="53" customFormat="1">
      <c r="C336" s="51"/>
      <c r="D336" s="55" t="s">
        <v>30</v>
      </c>
      <c r="E336" s="52" t="s">
        <v>59</v>
      </c>
      <c r="F336" s="126"/>
      <c r="G336" s="126"/>
      <c r="H336" s="125"/>
      <c r="I336" s="158">
        <f>IF(INDEX(SES,ROW(Input!B22)-5,COLUMN()-2)=0,0,INDEX(SES,ROW(Input!B15)-5,COLUMN()-2)/INDEX(SES,ROW(Input!B22)-5,COLUMN()-2)*1000)</f>
        <v>0</v>
      </c>
      <c r="J336" s="227"/>
      <c r="K336" s="485"/>
      <c r="L336" s="124"/>
      <c r="M336" s="154"/>
      <c r="N336" s="154"/>
      <c r="O336" s="154"/>
      <c r="Q336" s="5"/>
    </row>
    <row r="337" spans="1:17" s="53" customFormat="1">
      <c r="C337" s="51"/>
      <c r="D337" s="54"/>
      <c r="E337" s="52"/>
      <c r="F337" s="126"/>
      <c r="G337" s="126"/>
      <c r="H337" s="126"/>
      <c r="I337" s="126"/>
      <c r="J337" s="227"/>
      <c r="K337" s="485"/>
      <c r="L337" s="124"/>
      <c r="M337" s="154"/>
      <c r="N337" s="154"/>
      <c r="O337" s="154"/>
      <c r="Q337" s="5"/>
    </row>
    <row r="338" spans="1:17">
      <c r="A338" s="27"/>
      <c r="B338" s="28"/>
      <c r="C338" s="29"/>
      <c r="D338" s="30"/>
      <c r="E338" s="32" t="s">
        <v>472</v>
      </c>
      <c r="F338" s="31"/>
      <c r="G338" s="31"/>
      <c r="H338" s="31"/>
      <c r="I338" s="173"/>
      <c r="J338" s="475"/>
      <c r="K338" s="496"/>
      <c r="L338" s="173"/>
      <c r="M338" s="173"/>
      <c r="N338" s="173"/>
      <c r="O338" s="173"/>
      <c r="Q338" s="5"/>
    </row>
    <row r="339" spans="1:17" s="53" customFormat="1">
      <c r="C339" s="51"/>
      <c r="D339" s="54" t="s">
        <v>153</v>
      </c>
      <c r="E339" s="52" t="s">
        <v>154</v>
      </c>
      <c r="F339" s="227"/>
      <c r="G339" s="227"/>
      <c r="H339" s="227"/>
      <c r="I339" s="228">
        <f>COUNTIF(I319:I336,"&lt;&gt;0")</f>
        <v>9</v>
      </c>
      <c r="J339" s="227"/>
      <c r="K339" s="485"/>
      <c r="L339" s="154"/>
      <c r="M339" s="154"/>
      <c r="N339" s="154"/>
      <c r="O339" s="154"/>
      <c r="Q339" s="5"/>
    </row>
    <row r="340" spans="1:17" s="53" customFormat="1">
      <c r="A340" s="53" t="s">
        <v>110</v>
      </c>
      <c r="B340" s="53" t="s">
        <v>69</v>
      </c>
      <c r="C340" s="51"/>
      <c r="D340" s="55" t="s">
        <v>30</v>
      </c>
      <c r="E340" s="52" t="s">
        <v>45</v>
      </c>
      <c r="F340" s="226"/>
      <c r="G340" s="226"/>
      <c r="H340" s="226"/>
      <c r="I340" s="226">
        <f>IF(I339=0,0,SUM(I319:I336)/I339)</f>
        <v>4.0740169347284798</v>
      </c>
      <c r="J340" s="226"/>
      <c r="K340" s="486"/>
      <c r="L340" s="113"/>
      <c r="M340" s="113"/>
      <c r="N340" s="113"/>
      <c r="O340" s="113"/>
      <c r="Q340" s="5"/>
    </row>
    <row r="341" spans="1:17" s="53" customFormat="1">
      <c r="C341" s="51"/>
      <c r="D341" s="54"/>
      <c r="E341" s="52"/>
      <c r="F341" s="164"/>
      <c r="G341" s="164"/>
      <c r="H341" s="164"/>
      <c r="I341" s="164"/>
      <c r="J341" s="227"/>
      <c r="K341" s="485"/>
      <c r="L341" s="154"/>
      <c r="M341" s="154"/>
      <c r="N341" s="154"/>
      <c r="O341" s="154"/>
      <c r="Q341" s="5"/>
    </row>
    <row r="342" spans="1:17">
      <c r="A342" s="27"/>
      <c r="B342" s="28"/>
      <c r="C342" s="29"/>
      <c r="D342" s="30"/>
      <c r="E342" s="47" t="s">
        <v>473</v>
      </c>
      <c r="F342" s="31"/>
      <c r="G342" s="31"/>
      <c r="H342" s="31"/>
      <c r="I342" s="31"/>
      <c r="J342" s="472"/>
      <c r="K342" s="480"/>
      <c r="L342" s="31"/>
      <c r="M342" s="31"/>
      <c r="N342" s="31"/>
      <c r="O342" s="31"/>
      <c r="Q342" s="5"/>
    </row>
    <row r="343" spans="1:17" s="53" customFormat="1">
      <c r="A343" s="53" t="s">
        <v>144</v>
      </c>
      <c r="B343" s="53" t="s">
        <v>69</v>
      </c>
      <c r="C343" s="51"/>
      <c r="D343" s="55" t="s">
        <v>30</v>
      </c>
      <c r="E343" s="52" t="s">
        <v>31</v>
      </c>
      <c r="F343" s="125"/>
      <c r="G343" s="125"/>
      <c r="H343" s="125"/>
      <c r="I343" s="125"/>
      <c r="J343" s="226"/>
      <c r="K343" s="493">
        <f>MIN(IF($I319&lt;$I$340,$I$340,$I319-($I319-$I$340)*Input!K$442),IF(INDEX(ANH,ROW(Input!B$22)-5,COLUMN()-2)=0,0,INDEX(ANH,ROW(Input!B$15)-5,COLUMN()-2)/INDEX(ANH,ROW(Input!B$22)-5,COLUMN()-2)*1000))</f>
        <v>3.1400000000000041</v>
      </c>
      <c r="L343" s="176">
        <f>MIN(IF($I319&lt;$I$340,$I$340,$I319-($I319-$I$340)*Input!L$442),IF(INDEX(ANH,ROW(Input!C$22)-5,COLUMN()-2)=0,0,INDEX(ANH,ROW(Input!C$15)-5,COLUMN()-2)/INDEX(ANH,ROW(Input!C$22)-5,COLUMN()-2)*1000))</f>
        <v>3.140000000000009</v>
      </c>
      <c r="M343" s="176">
        <f>MIN(IF($I319&lt;$I$340,$I$340,$I319-($I319-$I$340)*Input!M$442),IF(INDEX(ANH,ROW(Input!D$22)-5,COLUMN()-2)=0,0,INDEX(ANH,ROW(Input!D$15)-5,COLUMN()-2)/INDEX(ANH,ROW(Input!D$22)-5,COLUMN()-2)*1000))</f>
        <v>3.14</v>
      </c>
      <c r="N343" s="176">
        <f>MIN(IF($I319&lt;$I$340,$I$340,$I319-($I319-$I$340)*Input!N$442),IF(INDEX(ANH,ROW(Input!E$22)-5,COLUMN()-2)=0,0,INDEX(ANH,ROW(Input!E$15)-5,COLUMN()-2)/INDEX(ANH,ROW(Input!E$22)-5,COLUMN()-2)*1000))</f>
        <v>3.1399999999999961</v>
      </c>
      <c r="O343" s="176">
        <f>MIN(IF($I319&lt;$I$340,$I$340,$I319-($I319-$I$340)*Input!O$442),IF(INDEX(ANH,ROW(Input!F$22)-5,COLUMN()-2)=0,0,INDEX(ANH,ROW(Input!F$15)-5,COLUMN()-2)/INDEX(ANH,ROW(Input!F$22)-5,COLUMN()-2)*1000))</f>
        <v>3.1400000000000068</v>
      </c>
      <c r="Q343" s="5"/>
    </row>
    <row r="344" spans="1:17" s="53" customFormat="1">
      <c r="A344" s="53" t="s">
        <v>144</v>
      </c>
      <c r="B344" s="53" t="s">
        <v>69</v>
      </c>
      <c r="C344" s="51"/>
      <c r="D344" s="55" t="s">
        <v>30</v>
      </c>
      <c r="E344" s="52" t="s">
        <v>32</v>
      </c>
      <c r="F344" s="126"/>
      <c r="G344" s="126"/>
      <c r="H344" s="125"/>
      <c r="I344" s="125"/>
      <c r="J344" s="226"/>
      <c r="K344" s="493">
        <f>MIN(IF($I320&lt;$I$340,$I$340,$I320-($I320-$I$340)*Input!K$442),IF(INDEX(WSH,ROW(Input!B$22)-5,COLUMN()-2)=0,0,INDEX(WSH,ROW(Input!B$15)-5,COLUMN()-2)/INDEX(WSH,ROW(Input!B$22)-5,COLUMN()-2)*1000))</f>
        <v>7.2604237851839937</v>
      </c>
      <c r="L344" s="176">
        <f>MIN(IF($I320&lt;$I$340,$I$340,$I320-($I320-$I$340)*Input!L$442),IF(INDEX(WSH,ROW(Input!C$22)-5,COLUMN()-2)=0,0,INDEX(WSH,ROW(Input!C$15)-5,COLUMN()-2)/INDEX(WSH,ROW(Input!C$22)-5,COLUMN()-2)*1000))</f>
        <v>6.1982881683654893</v>
      </c>
      <c r="M344" s="176">
        <f>MIN(IF($I320&lt;$I$340,$I$340,$I320-($I320-$I$340)*Input!M$442),IF(INDEX(WSH,ROW(Input!D$22)-5,COLUMN()-2)=0,0,INDEX(WSH,ROW(Input!D$15)-5,COLUMN()-2)/INDEX(WSH,ROW(Input!D$22)-5,COLUMN()-2)*1000))</f>
        <v>5.136152551546985</v>
      </c>
      <c r="N344" s="176">
        <f>MIN(IF($I320&lt;$I$340,$I$340,$I320-($I320-$I$340)*Input!N$442),IF(INDEX(WSH,ROW(Input!E$22)-5,COLUMN()-2)=0,0,INDEX(WSH,ROW(Input!E$15)-5,COLUMN()-2)/INDEX(WSH,ROW(Input!E$22)-5,COLUMN()-2)*1000))</f>
        <v>4.0740169347284798</v>
      </c>
      <c r="O344" s="176">
        <f>MIN(IF($I320&lt;$I$340,$I$340,$I320-($I320-$I$340)*Input!O$442),IF(INDEX(WSH,ROW(Input!F$22)-5,COLUMN()-2)=0,0,INDEX(WSH,ROW(Input!F$15)-5,COLUMN()-2)/INDEX(WSH,ROW(Input!F$22)-5,COLUMN()-2)*1000))</f>
        <v>4.0740169347284798</v>
      </c>
      <c r="Q344" s="5"/>
    </row>
    <row r="345" spans="1:17" s="53" customFormat="1">
      <c r="A345" s="53" t="s">
        <v>144</v>
      </c>
      <c r="B345" s="53" t="s">
        <v>69</v>
      </c>
      <c r="C345" s="51"/>
      <c r="D345" s="55" t="s">
        <v>30</v>
      </c>
      <c r="E345" s="52" t="s">
        <v>33</v>
      </c>
      <c r="F345" s="126"/>
      <c r="G345" s="126"/>
      <c r="H345" s="125"/>
      <c r="I345" s="125"/>
      <c r="J345" s="226"/>
      <c r="K345" s="493">
        <f>MIN(IF($I321&lt;$I$340,$I$340,$I321-($I321-$I$340)*Input!K$442),IF(INDEX(NES,ROW(Input!B$22)-5,COLUMN()-2)=0,0,INDEX(NES,ROW(Input!B$15)-5,COLUMN()-2)/INDEX(NES,ROW(Input!B$22)-5,COLUMN()-2)*1000))</f>
        <v>2.6653847639579169</v>
      </c>
      <c r="L345" s="176">
        <f>MIN(IF($I321&lt;$I$340,$I$340,$I321-($I321-$I$340)*Input!L$442),IF(INDEX(NES,ROW(Input!C$22)-5,COLUMN()-2)=0,0,INDEX(NES,ROW(Input!C$15)-5,COLUMN()-2)/INDEX(NES,ROW(Input!C$22)-5,COLUMN()-2)*1000))</f>
        <v>2.6523812750509133</v>
      </c>
      <c r="M345" s="176">
        <f>MIN(IF($I321&lt;$I$340,$I$340,$I321-($I321-$I$340)*Input!M$442),IF(INDEX(NES,ROW(Input!D$22)-5,COLUMN()-2)=0,0,INDEX(NES,ROW(Input!D$15)-5,COLUMN()-2)/INDEX(NES,ROW(Input!D$22)-5,COLUMN()-2)*1000))</f>
        <v>2.6398654104997208</v>
      </c>
      <c r="N345" s="176">
        <f>MIN(IF($I321&lt;$I$340,$I$340,$I321-($I321-$I$340)*Input!N$442),IF(INDEX(NES,ROW(Input!E$22)-5,COLUMN()-2)=0,0,INDEX(NES,ROW(Input!E$15)-5,COLUMN()-2)/INDEX(NES,ROW(Input!E$22)-5,COLUMN()-2)*1000))</f>
        <v>2.65245944532258</v>
      </c>
      <c r="O345" s="176">
        <f>MIN(IF($I321&lt;$I$340,$I$340,$I321-($I321-$I$340)*Input!O$442),IF(INDEX(NES,ROW(Input!F$22)-5,COLUMN()-2)=0,0,INDEX(NES,ROW(Input!F$15)-5,COLUMN()-2)/INDEX(NES,ROW(Input!F$22)-5,COLUMN()-2)*1000))</f>
        <v>2.6631805129347383</v>
      </c>
      <c r="Q345" s="5"/>
    </row>
    <row r="346" spans="1:17" s="53" customFormat="1">
      <c r="A346" s="53" t="s">
        <v>144</v>
      </c>
      <c r="B346" s="53" t="s">
        <v>69</v>
      </c>
      <c r="C346" s="51"/>
      <c r="D346" s="55" t="s">
        <v>30</v>
      </c>
      <c r="E346" s="52" t="s">
        <v>46</v>
      </c>
      <c r="F346" s="126"/>
      <c r="G346" s="126"/>
      <c r="H346" s="125"/>
      <c r="I346" s="125"/>
      <c r="J346" s="226"/>
      <c r="K346" s="493">
        <f>MIN(IF($I322&lt;$I$340,$I$340,$I322-($I322-$I$340)*Input!K$442),IF(INDEX(SVT,ROW(Input!B$22)-5,COLUMN()-2)=0,0,INDEX(SVT,ROW(Input!B$15)-5,COLUMN()-2)/INDEX(SVT,ROW(Input!B$22)-5,COLUMN()-2)*1000))</f>
        <v>0.65670229762425358</v>
      </c>
      <c r="L346" s="176">
        <f>MIN(IF($I322&lt;$I$340,$I$340,$I322-($I322-$I$340)*Input!L$442),IF(INDEX(SVT,ROW(Input!C$22)-5,COLUMN()-2)=0,0,INDEX(SVT,ROW(Input!C$15)-5,COLUMN()-2)/INDEX(SVT,ROW(Input!C$22)-5,COLUMN()-2)*1000))</f>
        <v>0.64847874548506357</v>
      </c>
      <c r="M346" s="176">
        <f>MIN(IF($I322&lt;$I$340,$I$340,$I322-($I322-$I$340)*Input!M$442),IF(INDEX(SVT,ROW(Input!D$22)-5,COLUMN()-2)=0,0,INDEX(SVT,ROW(Input!D$15)-5,COLUMN()-2)/INDEX(SVT,ROW(Input!D$22)-5,COLUMN()-2)*1000))</f>
        <v>0.64148942087394289</v>
      </c>
      <c r="N346" s="176">
        <f>MIN(IF($I322&lt;$I$340,$I$340,$I322-($I322-$I$340)*Input!N$442),IF(INDEX(SVT,ROW(Input!E$22)-5,COLUMN()-2)=0,0,INDEX(SVT,ROW(Input!E$15)-5,COLUMN()-2)/INDEX(SVT,ROW(Input!E$22)-5,COLUMN()-2)*1000))</f>
        <v>0.63407350348488722</v>
      </c>
      <c r="O346" s="176">
        <f>MIN(IF($I322&lt;$I$340,$I$340,$I322-($I322-$I$340)*Input!O$442),IF(INDEX(SVT,ROW(Input!F$22)-5,COLUMN()-2)=0,0,INDEX(SVT,ROW(Input!F$15)-5,COLUMN()-2)/INDEX(SVT,ROW(Input!F$22)-5,COLUMN()-2)*1000))</f>
        <v>0.62661479788484131</v>
      </c>
      <c r="Q346" s="5"/>
    </row>
    <row r="347" spans="1:17" s="53" customFormat="1">
      <c r="A347" s="53" t="s">
        <v>144</v>
      </c>
      <c r="B347" s="53" t="s">
        <v>69</v>
      </c>
      <c r="C347" s="51"/>
      <c r="D347" s="55" t="s">
        <v>30</v>
      </c>
      <c r="E347" s="52" t="s">
        <v>47</v>
      </c>
      <c r="F347" s="126"/>
      <c r="G347" s="126"/>
      <c r="H347" s="125"/>
      <c r="I347" s="125"/>
      <c r="J347" s="226"/>
      <c r="K347" s="493">
        <f>MIN(IF($I323&lt;$I$340,$I$340,$I323-($I323-$I$340)*Input!K$442),IF(INDEX(SWT,ROW(Input!B$22)-5,COLUMN()-2)=0,0,INDEX(SWT,ROW(Input!B$15)-5,COLUMN()-2)/INDEX(SWT,ROW(Input!B$22)-5,COLUMN()-2)*1000))</f>
        <v>0</v>
      </c>
      <c r="L347" s="176">
        <f>MIN(IF($I323&lt;$I$340,$I$340,$I323-($I323-$I$340)*Input!L$442),IF(INDEX(SWT,ROW(Input!C$22)-5,COLUMN()-2)=0,0,INDEX(SWT,ROW(Input!C$15)-5,COLUMN()-2)/INDEX(SWT,ROW(Input!C$22)-5,COLUMN()-2)*1000))</f>
        <v>0</v>
      </c>
      <c r="M347" s="176">
        <f>MIN(IF($I323&lt;$I$340,$I$340,$I323-($I323-$I$340)*Input!M$442),IF(INDEX(SWT,ROW(Input!D$22)-5,COLUMN()-2)=0,0,INDEX(SWT,ROW(Input!D$15)-5,COLUMN()-2)/INDEX(SWT,ROW(Input!D$22)-5,COLUMN()-2)*1000))</f>
        <v>0</v>
      </c>
      <c r="N347" s="176">
        <f>MIN(IF($I323&lt;$I$340,$I$340,$I323-($I323-$I$340)*Input!N$442),IF(INDEX(SWT,ROW(Input!E$22)-5,COLUMN()-2)=0,0,INDEX(SWT,ROW(Input!E$15)-5,COLUMN()-2)/INDEX(SWT,ROW(Input!E$22)-5,COLUMN()-2)*1000))</f>
        <v>0</v>
      </c>
      <c r="O347" s="176">
        <f>MIN(IF($I323&lt;$I$340,$I$340,$I323-($I323-$I$340)*Input!O$442),IF(INDEX(SWT,ROW(Input!F$22)-5,COLUMN()-2)=0,0,INDEX(SWT,ROW(Input!F$15)-5,COLUMN()-2)/INDEX(SWT,ROW(Input!F$22)-5,COLUMN()-2)*1000))</f>
        <v>0</v>
      </c>
      <c r="Q347" s="5"/>
    </row>
    <row r="348" spans="1:17" s="53" customFormat="1">
      <c r="A348" s="53" t="s">
        <v>144</v>
      </c>
      <c r="B348" s="53" t="s">
        <v>69</v>
      </c>
      <c r="C348" s="51"/>
      <c r="D348" s="55" t="s">
        <v>30</v>
      </c>
      <c r="E348" s="52" t="s">
        <v>48</v>
      </c>
      <c r="F348" s="126"/>
      <c r="G348" s="126"/>
      <c r="H348" s="125"/>
      <c r="I348" s="125"/>
      <c r="J348" s="226"/>
      <c r="K348" s="493">
        <f>MIN(IF($I324&lt;$I$340,$I$340,$I324-($I324-$I$340)*Input!K$442),IF(INDEX(SRN,ROW(Input!B$22)-5,COLUMN()-2)=0,0,INDEX(SRN,ROW(Input!B$15)-5,COLUMN()-2)/INDEX(SRN,ROW(Input!B$22)-5,COLUMN()-2)*1000))</f>
        <v>4.5580894661157281</v>
      </c>
      <c r="L348" s="176">
        <f>MIN(IF($I324&lt;$I$340,$I$340,$I324-($I324-$I$340)*Input!L$442),IF(INDEX(SRN,ROW(Input!C$22)-5,COLUMN()-2)=0,0,INDEX(SRN,ROW(Input!C$15)-5,COLUMN()-2)/INDEX(SRN,ROW(Input!C$22)-5,COLUMN()-2)*1000))</f>
        <v>4.2459077191881285</v>
      </c>
      <c r="M348" s="176">
        <f>MIN(IF($I324&lt;$I$340,$I$340,$I324-($I324-$I$340)*Input!M$442),IF(INDEX(SRN,ROW(Input!D$22)-5,COLUMN()-2)=0,0,INDEX(SRN,ROW(Input!D$15)-5,COLUMN()-2)/INDEX(SRN,ROW(Input!D$22)-5,COLUMN()-2)*1000))</f>
        <v>3.9337259722605324</v>
      </c>
      <c r="N348" s="176">
        <f>MIN(IF($I324&lt;$I$340,$I$340,$I324-($I324-$I$340)*Input!N$442),IF(INDEX(SRN,ROW(Input!E$22)-5,COLUMN()-2)=0,0,INDEX(SRN,ROW(Input!E$15)-5,COLUMN()-2)/INDEX(SRN,ROW(Input!E$22)-5,COLUMN()-2)*1000))</f>
        <v>3.6215442253329209</v>
      </c>
      <c r="O348" s="176">
        <f>MIN(IF($I324&lt;$I$340,$I$340,$I324-($I324-$I$340)*Input!O$442),IF(INDEX(SRN,ROW(Input!F$22)-5,COLUMN()-2)=0,0,INDEX(SRN,ROW(Input!F$15)-5,COLUMN()-2)/INDEX(SRN,ROW(Input!F$22)-5,COLUMN()-2)*1000))</f>
        <v>3.6215442253329306</v>
      </c>
      <c r="Q348" s="5"/>
    </row>
    <row r="349" spans="1:17" s="53" customFormat="1">
      <c r="A349" s="53" t="s">
        <v>144</v>
      </c>
      <c r="B349" s="53" t="s">
        <v>69</v>
      </c>
      <c r="C349" s="51"/>
      <c r="D349" s="55" t="s">
        <v>30</v>
      </c>
      <c r="E349" s="52" t="s">
        <v>49</v>
      </c>
      <c r="F349" s="126"/>
      <c r="G349" s="126"/>
      <c r="H349" s="125"/>
      <c r="I349" s="125"/>
      <c r="J349" s="226"/>
      <c r="K349" s="493">
        <f>MIN(IF($I325&lt;$I$340,$I$340,$I325-($I325-$I$340)*Input!K$442),IF(INDEX(TMS,ROW(Input!B$22)-5,COLUMN()-2)=0,0,INDEX(TMS,ROW(Input!B$15)-5,COLUMN()-2)/INDEX(TMS,ROW(Input!B$22)-5,COLUMN()-2)*1000))</f>
        <v>4.9063274374705497</v>
      </c>
      <c r="L349" s="176">
        <f>MIN(IF($I325&lt;$I$340,$I$340,$I325-($I325-$I$340)*Input!L$442),IF(INDEX(TMS,ROW(Input!C$22)-5,COLUMN()-2)=0,0,INDEX(TMS,ROW(Input!C$15)-5,COLUMN()-2)/INDEX(TMS,ROW(Input!C$22)-5,COLUMN()-2)*1000))</f>
        <v>4.6288906032231925</v>
      </c>
      <c r="M349" s="176">
        <f>MIN(IF($I325&lt;$I$340,$I$340,$I325-($I325-$I$340)*Input!M$442),IF(INDEX(TMS,ROW(Input!D$22)-5,COLUMN()-2)=0,0,INDEX(TMS,ROW(Input!D$15)-5,COLUMN()-2)/INDEX(TMS,ROW(Input!D$22)-5,COLUMN()-2)*1000))</f>
        <v>4.2274752404504996</v>
      </c>
      <c r="N349" s="176">
        <f>MIN(IF($I325&lt;$I$340,$I$340,$I325-($I325-$I$340)*Input!N$442),IF(INDEX(TMS,ROW(Input!E$22)-5,COLUMN()-2)=0,0,INDEX(TMS,ROW(Input!E$15)-5,COLUMN()-2)/INDEX(TMS,ROW(Input!E$22)-5,COLUMN()-2)*1000))</f>
        <v>3.6338495521269083</v>
      </c>
      <c r="O349" s="176">
        <f>MIN(IF($I325&lt;$I$340,$I$340,$I325-($I325-$I$340)*Input!O$442),IF(INDEX(TMS,ROW(Input!F$22)-5,COLUMN()-2)=0,0,INDEX(TMS,ROW(Input!F$15)-5,COLUMN()-2)/INDEX(TMS,ROW(Input!F$22)-5,COLUMN()-2)*1000))</f>
        <v>3.2313342033673473</v>
      </c>
      <c r="Q349" s="5"/>
    </row>
    <row r="350" spans="1:17" s="53" customFormat="1">
      <c r="A350" s="53" t="s">
        <v>144</v>
      </c>
      <c r="B350" s="53" t="s">
        <v>69</v>
      </c>
      <c r="C350" s="51"/>
      <c r="D350" s="55" t="s">
        <v>30</v>
      </c>
      <c r="E350" s="52" t="s">
        <v>50</v>
      </c>
      <c r="F350" s="126"/>
      <c r="G350" s="126"/>
      <c r="H350" s="125"/>
      <c r="I350" s="125"/>
      <c r="J350" s="226"/>
      <c r="K350" s="493">
        <f>MIN(IF($I326&lt;$I$340,$I$340,$I326-($I326-$I$340)*Input!K$442),IF(INDEX(NWT,ROW(Input!B$22)-5,COLUMN()-2)=0,0,INDEX(NWT,ROW(Input!B$15)-5,COLUMN()-2)/INDEX(NWT,ROW(Input!B$22)-5,COLUMN()-2)*1000))</f>
        <v>3.9869303054318679</v>
      </c>
      <c r="L350" s="176">
        <f>MIN(IF($I326&lt;$I$340,$I$340,$I326-($I326-$I$340)*Input!L$442),IF(INDEX(NWT,ROW(Input!C$22)-5,COLUMN()-2)=0,0,INDEX(NWT,ROW(Input!C$15)-5,COLUMN()-2)/INDEX(NWT,ROW(Input!C$22)-5,COLUMN()-2)*1000))</f>
        <v>3.9344869536510618</v>
      </c>
      <c r="M350" s="176">
        <f>MIN(IF($I326&lt;$I$340,$I$340,$I326-($I326-$I$340)*Input!M$442),IF(INDEX(NWT,ROW(Input!D$22)-5,COLUMN()-2)=0,0,INDEX(NWT,ROW(Input!D$15)-5,COLUMN()-2)/INDEX(NWT,ROW(Input!D$22)-5,COLUMN()-2)*1000))</f>
        <v>3.842765951809251</v>
      </c>
      <c r="N350" s="176">
        <f>MIN(IF($I326&lt;$I$340,$I$340,$I326-($I326-$I$340)*Input!N$442),IF(INDEX(NWT,ROW(Input!E$22)-5,COLUMN()-2)=0,0,INDEX(NWT,ROW(Input!E$15)-5,COLUMN()-2)/INDEX(NWT,ROW(Input!E$22)-5,COLUMN()-2)*1000))</f>
        <v>3.7514196307281549</v>
      </c>
      <c r="O350" s="176">
        <f>MIN(IF($I326&lt;$I$340,$I$340,$I326-($I326-$I$340)*Input!O$442),IF(INDEX(NWT,ROW(Input!F$22)-5,COLUMN()-2)=0,0,INDEX(NWT,ROW(Input!F$15)-5,COLUMN()-2)/INDEX(NWT,ROW(Input!F$22)-5,COLUMN()-2)*1000))</f>
        <v>3.8479620123267422</v>
      </c>
      <c r="Q350" s="5"/>
    </row>
    <row r="351" spans="1:17" s="53" customFormat="1">
      <c r="A351" s="53" t="s">
        <v>144</v>
      </c>
      <c r="B351" s="53" t="s">
        <v>69</v>
      </c>
      <c r="C351" s="51"/>
      <c r="D351" s="55" t="s">
        <v>30</v>
      </c>
      <c r="E351" s="52" t="s">
        <v>51</v>
      </c>
      <c r="F351" s="126"/>
      <c r="G351" s="126"/>
      <c r="H351" s="125"/>
      <c r="I351" s="125"/>
      <c r="J351" s="226"/>
      <c r="K351" s="493">
        <f>MIN(IF($I327&lt;$I$340,$I$340,$I327-($I327-$I$340)*Input!K$442),IF(INDEX(WSX,ROW(Input!B$22)-5,COLUMN()-2)=0,0,INDEX(WSX,ROW(Input!B$15)-5,COLUMN()-2)/INDEX(WSX,ROW(Input!B$22)-5,COLUMN()-2)*1000))</f>
        <v>4.6742361999962689</v>
      </c>
      <c r="L351" s="176">
        <f>MIN(IF($I327&lt;$I$340,$I$340,$I327-($I327-$I$340)*Input!L$442),IF(INDEX(WSX,ROW(Input!C$22)-5,COLUMN()-2)=0,0,INDEX(WSX,ROW(Input!C$15)-5,COLUMN()-2)/INDEX(WSX,ROW(Input!C$22)-5,COLUMN()-2)*1000))</f>
        <v>4.4741631115736729</v>
      </c>
      <c r="M351" s="176">
        <f>MIN(IF($I327&lt;$I$340,$I$340,$I327-($I327-$I$340)*Input!M$442),IF(INDEX(WSX,ROW(Input!D$22)-5,COLUMN()-2)=0,0,INDEX(WSX,ROW(Input!D$15)-5,COLUMN()-2)/INDEX(WSX,ROW(Input!D$22)-5,COLUMN()-2)*1000))</f>
        <v>4.2740900231510768</v>
      </c>
      <c r="N351" s="176">
        <f>MIN(IF($I327&lt;$I$340,$I$340,$I327-($I327-$I$340)*Input!N$442),IF(INDEX(WSX,ROW(Input!E$22)-5,COLUMN()-2)=0,0,INDEX(WSX,ROW(Input!E$15)-5,COLUMN()-2)/INDEX(WSX,ROW(Input!E$22)-5,COLUMN()-2)*1000))</f>
        <v>4.0740169347284798</v>
      </c>
      <c r="O351" s="176">
        <f>MIN(IF($I327&lt;$I$340,$I$340,$I327-($I327-$I$340)*Input!O$442),IF(INDEX(WSX,ROW(Input!F$22)-5,COLUMN()-2)=0,0,INDEX(WSX,ROW(Input!F$15)-5,COLUMN()-2)/INDEX(WSX,ROW(Input!F$22)-5,COLUMN()-2)*1000))</f>
        <v>4.0740169347284798</v>
      </c>
      <c r="Q351" s="5"/>
    </row>
    <row r="352" spans="1:17" s="53" customFormat="1">
      <c r="A352" s="53" t="s">
        <v>144</v>
      </c>
      <c r="B352" s="53" t="s">
        <v>69</v>
      </c>
      <c r="C352" s="51"/>
      <c r="D352" s="55" t="s">
        <v>30</v>
      </c>
      <c r="E352" s="52" t="s">
        <v>52</v>
      </c>
      <c r="F352" s="126"/>
      <c r="G352" s="126"/>
      <c r="H352" s="125"/>
      <c r="I352" s="125"/>
      <c r="J352" s="226"/>
      <c r="K352" s="493">
        <f>MIN(IF($I328&lt;$I$340,$I$340,$I328-($I328-$I$340)*Input!K$442),IF(INDEX(YKY,ROW(Input!B$22)-5,COLUMN()-2)=0,0,INDEX(YKY,ROW(Input!B$15)-5,COLUMN()-2)/INDEX(YKY,ROW(Input!B$22)-5,COLUMN()-2)*1000))</f>
        <v>5.2267429411043969</v>
      </c>
      <c r="L352" s="176">
        <f>MIN(IF($I328&lt;$I$340,$I$340,$I328-($I328-$I$340)*Input!L$442),IF(INDEX(YKY,ROW(Input!C$22)-5,COLUMN()-2)=0,0,INDEX(YKY,ROW(Input!C$15)-5,COLUMN()-2)/INDEX(YKY,ROW(Input!C$22)-5,COLUMN()-2)*1000))</f>
        <v>4.9623732688821631</v>
      </c>
      <c r="M352" s="176">
        <f>MIN(IF($I328&lt;$I$340,$I$340,$I328-($I328-$I$340)*Input!M$442),IF(INDEX(YKY,ROW(Input!D$22)-5,COLUMN()-2)=0,0,INDEX(YKY,ROW(Input!D$15)-5,COLUMN()-2)/INDEX(YKY,ROW(Input!D$22)-5,COLUMN()-2)*1000))</f>
        <v>4.5181951018053219</v>
      </c>
      <c r="N352" s="176">
        <f>MIN(IF($I328&lt;$I$340,$I$340,$I328-($I328-$I$340)*Input!N$442),IF(INDEX(YKY,ROW(Input!E$22)-5,COLUMN()-2)=0,0,INDEX(YKY,ROW(Input!E$15)-5,COLUMN()-2)/INDEX(YKY,ROW(Input!E$22)-5,COLUMN()-2)*1000))</f>
        <v>4.0740169347284798</v>
      </c>
      <c r="O352" s="176">
        <f>MIN(IF($I328&lt;$I$340,$I$340,$I328-($I328-$I$340)*Input!O$442),IF(INDEX(YKY,ROW(Input!F$22)-5,COLUMN()-2)=0,0,INDEX(YKY,ROW(Input!F$15)-5,COLUMN()-2)/INDEX(YKY,ROW(Input!F$22)-5,COLUMN()-2)*1000))</f>
        <v>4.0740169347284798</v>
      </c>
      <c r="Q352" s="5"/>
    </row>
    <row r="353" spans="1:17" s="53" customFormat="1">
      <c r="C353" s="51"/>
      <c r="D353" s="55" t="s">
        <v>30</v>
      </c>
      <c r="E353" s="52" t="s">
        <v>53</v>
      </c>
      <c r="F353" s="126"/>
      <c r="G353" s="126"/>
      <c r="H353" s="125"/>
      <c r="I353" s="126"/>
      <c r="J353" s="227"/>
      <c r="K353" s="493">
        <f>MIN(IF($I329&lt;$I$340,$I$340,$I329-($I329-$I$340)*Input!K$442),IF(INDEX(AFW,ROW(Input!B$22)-5,COLUMN()-2)=0,0,INDEX(AFW,ROW(Input!B$15)-5,COLUMN()-2)/INDEX(AFW,ROW(Input!B$22)-5,COLUMN()-2)*1000))</f>
        <v>0</v>
      </c>
      <c r="L353" s="176">
        <f>MIN(IF($I329&lt;$I$340,$I$340,$I329-($I329-$I$340)*Input!L$442),IF(INDEX(AFW,ROW(Input!C$22)-5,COLUMN()-2)=0,0,INDEX(AFW,ROW(Input!C$15)-5,COLUMN()-2)/INDEX(AFW,ROW(Input!C$22)-5,COLUMN()-2)*1000))</f>
        <v>0</v>
      </c>
      <c r="M353" s="176">
        <f>MIN(IF($I329&lt;$I$340,$I$340,$I329-($I329-$I$340)*Input!M$442),IF(INDEX(AFW,ROW(Input!D$22)-5,COLUMN()-2)=0,0,INDEX(AFW,ROW(Input!D$15)-5,COLUMN()-2)/INDEX(AFW,ROW(Input!D$22)-5,COLUMN()-2)*1000))</f>
        <v>0</v>
      </c>
      <c r="N353" s="176">
        <f>MIN(IF($I329&lt;$I$340,$I$340,$I329-($I329-$I$340)*Input!N$442),IF(INDEX(AFW,ROW(Input!E$22)-5,COLUMN()-2)=0,0,INDEX(AFW,ROW(Input!E$15)-5,COLUMN()-2)/INDEX(AFW,ROW(Input!E$22)-5,COLUMN()-2)*1000))</f>
        <v>0</v>
      </c>
      <c r="O353" s="176">
        <f>MIN(IF($I329&lt;$I$340,$I$340,$I329-($I329-$I$340)*Input!O$442),IF(INDEX(AFW,ROW(Input!F$22)-5,COLUMN()-2)=0,0,INDEX(AFW,ROW(Input!F$15)-5,COLUMN()-2)/INDEX(AFW,ROW(Input!F$22)-5,COLUMN()-2)*1000))</f>
        <v>0</v>
      </c>
      <c r="Q353" s="5"/>
    </row>
    <row r="354" spans="1:17" s="53" customFormat="1">
      <c r="C354" s="51"/>
      <c r="D354" s="55" t="s">
        <v>30</v>
      </c>
      <c r="E354" s="52" t="s">
        <v>54</v>
      </c>
      <c r="F354" s="126"/>
      <c r="G354" s="126"/>
      <c r="H354" s="125"/>
      <c r="I354" s="126"/>
      <c r="J354" s="227"/>
      <c r="K354" s="493">
        <f>MIN(IF($I330&lt;$I$340,$I$340,$I330-($I330-$I$340)*Input!K$442),IF(INDEX(BRL,ROW(Input!B$22)-5,COLUMN()-2)=0,0,INDEX(BRL,ROW(Input!B$15)-5,COLUMN()-2)/INDEX(BRL,ROW(Input!B$22)-5,COLUMN()-2)*1000))</f>
        <v>0</v>
      </c>
      <c r="L354" s="176">
        <f>MIN(IF($I330&lt;$I$340,$I$340,$I330-($I330-$I$340)*Input!L$442),IF(INDEX(BRL,ROW(Input!C$22)-5,COLUMN()-2)=0,0,INDEX(BRL,ROW(Input!C$15)-5,COLUMN()-2)/INDEX(BRL,ROW(Input!C$22)-5,COLUMN()-2)*1000))</f>
        <v>0</v>
      </c>
      <c r="M354" s="176">
        <f>MIN(IF($I330&lt;$I$340,$I$340,$I330-($I330-$I$340)*Input!M$442),IF(INDEX(BRL,ROW(Input!D$22)-5,COLUMN()-2)=0,0,INDEX(BRL,ROW(Input!D$15)-5,COLUMN()-2)/INDEX(BRL,ROW(Input!D$22)-5,COLUMN()-2)*1000))</f>
        <v>0</v>
      </c>
      <c r="N354" s="176">
        <f>MIN(IF($I330&lt;$I$340,$I$340,$I330-($I330-$I$340)*Input!N$442),IF(INDEX(BRL,ROW(Input!E$22)-5,COLUMN()-2)=0,0,INDEX(BRL,ROW(Input!E$15)-5,COLUMN()-2)/INDEX(BRL,ROW(Input!E$22)-5,COLUMN()-2)*1000))</f>
        <v>0</v>
      </c>
      <c r="O354" s="176">
        <f>MIN(IF($I330&lt;$I$340,$I$340,$I330-($I330-$I$340)*Input!O$442),IF(INDEX(BRL,ROW(Input!F$22)-5,COLUMN()-2)=0,0,INDEX(BRL,ROW(Input!F$15)-5,COLUMN()-2)/INDEX(BRL,ROW(Input!F$22)-5,COLUMN()-2)*1000))</f>
        <v>0</v>
      </c>
      <c r="Q354" s="5"/>
    </row>
    <row r="355" spans="1:17" s="53" customFormat="1">
      <c r="C355" s="51"/>
      <c r="D355" s="55" t="s">
        <v>30</v>
      </c>
      <c r="E355" s="52" t="s">
        <v>66</v>
      </c>
      <c r="F355" s="126"/>
      <c r="G355" s="126"/>
      <c r="H355" s="125"/>
      <c r="I355" s="126"/>
      <c r="J355" s="227"/>
      <c r="K355" s="493">
        <f>MIN(IF($I331&lt;$I$340,$I$340,$I331-($I331-$I$340)*Input!K$442),IF(INDEX(SSC,ROW(Input!B$22)-5,COLUMN()-2)=0,0,INDEX(SSC,ROW(Input!B$15)-5,COLUMN()-2)/INDEX(SSC,ROW(Input!B$22)-5,COLUMN()-2)*1000))</f>
        <v>0</v>
      </c>
      <c r="L355" s="176">
        <f>MIN(IF($I331&lt;$I$340,$I$340,$I331-($I331-$I$340)*Input!L$442),IF(INDEX(SSC,ROW(Input!C$22)-5,COLUMN()-2)=0,0,INDEX(SSC,ROW(Input!C$15)-5,COLUMN()-2)/INDEX(SSC,ROW(Input!C$22)-5,COLUMN()-2)*1000))</f>
        <v>0</v>
      </c>
      <c r="M355" s="176">
        <f>MIN(IF($I331&lt;$I$340,$I$340,$I331-($I331-$I$340)*Input!M$442),IF(INDEX(SSC,ROW(Input!D$22)-5,COLUMN()-2)=0,0,INDEX(SSC,ROW(Input!D$15)-5,COLUMN()-2)/INDEX(SSC,ROW(Input!D$22)-5,COLUMN()-2)*1000))</f>
        <v>0</v>
      </c>
      <c r="N355" s="176">
        <f>MIN(IF($I331&lt;$I$340,$I$340,$I331-($I331-$I$340)*Input!N$442),IF(INDEX(SSC,ROW(Input!E$22)-5,COLUMN()-2)=0,0,INDEX(SSC,ROW(Input!E$15)-5,COLUMN()-2)/INDEX(SSC,ROW(Input!E$22)-5,COLUMN()-2)*1000))</f>
        <v>0</v>
      </c>
      <c r="O355" s="176">
        <f>MIN(IF($I331&lt;$I$340,$I$340,$I331-($I331-$I$340)*Input!O$442),IF(INDEX(SSC,ROW(Input!F$22)-5,COLUMN()-2)=0,0,INDEX(SSC,ROW(Input!F$15)-5,COLUMN()-2)/INDEX(SSC,ROW(Input!F$22)-5,COLUMN()-2)*1000))</f>
        <v>0</v>
      </c>
      <c r="Q355" s="5"/>
    </row>
    <row r="356" spans="1:17" s="53" customFormat="1">
      <c r="C356" s="51"/>
      <c r="D356" s="55" t="s">
        <v>30</v>
      </c>
      <c r="E356" s="52" t="s">
        <v>55</v>
      </c>
      <c r="F356" s="126"/>
      <c r="G356" s="126"/>
      <c r="H356" s="125"/>
      <c r="I356" s="126"/>
      <c r="J356" s="227"/>
      <c r="K356" s="493">
        <f>MIN(IF($I332&lt;$I$340,$I$340,$I332-($I332-$I$340)*Input!K$442),IF(INDEX(DVW,ROW(Input!B$22)-5,COLUMN()-2)=0,0,INDEX(DVW,ROW(Input!B$15)-5,COLUMN()-2)/INDEX(DVW,ROW(Input!B$22)-5,COLUMN()-2)*1000))</f>
        <v>0</v>
      </c>
      <c r="L356" s="176">
        <f>MIN(IF($I332&lt;$I$340,$I$340,$I332-($I332-$I$340)*Input!L$442),IF(INDEX(DVW,ROW(Input!C$22)-5,COLUMN()-2)=0,0,INDEX(DVW,ROW(Input!C$15)-5,COLUMN()-2)/INDEX(DVW,ROW(Input!C$22)-5,COLUMN()-2)*1000))</f>
        <v>0</v>
      </c>
      <c r="M356" s="176">
        <f>MIN(IF($I332&lt;$I$340,$I$340,$I332-($I332-$I$340)*Input!M$442),IF(INDEX(DVW,ROW(Input!D$22)-5,COLUMN()-2)=0,0,INDEX(DVW,ROW(Input!D$15)-5,COLUMN()-2)/INDEX(DVW,ROW(Input!D$22)-5,COLUMN()-2)*1000))</f>
        <v>0</v>
      </c>
      <c r="N356" s="176">
        <f>MIN(IF($I332&lt;$I$340,$I$340,$I332-($I332-$I$340)*Input!N$442),IF(INDEX(DVW,ROW(Input!E$22)-5,COLUMN()-2)=0,0,INDEX(DVW,ROW(Input!E$15)-5,COLUMN()-2)/INDEX(DVW,ROW(Input!E$22)-5,COLUMN()-2)*1000))</f>
        <v>0</v>
      </c>
      <c r="O356" s="176">
        <f>MIN(IF($I332&lt;$I$340,$I$340,$I332-($I332-$I$340)*Input!O$442),IF(INDEX(DVW,ROW(Input!F$22)-5,COLUMN()-2)=0,0,INDEX(DVW,ROW(Input!F$15)-5,COLUMN()-2)/INDEX(DVW,ROW(Input!F$22)-5,COLUMN()-2)*1000))</f>
        <v>0</v>
      </c>
      <c r="Q356" s="5"/>
    </row>
    <row r="357" spans="1:17" s="53" customFormat="1">
      <c r="C357" s="51"/>
      <c r="D357" s="55" t="s">
        <v>30</v>
      </c>
      <c r="E357" s="52" t="s">
        <v>56</v>
      </c>
      <c r="F357" s="126"/>
      <c r="G357" s="126"/>
      <c r="H357" s="126"/>
      <c r="I357" s="126"/>
      <c r="J357" s="227"/>
      <c r="K357" s="493">
        <f>MIN(IF($I333&lt;$I$340,$I$340,$I333-($I333-$I$340)*Input!K$442),IF(INDEX(PRT,ROW(Input!B$22)-5,COLUMN()-2)=0,0,INDEX(PRT,ROW(Input!B$15)-5,COLUMN()-2)/INDEX(PRT,ROW(Input!B$22)-5,COLUMN()-2)*1000))</f>
        <v>0</v>
      </c>
      <c r="L357" s="176">
        <f>MIN(IF($I333&lt;$I$340,$I$340,$I333-($I333-$I$340)*Input!L$442),IF(INDEX(PRT,ROW(Input!C$22)-5,COLUMN()-2)=0,0,INDEX(PRT,ROW(Input!C$15)-5,COLUMN()-2)/INDEX(PRT,ROW(Input!C$22)-5,COLUMN()-2)*1000))</f>
        <v>0</v>
      </c>
      <c r="M357" s="176">
        <f>MIN(IF($I333&lt;$I$340,$I$340,$I333-($I333-$I$340)*Input!M$442),IF(INDEX(PRT,ROW(Input!D$22)-5,COLUMN()-2)=0,0,INDEX(PRT,ROW(Input!D$15)-5,COLUMN()-2)/INDEX(PRT,ROW(Input!D$22)-5,COLUMN()-2)*1000))</f>
        <v>0</v>
      </c>
      <c r="N357" s="176">
        <f>MIN(IF($I333&lt;$I$340,$I$340,$I333-($I333-$I$340)*Input!N$442),IF(INDEX(PRT,ROW(Input!E$22)-5,COLUMN()-2)=0,0,INDEX(PRT,ROW(Input!E$15)-5,COLUMN()-2)/INDEX(PRT,ROW(Input!E$22)-5,COLUMN()-2)*1000))</f>
        <v>0</v>
      </c>
      <c r="O357" s="176">
        <f>MIN(IF($I333&lt;$I$340,$I$340,$I333-($I333-$I$340)*Input!O$442),IF(INDEX(PRT,ROW(Input!F$22)-5,COLUMN()-2)=0,0,INDEX(PRT,ROW(Input!F$15)-5,COLUMN()-2)/INDEX(PRT,ROW(Input!F$22)-5,COLUMN()-2)*1000))</f>
        <v>0</v>
      </c>
      <c r="Q357" s="5"/>
    </row>
    <row r="358" spans="1:17" s="53" customFormat="1">
      <c r="C358" s="51"/>
      <c r="D358" s="55" t="s">
        <v>30</v>
      </c>
      <c r="E358" s="52" t="s">
        <v>57</v>
      </c>
      <c r="F358" s="126"/>
      <c r="G358" s="126"/>
      <c r="H358" s="126"/>
      <c r="I358" s="126"/>
      <c r="J358" s="227"/>
      <c r="K358" s="493">
        <f>MIN(IF($I334&lt;$I$340,$I$340,$I334-($I334-$I$340)*Input!K$442),IF(INDEX(SBW,ROW(Input!B$22)-5,COLUMN()-2)=0,0,INDEX(SBW,ROW(Input!B$15)-5,COLUMN()-2)/INDEX(SBW,ROW(Input!B$22)-5,COLUMN()-2)*1000))</f>
        <v>0</v>
      </c>
      <c r="L358" s="176">
        <f>MIN(IF($I334&lt;$I$340,$I$340,$I334-($I334-$I$340)*Input!L$442),IF(INDEX(SBW,ROW(Input!C$22)-5,COLUMN()-2)=0,0,INDEX(SBW,ROW(Input!C$15)-5,COLUMN()-2)/INDEX(SBW,ROW(Input!C$22)-5,COLUMN()-2)*1000))</f>
        <v>0</v>
      </c>
      <c r="M358" s="176">
        <f>MIN(IF($I334&lt;$I$340,$I$340,$I334-($I334-$I$340)*Input!M$442),IF(INDEX(SBW,ROW(Input!D$22)-5,COLUMN()-2)=0,0,INDEX(SBW,ROW(Input!D$15)-5,COLUMN()-2)/INDEX(SBW,ROW(Input!D$22)-5,COLUMN()-2)*1000))</f>
        <v>0</v>
      </c>
      <c r="N358" s="176">
        <f>MIN(IF($I334&lt;$I$340,$I$340,$I334-($I334-$I$340)*Input!N$442),IF(INDEX(SBW,ROW(Input!E$22)-5,COLUMN()-2)=0,0,INDEX(SBW,ROW(Input!E$15)-5,COLUMN()-2)/INDEX(SBW,ROW(Input!E$22)-5,COLUMN()-2)*1000))</f>
        <v>0</v>
      </c>
      <c r="O358" s="176">
        <f>MIN(IF($I334&lt;$I$340,$I$340,$I334-($I334-$I$340)*Input!O$442),IF(INDEX(SBW,ROW(Input!F$22)-5,COLUMN()-2)=0,0,INDEX(SBW,ROW(Input!F$15)-5,COLUMN()-2)/INDEX(SBW,ROW(Input!F$22)-5,COLUMN()-2)*1000))</f>
        <v>0</v>
      </c>
      <c r="Q358" s="5"/>
    </row>
    <row r="359" spans="1:17" s="53" customFormat="1">
      <c r="C359" s="51"/>
      <c r="D359" s="55" t="s">
        <v>30</v>
      </c>
      <c r="E359" s="52" t="s">
        <v>58</v>
      </c>
      <c r="F359" s="126"/>
      <c r="G359" s="126"/>
      <c r="H359" s="126"/>
      <c r="I359" s="126"/>
      <c r="J359" s="227"/>
      <c r="K359" s="493">
        <f>MIN(IF($I335&lt;$I$340,$I$340,$I335-($I335-$I$340)*Input!K$442),IF(INDEX(SEW,ROW(Input!B$22)-5,COLUMN()-2)=0,0,INDEX(SEW,ROW(Input!B$15)-5,COLUMN()-2)/INDEX(SEW,ROW(Input!B$22)-5,COLUMN()-2)*1000))</f>
        <v>0</v>
      </c>
      <c r="L359" s="176">
        <f>MIN(IF($I335&lt;$I$340,$I$340,$I335-($I335-$I$340)*Input!L$442),IF(INDEX(SEW,ROW(Input!C$22)-5,COLUMN()-2)=0,0,INDEX(SEW,ROW(Input!C$15)-5,COLUMN()-2)/INDEX(SEW,ROW(Input!C$22)-5,COLUMN()-2)*1000))</f>
        <v>0</v>
      </c>
      <c r="M359" s="176">
        <f>MIN(IF($I335&lt;$I$340,$I$340,$I335-($I335-$I$340)*Input!M$442),IF(INDEX(SEW,ROW(Input!D$22)-5,COLUMN()-2)=0,0,INDEX(SEW,ROW(Input!D$15)-5,COLUMN()-2)/INDEX(SEW,ROW(Input!D$22)-5,COLUMN()-2)*1000))</f>
        <v>0</v>
      </c>
      <c r="N359" s="176">
        <f>MIN(IF($I335&lt;$I$340,$I$340,$I335-($I335-$I$340)*Input!N$442),IF(INDEX(SEW,ROW(Input!E$22)-5,COLUMN()-2)=0,0,INDEX(SEW,ROW(Input!E$15)-5,COLUMN()-2)/INDEX(SEW,ROW(Input!E$22)-5,COLUMN()-2)*1000))</f>
        <v>0</v>
      </c>
      <c r="O359" s="176">
        <f>MIN(IF($I335&lt;$I$340,$I$340,$I335-($I335-$I$340)*Input!O$442),IF(INDEX(SEW,ROW(Input!F$22)-5,COLUMN()-2)=0,0,INDEX(SEW,ROW(Input!F$15)-5,COLUMN()-2)/INDEX(SEW,ROW(Input!F$22)-5,COLUMN()-2)*1000))</f>
        <v>0</v>
      </c>
      <c r="Q359" s="5"/>
    </row>
    <row r="360" spans="1:17" s="53" customFormat="1">
      <c r="C360" s="51"/>
      <c r="D360" s="55" t="s">
        <v>30</v>
      </c>
      <c r="E360" s="52" t="s">
        <v>59</v>
      </c>
      <c r="F360" s="126"/>
      <c r="G360" s="126"/>
      <c r="H360" s="126"/>
      <c r="I360" s="126"/>
      <c r="J360" s="227"/>
      <c r="K360" s="493">
        <f>MIN(IF($I336&lt;$I$340,$I$340,$I336-($I336-$I$340)*Input!K$442),IF(INDEX(SES,ROW(Input!B$22)-5,COLUMN()-2)=0,0,INDEX(SES,ROW(Input!B$15)-5,COLUMN()-2)/INDEX(SES,ROW(Input!B$22)-5,COLUMN()-2)*1000))</f>
        <v>0</v>
      </c>
      <c r="L360" s="176">
        <f>MIN(IF($I336&lt;$I$340,$I$340,$I336-($I336-$I$340)*Input!L$442),IF(INDEX(SES,ROW(Input!C$22)-5,COLUMN()-2)=0,0,INDEX(SES,ROW(Input!C$15)-5,COLUMN()-2)/INDEX(SES,ROW(Input!C$22)-5,COLUMN()-2)*1000))</f>
        <v>0</v>
      </c>
      <c r="M360" s="176">
        <f>MIN(IF($I336&lt;$I$340,$I$340,$I336-($I336-$I$340)*Input!M$442),IF(INDEX(SES,ROW(Input!D$22)-5,COLUMN()-2)=0,0,INDEX(SES,ROW(Input!D$15)-5,COLUMN()-2)/INDEX(SES,ROW(Input!D$22)-5,COLUMN()-2)*1000))</f>
        <v>0</v>
      </c>
      <c r="N360" s="176">
        <f>MIN(IF($I336&lt;$I$340,$I$340,$I336-($I336-$I$340)*Input!N$442),IF(INDEX(SES,ROW(Input!E$22)-5,COLUMN()-2)=0,0,INDEX(SES,ROW(Input!E$15)-5,COLUMN()-2)/INDEX(SES,ROW(Input!E$22)-5,COLUMN()-2)*1000))</f>
        <v>0</v>
      </c>
      <c r="O360" s="176">
        <f>MIN(IF($I336&lt;$I$340,$I$340,$I336-($I336-$I$340)*Input!O$442),IF(INDEX(SES,ROW(Input!F$22)-5,COLUMN()-2)=0,0,INDEX(SES,ROW(Input!F$15)-5,COLUMN()-2)/INDEX(SES,ROW(Input!F$22)-5,COLUMN()-2)*1000))</f>
        <v>0</v>
      </c>
      <c r="Q360" s="5"/>
    </row>
    <row r="361" spans="1:17" s="53" customFormat="1">
      <c r="C361" s="51"/>
      <c r="D361" s="54"/>
      <c r="E361" s="52"/>
      <c r="F361" s="164"/>
      <c r="G361" s="164"/>
      <c r="H361" s="164"/>
      <c r="I361" s="164"/>
      <c r="J361" s="227"/>
      <c r="K361" s="485"/>
      <c r="L361" s="154"/>
      <c r="M361" s="154"/>
      <c r="N361" s="154"/>
      <c r="O361" s="154"/>
      <c r="Q361" s="5"/>
    </row>
    <row r="362" spans="1:17">
      <c r="A362" s="27"/>
      <c r="B362" s="28"/>
      <c r="C362" s="29"/>
      <c r="D362" s="30"/>
      <c r="E362" s="32" t="s">
        <v>474</v>
      </c>
      <c r="F362" s="31"/>
      <c r="G362" s="31"/>
      <c r="H362" s="31"/>
      <c r="I362" s="31"/>
      <c r="J362" s="472"/>
      <c r="K362" s="480"/>
      <c r="L362" s="31"/>
      <c r="M362" s="31"/>
      <c r="N362" s="31"/>
      <c r="O362" s="31"/>
      <c r="Q362" s="5"/>
    </row>
    <row r="363" spans="1:17" s="53" customFormat="1">
      <c r="A363" s="53" t="s">
        <v>145</v>
      </c>
      <c r="B363" s="53" t="s">
        <v>69</v>
      </c>
      <c r="C363" s="51"/>
      <c r="D363" s="55" t="s">
        <v>74</v>
      </c>
      <c r="E363" s="52" t="s">
        <v>31</v>
      </c>
      <c r="F363" s="155"/>
      <c r="G363" s="155"/>
      <c r="H363" s="155"/>
      <c r="I363" s="155"/>
      <c r="J363" s="227"/>
      <c r="K363" s="494">
        <f>INDEX(ANH,ROW(Input!B22)-5,COLUMN()-2)*K343/1000</f>
        <v>1.6891818400000023</v>
      </c>
      <c r="L363" s="223">
        <f>INDEX(ANH,ROW(Input!C22)-5,COLUMN()-2)*L343/1000</f>
        <v>1.7368941400000049</v>
      </c>
      <c r="M363" s="223">
        <f>INDEX(ANH,ROW(Input!D22)-5,COLUMN()-2)*M343/1000</f>
        <v>1.7857713800000001</v>
      </c>
      <c r="N363" s="223">
        <f>INDEX(ANH,ROW(Input!E22)-5,COLUMN()-2)*N343/1000</f>
        <v>1.8372924999999978</v>
      </c>
      <c r="O363" s="223">
        <f>INDEX(ANH,ROW(Input!F22)-5,COLUMN()-2)*O343/1000</f>
        <v>1.892170280000004</v>
      </c>
      <c r="Q363" s="5"/>
    </row>
    <row r="364" spans="1:17" s="53" customFormat="1">
      <c r="A364" s="53" t="s">
        <v>145</v>
      </c>
      <c r="B364" s="53" t="s">
        <v>69</v>
      </c>
      <c r="C364" s="51"/>
      <c r="D364" s="55" t="s">
        <v>74</v>
      </c>
      <c r="E364" s="52" t="s">
        <v>32</v>
      </c>
      <c r="F364" s="155"/>
      <c r="G364" s="155"/>
      <c r="H364" s="155"/>
      <c r="I364" s="155"/>
      <c r="J364" s="227"/>
      <c r="K364" s="494">
        <f>INDEX(WSH,ROW(Input!B22)-5,COLUMN()-2)*K344/1000</f>
        <v>0.48761732183674222</v>
      </c>
      <c r="L364" s="223">
        <f>INDEX(WSH,ROW(Input!C22)-5,COLUMN()-2)*L344/1000</f>
        <v>0.42151458688969506</v>
      </c>
      <c r="M364" s="223">
        <f>INDEX(WSH,ROW(Input!D22)-5,COLUMN()-2)*M344/1000</f>
        <v>0.35369087315718001</v>
      </c>
      <c r="N364" s="223">
        <f>INDEX(WSH,ROW(Input!E22)-5,COLUMN()-2)*N344/1000</f>
        <v>0.28410971897715998</v>
      </c>
      <c r="O364" s="223">
        <f>INDEX(WSH,ROW(Input!F22)-5,COLUMN()-2)*O344/1000</f>
        <v>0.28774374208293785</v>
      </c>
      <c r="Q364" s="5"/>
    </row>
    <row r="365" spans="1:17" s="53" customFormat="1">
      <c r="A365" s="53" t="s">
        <v>145</v>
      </c>
      <c r="B365" s="53" t="s">
        <v>69</v>
      </c>
      <c r="C365" s="51"/>
      <c r="D365" s="55" t="s">
        <v>74</v>
      </c>
      <c r="E365" s="52" t="s">
        <v>33</v>
      </c>
      <c r="F365" s="155"/>
      <c r="G365" s="155"/>
      <c r="H365" s="155"/>
      <c r="I365" s="155"/>
      <c r="J365" s="227"/>
      <c r="K365" s="494">
        <f>INDEX(NES,ROW(Input!B22)-5,COLUMN()-2)*K345/1000</f>
        <v>9.4000124470503862E-2</v>
      </c>
      <c r="L365" s="223">
        <f>INDEX(NES,ROW(Input!C22)-5,COLUMN()-2)*L345/1000</f>
        <v>9.9000131091275353E-2</v>
      </c>
      <c r="M365" s="223">
        <f>INDEX(NES,ROW(Input!D22)-5,COLUMN()-2)*M345/1000</f>
        <v>0.10400013771204701</v>
      </c>
      <c r="N365" s="223">
        <f>INDEX(NES,ROW(Input!E22)-5,COLUMN()-2)*N345/1000</f>
        <v>0.11000014565697271</v>
      </c>
      <c r="O365" s="223">
        <f>INDEX(NES,ROW(Input!F22)-5,COLUMN()-2)*O345/1000</f>
        <v>0.1160001536018984</v>
      </c>
      <c r="Q365" s="5"/>
    </row>
    <row r="366" spans="1:17" s="53" customFormat="1">
      <c r="A366" s="53" t="s">
        <v>145</v>
      </c>
      <c r="B366" s="53" t="s">
        <v>69</v>
      </c>
      <c r="C366" s="51"/>
      <c r="D366" s="55" t="s">
        <v>74</v>
      </c>
      <c r="E366" s="52" t="s">
        <v>46</v>
      </c>
      <c r="F366" s="155"/>
      <c r="G366" s="155"/>
      <c r="H366" s="155"/>
      <c r="I366" s="155"/>
      <c r="J366" s="227"/>
      <c r="K366" s="494">
        <f>INDEX(SVT,ROW(Input!B22)-5,COLUMN()-2)*K346/1000</f>
        <v>0.16117707171511106</v>
      </c>
      <c r="L366" s="223">
        <f>INDEX(SVT,ROW(Input!C22)-5,COLUMN()-2)*L346/1000</f>
        <v>0.16665709215342489</v>
      </c>
      <c r="M366" s="223">
        <f>INDEX(SVT,ROW(Input!D22)-5,COLUMN()-2)*M346/1000</f>
        <v>0.17249009037879448</v>
      </c>
      <c r="N366" s="223">
        <f>INDEX(SVT,ROW(Input!E22)-5,COLUMN()-2)*N346/1000</f>
        <v>0.17818226336129514</v>
      </c>
      <c r="O366" s="223">
        <f>INDEX(SVT,ROW(Input!F22)-5,COLUMN()-2)*O346/1000</f>
        <v>0.1837059135254947</v>
      </c>
      <c r="Q366" s="5"/>
    </row>
    <row r="367" spans="1:17" s="53" customFormat="1">
      <c r="A367" s="53" t="s">
        <v>145</v>
      </c>
      <c r="B367" s="53" t="s">
        <v>69</v>
      </c>
      <c r="C367" s="51"/>
      <c r="D367" s="55" t="s">
        <v>74</v>
      </c>
      <c r="E367" s="52" t="s">
        <v>47</v>
      </c>
      <c r="F367" s="155"/>
      <c r="G367" s="155"/>
      <c r="H367" s="155"/>
      <c r="I367" s="155"/>
      <c r="J367" s="227"/>
      <c r="K367" s="494">
        <f>INDEX(SWT,ROW(Input!B22)-5,COLUMN()-2)*K347/1000</f>
        <v>0</v>
      </c>
      <c r="L367" s="223">
        <f>INDEX(SWT,ROW(Input!C22)-5,COLUMN()-2)*L347/1000</f>
        <v>0</v>
      </c>
      <c r="M367" s="223">
        <f>INDEX(SWT,ROW(Input!D22)-5,COLUMN()-2)*M347/1000</f>
        <v>0</v>
      </c>
      <c r="N367" s="223">
        <f>INDEX(SWT,ROW(Input!E22)-5,COLUMN()-2)*N347/1000</f>
        <v>0</v>
      </c>
      <c r="O367" s="223">
        <f>INDEX(SWT,ROW(Input!F22)-5,COLUMN()-2)*O347/1000</f>
        <v>0</v>
      </c>
      <c r="Q367" s="5"/>
    </row>
    <row r="368" spans="1:17" s="53" customFormat="1">
      <c r="A368" s="53" t="s">
        <v>145</v>
      </c>
      <c r="B368" s="53" t="s">
        <v>69</v>
      </c>
      <c r="C368" s="51"/>
      <c r="D368" s="55" t="s">
        <v>74</v>
      </c>
      <c r="E368" s="52" t="s">
        <v>48</v>
      </c>
      <c r="F368" s="155"/>
      <c r="G368" s="155"/>
      <c r="H368" s="155"/>
      <c r="I368" s="155"/>
      <c r="J368" s="227"/>
      <c r="K368" s="494">
        <f>INDEX(SRN,ROW(Input!B22)-5,COLUMN()-2)*K348/1000</f>
        <v>2.4304566082826247</v>
      </c>
      <c r="L368" s="223">
        <f>INDEX(SRN,ROW(Input!C22)-5,COLUMN()-2)*L348/1000</f>
        <v>2.4437267647957297</v>
      </c>
      <c r="M368" s="223">
        <f>INDEX(SRN,ROW(Input!D22)-5,COLUMN()-2)*M348/1000</f>
        <v>2.432413526228161</v>
      </c>
      <c r="N368" s="223">
        <f>INDEX(SRN,ROW(Input!E22)-5,COLUMN()-2)*N348/1000</f>
        <v>2.3957616931001682</v>
      </c>
      <c r="O368" s="223">
        <f>INDEX(SRN,ROW(Input!F22)-5,COLUMN()-2)*O348/1000</f>
        <v>2.549954794462054</v>
      </c>
      <c r="Q368" s="5"/>
    </row>
    <row r="369" spans="1:17" s="53" customFormat="1">
      <c r="A369" s="53" t="s">
        <v>145</v>
      </c>
      <c r="B369" s="53" t="s">
        <v>69</v>
      </c>
      <c r="C369" s="51"/>
      <c r="D369" s="55" t="s">
        <v>74</v>
      </c>
      <c r="E369" s="52" t="s">
        <v>49</v>
      </c>
      <c r="F369" s="155"/>
      <c r="G369" s="155"/>
      <c r="H369" s="155"/>
      <c r="I369" s="155"/>
      <c r="J369" s="227"/>
      <c r="K369" s="494">
        <f>INDEX(TMS,ROW(Input!B22)-5,COLUMN()-2)*K349/1000</f>
        <v>3.9495396175619804</v>
      </c>
      <c r="L369" s="223">
        <f>INDEX(TMS,ROW(Input!C22)-5,COLUMN()-2)*L349/1000</f>
        <v>4.3436305909089601</v>
      </c>
      <c r="M369" s="223">
        <f>INDEX(TMS,ROW(Input!D22)-5,COLUMN()-2)*M349/1000</f>
        <v>4.5429083055167139</v>
      </c>
      <c r="N369" s="223">
        <f>INDEX(TMS,ROW(Input!E22)-5,COLUMN()-2)*N349/1000</f>
        <v>4.4049524270882383</v>
      </c>
      <c r="O369" s="223">
        <f>INDEX(TMS,ROW(Input!F22)-5,COLUMN()-2)*O349/1000</f>
        <v>4.338663964848287</v>
      </c>
      <c r="Q369" s="5"/>
    </row>
    <row r="370" spans="1:17" s="53" customFormat="1">
      <c r="A370" s="53" t="s">
        <v>145</v>
      </c>
      <c r="B370" s="53" t="s">
        <v>69</v>
      </c>
      <c r="C370" s="51"/>
      <c r="D370" s="55" t="s">
        <v>74</v>
      </c>
      <c r="E370" s="52" t="s">
        <v>50</v>
      </c>
      <c r="F370" s="155"/>
      <c r="G370" s="155"/>
      <c r="H370" s="155"/>
      <c r="I370" s="155"/>
      <c r="J370" s="227"/>
      <c r="K370" s="494">
        <f>INDEX(NWT,ROW(Input!B22)-5,COLUMN()-2)*K350/1000</f>
        <v>5.9676372811704195E-2</v>
      </c>
      <c r="L370" s="223">
        <f>INDEX(NWT,ROW(Input!C22)-5,COLUMN()-2)*L350/1000</f>
        <v>5.8891400722249097E-2</v>
      </c>
      <c r="M370" s="223">
        <f>INDEX(NWT,ROW(Input!D22)-5,COLUMN()-2)*M350/1000</f>
        <v>5.7518520766680868E-2</v>
      </c>
      <c r="N370" s="223">
        <f>INDEX(NWT,ROW(Input!E22)-5,COLUMN()-2)*N350/1000</f>
        <v>5.6151249032739027E-2</v>
      </c>
      <c r="O370" s="223">
        <f>INDEX(NWT,ROW(Input!F22)-5,COLUMN()-2)*O350/1000</f>
        <v>5.7596295400506675E-2</v>
      </c>
      <c r="Q370" s="5"/>
    </row>
    <row r="371" spans="1:17" s="53" customFormat="1">
      <c r="A371" s="53" t="s">
        <v>145</v>
      </c>
      <c r="B371" s="53" t="s">
        <v>69</v>
      </c>
      <c r="C371" s="51"/>
      <c r="D371" s="55" t="s">
        <v>74</v>
      </c>
      <c r="E371" s="52" t="s">
        <v>51</v>
      </c>
      <c r="F371" s="155"/>
      <c r="G371" s="155"/>
      <c r="H371" s="155"/>
      <c r="I371" s="155"/>
      <c r="J371" s="227"/>
      <c r="K371" s="494">
        <f>INDEX(WSX,ROW(Input!B22)-5,COLUMN()-2)*K351/1000</f>
        <v>1.5012478115338017</v>
      </c>
      <c r="L371" s="223">
        <f>INDEX(WSX,ROW(Input!C22)-5,COLUMN()-2)*L351/1000</f>
        <v>1.5707444435801692</v>
      </c>
      <c r="M371" s="223">
        <f>INDEX(WSX,ROW(Input!D22)-5,COLUMN()-2)*M351/1000</f>
        <v>1.6329417378850077</v>
      </c>
      <c r="N371" s="223">
        <f>INDEX(WSX,ROW(Input!E22)-5,COLUMN()-2)*N351/1000</f>
        <v>1.6777860981614912</v>
      </c>
      <c r="O371" s="223">
        <f>INDEX(WSX,ROW(Input!F22)-5,COLUMN()-2)*O351/1000</f>
        <v>1.7940789115633153</v>
      </c>
      <c r="Q371" s="5"/>
    </row>
    <row r="372" spans="1:17" s="53" customFormat="1">
      <c r="A372" s="53" t="s">
        <v>145</v>
      </c>
      <c r="B372" s="53" t="s">
        <v>69</v>
      </c>
      <c r="C372" s="51"/>
      <c r="D372" s="55" t="s">
        <v>74</v>
      </c>
      <c r="E372" s="52" t="s">
        <v>52</v>
      </c>
      <c r="F372" s="155"/>
      <c r="G372" s="155"/>
      <c r="H372" s="155"/>
      <c r="I372" s="155"/>
      <c r="J372" s="227"/>
      <c r="K372" s="494">
        <f>INDEX(YKY,ROW(Input!B22)-5,COLUMN()-2)*K352/1000</f>
        <v>0.25505982878295347</v>
      </c>
      <c r="L372" s="223">
        <f>INDEX(YKY,ROW(Input!C22)-5,COLUMN()-2)*L352/1000</f>
        <v>0.2554431263889782</v>
      </c>
      <c r="M372" s="223">
        <f>INDEX(YKY,ROW(Input!D22)-5,COLUMN()-2)*M352/1000</f>
        <v>0.24653079753490559</v>
      </c>
      <c r="N372" s="223">
        <f>INDEX(YKY,ROW(Input!E22)-5,COLUMN()-2)*N352/1000</f>
        <v>0.23495263064272615</v>
      </c>
      <c r="O372" s="223">
        <f>INDEX(YKY,ROW(Input!F22)-5,COLUMN()-2)*O352/1000</f>
        <v>0.24721949563319362</v>
      </c>
      <c r="Q372" s="5"/>
    </row>
    <row r="373" spans="1:17" s="53" customFormat="1">
      <c r="C373" s="51"/>
      <c r="D373" s="55" t="s">
        <v>74</v>
      </c>
      <c r="E373" s="52" t="s">
        <v>53</v>
      </c>
      <c r="F373" s="155"/>
      <c r="G373" s="155"/>
      <c r="H373" s="155"/>
      <c r="I373" s="155"/>
      <c r="J373" s="227"/>
      <c r="K373" s="494">
        <f>INDEX(AFW,ROW(Input!B22)-5,COLUMN()-2)*K353/1000</f>
        <v>0</v>
      </c>
      <c r="L373" s="223">
        <f>INDEX(AFW,ROW(Input!C22)-5,COLUMN()-2)*L353/1000</f>
        <v>0</v>
      </c>
      <c r="M373" s="223">
        <f>INDEX(AFW,ROW(Input!D22)-5,COLUMN()-2)*M353/1000</f>
        <v>0</v>
      </c>
      <c r="N373" s="223">
        <f>INDEX(AFW,ROW(Input!E22)-5,COLUMN()-2)*N353/1000</f>
        <v>0</v>
      </c>
      <c r="O373" s="223">
        <f>INDEX(AFW,ROW(Input!F22)-5,COLUMN()-2)*O353/1000</f>
        <v>0</v>
      </c>
      <c r="Q373" s="5"/>
    </row>
    <row r="374" spans="1:17" s="53" customFormat="1">
      <c r="C374" s="51"/>
      <c r="D374" s="55" t="s">
        <v>74</v>
      </c>
      <c r="E374" s="52" t="s">
        <v>54</v>
      </c>
      <c r="F374" s="155"/>
      <c r="G374" s="155"/>
      <c r="H374" s="155"/>
      <c r="I374" s="155"/>
      <c r="J374" s="227"/>
      <c r="K374" s="494">
        <f>INDEX(BRL,ROW(Input!B22)-5,COLUMN()-2)*K354/1000</f>
        <v>0</v>
      </c>
      <c r="L374" s="223">
        <f>INDEX(BRL,ROW(Input!C22)-5,COLUMN()-2)*L354/1000</f>
        <v>0</v>
      </c>
      <c r="M374" s="223">
        <f>INDEX(BRL,ROW(Input!D22)-5,COLUMN()-2)*M354/1000</f>
        <v>0</v>
      </c>
      <c r="N374" s="223">
        <f>INDEX(BRL,ROW(Input!E22)-5,COLUMN()-2)*N354/1000</f>
        <v>0</v>
      </c>
      <c r="O374" s="223">
        <f>INDEX(BRL,ROW(Input!F22)-5,COLUMN()-2)*O354/1000</f>
        <v>0</v>
      </c>
      <c r="Q374" s="5"/>
    </row>
    <row r="375" spans="1:17" s="53" customFormat="1">
      <c r="C375" s="51"/>
      <c r="D375" s="55" t="s">
        <v>74</v>
      </c>
      <c r="E375" s="52" t="s">
        <v>66</v>
      </c>
      <c r="F375" s="155"/>
      <c r="G375" s="155"/>
      <c r="H375" s="155"/>
      <c r="I375" s="155"/>
      <c r="J375" s="227"/>
      <c r="K375" s="494">
        <f>INDEX(SSC,ROW(Input!B22)-5,COLUMN()-2)*K355/1000</f>
        <v>0</v>
      </c>
      <c r="L375" s="223">
        <f>INDEX(SSC,ROW(Input!C22)-5,COLUMN()-2)*L355/1000</f>
        <v>0</v>
      </c>
      <c r="M375" s="223">
        <f>INDEX(SSC,ROW(Input!D22)-5,COLUMN()-2)*M355/1000</f>
        <v>0</v>
      </c>
      <c r="N375" s="223">
        <f>INDEX(SSC,ROW(Input!E22)-5,COLUMN()-2)*N355/1000</f>
        <v>0</v>
      </c>
      <c r="O375" s="223">
        <f>INDEX(SSC,ROW(Input!F22)-5,COLUMN()-2)*O355/1000</f>
        <v>0</v>
      </c>
      <c r="Q375" s="5"/>
    </row>
    <row r="376" spans="1:17" s="53" customFormat="1">
      <c r="C376" s="51"/>
      <c r="D376" s="55" t="s">
        <v>74</v>
      </c>
      <c r="E376" s="52" t="s">
        <v>55</v>
      </c>
      <c r="F376" s="155"/>
      <c r="G376" s="155"/>
      <c r="H376" s="155"/>
      <c r="I376" s="155"/>
      <c r="J376" s="227"/>
      <c r="K376" s="494">
        <f>INDEX(DVW,ROW(Input!B22)-5,COLUMN()-2)*K356/1000</f>
        <v>0</v>
      </c>
      <c r="L376" s="223">
        <f>INDEX(DVW,ROW(Input!C22)-5,COLUMN()-2)*L356/1000</f>
        <v>0</v>
      </c>
      <c r="M376" s="223">
        <f>INDEX(DVW,ROW(Input!D22)-5,COLUMN()-2)*M356/1000</f>
        <v>0</v>
      </c>
      <c r="N376" s="223">
        <f>INDEX(DVW,ROW(Input!E22)-5,COLUMN()-2)*N356/1000</f>
        <v>0</v>
      </c>
      <c r="O376" s="223">
        <f>INDEX(DVW,ROW(Input!F22)-5,COLUMN()-2)*O356/1000</f>
        <v>0</v>
      </c>
      <c r="Q376" s="5"/>
    </row>
    <row r="377" spans="1:17" s="53" customFormat="1">
      <c r="C377" s="51"/>
      <c r="D377" s="55" t="s">
        <v>74</v>
      </c>
      <c r="E377" s="52" t="s">
        <v>56</v>
      </c>
      <c r="F377" s="155"/>
      <c r="G377" s="155"/>
      <c r="H377" s="155"/>
      <c r="I377" s="155"/>
      <c r="J377" s="227"/>
      <c r="K377" s="494">
        <f>INDEX(PRT,ROW(Input!B22)-5,COLUMN()-2)*K357/1000</f>
        <v>0</v>
      </c>
      <c r="L377" s="223">
        <f>INDEX(PRT,ROW(Input!C22)-5,COLUMN()-2)*L357/1000</f>
        <v>0</v>
      </c>
      <c r="M377" s="223">
        <f>INDEX(PRT,ROW(Input!D22)-5,COLUMN()-2)*M357/1000</f>
        <v>0</v>
      </c>
      <c r="N377" s="223">
        <f>INDEX(PRT,ROW(Input!E22)-5,COLUMN()-2)*N357/1000</f>
        <v>0</v>
      </c>
      <c r="O377" s="223">
        <f>INDEX(PRT,ROW(Input!F22)-5,COLUMN()-2)*O357/1000</f>
        <v>0</v>
      </c>
      <c r="Q377" s="5"/>
    </row>
    <row r="378" spans="1:17" s="53" customFormat="1">
      <c r="C378" s="51"/>
      <c r="D378" s="55" t="s">
        <v>74</v>
      </c>
      <c r="E378" s="52" t="s">
        <v>57</v>
      </c>
      <c r="F378" s="155"/>
      <c r="G378" s="155"/>
      <c r="H378" s="155"/>
      <c r="I378" s="155"/>
      <c r="J378" s="227"/>
      <c r="K378" s="494">
        <f>INDEX(SBW,ROW(Input!B22)-5,COLUMN()-2)*K358/1000</f>
        <v>0</v>
      </c>
      <c r="L378" s="223">
        <f>INDEX(SBW,ROW(Input!C22)-5,COLUMN()-2)*L358/1000</f>
        <v>0</v>
      </c>
      <c r="M378" s="223">
        <f>INDEX(SBW,ROW(Input!D22)-5,COLUMN()-2)*M358/1000</f>
        <v>0</v>
      </c>
      <c r="N378" s="223">
        <f>INDEX(SBW,ROW(Input!E22)-5,COLUMN()-2)*N358/1000</f>
        <v>0</v>
      </c>
      <c r="O378" s="223">
        <f>INDEX(SBW,ROW(Input!F22)-5,COLUMN()-2)*O358/1000</f>
        <v>0</v>
      </c>
      <c r="Q378" s="5"/>
    </row>
    <row r="379" spans="1:17" s="53" customFormat="1">
      <c r="C379" s="51"/>
      <c r="D379" s="55" t="s">
        <v>74</v>
      </c>
      <c r="E379" s="52" t="s">
        <v>58</v>
      </c>
      <c r="F379" s="155"/>
      <c r="G379" s="155"/>
      <c r="H379" s="155"/>
      <c r="I379" s="155"/>
      <c r="J379" s="227"/>
      <c r="K379" s="494">
        <f>INDEX(SEW,ROW(Input!B22)-5,COLUMN()-2)*K359/1000</f>
        <v>0</v>
      </c>
      <c r="L379" s="223">
        <f>INDEX(SEW,ROW(Input!C22)-5,COLUMN()-2)*L359/1000</f>
        <v>0</v>
      </c>
      <c r="M379" s="223">
        <f>INDEX(SEW,ROW(Input!D22)-5,COLUMN()-2)*M359/1000</f>
        <v>0</v>
      </c>
      <c r="N379" s="223">
        <f>INDEX(SEW,ROW(Input!E22)-5,COLUMN()-2)*N359/1000</f>
        <v>0</v>
      </c>
      <c r="O379" s="223">
        <f>INDEX(SEW,ROW(Input!F22)-5,COLUMN()-2)*O359/1000</f>
        <v>0</v>
      </c>
      <c r="Q379" s="5"/>
    </row>
    <row r="380" spans="1:17" s="53" customFormat="1">
      <c r="C380" s="51"/>
      <c r="D380" s="55" t="s">
        <v>74</v>
      </c>
      <c r="E380" s="52" t="s">
        <v>59</v>
      </c>
      <c r="F380" s="155"/>
      <c r="G380" s="155"/>
      <c r="H380" s="155"/>
      <c r="I380" s="155"/>
      <c r="J380" s="227"/>
      <c r="K380" s="494">
        <f>INDEX(SES,ROW(Input!B22)-5,COLUMN()-2)*K360/1000</f>
        <v>0</v>
      </c>
      <c r="L380" s="223">
        <f>INDEX(SES,ROW(Input!C22)-5,COLUMN()-2)*L360/1000</f>
        <v>0</v>
      </c>
      <c r="M380" s="223">
        <f>INDEX(SES,ROW(Input!D22)-5,COLUMN()-2)*M360/1000</f>
        <v>0</v>
      </c>
      <c r="N380" s="223">
        <f>INDEX(SES,ROW(Input!E22)-5,COLUMN()-2)*N360/1000</f>
        <v>0</v>
      </c>
      <c r="O380" s="223">
        <f>INDEX(SES,ROW(Input!F22)-5,COLUMN()-2)*O360/1000</f>
        <v>0</v>
      </c>
      <c r="Q380" s="5"/>
    </row>
    <row r="381" spans="1:17" s="53" customFormat="1">
      <c r="A381" s="53" t="s">
        <v>112</v>
      </c>
      <c r="B381" s="53" t="s">
        <v>69</v>
      </c>
      <c r="C381" s="51"/>
      <c r="D381" s="55" t="s">
        <v>74</v>
      </c>
      <c r="E381" s="52" t="s">
        <v>65</v>
      </c>
      <c r="F381" s="155"/>
      <c r="G381" s="155"/>
      <c r="H381" s="155"/>
      <c r="I381" s="155"/>
      <c r="J381" s="227"/>
      <c r="K381" s="495">
        <f>SUM(K363:K380)</f>
        <v>10.627956596995423</v>
      </c>
      <c r="L381" s="225">
        <f>SUM(L363:L380)</f>
        <v>11.096502276530488</v>
      </c>
      <c r="M381" s="225">
        <f>SUM(M363:M380)</f>
        <v>11.328265369179491</v>
      </c>
      <c r="N381" s="225">
        <f>SUM(N363:N380)</f>
        <v>11.179188726020787</v>
      </c>
      <c r="O381" s="225">
        <f>SUM(O363:O380)</f>
        <v>11.467133551117692</v>
      </c>
      <c r="Q381" s="5"/>
    </row>
    <row r="382" spans="1:17" s="53" customFormat="1">
      <c r="C382" s="51"/>
      <c r="D382" s="55"/>
      <c r="E382" s="52"/>
      <c r="F382" s="227"/>
      <c r="G382" s="227"/>
      <c r="H382" s="226"/>
      <c r="I382" s="226"/>
      <c r="J382" s="227"/>
      <c r="K382" s="485"/>
      <c r="L382" s="154"/>
      <c r="M382" s="154"/>
      <c r="N382" s="154"/>
      <c r="O382" s="154"/>
      <c r="Q382" s="5"/>
    </row>
    <row r="383" spans="1:17">
      <c r="A383" s="27"/>
      <c r="B383" s="28"/>
      <c r="C383" s="29"/>
      <c r="D383" s="30"/>
      <c r="E383" s="32" t="s">
        <v>475</v>
      </c>
      <c r="F383" s="31"/>
      <c r="G383" s="31"/>
      <c r="H383" s="31"/>
      <c r="I383" s="31"/>
      <c r="J383" s="472"/>
      <c r="K383" s="480"/>
      <c r="L383" s="31"/>
      <c r="M383" s="31"/>
      <c r="N383" s="31"/>
      <c r="O383" s="31"/>
      <c r="Q383" s="5"/>
    </row>
    <row r="384" spans="1:17" s="53" customFormat="1">
      <c r="A384" s="53" t="s">
        <v>96</v>
      </c>
      <c r="B384" s="53" t="s">
        <v>69</v>
      </c>
      <c r="C384" s="51"/>
      <c r="D384" s="55" t="s">
        <v>30</v>
      </c>
      <c r="E384" s="52" t="s">
        <v>31</v>
      </c>
      <c r="F384" s="125"/>
      <c r="G384" s="125"/>
      <c r="H384" s="158"/>
      <c r="I384" s="226">
        <f>IF(INDEX(ANH,ROW(Input!B24)-5,COLUMN()-2)=0,0,INDEX(ANH,ROW(Input!B16)-5,COLUMN()-2)/(INDEX(ANH,ROW(Input!B24)-5,COLUMN()-2)*Input!$H$441)*1000)</f>
        <v>2.6957010738729217</v>
      </c>
      <c r="J384" s="226"/>
      <c r="K384" s="486"/>
      <c r="L384" s="113"/>
      <c r="M384" s="162"/>
      <c r="N384" s="162"/>
      <c r="O384" s="162"/>
      <c r="Q384" s="5"/>
    </row>
    <row r="385" spans="1:17" s="53" customFormat="1">
      <c r="A385" s="53" t="s">
        <v>96</v>
      </c>
      <c r="B385" s="53" t="s">
        <v>69</v>
      </c>
      <c r="C385" s="51"/>
      <c r="D385" s="55" t="s">
        <v>30</v>
      </c>
      <c r="E385" s="52" t="s">
        <v>32</v>
      </c>
      <c r="F385" s="126"/>
      <c r="G385" s="126"/>
      <c r="H385" s="161"/>
      <c r="I385" s="226">
        <f>IF(INDEX(WSH,ROW(Input!B24)-5,COLUMN()-2)=0,0,INDEX(WSH,ROW(Input!B16)-5,COLUMN()-2)/(INDEX(WSH,ROW(Input!B24)-5,COLUMN()-2)*Input!$H$441)*1000)</f>
        <v>6.3964885853363924</v>
      </c>
      <c r="J385" s="226"/>
      <c r="K385" s="486"/>
      <c r="L385" s="113"/>
      <c r="M385" s="162"/>
      <c r="N385" s="162"/>
      <c r="O385" s="162"/>
      <c r="Q385" s="5"/>
    </row>
    <row r="386" spans="1:17" s="53" customFormat="1">
      <c r="A386" s="53" t="s">
        <v>96</v>
      </c>
      <c r="B386" s="53" t="s">
        <v>69</v>
      </c>
      <c r="C386" s="51"/>
      <c r="D386" s="55" t="s">
        <v>30</v>
      </c>
      <c r="E386" s="52" t="s">
        <v>33</v>
      </c>
      <c r="F386" s="126"/>
      <c r="G386" s="126"/>
      <c r="H386" s="161"/>
      <c r="I386" s="226">
        <f>IF(INDEX(NES,ROW(Input!B24)-5,COLUMN()-2)=0,0,INDEX(NES,ROW(Input!B16)-5,COLUMN()-2)/(INDEX(NES,ROW(Input!B24)-5,COLUMN()-2)*Input!$H$441)*1000)</f>
        <v>4.0810225551774497</v>
      </c>
      <c r="J386" s="226"/>
      <c r="K386" s="486"/>
      <c r="L386" s="113"/>
      <c r="M386" s="162"/>
      <c r="N386" s="162"/>
      <c r="O386" s="162"/>
      <c r="Q386" s="5"/>
    </row>
    <row r="387" spans="1:17" s="53" customFormat="1">
      <c r="A387" s="53" t="s">
        <v>96</v>
      </c>
      <c r="B387" s="53" t="s">
        <v>69</v>
      </c>
      <c r="C387" s="51"/>
      <c r="D387" s="55" t="s">
        <v>30</v>
      </c>
      <c r="E387" s="52" t="s">
        <v>46</v>
      </c>
      <c r="F387" s="126"/>
      <c r="G387" s="126"/>
      <c r="H387" s="161"/>
      <c r="I387" s="226">
        <f>IF(INDEX(SVT,ROW(Input!B24)-5,COLUMN()-2)=0,0,INDEX(SVT,ROW(Input!B16)-5,COLUMN()-2)/(INDEX(SVT,ROW(Input!B24)-5,COLUMN()-2)*Input!$H$441)*1000)</f>
        <v>5.9954913173761888</v>
      </c>
      <c r="J387" s="226"/>
      <c r="K387" s="486"/>
      <c r="L387" s="113"/>
      <c r="M387" s="162"/>
      <c r="N387" s="162"/>
      <c r="O387" s="162"/>
      <c r="Q387" s="5"/>
    </row>
    <row r="388" spans="1:17" s="53" customFormat="1">
      <c r="A388" s="53" t="s">
        <v>96</v>
      </c>
      <c r="B388" s="53" t="s">
        <v>69</v>
      </c>
      <c r="C388" s="51"/>
      <c r="D388" s="55" t="s">
        <v>30</v>
      </c>
      <c r="E388" s="52" t="s">
        <v>47</v>
      </c>
      <c r="F388" s="126"/>
      <c r="G388" s="126"/>
      <c r="H388" s="161"/>
      <c r="I388" s="226">
        <f>IF(INDEX(SWT,ROW(Input!B24)-5,COLUMN()-2)=0,0,INDEX(SWT,ROW(Input!B16)-5,COLUMN()-2)/(INDEX(SWT,ROW(Input!B24)-5,COLUMN()-2)*Input!$H$441)*1000)</f>
        <v>2.3545560509996237</v>
      </c>
      <c r="J388" s="226"/>
      <c r="K388" s="486"/>
      <c r="L388" s="113"/>
      <c r="M388" s="162"/>
      <c r="N388" s="162"/>
      <c r="O388" s="162"/>
      <c r="Q388" s="5"/>
    </row>
    <row r="389" spans="1:17" s="53" customFormat="1">
      <c r="A389" s="53" t="s">
        <v>96</v>
      </c>
      <c r="B389" s="53" t="s">
        <v>69</v>
      </c>
      <c r="C389" s="51"/>
      <c r="D389" s="55" t="s">
        <v>30</v>
      </c>
      <c r="E389" s="52" t="s">
        <v>48</v>
      </c>
      <c r="F389" s="126"/>
      <c r="G389" s="126"/>
      <c r="H389" s="161"/>
      <c r="I389" s="226">
        <f>IF(INDEX(SRN,ROW(Input!B24)-5,COLUMN()-2)=0,0,INDEX(SRN,ROW(Input!B16)-5,COLUMN()-2)/(INDEX(SRN,ROW(Input!B24)-5,COLUMN()-2)*Input!$H$441)*1000)</f>
        <v>4.3343505333390944</v>
      </c>
      <c r="J389" s="226"/>
      <c r="K389" s="486"/>
      <c r="L389" s="113"/>
      <c r="M389" s="162"/>
      <c r="N389" s="162"/>
      <c r="O389" s="162"/>
      <c r="Q389" s="5"/>
    </row>
    <row r="390" spans="1:17" s="53" customFormat="1">
      <c r="A390" s="53" t="s">
        <v>96</v>
      </c>
      <c r="B390" s="53" t="s">
        <v>69</v>
      </c>
      <c r="C390" s="51"/>
      <c r="D390" s="55" t="s">
        <v>30</v>
      </c>
      <c r="E390" s="52" t="s">
        <v>49</v>
      </c>
      <c r="F390" s="126"/>
      <c r="G390" s="126"/>
      <c r="H390" s="161"/>
      <c r="I390" s="226">
        <f>IF(INDEX(TMS,ROW(Input!B24)-5,COLUMN()-2)=0,0,INDEX(TMS,ROW(Input!B16)-5,COLUMN()-2)/(INDEX(TMS,ROW(Input!B24)-5,COLUMN()-2)*Input!$H$441)*1000)</f>
        <v>8.5873414487722304</v>
      </c>
      <c r="J390" s="226"/>
      <c r="K390" s="486"/>
      <c r="L390" s="113"/>
      <c r="M390" s="162"/>
      <c r="N390" s="162"/>
      <c r="O390" s="162"/>
      <c r="Q390" s="5"/>
    </row>
    <row r="391" spans="1:17" s="53" customFormat="1">
      <c r="A391" s="53" t="s">
        <v>96</v>
      </c>
      <c r="B391" s="53" t="s">
        <v>69</v>
      </c>
      <c r="C391" s="51"/>
      <c r="D391" s="55" t="s">
        <v>30</v>
      </c>
      <c r="E391" s="52" t="s">
        <v>50</v>
      </c>
      <c r="F391" s="126"/>
      <c r="G391" s="126"/>
      <c r="H391" s="161"/>
      <c r="I391" s="226">
        <f>IF(INDEX(NWT,ROW(Input!B24)-5,COLUMN()-2)=0,0,INDEX(NWT,ROW(Input!B16)-5,COLUMN()-2)/(INDEX(NWT,ROW(Input!B24)-5,COLUMN()-2)*Input!$H$441)*1000)</f>
        <v>4.0815915906429234</v>
      </c>
      <c r="J391" s="226"/>
      <c r="K391" s="486"/>
      <c r="L391" s="113"/>
      <c r="M391" s="162"/>
      <c r="N391" s="162"/>
      <c r="O391" s="162"/>
      <c r="Q391" s="5"/>
    </row>
    <row r="392" spans="1:17" s="53" customFormat="1">
      <c r="A392" s="53" t="s">
        <v>96</v>
      </c>
      <c r="B392" s="53" t="s">
        <v>69</v>
      </c>
      <c r="C392" s="51"/>
      <c r="D392" s="55" t="s">
        <v>30</v>
      </c>
      <c r="E392" s="52" t="s">
        <v>51</v>
      </c>
      <c r="F392" s="126"/>
      <c r="G392" s="126"/>
      <c r="H392" s="161"/>
      <c r="I392" s="226">
        <f>IF(INDEX(WSX,ROW(Input!B24)-5,COLUMN()-2)=0,0,INDEX(WSX,ROW(Input!B16)-5,COLUMN()-2)/(INDEX(WSX,ROW(Input!B24)-5,COLUMN()-2)*Input!$H$441)*1000)</f>
        <v>5.5881451773441775</v>
      </c>
      <c r="J392" s="226"/>
      <c r="K392" s="486"/>
      <c r="L392" s="113"/>
      <c r="M392" s="162"/>
      <c r="N392" s="162"/>
      <c r="O392" s="162"/>
      <c r="Q392" s="5"/>
    </row>
    <row r="393" spans="1:17" s="53" customFormat="1">
      <c r="A393" s="53" t="s">
        <v>96</v>
      </c>
      <c r="B393" s="53" t="s">
        <v>69</v>
      </c>
      <c r="C393" s="51"/>
      <c r="D393" s="55" t="s">
        <v>30</v>
      </c>
      <c r="E393" s="52" t="s">
        <v>52</v>
      </c>
      <c r="F393" s="126"/>
      <c r="G393" s="126"/>
      <c r="H393" s="161"/>
      <c r="I393" s="226">
        <f>IF(INDEX(YKY,ROW(Input!B24)-5,COLUMN()-2)=0,0,INDEX(YKY,ROW(Input!B16)-5,COLUMN()-2)/(INDEX(YKY,ROW(Input!B24)-5,COLUMN()-2)*Input!$H$441)*1000)</f>
        <v>4.7336993662406757</v>
      </c>
      <c r="J393" s="226"/>
      <c r="K393" s="486"/>
      <c r="L393" s="113"/>
      <c r="M393" s="162"/>
      <c r="N393" s="162"/>
      <c r="O393" s="162"/>
      <c r="Q393" s="5"/>
    </row>
    <row r="394" spans="1:17" s="53" customFormat="1">
      <c r="C394" s="51"/>
      <c r="D394" s="55" t="s">
        <v>30</v>
      </c>
      <c r="E394" s="52" t="s">
        <v>53</v>
      </c>
      <c r="F394" s="126"/>
      <c r="G394" s="126"/>
      <c r="H394" s="125"/>
      <c r="I394" s="226">
        <f>IF(INDEX(AFW,ROW(Input!B24)-5,COLUMN()-2)=0,0,INDEX(AFW,ROW(Input!B16)-5,COLUMN()-2)/(INDEX(AFW,ROW(Input!B24)-5,COLUMN()-2)*Input!$H$441)*1000)</f>
        <v>0</v>
      </c>
      <c r="J394" s="227"/>
      <c r="K394" s="485"/>
      <c r="L394" s="124"/>
      <c r="M394" s="154"/>
      <c r="N394" s="154"/>
      <c r="O394" s="154"/>
      <c r="Q394" s="5"/>
    </row>
    <row r="395" spans="1:17" s="53" customFormat="1">
      <c r="C395" s="51"/>
      <c r="D395" s="55" t="s">
        <v>30</v>
      </c>
      <c r="E395" s="52" t="s">
        <v>54</v>
      </c>
      <c r="F395" s="126"/>
      <c r="G395" s="126"/>
      <c r="H395" s="125"/>
      <c r="I395" s="226">
        <f>IF(INDEX(BRL,ROW(Input!B24)-5,COLUMN()-2)=0,0,INDEX(BRL,ROW(Input!B16)-5,COLUMN()-2)/(INDEX(BRL,ROW(Input!B24)-5,COLUMN()-2)*Input!$H$441)*1000)</f>
        <v>0</v>
      </c>
      <c r="J395" s="227"/>
      <c r="K395" s="485"/>
      <c r="L395" s="124"/>
      <c r="M395" s="154"/>
      <c r="N395" s="154"/>
      <c r="O395" s="154"/>
      <c r="Q395" s="5"/>
    </row>
    <row r="396" spans="1:17" s="53" customFormat="1">
      <c r="C396" s="51"/>
      <c r="D396" s="55" t="s">
        <v>30</v>
      </c>
      <c r="E396" s="52" t="s">
        <v>66</v>
      </c>
      <c r="F396" s="126"/>
      <c r="G396" s="126"/>
      <c r="H396" s="125"/>
      <c r="I396" s="226">
        <f>IF(INDEX(SSC,ROW(Input!B24)-5,COLUMN()-2)=0,0,INDEX(SSC,ROW(Input!B16)-5,COLUMN()-2)/(INDEX(SSC,ROW(Input!B24)-5,COLUMN()-2)*Input!$H$441)*1000)</f>
        <v>0</v>
      </c>
      <c r="J396" s="227"/>
      <c r="K396" s="485"/>
      <c r="L396" s="124"/>
      <c r="M396" s="154"/>
      <c r="N396" s="154"/>
      <c r="O396" s="154"/>
      <c r="Q396" s="5"/>
    </row>
    <row r="397" spans="1:17" s="53" customFormat="1">
      <c r="C397" s="51"/>
      <c r="D397" s="55" t="s">
        <v>30</v>
      </c>
      <c r="E397" s="52" t="s">
        <v>55</v>
      </c>
      <c r="F397" s="126"/>
      <c r="G397" s="126"/>
      <c r="H397" s="125"/>
      <c r="I397" s="226">
        <f>IF(INDEX(DVW,ROW(Input!B24)-5,COLUMN()-2)=0,0,INDEX(DVW,ROW(Input!B16)-5,COLUMN()-2)/(INDEX(DVW,ROW(Input!B24)-5,COLUMN()-2)*Input!$H$441)*1000)</f>
        <v>0</v>
      </c>
      <c r="J397" s="227"/>
      <c r="K397" s="485"/>
      <c r="L397" s="124"/>
      <c r="M397" s="154"/>
      <c r="N397" s="154"/>
      <c r="O397" s="154"/>
      <c r="Q397" s="5"/>
    </row>
    <row r="398" spans="1:17" s="53" customFormat="1">
      <c r="C398" s="51"/>
      <c r="D398" s="55" t="s">
        <v>30</v>
      </c>
      <c r="E398" s="52" t="s">
        <v>56</v>
      </c>
      <c r="F398" s="126"/>
      <c r="G398" s="126"/>
      <c r="H398" s="125"/>
      <c r="I398" s="226">
        <f>IF(INDEX(PRT,ROW(Input!B24)-5,COLUMN()-2)=0,0,INDEX(PRT,ROW(Input!B16)-5,COLUMN()-2)/(INDEX(PRT,ROW(Input!B24)-5,COLUMN()-2)*Input!$H$441)*1000)</f>
        <v>0</v>
      </c>
      <c r="J398" s="227"/>
      <c r="K398" s="485"/>
      <c r="L398" s="124"/>
      <c r="M398" s="124"/>
      <c r="N398" s="124"/>
      <c r="O398" s="124"/>
      <c r="Q398" s="5"/>
    </row>
    <row r="399" spans="1:17" s="53" customFormat="1">
      <c r="C399" s="51"/>
      <c r="D399" s="55" t="s">
        <v>30</v>
      </c>
      <c r="E399" s="52" t="s">
        <v>57</v>
      </c>
      <c r="F399" s="126"/>
      <c r="G399" s="126"/>
      <c r="H399" s="125"/>
      <c r="I399" s="226">
        <f>IF(INDEX(SBW,ROW(Input!B24)-5,COLUMN()-2)=0,0,INDEX(SBW,ROW(Input!B16)-5,COLUMN()-2)/(INDEX(SBW,ROW(Input!B24)-5,COLUMN()-2)*Input!$H$441)*1000)</f>
        <v>0</v>
      </c>
      <c r="J399" s="227"/>
      <c r="K399" s="485"/>
      <c r="L399" s="124"/>
      <c r="M399" s="124"/>
      <c r="N399" s="124"/>
      <c r="O399" s="124"/>
      <c r="Q399" s="5"/>
    </row>
    <row r="400" spans="1:17" s="53" customFormat="1">
      <c r="C400" s="51"/>
      <c r="D400" s="55" t="s">
        <v>30</v>
      </c>
      <c r="E400" s="52" t="s">
        <v>58</v>
      </c>
      <c r="F400" s="126"/>
      <c r="G400" s="126"/>
      <c r="H400" s="125"/>
      <c r="I400" s="226">
        <f>IF(INDEX(SEW,ROW(Input!B24)-5,COLUMN()-2)=0,0,INDEX(SEW,ROW(Input!B16)-5,COLUMN()-2)/(INDEX(SEW,ROW(Input!B24)-5,COLUMN()-2)*Input!$H$441)*1000)</f>
        <v>0</v>
      </c>
      <c r="J400" s="227"/>
      <c r="K400" s="485"/>
      <c r="L400" s="124"/>
      <c r="M400" s="124"/>
      <c r="N400" s="124"/>
      <c r="O400" s="124"/>
      <c r="Q400" s="5"/>
    </row>
    <row r="401" spans="1:17" s="53" customFormat="1">
      <c r="C401" s="51"/>
      <c r="D401" s="55" t="s">
        <v>30</v>
      </c>
      <c r="E401" s="52" t="s">
        <v>59</v>
      </c>
      <c r="F401" s="126"/>
      <c r="G401" s="126"/>
      <c r="H401" s="125"/>
      <c r="I401" s="226">
        <f>IF(INDEX(SES,ROW(Input!B24)-5,COLUMN()-2)=0,0,INDEX(SES,ROW(Input!B16)-5,COLUMN()-2)/(INDEX(SES,ROW(Input!B24)-5,COLUMN()-2)*Input!$H$441)*1000)</f>
        <v>0</v>
      </c>
      <c r="J401" s="227"/>
      <c r="K401" s="485"/>
      <c r="L401" s="124"/>
      <c r="M401" s="124"/>
      <c r="N401" s="124"/>
      <c r="O401" s="124"/>
      <c r="Q401" s="5"/>
    </row>
    <row r="402" spans="1:17" s="53" customFormat="1">
      <c r="C402" s="51"/>
      <c r="D402" s="54"/>
      <c r="E402" s="52"/>
      <c r="F402" s="126"/>
      <c r="G402" s="126"/>
      <c r="H402" s="126"/>
      <c r="I402" s="126"/>
      <c r="J402" s="227"/>
      <c r="K402" s="485"/>
      <c r="L402" s="124"/>
      <c r="M402" s="124"/>
      <c r="N402" s="124"/>
      <c r="O402" s="124"/>
      <c r="Q402" s="5"/>
    </row>
    <row r="403" spans="1:17">
      <c r="A403" s="27"/>
      <c r="B403" s="28"/>
      <c r="C403" s="29"/>
      <c r="D403" s="30"/>
      <c r="E403" s="32" t="s">
        <v>476</v>
      </c>
      <c r="F403" s="31"/>
      <c r="G403" s="31"/>
      <c r="H403" s="31"/>
      <c r="I403" s="31"/>
      <c r="J403" s="472"/>
      <c r="K403" s="480"/>
      <c r="L403" s="31"/>
      <c r="M403" s="31"/>
      <c r="N403" s="31"/>
      <c r="O403" s="31"/>
      <c r="Q403" s="5"/>
    </row>
    <row r="404" spans="1:17" s="53" customFormat="1">
      <c r="C404" s="51"/>
      <c r="D404" s="54" t="s">
        <v>153</v>
      </c>
      <c r="E404" s="52" t="s">
        <v>154</v>
      </c>
      <c r="F404" s="227"/>
      <c r="G404" s="227"/>
      <c r="H404" s="227"/>
      <c r="I404" s="228">
        <f>COUNTIF(I384:I401,"&lt;&gt;0")</f>
        <v>10</v>
      </c>
      <c r="J404" s="227"/>
      <c r="K404" s="485"/>
      <c r="L404" s="154"/>
      <c r="M404" s="154"/>
      <c r="N404" s="154"/>
      <c r="O404" s="154"/>
      <c r="Q404" s="5"/>
    </row>
    <row r="405" spans="1:17" s="53" customFormat="1">
      <c r="A405" s="53" t="s">
        <v>111</v>
      </c>
      <c r="B405" s="53" t="s">
        <v>69</v>
      </c>
      <c r="C405" s="51"/>
      <c r="D405" s="55" t="s">
        <v>30</v>
      </c>
      <c r="E405" s="52" t="s">
        <v>43</v>
      </c>
      <c r="F405" s="226"/>
      <c r="G405" s="226"/>
      <c r="H405" s="226"/>
      <c r="I405" s="226">
        <f>IF(I404=0,0,SUM(I384:I401)/I404)</f>
        <v>4.884838769910167</v>
      </c>
      <c r="J405" s="226"/>
      <c r="K405" s="486"/>
      <c r="L405" s="113"/>
      <c r="M405" s="113"/>
      <c r="N405" s="113"/>
      <c r="O405" s="113"/>
      <c r="Q405" s="5"/>
    </row>
    <row r="406" spans="1:17" s="53" customFormat="1">
      <c r="C406" s="51"/>
      <c r="D406" s="54"/>
      <c r="E406" s="52"/>
      <c r="F406" s="126"/>
      <c r="G406" s="126"/>
      <c r="H406" s="126"/>
      <c r="I406" s="126"/>
      <c r="J406" s="227"/>
      <c r="K406" s="485"/>
      <c r="L406" s="124"/>
      <c r="M406" s="124"/>
      <c r="N406" s="124"/>
      <c r="O406" s="124"/>
      <c r="Q406" s="5"/>
    </row>
    <row r="407" spans="1:17">
      <c r="A407" s="27"/>
      <c r="B407" s="28"/>
      <c r="C407" s="29"/>
      <c r="D407" s="30"/>
      <c r="E407" s="47" t="s">
        <v>477</v>
      </c>
      <c r="F407" s="31"/>
      <c r="G407" s="31"/>
      <c r="H407" s="31"/>
      <c r="I407" s="31"/>
      <c r="J407" s="472"/>
      <c r="K407" s="480"/>
      <c r="L407" s="31"/>
      <c r="M407" s="31"/>
      <c r="N407" s="31"/>
      <c r="O407" s="31"/>
      <c r="Q407" s="5"/>
    </row>
    <row r="408" spans="1:17" s="53" customFormat="1">
      <c r="A408" s="53" t="s">
        <v>146</v>
      </c>
      <c r="B408" s="53" t="s">
        <v>69</v>
      </c>
      <c r="C408" s="51"/>
      <c r="D408" s="55" t="s">
        <v>30</v>
      </c>
      <c r="E408" s="52" t="s">
        <v>31</v>
      </c>
      <c r="F408" s="125"/>
      <c r="G408" s="125"/>
      <c r="H408" s="125"/>
      <c r="I408" s="125"/>
      <c r="J408" s="226"/>
      <c r="K408" s="493">
        <f>MIN(IF($I384&lt;$I$405,$I$405,$I384-($I384-$I$405)*Input!K$442),IF(INDEX(ANH,ROW(Input!B$24)-5,COLUMN()-2)=0,0,INDEX(ANH,ROW(Input!B$16)-5,COLUMN()-2)/(INDEX(ANH,ROW(Input!B$24)-5,COLUMN()-2)*Input!$H$441)*1000))</f>
        <v>2.6846153846153853</v>
      </c>
      <c r="L408" s="176">
        <f>MIN(IF($I384&lt;$I$405,$I$405,$I384-($I384-$I$405)*Input!L$442),IF(INDEX(ANH,ROW(Input!C$24)-5,COLUMN()-2)=0,0,INDEX(ANH,ROW(Input!C$16)-5,COLUMN()-2)/(INDEX(ANH,ROW(Input!C$24)-5,COLUMN()-2)*Input!$H$441)*1000))</f>
        <v>2.6846153846153866</v>
      </c>
      <c r="M408" s="176">
        <f>MIN(IF($I384&lt;$I$405,$I$405,$I384-($I384-$I$405)*Input!M$442),IF(INDEX(ANH,ROW(Input!D$24)-5,COLUMN()-2)=0,0,INDEX(ANH,ROW(Input!D$16)-5,COLUMN()-2)/(INDEX(ANH,ROW(Input!D$24)-5,COLUMN()-2)*Input!$H$441)*1000))</f>
        <v>2.6846153846153871</v>
      </c>
      <c r="N408" s="176">
        <f>MIN(IF($I384&lt;$I$405,$I$405,$I384-($I384-$I$405)*Input!N$442),IF(INDEX(ANH,ROW(Input!E$24)-5,COLUMN()-2)=0,0,INDEX(ANH,ROW(Input!E$16)-5,COLUMN()-2)/(INDEX(ANH,ROW(Input!E$24)-5,COLUMN()-2)*Input!$H$441)*1000))</f>
        <v>2.6846153846153826</v>
      </c>
      <c r="O408" s="176">
        <f>MIN(IF($I384&lt;$I$405,$I$405,$I384-($I384-$I$405)*Input!O$442),IF(INDEX(ANH,ROW(Input!F$24)-5,COLUMN()-2)=0,0,INDEX(ANH,ROW(Input!F$16)-5,COLUMN()-2)/(INDEX(ANH,ROW(Input!F$24)-5,COLUMN()-2)*Input!$H$441)*1000))</f>
        <v>2.6846153846153817</v>
      </c>
      <c r="Q408" s="5"/>
    </row>
    <row r="409" spans="1:17" s="53" customFormat="1">
      <c r="A409" s="53" t="s">
        <v>146</v>
      </c>
      <c r="B409" s="53" t="s">
        <v>69</v>
      </c>
      <c r="C409" s="51"/>
      <c r="D409" s="55" t="s">
        <v>30</v>
      </c>
      <c r="E409" s="52" t="s">
        <v>32</v>
      </c>
      <c r="F409" s="126"/>
      <c r="G409" s="126"/>
      <c r="H409" s="125"/>
      <c r="I409" s="125"/>
      <c r="J409" s="226"/>
      <c r="K409" s="493">
        <f>MIN(IF($I385&lt;$I$405,$I$405,$I385-($I385-$I$405)*Input!K$442),IF(INDEX(WSH,ROW(Input!B$24)-5,COLUMN()-2)=0,0,INDEX(WSH,ROW(Input!B$16)-5,COLUMN()-2)/(INDEX(WSH,ROW(Input!B$24)-5,COLUMN()-2)*Input!$H$441)*1000))</f>
        <v>5.9069335337990641</v>
      </c>
      <c r="L409" s="176">
        <f>MIN(IF($I385&lt;$I$405,$I$405,$I385-($I385-$I$405)*Input!L$442),IF(INDEX(WSH,ROW(Input!C$24)-5,COLUMN()-2)=0,0,INDEX(WSH,ROW(Input!C$16)-5,COLUMN()-2)/(INDEX(WSH,ROW(Input!C$24)-5,COLUMN()-2)*Input!$H$441)*1000))</f>
        <v>5.5961980083283329</v>
      </c>
      <c r="M409" s="176">
        <f>MIN(IF($I385&lt;$I$405,$I$405,$I385-($I385-$I$405)*Input!M$442),IF(INDEX(WSH,ROW(Input!D$24)-5,COLUMN()-2)=0,0,INDEX(WSH,ROW(Input!D$16)-5,COLUMN()-2)/(INDEX(WSH,ROW(Input!D$24)-5,COLUMN()-2)*Input!$H$441)*1000))</f>
        <v>5.2627512237667231</v>
      </c>
      <c r="N409" s="176">
        <f>MIN(IF($I385&lt;$I$405,$I$405,$I385-($I385-$I$405)*Input!N$442),IF(INDEX(WSH,ROW(Input!E$24)-5,COLUMN()-2)=0,0,INDEX(WSH,ROW(Input!E$16)-5,COLUMN()-2)/(INDEX(WSH,ROW(Input!E$24)-5,COLUMN()-2)*Input!$H$441)*1000))</f>
        <v>4.884838769910167</v>
      </c>
      <c r="O409" s="176">
        <f>MIN(IF($I385&lt;$I$405,$I$405,$I385-($I385-$I$405)*Input!O$442),IF(INDEX(WSH,ROW(Input!F$24)-5,COLUMN()-2)=0,0,INDEX(WSH,ROW(Input!F$16)-5,COLUMN()-2)/(INDEX(WSH,ROW(Input!F$24)-5,COLUMN()-2)*Input!$H$441)*1000))</f>
        <v>4.8057189225091888</v>
      </c>
      <c r="Q409" s="5"/>
    </row>
    <row r="410" spans="1:17" s="53" customFormat="1">
      <c r="A410" s="53" t="s">
        <v>146</v>
      </c>
      <c r="B410" s="53" t="s">
        <v>69</v>
      </c>
      <c r="C410" s="51"/>
      <c r="D410" s="55" t="s">
        <v>30</v>
      </c>
      <c r="E410" s="52" t="s">
        <v>33</v>
      </c>
      <c r="F410" s="126"/>
      <c r="G410" s="126"/>
      <c r="H410" s="125"/>
      <c r="I410" s="125"/>
      <c r="J410" s="226"/>
      <c r="K410" s="493">
        <f>MIN(IF($I386&lt;$I$405,$I$405,$I386-($I386-$I$405)*Input!K$442),IF(INDEX(NES,ROW(Input!B$24)-5,COLUMN()-2)=0,0,INDEX(NES,ROW(Input!B$16)-5,COLUMN()-2)/(INDEX(NES,ROW(Input!B$24)-5,COLUMN()-2)*Input!$H$441)*1000))</f>
        <v>4.0806376124847681</v>
      </c>
      <c r="L410" s="176">
        <f>MIN(IF($I386&lt;$I$405,$I$405,$I386-($I386-$I$405)*Input!L$442),IF(INDEX(NES,ROW(Input!C$24)-5,COLUMN()-2)=0,0,INDEX(NES,ROW(Input!C$16)-5,COLUMN()-2)/(INDEX(NES,ROW(Input!C$24)-5,COLUMN()-2)*Input!$H$441)*1000))</f>
        <v>4.0792352872112758</v>
      </c>
      <c r="M410" s="176">
        <f>MIN(IF($I386&lt;$I$405,$I$405,$I386-($I386-$I$405)*Input!M$442),IF(INDEX(NES,ROW(Input!D$24)-5,COLUMN()-2)=0,0,INDEX(NES,ROW(Input!D$16)-5,COLUMN()-2)/(INDEX(NES,ROW(Input!D$24)-5,COLUMN()-2)*Input!$H$441)*1000))</f>
        <v>4.0805488043596929</v>
      </c>
      <c r="N410" s="176">
        <f>MIN(IF($I386&lt;$I$405,$I$405,$I386-($I386-$I$405)*Input!N$442),IF(INDEX(NES,ROW(Input!E$24)-5,COLUMN()-2)=0,0,INDEX(NES,ROW(Input!E$16)-5,COLUMN()-2)/(INDEX(NES,ROW(Input!E$24)-5,COLUMN()-2)*Input!$H$441)*1000))</f>
        <v>4.0794621366597443</v>
      </c>
      <c r="O410" s="176">
        <f>MIN(IF($I386&lt;$I$405,$I$405,$I386-($I386-$I$405)*Input!O$442),IF(INDEX(NES,ROW(Input!F$24)-5,COLUMN()-2)=0,0,INDEX(NES,ROW(Input!F$16)-5,COLUMN()-2)/(INDEX(NES,ROW(Input!F$24)-5,COLUMN()-2)*Input!$H$441)*1000))</f>
        <v>4.0791135720493914</v>
      </c>
      <c r="Q410" s="5"/>
    </row>
    <row r="411" spans="1:17" s="53" customFormat="1">
      <c r="A411" s="53" t="s">
        <v>146</v>
      </c>
      <c r="B411" s="53" t="s">
        <v>69</v>
      </c>
      <c r="C411" s="51"/>
      <c r="D411" s="55" t="s">
        <v>30</v>
      </c>
      <c r="E411" s="52" t="s">
        <v>46</v>
      </c>
      <c r="F411" s="126"/>
      <c r="G411" s="126"/>
      <c r="H411" s="125"/>
      <c r="I411" s="125"/>
      <c r="J411" s="226"/>
      <c r="K411" s="493">
        <f>MIN(IF($I387&lt;$I$405,$I$405,$I387-($I387-$I$405)*Input!K$442),IF(INDEX(SVT,ROW(Input!B$24)-5,COLUMN()-2)=0,0,INDEX(SVT,ROW(Input!B$16)-5,COLUMN()-2)/(INDEX(SVT,ROW(Input!B$24)-5,COLUMN()-2)*Input!$H$441)*1000))</f>
        <v>5.5324897455746855</v>
      </c>
      <c r="L411" s="176">
        <f>MIN(IF($I387&lt;$I$405,$I$405,$I387-($I387-$I$405)*Input!L$442),IF(INDEX(SVT,ROW(Input!C$24)-5,COLUMN()-2)=0,0,INDEX(SVT,ROW(Input!C$16)-5,COLUMN()-2)/(INDEX(SVT,ROW(Input!C$24)-5,COLUMN()-2)*Input!$H$441)*1000))</f>
        <v>5.4021034577479474</v>
      </c>
      <c r="M411" s="176">
        <f>MIN(IF($I387&lt;$I$405,$I$405,$I387-($I387-$I$405)*Input!M$442),IF(INDEX(SVT,ROW(Input!D$24)-5,COLUMN()-2)=0,0,INDEX(SVT,ROW(Input!D$16)-5,COLUMN()-2)/(INDEX(SVT,ROW(Input!D$24)-5,COLUMN()-2)*Input!$H$441)*1000))</f>
        <v>5.1625019067766722</v>
      </c>
      <c r="N411" s="176">
        <f>MIN(IF($I387&lt;$I$405,$I$405,$I387-($I387-$I$405)*Input!N$442),IF(INDEX(SVT,ROW(Input!E$24)-5,COLUMN()-2)=0,0,INDEX(SVT,ROW(Input!E$16)-5,COLUMN()-2)/(INDEX(SVT,ROW(Input!E$24)-5,COLUMN()-2)*Input!$H$441)*1000))</f>
        <v>4.884838769910167</v>
      </c>
      <c r="O411" s="176">
        <f>MIN(IF($I387&lt;$I$405,$I$405,$I387-($I387-$I$405)*Input!O$442),IF(INDEX(SVT,ROW(Input!F$24)-5,COLUMN()-2)=0,0,INDEX(SVT,ROW(Input!F$16)-5,COLUMN()-2)/(INDEX(SVT,ROW(Input!F$24)-5,COLUMN()-2)*Input!$H$441)*1000))</f>
        <v>4.884838769910167</v>
      </c>
      <c r="Q411" s="5"/>
    </row>
    <row r="412" spans="1:17" s="53" customFormat="1">
      <c r="A412" s="53" t="s">
        <v>146</v>
      </c>
      <c r="B412" s="53" t="s">
        <v>69</v>
      </c>
      <c r="C412" s="51"/>
      <c r="D412" s="55" t="s">
        <v>30</v>
      </c>
      <c r="E412" s="52" t="s">
        <v>47</v>
      </c>
      <c r="F412" s="126"/>
      <c r="G412" s="126"/>
      <c r="H412" s="125"/>
      <c r="I412" s="125"/>
      <c r="J412" s="226"/>
      <c r="K412" s="493">
        <f>MIN(IF($I388&lt;$I$405,$I$405,$I388-($I388-$I$405)*Input!K$442),IF(INDEX(SWT,ROW(Input!B$24)-5,COLUMN()-2)=0,0,INDEX(SWT,ROW(Input!B$16)-5,COLUMN()-2)/(INDEX(SWT,ROW(Input!B$24)-5,COLUMN()-2)*Input!$H$441)*1000))</f>
        <v>2.2567041439564228</v>
      </c>
      <c r="L412" s="176">
        <f>MIN(IF($I388&lt;$I$405,$I$405,$I388-($I388-$I$405)*Input!L$442),IF(INDEX(SWT,ROW(Input!C$24)-5,COLUMN()-2)=0,0,INDEX(SWT,ROW(Input!C$16)-5,COLUMN()-2)/(INDEX(SWT,ROW(Input!C$24)-5,COLUMN()-2)*Input!$H$441)*1000))</f>
        <v>2.2593795419623994</v>
      </c>
      <c r="M412" s="176">
        <f>MIN(IF($I388&lt;$I$405,$I$405,$I388-($I388-$I$405)*Input!M$442),IF(INDEX(SWT,ROW(Input!D$24)-5,COLUMN()-2)=0,0,INDEX(SWT,ROW(Input!D$16)-5,COLUMN()-2)/(INDEX(SWT,ROW(Input!D$24)-5,COLUMN()-2)*Input!$H$441)*1000))</f>
        <v>2.2615631897683026</v>
      </c>
      <c r="N412" s="176">
        <f>MIN(IF($I388&lt;$I$405,$I$405,$I388-($I388-$I$405)*Input!N$442),IF(INDEX(SWT,ROW(Input!E$24)-5,COLUMN()-2)=0,0,INDEX(SWT,ROW(Input!E$16)-5,COLUMN()-2)/(INDEX(SWT,ROW(Input!E$24)-5,COLUMN()-2)*Input!$H$441)*1000))</f>
        <v>2.2646988507747881</v>
      </c>
      <c r="O412" s="176">
        <f>MIN(IF($I388&lt;$I$405,$I$405,$I388-($I388-$I$405)*Input!O$442),IF(INDEX(SWT,ROW(Input!F$24)-5,COLUMN()-2)=0,0,INDEX(SWT,ROW(Input!F$16)-5,COLUMN()-2)/(INDEX(SWT,ROW(Input!F$24)-5,COLUMN()-2)*Input!$H$441)*1000))</f>
        <v>2.2219500286432408</v>
      </c>
      <c r="Q412" s="5"/>
    </row>
    <row r="413" spans="1:17" s="53" customFormat="1">
      <c r="A413" s="53" t="s">
        <v>146</v>
      </c>
      <c r="B413" s="53" t="s">
        <v>69</v>
      </c>
      <c r="C413" s="51"/>
      <c r="D413" s="55" t="s">
        <v>30</v>
      </c>
      <c r="E413" s="52" t="s">
        <v>48</v>
      </c>
      <c r="F413" s="126"/>
      <c r="G413" s="126"/>
      <c r="H413" s="125"/>
      <c r="I413" s="125"/>
      <c r="J413" s="226"/>
      <c r="K413" s="493">
        <f>MIN(IF($I389&lt;$I$405,$I$405,$I389-($I389-$I$405)*Input!K$442),IF(INDEX(SRN,ROW(Input!B$24)-5,COLUMN()-2)=0,0,INDEX(SRN,ROW(Input!B$16)-5,COLUMN()-2)/(INDEX(SRN,ROW(Input!B$24)-5,COLUMN()-2)*Input!$H$441)*1000))</f>
        <v>2.9520768962595461</v>
      </c>
      <c r="L413" s="176">
        <f>MIN(IF($I389&lt;$I$405,$I$405,$I389-($I389-$I$405)*Input!L$442),IF(INDEX(SRN,ROW(Input!C$24)-5,COLUMN()-2)=0,0,INDEX(SRN,ROW(Input!C$16)-5,COLUMN()-2)/(INDEX(SRN,ROW(Input!C$24)-5,COLUMN()-2)*Input!$H$441)*1000))</f>
        <v>2.9337846260365872</v>
      </c>
      <c r="M413" s="176">
        <f>MIN(IF($I389&lt;$I$405,$I$405,$I389-($I389-$I$405)*Input!M$442),IF(INDEX(SRN,ROW(Input!D$24)-5,COLUMN()-2)=0,0,INDEX(SRN,ROW(Input!D$16)-5,COLUMN()-2)/(INDEX(SRN,ROW(Input!D$24)-5,COLUMN()-2)*Input!$H$441)*1000))</f>
        <v>2.6809359235045944</v>
      </c>
      <c r="N413" s="176">
        <f>MIN(IF($I389&lt;$I$405,$I$405,$I389-($I389-$I$405)*Input!N$442),IF(INDEX(SRN,ROW(Input!E$24)-5,COLUMN()-2)=0,0,INDEX(SRN,ROW(Input!E$16)-5,COLUMN()-2)/(INDEX(SRN,ROW(Input!E$24)-5,COLUMN()-2)*Input!$H$441)*1000))</f>
        <v>2.6691803144992119</v>
      </c>
      <c r="O413" s="176">
        <f>MIN(IF($I389&lt;$I$405,$I$405,$I389-($I389-$I$405)*Input!O$442),IF(INDEX(SRN,ROW(Input!F$24)-5,COLUMN()-2)=0,0,INDEX(SRN,ROW(Input!F$16)-5,COLUMN()-2)/(INDEX(SRN,ROW(Input!F$24)-5,COLUMN()-2)*Input!$H$441)*1000))</f>
        <v>2.4914245680704075</v>
      </c>
      <c r="Q413" s="5"/>
    </row>
    <row r="414" spans="1:17" s="53" customFormat="1">
      <c r="A414" s="53" t="s">
        <v>146</v>
      </c>
      <c r="B414" s="53" t="s">
        <v>69</v>
      </c>
      <c r="C414" s="51"/>
      <c r="D414" s="55" t="s">
        <v>30</v>
      </c>
      <c r="E414" s="52" t="s">
        <v>49</v>
      </c>
      <c r="F414" s="126"/>
      <c r="G414" s="126"/>
      <c r="H414" s="125"/>
      <c r="I414" s="125"/>
      <c r="J414" s="226"/>
      <c r="K414" s="493">
        <f>MIN(IF($I390&lt;$I$405,$I$405,$I390-($I390-$I$405)*Input!K$442),IF(INDEX(TMS,ROW(Input!B$24)-5,COLUMN()-2)=0,0,INDEX(TMS,ROW(Input!B$16)-5,COLUMN()-2)/(INDEX(TMS,ROW(Input!B$24)-5,COLUMN()-2)*Input!$H$441)*1000))</f>
        <v>7.6617157790567143</v>
      </c>
      <c r="L414" s="176">
        <f>MIN(IF($I390&lt;$I$405,$I$405,$I390-($I390-$I$405)*Input!L$442),IF(INDEX(TMS,ROW(Input!C$24)-5,COLUMN()-2)=0,0,INDEX(TMS,ROW(Input!C$16)-5,COLUMN()-2)/(INDEX(TMS,ROW(Input!C$24)-5,COLUMN()-2)*Input!$H$441)*1000))</f>
        <v>6.7360901093411982</v>
      </c>
      <c r="M414" s="176">
        <f>MIN(IF($I390&lt;$I$405,$I$405,$I390-($I390-$I$405)*Input!M$442),IF(INDEX(TMS,ROW(Input!D$24)-5,COLUMN()-2)=0,0,INDEX(TMS,ROW(Input!D$16)-5,COLUMN()-2)/(INDEX(TMS,ROW(Input!D$24)-5,COLUMN()-2)*Input!$H$441)*1000))</f>
        <v>5.810464439625683</v>
      </c>
      <c r="N414" s="176">
        <f>MIN(IF($I390&lt;$I$405,$I$405,$I390-($I390-$I$405)*Input!N$442),IF(INDEX(TMS,ROW(Input!E$24)-5,COLUMN()-2)=0,0,INDEX(TMS,ROW(Input!E$16)-5,COLUMN()-2)/(INDEX(TMS,ROW(Input!E$24)-5,COLUMN()-2)*Input!$H$441)*1000))</f>
        <v>4.884838769910167</v>
      </c>
      <c r="O414" s="176">
        <f>MIN(IF($I390&lt;$I$405,$I$405,$I390-($I390-$I$405)*Input!O$442),IF(INDEX(TMS,ROW(Input!F$24)-5,COLUMN()-2)=0,0,INDEX(TMS,ROW(Input!F$16)-5,COLUMN()-2)/(INDEX(TMS,ROW(Input!F$24)-5,COLUMN()-2)*Input!$H$441)*1000))</f>
        <v>4.884838769910167</v>
      </c>
      <c r="Q414" s="5"/>
    </row>
    <row r="415" spans="1:17" s="53" customFormat="1">
      <c r="A415" s="53" t="s">
        <v>146</v>
      </c>
      <c r="B415" s="53" t="s">
        <v>69</v>
      </c>
      <c r="C415" s="51"/>
      <c r="D415" s="55" t="s">
        <v>30</v>
      </c>
      <c r="E415" s="52" t="s">
        <v>50</v>
      </c>
      <c r="F415" s="126"/>
      <c r="G415" s="126"/>
      <c r="H415" s="125"/>
      <c r="I415" s="125"/>
      <c r="J415" s="226"/>
      <c r="K415" s="493">
        <f>MIN(IF($I391&lt;$I$405,$I$405,$I391-($I391-$I$405)*Input!K$442),IF(INDEX(NWT,ROW(Input!B$24)-5,COLUMN()-2)=0,0,INDEX(NWT,ROW(Input!B$16)-5,COLUMN()-2)/(INDEX(NWT,ROW(Input!B$24)-5,COLUMN()-2)*Input!$H$441)*1000))</f>
        <v>4.884838769910167</v>
      </c>
      <c r="L415" s="176">
        <f>MIN(IF($I391&lt;$I$405,$I$405,$I391-($I391-$I$405)*Input!L$442),IF(INDEX(NWT,ROW(Input!C$24)-5,COLUMN()-2)=0,0,INDEX(NWT,ROW(Input!C$16)-5,COLUMN()-2)/(INDEX(NWT,ROW(Input!C$24)-5,COLUMN()-2)*Input!$H$441)*1000))</f>
        <v>4.884838769910167</v>
      </c>
      <c r="M415" s="176">
        <f>MIN(IF($I391&lt;$I$405,$I$405,$I391-($I391-$I$405)*Input!M$442),IF(INDEX(NWT,ROW(Input!D$24)-5,COLUMN()-2)=0,0,INDEX(NWT,ROW(Input!D$16)-5,COLUMN()-2)/(INDEX(NWT,ROW(Input!D$24)-5,COLUMN()-2)*Input!$H$441)*1000))</f>
        <v>4.4054582240254376</v>
      </c>
      <c r="N415" s="176">
        <f>MIN(IF($I391&lt;$I$405,$I$405,$I391-($I391-$I$405)*Input!N$442),IF(INDEX(NWT,ROW(Input!E$24)-5,COLUMN()-2)=0,0,INDEX(NWT,ROW(Input!E$16)-5,COLUMN()-2)/(INDEX(NWT,ROW(Input!E$24)-5,COLUMN()-2)*Input!$H$441)*1000))</f>
        <v>3.9308118763672204</v>
      </c>
      <c r="O415" s="176">
        <f>MIN(IF($I391&lt;$I$405,$I$405,$I391-($I391-$I$405)*Input!O$442),IF(INDEX(NWT,ROW(Input!F$24)-5,COLUMN()-2)=0,0,INDEX(NWT,ROW(Input!F$16)-5,COLUMN()-2)/(INDEX(NWT,ROW(Input!F$24)-5,COLUMN()-2)*Input!$H$441)*1000))</f>
        <v>3.6159983342178861</v>
      </c>
      <c r="Q415" s="5"/>
    </row>
    <row r="416" spans="1:17" s="53" customFormat="1">
      <c r="A416" s="53" t="s">
        <v>146</v>
      </c>
      <c r="B416" s="53" t="s">
        <v>69</v>
      </c>
      <c r="C416" s="51"/>
      <c r="D416" s="55" t="s">
        <v>30</v>
      </c>
      <c r="E416" s="52" t="s">
        <v>51</v>
      </c>
      <c r="F416" s="126"/>
      <c r="G416" s="126"/>
      <c r="H416" s="125"/>
      <c r="I416" s="125"/>
      <c r="J416" s="226"/>
      <c r="K416" s="493">
        <f>MIN(IF($I392&lt;$I$405,$I$405,$I392-($I392-$I$405)*Input!K$442),IF(INDEX(WSX,ROW(Input!B$24)-5,COLUMN()-2)=0,0,INDEX(WSX,ROW(Input!B$16)-5,COLUMN()-2)/(INDEX(WSX,ROW(Input!B$24)-5,COLUMN()-2)*Input!$H$441)*1000))</f>
        <v>5.4123185754856751</v>
      </c>
      <c r="L416" s="176">
        <f>MIN(IF($I392&lt;$I$405,$I$405,$I392-($I392-$I$405)*Input!L$442),IF(INDEX(WSX,ROW(Input!C$24)-5,COLUMN()-2)=0,0,INDEX(WSX,ROW(Input!C$16)-5,COLUMN()-2)/(INDEX(WSX,ROW(Input!C$24)-5,COLUMN()-2)*Input!$H$441)*1000))</f>
        <v>5.2364919736271727</v>
      </c>
      <c r="M416" s="176">
        <f>MIN(IF($I392&lt;$I$405,$I$405,$I392-($I392-$I$405)*Input!M$442),IF(INDEX(WSX,ROW(Input!D$24)-5,COLUMN()-2)=0,0,INDEX(WSX,ROW(Input!D$16)-5,COLUMN()-2)/(INDEX(WSX,ROW(Input!D$24)-5,COLUMN()-2)*Input!$H$441)*1000))</f>
        <v>5.0606653717686694</v>
      </c>
      <c r="N416" s="176">
        <f>MIN(IF($I392&lt;$I$405,$I$405,$I392-($I392-$I$405)*Input!N$442),IF(INDEX(WSX,ROW(Input!E$24)-5,COLUMN()-2)=0,0,INDEX(WSX,ROW(Input!E$16)-5,COLUMN()-2)/(INDEX(WSX,ROW(Input!E$24)-5,COLUMN()-2)*Input!$H$441)*1000))</f>
        <v>4.884838769910167</v>
      </c>
      <c r="O416" s="176">
        <f>MIN(IF($I392&lt;$I$405,$I$405,$I392-($I392-$I$405)*Input!O$442),IF(INDEX(WSX,ROW(Input!F$24)-5,COLUMN()-2)=0,0,INDEX(WSX,ROW(Input!F$16)-5,COLUMN()-2)/(INDEX(WSX,ROW(Input!F$24)-5,COLUMN()-2)*Input!$H$441)*1000))</f>
        <v>4.884838769910167</v>
      </c>
      <c r="Q416" s="5"/>
    </row>
    <row r="417" spans="1:17" s="53" customFormat="1">
      <c r="A417" s="53" t="s">
        <v>146</v>
      </c>
      <c r="B417" s="53" t="s">
        <v>69</v>
      </c>
      <c r="C417" s="51"/>
      <c r="D417" s="55" t="s">
        <v>30</v>
      </c>
      <c r="E417" s="52" t="s">
        <v>52</v>
      </c>
      <c r="F417" s="126"/>
      <c r="G417" s="126"/>
      <c r="H417" s="125"/>
      <c r="I417" s="125"/>
      <c r="J417" s="226"/>
      <c r="K417" s="493">
        <f>MIN(IF($I393&lt;$I$405,$I$405,$I393-($I393-$I$405)*Input!K$442),IF(INDEX(YKY,ROW(Input!B$24)-5,COLUMN()-2)=0,0,INDEX(YKY,ROW(Input!B$16)-5,COLUMN()-2)/(INDEX(YKY,ROW(Input!B$24)-5,COLUMN()-2)*Input!$H$441)*1000))</f>
        <v>4.4115836693756254</v>
      </c>
      <c r="L417" s="176">
        <f>MIN(IF($I393&lt;$I$405,$I$405,$I393-($I393-$I$405)*Input!L$442),IF(INDEX(YKY,ROW(Input!C$24)-5,COLUMN()-2)=0,0,INDEX(YKY,ROW(Input!C$16)-5,COLUMN()-2)/(INDEX(YKY,ROW(Input!C$24)-5,COLUMN()-2)*Input!$H$441)*1000))</f>
        <v>4.4260210066776109</v>
      </c>
      <c r="M417" s="176">
        <f>MIN(IF($I393&lt;$I$405,$I$405,$I393-($I393-$I$405)*Input!M$442),IF(INDEX(YKY,ROW(Input!D$24)-5,COLUMN()-2)=0,0,INDEX(YKY,ROW(Input!D$16)-5,COLUMN()-2)/(INDEX(YKY,ROW(Input!D$24)-5,COLUMN()-2)*Input!$H$441)*1000))</f>
        <v>4.4499422187881805</v>
      </c>
      <c r="N417" s="176">
        <f>MIN(IF($I393&lt;$I$405,$I$405,$I393-($I393-$I$405)*Input!N$442),IF(INDEX(YKY,ROW(Input!E$24)-5,COLUMN()-2)=0,0,INDEX(YKY,ROW(Input!E$16)-5,COLUMN()-2)/(INDEX(YKY,ROW(Input!E$24)-5,COLUMN()-2)*Input!$H$441)*1000))</f>
        <v>4.5016954794362594</v>
      </c>
      <c r="O417" s="176">
        <f>MIN(IF($I393&lt;$I$405,$I$405,$I393-($I393-$I$405)*Input!O$442),IF(INDEX(YKY,ROW(Input!F$24)-5,COLUMN()-2)=0,0,INDEX(YKY,ROW(Input!F$16)-5,COLUMN()-2)/(INDEX(YKY,ROW(Input!F$24)-5,COLUMN()-2)*Input!$H$441)*1000))</f>
        <v>4.5665067927540024</v>
      </c>
      <c r="Q417" s="5"/>
    </row>
    <row r="418" spans="1:17" s="53" customFormat="1">
      <c r="C418" s="51"/>
      <c r="D418" s="55" t="s">
        <v>30</v>
      </c>
      <c r="E418" s="52" t="s">
        <v>53</v>
      </c>
      <c r="F418" s="126"/>
      <c r="G418" s="126"/>
      <c r="H418" s="126"/>
      <c r="I418" s="126"/>
      <c r="J418" s="227"/>
      <c r="K418" s="493">
        <f>MIN(IF($I394&lt;$I$405,$I$405,$I394-($I394-$I$405)*Input!K$442),IF(INDEX(AFW,ROW(Input!B$24)-5,COLUMN()-2)=0,0,INDEX(AFW,ROW(Input!B$16)-5,COLUMN()-2)/(INDEX(AFW,ROW(Input!B$24)-5,COLUMN()-2)*Input!$H$441)*1000))</f>
        <v>0</v>
      </c>
      <c r="L418" s="176">
        <f>MIN(IF($I394&lt;$I$405,$I$405,$I394-($I394-$I$405)*Input!L$442),IF(INDEX(AFW,ROW(Input!C$24)-5,COLUMN()-2)=0,0,INDEX(AFW,ROW(Input!C$16)-5,COLUMN()-2)/(INDEX(AFW,ROW(Input!C$24)-5,COLUMN()-2)*Input!$H$441)*1000))</f>
        <v>0</v>
      </c>
      <c r="M418" s="176">
        <f>MIN(IF($I394&lt;$I$405,$I$405,$I394-($I394-$I$405)*Input!M$442),IF(INDEX(AFW,ROW(Input!D$24)-5,COLUMN()-2)=0,0,INDEX(AFW,ROW(Input!D$16)-5,COLUMN()-2)/(INDEX(AFW,ROW(Input!D$24)-5,COLUMN()-2)*Input!$H$441)*1000))</f>
        <v>0</v>
      </c>
      <c r="N418" s="176">
        <f>MIN(IF($I394&lt;$I$405,$I$405,$I394-($I394-$I$405)*Input!N$442),IF(INDEX(AFW,ROW(Input!E$24)-5,COLUMN()-2)=0,0,INDEX(AFW,ROW(Input!E$16)-5,COLUMN()-2)/(INDEX(AFW,ROW(Input!E$24)-5,COLUMN()-2)*Input!$H$441)*1000))</f>
        <v>0</v>
      </c>
      <c r="O418" s="176">
        <f>MIN(IF($I394&lt;$I$405,$I$405,$I394-($I394-$I$405)*Input!O$442),IF(INDEX(AFW,ROW(Input!F$24)-5,COLUMN()-2)=0,0,INDEX(AFW,ROW(Input!F$16)-5,COLUMN()-2)/(INDEX(AFW,ROW(Input!F$24)-5,COLUMN()-2)*Input!$H$441)*1000))</f>
        <v>0</v>
      </c>
      <c r="Q418" s="5"/>
    </row>
    <row r="419" spans="1:17" s="53" customFormat="1">
      <c r="C419" s="51"/>
      <c r="D419" s="55" t="s">
        <v>30</v>
      </c>
      <c r="E419" s="52" t="s">
        <v>54</v>
      </c>
      <c r="F419" s="126"/>
      <c r="G419" s="126"/>
      <c r="H419" s="126"/>
      <c r="I419" s="126"/>
      <c r="J419" s="227"/>
      <c r="K419" s="493">
        <f>MIN(IF($I395&lt;$I$405,$I$405,$I395-($I395-$I$405)*Input!K$442),IF(INDEX(BRL,ROW(Input!B$24)-5,COLUMN()-2)=0,0,INDEX(BRL,ROW(Input!B$16)-5,COLUMN()-2)/(INDEX(BRL,ROW(Input!B$24)-5,COLUMN()-2)*Input!$H$441)*1000))</f>
        <v>0</v>
      </c>
      <c r="L419" s="176">
        <f>MIN(IF($I395&lt;$I$405,$I$405,$I395-($I395-$I$405)*Input!L$442),IF(INDEX(BRL,ROW(Input!C$24)-5,COLUMN()-2)=0,0,INDEX(BRL,ROW(Input!C$16)-5,COLUMN()-2)/(INDEX(BRL,ROW(Input!C$24)-5,COLUMN()-2)*Input!$H$441)*1000))</f>
        <v>0</v>
      </c>
      <c r="M419" s="176">
        <f>MIN(IF($I395&lt;$I$405,$I$405,$I395-($I395-$I$405)*Input!M$442),IF(INDEX(BRL,ROW(Input!D$24)-5,COLUMN()-2)=0,0,INDEX(BRL,ROW(Input!D$16)-5,COLUMN()-2)/(INDEX(BRL,ROW(Input!D$24)-5,COLUMN()-2)*Input!$H$441)*1000))</f>
        <v>0</v>
      </c>
      <c r="N419" s="176">
        <f>MIN(IF($I395&lt;$I$405,$I$405,$I395-($I395-$I$405)*Input!N$442),IF(INDEX(BRL,ROW(Input!E$24)-5,COLUMN()-2)=0,0,INDEX(BRL,ROW(Input!E$16)-5,COLUMN()-2)/(INDEX(BRL,ROW(Input!E$24)-5,COLUMN()-2)*Input!$H$441)*1000))</f>
        <v>0</v>
      </c>
      <c r="O419" s="176">
        <f>MIN(IF($I395&lt;$I$405,$I$405,$I395-($I395-$I$405)*Input!O$442),IF(INDEX(BRL,ROW(Input!F$24)-5,COLUMN()-2)=0,0,INDEX(BRL,ROW(Input!F$16)-5,COLUMN()-2)/(INDEX(BRL,ROW(Input!F$24)-5,COLUMN()-2)*Input!$H$441)*1000))</f>
        <v>0</v>
      </c>
      <c r="Q419" s="5"/>
    </row>
    <row r="420" spans="1:17" s="53" customFormat="1">
      <c r="C420" s="51"/>
      <c r="D420" s="55" t="s">
        <v>30</v>
      </c>
      <c r="E420" s="52" t="s">
        <v>66</v>
      </c>
      <c r="F420" s="126"/>
      <c r="G420" s="126"/>
      <c r="H420" s="126"/>
      <c r="I420" s="126"/>
      <c r="J420" s="227"/>
      <c r="K420" s="493">
        <f>MIN(IF($I396&lt;$I$405,$I$405,$I396-($I396-$I$405)*Input!K$442),IF(INDEX(SSC,ROW(Input!B$24)-5,COLUMN()-2)=0,0,INDEX(SSC,ROW(Input!B$16)-5,COLUMN()-2)/(INDEX(SSC,ROW(Input!B$24)-5,COLUMN()-2)*Input!$H$441)*1000))</f>
        <v>0</v>
      </c>
      <c r="L420" s="176">
        <f>MIN(IF($I396&lt;$I$405,$I$405,$I396-($I396-$I$405)*Input!L$442),IF(INDEX(SSC,ROW(Input!C$24)-5,COLUMN()-2)=0,0,INDEX(SSC,ROW(Input!C$16)-5,COLUMN()-2)/(INDEX(SSC,ROW(Input!C$24)-5,COLUMN()-2)*Input!$H$441)*1000))</f>
        <v>0</v>
      </c>
      <c r="M420" s="176">
        <f>MIN(IF($I396&lt;$I$405,$I$405,$I396-($I396-$I$405)*Input!M$442),IF(INDEX(SSC,ROW(Input!D$24)-5,COLUMN()-2)=0,0,INDEX(SSC,ROW(Input!D$16)-5,COLUMN()-2)/(INDEX(SSC,ROW(Input!D$24)-5,COLUMN()-2)*Input!$H$441)*1000))</f>
        <v>0</v>
      </c>
      <c r="N420" s="176">
        <f>MIN(IF($I396&lt;$I$405,$I$405,$I396-($I396-$I$405)*Input!N$442),IF(INDEX(SSC,ROW(Input!E$24)-5,COLUMN()-2)=0,0,INDEX(SSC,ROW(Input!E$16)-5,COLUMN()-2)/(INDEX(SSC,ROW(Input!E$24)-5,COLUMN()-2)*Input!$H$441)*1000))</f>
        <v>0</v>
      </c>
      <c r="O420" s="176">
        <f>MIN(IF($I396&lt;$I$405,$I$405,$I396-($I396-$I$405)*Input!O$442),IF(INDEX(SSC,ROW(Input!F$24)-5,COLUMN()-2)=0,0,INDEX(SSC,ROW(Input!F$16)-5,COLUMN()-2)/(INDEX(SSC,ROW(Input!F$24)-5,COLUMN()-2)*Input!$H$441)*1000))</f>
        <v>0</v>
      </c>
      <c r="Q420" s="5"/>
    </row>
    <row r="421" spans="1:17" s="53" customFormat="1">
      <c r="C421" s="51"/>
      <c r="D421" s="55" t="s">
        <v>30</v>
      </c>
      <c r="E421" s="52" t="s">
        <v>55</v>
      </c>
      <c r="F421" s="126"/>
      <c r="G421" s="126"/>
      <c r="H421" s="126"/>
      <c r="I421" s="126"/>
      <c r="J421" s="227"/>
      <c r="K421" s="493">
        <f>MIN(IF($I397&lt;$I$405,$I$405,$I397-($I397-$I$405)*Input!K$442),IF(INDEX(DVW,ROW(Input!B$24)-5,COLUMN()-2)=0,0,INDEX(DVW,ROW(Input!B$16)-5,COLUMN()-2)/(INDEX(DVW,ROW(Input!B$24)-5,COLUMN()-2)*Input!$H$441)*1000))</f>
        <v>0</v>
      </c>
      <c r="L421" s="176">
        <f>MIN(IF($I397&lt;$I$405,$I$405,$I397-($I397-$I$405)*Input!L$442),IF(INDEX(DVW,ROW(Input!C$24)-5,COLUMN()-2)=0,0,INDEX(DVW,ROW(Input!C$16)-5,COLUMN()-2)/(INDEX(DVW,ROW(Input!C$24)-5,COLUMN()-2)*Input!$H$441)*1000))</f>
        <v>0</v>
      </c>
      <c r="M421" s="176">
        <f>MIN(IF($I397&lt;$I$405,$I$405,$I397-($I397-$I$405)*Input!M$442),IF(INDEX(DVW,ROW(Input!D$24)-5,COLUMN()-2)=0,0,INDEX(DVW,ROW(Input!D$16)-5,COLUMN()-2)/(INDEX(DVW,ROW(Input!D$24)-5,COLUMN()-2)*Input!$H$441)*1000))</f>
        <v>0</v>
      </c>
      <c r="N421" s="176">
        <f>MIN(IF($I397&lt;$I$405,$I$405,$I397-($I397-$I$405)*Input!N$442),IF(INDEX(DVW,ROW(Input!E$24)-5,COLUMN()-2)=0,0,INDEX(DVW,ROW(Input!E$16)-5,COLUMN()-2)/(INDEX(DVW,ROW(Input!E$24)-5,COLUMN()-2)*Input!$H$441)*1000))</f>
        <v>0</v>
      </c>
      <c r="O421" s="176">
        <f>MIN(IF($I397&lt;$I$405,$I$405,$I397-($I397-$I$405)*Input!O$442),IF(INDEX(DVW,ROW(Input!F$24)-5,COLUMN()-2)=0,0,INDEX(DVW,ROW(Input!F$16)-5,COLUMN()-2)/(INDEX(DVW,ROW(Input!F$24)-5,COLUMN()-2)*Input!$H$441)*1000))</f>
        <v>0</v>
      </c>
      <c r="Q421" s="5"/>
    </row>
    <row r="422" spans="1:17" s="53" customFormat="1">
      <c r="C422" s="51"/>
      <c r="D422" s="55" t="s">
        <v>30</v>
      </c>
      <c r="E422" s="52" t="s">
        <v>56</v>
      </c>
      <c r="F422" s="126"/>
      <c r="G422" s="126"/>
      <c r="H422" s="126"/>
      <c r="I422" s="126"/>
      <c r="J422" s="227"/>
      <c r="K422" s="493">
        <f>MIN(IF($I398&lt;$I$405,$I$405,$I398-($I398-$I$405)*Input!K$442),IF(INDEX(PRT,ROW(Input!B$24)-5,COLUMN()-2)=0,0,INDEX(PRT,ROW(Input!B$16)-5,COLUMN()-2)/(INDEX(PRT,ROW(Input!B$24)-5,COLUMN()-2)*Input!$H$441)*1000))</f>
        <v>0</v>
      </c>
      <c r="L422" s="176">
        <f>MIN(IF($I398&lt;$I$405,$I$405,$I398-($I398-$I$405)*Input!L$442),IF(INDEX(PRT,ROW(Input!C$24)-5,COLUMN()-2)=0,0,INDEX(PRT,ROW(Input!C$16)-5,COLUMN()-2)/(INDEX(PRT,ROW(Input!C$24)-5,COLUMN()-2)*Input!$H$441)*1000))</f>
        <v>0</v>
      </c>
      <c r="M422" s="176">
        <f>MIN(IF($I398&lt;$I$405,$I$405,$I398-($I398-$I$405)*Input!M$442),IF(INDEX(PRT,ROW(Input!D$24)-5,COLUMN()-2)=0,0,INDEX(PRT,ROW(Input!D$16)-5,COLUMN()-2)/(INDEX(PRT,ROW(Input!D$24)-5,COLUMN()-2)*Input!$H$441)*1000))</f>
        <v>0</v>
      </c>
      <c r="N422" s="176">
        <f>MIN(IF($I398&lt;$I$405,$I$405,$I398-($I398-$I$405)*Input!N$442),IF(INDEX(PRT,ROW(Input!E$24)-5,COLUMN()-2)=0,0,INDEX(PRT,ROW(Input!E$16)-5,COLUMN()-2)/(INDEX(PRT,ROW(Input!E$24)-5,COLUMN()-2)*Input!$H$441)*1000))</f>
        <v>0</v>
      </c>
      <c r="O422" s="176">
        <f>MIN(IF($I398&lt;$I$405,$I$405,$I398-($I398-$I$405)*Input!O$442),IF(INDEX(PRT,ROW(Input!F$24)-5,COLUMN()-2)=0,0,INDEX(PRT,ROW(Input!F$16)-5,COLUMN()-2)/(INDEX(PRT,ROW(Input!F$24)-5,COLUMN()-2)*Input!$H$441)*1000))</f>
        <v>0</v>
      </c>
      <c r="Q422" s="5"/>
    </row>
    <row r="423" spans="1:17" s="53" customFormat="1">
      <c r="C423" s="51"/>
      <c r="D423" s="55" t="s">
        <v>30</v>
      </c>
      <c r="E423" s="52" t="s">
        <v>57</v>
      </c>
      <c r="F423" s="126"/>
      <c r="G423" s="126"/>
      <c r="H423" s="126"/>
      <c r="I423" s="126"/>
      <c r="J423" s="227"/>
      <c r="K423" s="493">
        <f>MIN(IF($I399&lt;$I$405,$I$405,$I399-($I399-$I$405)*Input!K$442),IF(INDEX(SBW,ROW(Input!B$24)-5,COLUMN()-2)=0,0,INDEX(SBW,ROW(Input!B$16)-5,COLUMN()-2)/(INDEX(SBW,ROW(Input!B$24)-5,COLUMN()-2)*Input!$H$441)*1000))</f>
        <v>0</v>
      </c>
      <c r="L423" s="176">
        <f>MIN(IF($I399&lt;$I$405,$I$405,$I399-($I399-$I$405)*Input!L$442),IF(INDEX(SBW,ROW(Input!C$24)-5,COLUMN()-2)=0,0,INDEX(SBW,ROW(Input!C$16)-5,COLUMN()-2)/(INDEX(SBW,ROW(Input!C$24)-5,COLUMN()-2)*Input!$H$441)*1000))</f>
        <v>0</v>
      </c>
      <c r="M423" s="176">
        <f>MIN(IF($I399&lt;$I$405,$I$405,$I399-($I399-$I$405)*Input!M$442),IF(INDEX(SBW,ROW(Input!D$24)-5,COLUMN()-2)=0,0,INDEX(SBW,ROW(Input!D$16)-5,COLUMN()-2)/(INDEX(SBW,ROW(Input!D$24)-5,COLUMN()-2)*Input!$H$441)*1000))</f>
        <v>0</v>
      </c>
      <c r="N423" s="176">
        <f>MIN(IF($I399&lt;$I$405,$I$405,$I399-($I399-$I$405)*Input!N$442),IF(INDEX(SBW,ROW(Input!E$24)-5,COLUMN()-2)=0,0,INDEX(SBW,ROW(Input!E$16)-5,COLUMN()-2)/(INDEX(SBW,ROW(Input!E$24)-5,COLUMN()-2)*Input!$H$441)*1000))</f>
        <v>0</v>
      </c>
      <c r="O423" s="176">
        <f>MIN(IF($I399&lt;$I$405,$I$405,$I399-($I399-$I$405)*Input!O$442),IF(INDEX(SBW,ROW(Input!F$24)-5,COLUMN()-2)=0,0,INDEX(SBW,ROW(Input!F$16)-5,COLUMN()-2)/(INDEX(SBW,ROW(Input!F$24)-5,COLUMN()-2)*Input!$H$441)*1000))</f>
        <v>0</v>
      </c>
      <c r="Q423" s="5"/>
    </row>
    <row r="424" spans="1:17" s="53" customFormat="1">
      <c r="C424" s="51"/>
      <c r="D424" s="55" t="s">
        <v>30</v>
      </c>
      <c r="E424" s="52" t="s">
        <v>58</v>
      </c>
      <c r="F424" s="126"/>
      <c r="G424" s="126"/>
      <c r="H424" s="126"/>
      <c r="I424" s="126"/>
      <c r="J424" s="227"/>
      <c r="K424" s="493">
        <f>MIN(IF($I400&lt;$I$405,$I$405,$I400-($I400-$I$405)*Input!K$442),IF(INDEX(SEW,ROW(Input!B$24)-5,COLUMN()-2)=0,0,INDEX(SEW,ROW(Input!B$16)-5,COLUMN()-2)/(INDEX(SEW,ROW(Input!B$24)-5,COLUMN()-2)*Input!$H$441)*1000))</f>
        <v>0</v>
      </c>
      <c r="L424" s="176">
        <f>MIN(IF($I400&lt;$I$405,$I$405,$I400-($I400-$I$405)*Input!L$442),IF(INDEX(SEW,ROW(Input!C$24)-5,COLUMN()-2)=0,0,INDEX(SEW,ROW(Input!C$16)-5,COLUMN()-2)/(INDEX(SEW,ROW(Input!C$24)-5,COLUMN()-2)*Input!$H$441)*1000))</f>
        <v>0</v>
      </c>
      <c r="M424" s="176">
        <f>MIN(IF($I400&lt;$I$405,$I$405,$I400-($I400-$I$405)*Input!M$442),IF(INDEX(SEW,ROW(Input!D$24)-5,COLUMN()-2)=0,0,INDEX(SEW,ROW(Input!D$16)-5,COLUMN()-2)/(INDEX(SEW,ROW(Input!D$24)-5,COLUMN()-2)*Input!$H$441)*1000))</f>
        <v>0</v>
      </c>
      <c r="N424" s="176">
        <f>MIN(IF($I400&lt;$I$405,$I$405,$I400-($I400-$I$405)*Input!N$442),IF(INDEX(SEW,ROW(Input!E$24)-5,COLUMN()-2)=0,0,INDEX(SEW,ROW(Input!E$16)-5,COLUMN()-2)/(INDEX(SEW,ROW(Input!E$24)-5,COLUMN()-2)*Input!$H$441)*1000))</f>
        <v>0</v>
      </c>
      <c r="O424" s="176">
        <f>MIN(IF($I400&lt;$I$405,$I$405,$I400-($I400-$I$405)*Input!O$442),IF(INDEX(SEW,ROW(Input!F$24)-5,COLUMN()-2)=0,0,INDEX(SEW,ROW(Input!F$16)-5,COLUMN()-2)/(INDEX(SEW,ROW(Input!F$24)-5,COLUMN()-2)*Input!$H$441)*1000))</f>
        <v>0</v>
      </c>
      <c r="Q424" s="5"/>
    </row>
    <row r="425" spans="1:17" s="53" customFormat="1">
      <c r="C425" s="51"/>
      <c r="D425" s="55" t="s">
        <v>30</v>
      </c>
      <c r="E425" s="52" t="s">
        <v>59</v>
      </c>
      <c r="F425" s="126"/>
      <c r="G425" s="126"/>
      <c r="H425" s="126"/>
      <c r="I425" s="126"/>
      <c r="J425" s="227"/>
      <c r="K425" s="493">
        <f>MIN(IF($I401&lt;$I$405,$I$405,$I401-($I401-$I$405)*Input!K$442),IF(INDEX(SES,ROW(Input!B$24)-5,COLUMN()-2)=0,0,INDEX(SES,ROW(Input!B$16)-5,COLUMN()-2)/(INDEX(SES,ROW(Input!B$24)-5,COLUMN()-2)*Input!$H$441)*1000))</f>
        <v>0</v>
      </c>
      <c r="L425" s="176">
        <f>MIN(IF($I401&lt;$I$405,$I$405,$I401-($I401-$I$405)*Input!L$442),IF(INDEX(SES,ROW(Input!C$24)-5,COLUMN()-2)=0,0,INDEX(SES,ROW(Input!C$16)-5,COLUMN()-2)/(INDEX(SES,ROW(Input!C$24)-5,COLUMN()-2)*Input!$H$441)*1000))</f>
        <v>0</v>
      </c>
      <c r="M425" s="176">
        <f>MIN(IF($I401&lt;$I$405,$I$405,$I401-($I401-$I$405)*Input!M$442),IF(INDEX(SES,ROW(Input!D$24)-5,COLUMN()-2)=0,0,INDEX(SES,ROW(Input!D$16)-5,COLUMN()-2)/(INDEX(SES,ROW(Input!D$24)-5,COLUMN()-2)*Input!$H$441)*1000))</f>
        <v>0</v>
      </c>
      <c r="N425" s="176">
        <f>MIN(IF($I401&lt;$I$405,$I$405,$I401-($I401-$I$405)*Input!N$442),IF(INDEX(SES,ROW(Input!E$24)-5,COLUMN()-2)=0,0,INDEX(SES,ROW(Input!E$16)-5,COLUMN()-2)/(INDEX(SES,ROW(Input!E$24)-5,COLUMN()-2)*Input!$H$441)*1000))</f>
        <v>0</v>
      </c>
      <c r="O425" s="176">
        <f>MIN(IF($I401&lt;$I$405,$I$405,$I401-($I401-$I$405)*Input!O$442),IF(INDEX(SES,ROW(Input!F$24)-5,COLUMN()-2)=0,0,INDEX(SES,ROW(Input!F$16)-5,COLUMN()-2)/(INDEX(SES,ROW(Input!F$24)-5,COLUMN()-2)*Input!$H$441)*1000))</f>
        <v>0</v>
      </c>
      <c r="Q425" s="5"/>
    </row>
    <row r="426" spans="1:17" s="53" customFormat="1">
      <c r="C426" s="51"/>
      <c r="D426" s="54"/>
      <c r="E426" s="52"/>
      <c r="F426" s="126"/>
      <c r="G426" s="126"/>
      <c r="H426" s="126"/>
      <c r="I426" s="126"/>
      <c r="J426" s="227"/>
      <c r="K426" s="485"/>
      <c r="L426" s="124"/>
      <c r="M426" s="124"/>
      <c r="N426" s="124"/>
      <c r="O426" s="124"/>
      <c r="Q426" s="5"/>
    </row>
    <row r="427" spans="1:17">
      <c r="A427" s="27"/>
      <c r="B427" s="28"/>
      <c r="C427" s="29"/>
      <c r="D427" s="30"/>
      <c r="E427" s="28" t="s">
        <v>478</v>
      </c>
      <c r="F427" s="31"/>
      <c r="G427" s="31"/>
      <c r="H427" s="31"/>
      <c r="I427" s="31"/>
      <c r="J427" s="472"/>
      <c r="K427" s="480"/>
      <c r="L427" s="31"/>
      <c r="M427" s="31"/>
      <c r="N427" s="31"/>
      <c r="O427" s="31"/>
      <c r="Q427" s="5"/>
    </row>
    <row r="428" spans="1:17" s="53" customFormat="1">
      <c r="A428" s="53" t="s">
        <v>147</v>
      </c>
      <c r="B428" s="53" t="s">
        <v>69</v>
      </c>
      <c r="C428" s="51"/>
      <c r="D428" s="55" t="s">
        <v>74</v>
      </c>
      <c r="E428" s="52" t="s">
        <v>31</v>
      </c>
      <c r="F428" s="155"/>
      <c r="G428" s="155"/>
      <c r="H428" s="155"/>
      <c r="I428" s="155"/>
      <c r="J428" s="227"/>
      <c r="K428" s="494">
        <f>INDEX(ANH,ROW(Input!B24)-5,COLUMN()-2)*K408*Input!$H$441/1000</f>
        <v>4.9470331200000022</v>
      </c>
      <c r="L428" s="223">
        <f>INDEX(ANH,ROW(Input!C24)-5,COLUMN()-2)*L408*Input!$H$441/1000</f>
        <v>5.1122741500000037</v>
      </c>
      <c r="M428" s="223">
        <f>INDEX(ANH,ROW(Input!D24)-5,COLUMN()-2)*M408*Input!$H$441/1000</f>
        <v>5.2775849800000048</v>
      </c>
      <c r="N428" s="223">
        <f>INDEX(ANH,ROW(Input!E24)-5,COLUMN()-2)*N408*Input!$H$441/1000</f>
        <v>5.4431750099999965</v>
      </c>
      <c r="O428" s="223">
        <f>INDEX(ANH,ROW(Input!F24)-5,COLUMN()-2)*O408*Input!$H$441/1000</f>
        <v>5.6014360399999941</v>
      </c>
      <c r="Q428" s="5"/>
    </row>
    <row r="429" spans="1:17" s="53" customFormat="1">
      <c r="A429" s="53" t="s">
        <v>147</v>
      </c>
      <c r="B429" s="53" t="s">
        <v>69</v>
      </c>
      <c r="C429" s="51"/>
      <c r="D429" s="55" t="s">
        <v>74</v>
      </c>
      <c r="E429" s="52" t="s">
        <v>32</v>
      </c>
      <c r="F429" s="155"/>
      <c r="G429" s="155"/>
      <c r="H429" s="155"/>
      <c r="I429" s="155"/>
      <c r="J429" s="227"/>
      <c r="K429" s="494">
        <f>INDEX(WSH,ROW(Input!B24)-5,COLUMN()-2)*K409*Input!$H$441/1000</f>
        <v>3.6289712812643726</v>
      </c>
      <c r="L429" s="223">
        <f>INDEX(WSH,ROW(Input!C24)-5,COLUMN()-2)*L409*Input!$H$441/1000</f>
        <v>3.6038451896012886</v>
      </c>
      <c r="M429" s="223">
        <f>INDEX(WSH,ROW(Input!D24)-5,COLUMN()-2)*M409*Input!$H$441/1000</f>
        <v>3.5444155844458747</v>
      </c>
      <c r="N429" s="223">
        <f>INDEX(WSH,ROW(Input!E24)-5,COLUMN()-2)*N409*Input!$H$441/1000</f>
        <v>3.4335575677247494</v>
      </c>
      <c r="O429" s="223">
        <f>INDEX(WSH,ROW(Input!F24)-5,COLUMN()-2)*O409*Input!$H$441/1000</f>
        <v>3.5188800329034891</v>
      </c>
      <c r="Q429" s="5"/>
    </row>
    <row r="430" spans="1:17" s="53" customFormat="1">
      <c r="A430" s="53" t="s">
        <v>147</v>
      </c>
      <c r="B430" s="53" t="s">
        <v>69</v>
      </c>
      <c r="C430" s="51"/>
      <c r="D430" s="55" t="s">
        <v>74</v>
      </c>
      <c r="E430" s="52" t="s">
        <v>33</v>
      </c>
      <c r="F430" s="155"/>
      <c r="G430" s="155"/>
      <c r="H430" s="155"/>
      <c r="I430" s="155"/>
      <c r="J430" s="227"/>
      <c r="K430" s="494">
        <f>INDEX(NES,ROW(Input!B24)-5,COLUMN()-2)*K410*Input!$H$441/1000</f>
        <v>1.8080023940709686</v>
      </c>
      <c r="L430" s="223">
        <f>INDEX(NES,ROW(Input!C24)-5,COLUMN()-2)*L410*Input!$H$441/1000</f>
        <v>1.9160025370796312</v>
      </c>
      <c r="M430" s="223">
        <f>INDEX(NES,ROW(Input!D24)-5,COLUMN()-2)*M410*Input!$H$441/1000</f>
        <v>2.0260026827365989</v>
      </c>
      <c r="N430" s="223">
        <f>INDEX(NES,ROW(Input!E24)-5,COLUMN()-2)*N410*Input!$H$441/1000</f>
        <v>2.1350028270694237</v>
      </c>
      <c r="O430" s="223">
        <f>INDEX(NES,ROW(Input!F24)-5,COLUMN()-2)*O410*Input!$H$441/1000</f>
        <v>2.2450029727263923</v>
      </c>
      <c r="Q430" s="5"/>
    </row>
    <row r="431" spans="1:17" s="53" customFormat="1">
      <c r="A431" s="53" t="s">
        <v>147</v>
      </c>
      <c r="B431" s="53" t="s">
        <v>69</v>
      </c>
      <c r="C431" s="51"/>
      <c r="D431" s="55" t="s">
        <v>74</v>
      </c>
      <c r="E431" s="52" t="s">
        <v>46</v>
      </c>
      <c r="F431" s="155"/>
      <c r="G431" s="155"/>
      <c r="H431" s="155"/>
      <c r="I431" s="155"/>
      <c r="J431" s="227"/>
      <c r="K431" s="494">
        <f>INDEX(SVT,ROW(Input!B24)-5,COLUMN()-2)*K411*Input!$H$441/1000</f>
        <v>8.7528729118703481</v>
      </c>
      <c r="L431" s="223">
        <f>INDEX(SVT,ROW(Input!C24)-5,COLUMN()-2)*L411*Input!$H$441/1000</f>
        <v>8.8972989683729988</v>
      </c>
      <c r="M431" s="223">
        <f>INDEX(SVT,ROW(Input!D24)-5,COLUMN()-2)*M411*Input!$H$441/1000</f>
        <v>8.8455784146256828</v>
      </c>
      <c r="N431" s="223">
        <f>INDEX(SVT,ROW(Input!E24)-5,COLUMN()-2)*N411*Input!$H$441/1000</f>
        <v>8.701688631103055</v>
      </c>
      <c r="O431" s="223">
        <f>INDEX(SVT,ROW(Input!F24)-5,COLUMN()-2)*O411*Input!$H$441/1000</f>
        <v>9.0410290992550539</v>
      </c>
      <c r="Q431" s="5"/>
    </row>
    <row r="432" spans="1:17" s="53" customFormat="1">
      <c r="A432" s="53" t="s">
        <v>147</v>
      </c>
      <c r="B432" s="53" t="s">
        <v>69</v>
      </c>
      <c r="C432" s="51"/>
      <c r="D432" s="55" t="s">
        <v>74</v>
      </c>
      <c r="E432" s="52" t="s">
        <v>47</v>
      </c>
      <c r="F432" s="155"/>
      <c r="G432" s="155"/>
      <c r="H432" s="155"/>
      <c r="I432" s="155"/>
      <c r="J432" s="227"/>
      <c r="K432" s="494">
        <f>INDEX(SWT,ROW(Input!B24)-5,COLUMN()-2)*K412*Input!$H$441/1000</f>
        <v>1.5890000000000011</v>
      </c>
      <c r="L432" s="223">
        <f>INDEX(SWT,ROW(Input!C24)-5,COLUMN()-2)*L412*Input!$H$441/1000</f>
        <v>1.6310000000000002</v>
      </c>
      <c r="M432" s="223">
        <f>INDEX(SWT,ROW(Input!D24)-5,COLUMN()-2)*M412*Input!$H$441/1000</f>
        <v>1.6699999999999953</v>
      </c>
      <c r="N432" s="223">
        <f>INDEX(SWT,ROW(Input!E24)-5,COLUMN()-2)*N412*Input!$H$441/1000</f>
        <v>1.707000000000001</v>
      </c>
      <c r="O432" s="223">
        <f>INDEX(SWT,ROW(Input!F24)-5,COLUMN()-2)*O412*Input!$H$441/1000</f>
        <v>1.7070000000000007</v>
      </c>
      <c r="Q432" s="5"/>
    </row>
    <row r="433" spans="1:17" s="53" customFormat="1">
      <c r="A433" s="53" t="s">
        <v>147</v>
      </c>
      <c r="B433" s="53" t="s">
        <v>69</v>
      </c>
      <c r="C433" s="51"/>
      <c r="D433" s="55" t="s">
        <v>74</v>
      </c>
      <c r="E433" s="52" t="s">
        <v>48</v>
      </c>
      <c r="F433" s="155"/>
      <c r="G433" s="155"/>
      <c r="H433" s="155"/>
      <c r="I433" s="155"/>
      <c r="J433" s="227"/>
      <c r="K433" s="494">
        <f>INDEX(SRN,ROW(Input!B24)-5,COLUMN()-2)*K413*Input!$H$441/1000</f>
        <v>3.2857501678376422</v>
      </c>
      <c r="L433" s="223">
        <f>INDEX(SRN,ROW(Input!C24)-5,COLUMN()-2)*L413*Input!$H$441/1000</f>
        <v>3.2941066130924272</v>
      </c>
      <c r="M433" s="223">
        <f>INDEX(SRN,ROW(Input!D24)-5,COLUMN()-2)*M413*Input!$H$441/1000</f>
        <v>3.0379049041595243</v>
      </c>
      <c r="N433" s="223">
        <f>INDEX(SRN,ROW(Input!E24)-5,COLUMN()-2)*N413*Input!$H$441/1000</f>
        <v>3.0506630066160274</v>
      </c>
      <c r="O433" s="223">
        <f>INDEX(SRN,ROW(Input!F24)-5,COLUMN()-2)*O413*Input!$H$441/1000</f>
        <v>2.870950017501309</v>
      </c>
      <c r="Q433" s="5"/>
    </row>
    <row r="434" spans="1:17" s="53" customFormat="1">
      <c r="A434" s="53" t="s">
        <v>147</v>
      </c>
      <c r="B434" s="53" t="s">
        <v>69</v>
      </c>
      <c r="C434" s="51"/>
      <c r="D434" s="55" t="s">
        <v>74</v>
      </c>
      <c r="E434" s="52" t="s">
        <v>49</v>
      </c>
      <c r="F434" s="155"/>
      <c r="G434" s="155"/>
      <c r="H434" s="155"/>
      <c r="I434" s="155"/>
      <c r="J434" s="227"/>
      <c r="K434" s="494">
        <f>INDEX(TMS,ROW(Input!B24)-5,COLUMN()-2)*K414*Input!$H$441/1000</f>
        <v>12.529203047319868</v>
      </c>
      <c r="L434" s="223">
        <f>INDEX(TMS,ROW(Input!C24)-5,COLUMN()-2)*L414*Input!$H$441/1000</f>
        <v>12.059360762457304</v>
      </c>
      <c r="M434" s="223">
        <f>INDEX(TMS,ROW(Input!D24)-5,COLUMN()-2)*M414*Input!$H$441/1000</f>
        <v>11.535992091119363</v>
      </c>
      <c r="N434" s="223">
        <f>INDEX(TMS,ROW(Input!E24)-5,COLUMN()-2)*N414*Input!$H$441/1000</f>
        <v>10.758884257340377</v>
      </c>
      <c r="O434" s="223">
        <f>INDEX(TMS,ROW(Input!F24)-5,COLUMN()-2)*O414*Input!$H$441/1000</f>
        <v>11.835258480290083</v>
      </c>
      <c r="Q434" s="5"/>
    </row>
    <row r="435" spans="1:17" s="53" customFormat="1">
      <c r="A435" s="53" t="s">
        <v>147</v>
      </c>
      <c r="B435" s="53" t="s">
        <v>69</v>
      </c>
      <c r="C435" s="51"/>
      <c r="D435" s="55" t="s">
        <v>74</v>
      </c>
      <c r="E435" s="52" t="s">
        <v>50</v>
      </c>
      <c r="F435" s="155"/>
      <c r="G435" s="155"/>
      <c r="H435" s="155"/>
      <c r="I435" s="155"/>
      <c r="J435" s="227"/>
      <c r="K435" s="494">
        <f>INDEX(NWT,ROW(Input!B24)-5,COLUMN()-2)*K415*Input!$H$441/1000</f>
        <v>7.2523047002958707</v>
      </c>
      <c r="L435" s="223">
        <f>INDEX(NWT,ROW(Input!C24)-5,COLUMN()-2)*L415*Input!$H$441/1000</f>
        <v>7.7193114066672264</v>
      </c>
      <c r="M435" s="223">
        <f>INDEX(NWT,ROW(Input!D24)-5,COLUMN()-2)*M415*Input!$H$441/1000</f>
        <v>7.3759093594519953</v>
      </c>
      <c r="N435" s="223">
        <f>INDEX(NWT,ROW(Input!E24)-5,COLUMN()-2)*N415*Input!$H$441/1000</f>
        <v>6.9257296776287918</v>
      </c>
      <c r="O435" s="223">
        <f>INDEX(NWT,ROW(Input!F24)-5,COLUMN()-2)*O415*Input!$H$441/1000</f>
        <v>6.6665680713117901</v>
      </c>
      <c r="Q435" s="5"/>
    </row>
    <row r="436" spans="1:17" s="53" customFormat="1">
      <c r="A436" s="53" t="s">
        <v>147</v>
      </c>
      <c r="B436" s="53" t="s">
        <v>69</v>
      </c>
      <c r="C436" s="51"/>
      <c r="D436" s="55" t="s">
        <v>74</v>
      </c>
      <c r="E436" s="52" t="s">
        <v>51</v>
      </c>
      <c r="F436" s="155"/>
      <c r="G436" s="155"/>
      <c r="H436" s="155"/>
      <c r="I436" s="155"/>
      <c r="J436" s="227"/>
      <c r="K436" s="494">
        <f>INDEX(WSX,ROW(Input!B24)-5,COLUMN()-2)*K416*Input!$H$441/1000</f>
        <v>2.3070386790307973</v>
      </c>
      <c r="L436" s="223">
        <f>INDEX(WSX,ROW(Input!C24)-5,COLUMN()-2)*L416*Input!$H$441/1000</f>
        <v>2.4301878505647143</v>
      </c>
      <c r="M436" s="223">
        <f>INDEX(WSX,ROW(Input!D24)-5,COLUMN()-2)*M416*Input!$H$441/1000</f>
        <v>2.5185868815564594</v>
      </c>
      <c r="N436" s="223">
        <f>INDEX(WSX,ROW(Input!E24)-5,COLUMN()-2)*N416*Input!$H$441/1000</f>
        <v>2.5773479129736652</v>
      </c>
      <c r="O436" s="223">
        <f>INDEX(WSX,ROW(Input!F24)-5,COLUMN()-2)*O416*Input!$H$441/1000</f>
        <v>2.7082591495878723</v>
      </c>
      <c r="Q436" s="5"/>
    </row>
    <row r="437" spans="1:17" s="53" customFormat="1">
      <c r="A437" s="53" t="s">
        <v>147</v>
      </c>
      <c r="B437" s="53" t="s">
        <v>69</v>
      </c>
      <c r="C437" s="51"/>
      <c r="D437" s="55" t="s">
        <v>74</v>
      </c>
      <c r="E437" s="52" t="s">
        <v>52</v>
      </c>
      <c r="F437" s="155"/>
      <c r="G437" s="155"/>
      <c r="H437" s="155"/>
      <c r="I437" s="155"/>
      <c r="J437" s="227"/>
      <c r="K437" s="494">
        <f>INDEX(YKY,ROW(Input!B24)-5,COLUMN()-2)*K417*Input!$H$441/1000</f>
        <v>5.5412998096375015</v>
      </c>
      <c r="L437" s="223">
        <f>INDEX(YKY,ROW(Input!C24)-5,COLUMN()-2)*L417*Input!$H$441/1000</f>
        <v>5.8643755927625794</v>
      </c>
      <c r="M437" s="223">
        <f>INDEX(YKY,ROW(Input!D24)-5,COLUMN()-2)*M417*Input!$H$441/1000</f>
        <v>6.2494659224937017</v>
      </c>
      <c r="N437" s="223">
        <f>INDEX(YKY,ROW(Input!E24)-5,COLUMN()-2)*N417*Input!$H$441/1000</f>
        <v>6.682567514113388</v>
      </c>
      <c r="O437" s="223">
        <f>INDEX(YKY,ROW(Input!F24)-5,COLUMN()-2)*O417*Input!$H$441/1000</f>
        <v>7.132673094318605</v>
      </c>
      <c r="Q437" s="5"/>
    </row>
    <row r="438" spans="1:17" s="53" customFormat="1">
      <c r="B438" s="53" t="s">
        <v>69</v>
      </c>
      <c r="C438" s="51"/>
      <c r="D438" s="55" t="s">
        <v>74</v>
      </c>
      <c r="E438" s="52" t="s">
        <v>53</v>
      </c>
      <c r="F438" s="155"/>
      <c r="G438" s="155"/>
      <c r="H438" s="155"/>
      <c r="I438" s="155"/>
      <c r="J438" s="227"/>
      <c r="K438" s="494">
        <f>INDEX(AFW,ROW(Input!B24)-5,COLUMN()-2)*K418*Input!$H$441/1000</f>
        <v>0</v>
      </c>
      <c r="L438" s="223">
        <f>INDEX(AFW,ROW(Input!C24)-5,COLUMN()-2)*L418*Input!$H$441/1000</f>
        <v>0</v>
      </c>
      <c r="M438" s="223">
        <f>INDEX(AFW,ROW(Input!D24)-5,COLUMN()-2)*M418*Input!$H$441/1000</f>
        <v>0</v>
      </c>
      <c r="N438" s="223">
        <f>INDEX(AFW,ROW(Input!E24)-5,COLUMN()-2)*N418*Input!$H$441/1000</f>
        <v>0</v>
      </c>
      <c r="O438" s="223">
        <f>INDEX(AFW,ROW(Input!F24)-5,COLUMN()-2)*O418*Input!$H$441/1000</f>
        <v>0</v>
      </c>
      <c r="Q438" s="5"/>
    </row>
    <row r="439" spans="1:17" s="53" customFormat="1">
      <c r="B439" s="53" t="s">
        <v>69</v>
      </c>
      <c r="C439" s="51"/>
      <c r="D439" s="55" t="s">
        <v>74</v>
      </c>
      <c r="E439" s="52" t="s">
        <v>54</v>
      </c>
      <c r="F439" s="155"/>
      <c r="G439" s="155"/>
      <c r="H439" s="155"/>
      <c r="I439" s="155"/>
      <c r="J439" s="227"/>
      <c r="K439" s="494">
        <f>INDEX(BRL,ROW(Input!B24)-5,COLUMN()-2)*K419*Input!$H$441/1000</f>
        <v>0</v>
      </c>
      <c r="L439" s="223">
        <f>INDEX(BRL,ROW(Input!C24)-5,COLUMN()-2)*L419*Input!$H$441/1000</f>
        <v>0</v>
      </c>
      <c r="M439" s="223">
        <f>INDEX(BRL,ROW(Input!D24)-5,COLUMN()-2)*M419*Input!$H$441/1000</f>
        <v>0</v>
      </c>
      <c r="N439" s="223">
        <f>INDEX(BRL,ROW(Input!E24)-5,COLUMN()-2)*N419*Input!$H$441/1000</f>
        <v>0</v>
      </c>
      <c r="O439" s="223">
        <f>INDEX(BRL,ROW(Input!F24)-5,COLUMN()-2)*O419*Input!$H$441/1000</f>
        <v>0</v>
      </c>
      <c r="Q439" s="5"/>
    </row>
    <row r="440" spans="1:17" s="53" customFormat="1">
      <c r="B440" s="53" t="s">
        <v>69</v>
      </c>
      <c r="C440" s="51"/>
      <c r="D440" s="55" t="s">
        <v>74</v>
      </c>
      <c r="E440" s="52" t="s">
        <v>66</v>
      </c>
      <c r="F440" s="155"/>
      <c r="G440" s="155"/>
      <c r="H440" s="155"/>
      <c r="I440" s="155"/>
      <c r="J440" s="227"/>
      <c r="K440" s="494">
        <f>INDEX(SSC,ROW(Input!B24)-5,COLUMN()-2)*K420*Input!$H$441/1000</f>
        <v>0</v>
      </c>
      <c r="L440" s="223">
        <f>INDEX(SSC,ROW(Input!C24)-5,COLUMN()-2)*L420*Input!$H$441/1000</f>
        <v>0</v>
      </c>
      <c r="M440" s="223">
        <f>INDEX(SSC,ROW(Input!D24)-5,COLUMN()-2)*M420*Input!$H$441/1000</f>
        <v>0</v>
      </c>
      <c r="N440" s="223">
        <f>INDEX(SSC,ROW(Input!E24)-5,COLUMN()-2)*N420*Input!$H$441/1000</f>
        <v>0</v>
      </c>
      <c r="O440" s="223">
        <f>INDEX(SSC,ROW(Input!F24)-5,COLUMN()-2)*O420*Input!$H$441/1000</f>
        <v>0</v>
      </c>
      <c r="Q440" s="5"/>
    </row>
    <row r="441" spans="1:17" s="53" customFormat="1">
      <c r="B441" s="53" t="s">
        <v>69</v>
      </c>
      <c r="C441" s="51"/>
      <c r="D441" s="55" t="s">
        <v>74</v>
      </c>
      <c r="E441" s="52" t="s">
        <v>55</v>
      </c>
      <c r="F441" s="155"/>
      <c r="G441" s="155"/>
      <c r="H441" s="155"/>
      <c r="I441" s="155"/>
      <c r="J441" s="227"/>
      <c r="K441" s="494">
        <f>INDEX(DVW,ROW(Input!B24)-5,COLUMN()-2)*K421*Input!$H$441/1000</f>
        <v>0</v>
      </c>
      <c r="L441" s="223">
        <f>INDEX(DVW,ROW(Input!C24)-5,COLUMN()-2)*L421*Input!$H$441/1000</f>
        <v>0</v>
      </c>
      <c r="M441" s="223">
        <f>INDEX(DVW,ROW(Input!D24)-5,COLUMN()-2)*M421*Input!$H$441/1000</f>
        <v>0</v>
      </c>
      <c r="N441" s="223">
        <f>INDEX(DVW,ROW(Input!E24)-5,COLUMN()-2)*N421*Input!$H$441/1000</f>
        <v>0</v>
      </c>
      <c r="O441" s="223">
        <f>INDEX(DVW,ROW(Input!F24)-5,COLUMN()-2)*O421*Input!$H$441/1000</f>
        <v>0</v>
      </c>
      <c r="Q441" s="5"/>
    </row>
    <row r="442" spans="1:17" s="53" customFormat="1">
      <c r="B442" s="53" t="s">
        <v>69</v>
      </c>
      <c r="C442" s="51"/>
      <c r="D442" s="55" t="s">
        <v>74</v>
      </c>
      <c r="E442" s="52" t="s">
        <v>56</v>
      </c>
      <c r="F442" s="155"/>
      <c r="G442" s="155"/>
      <c r="H442" s="155"/>
      <c r="I442" s="155"/>
      <c r="J442" s="227"/>
      <c r="K442" s="494">
        <f>INDEX(PRT,ROW(Input!B24)-5,COLUMN()-2)*K422*Input!$H$441/1000</f>
        <v>0</v>
      </c>
      <c r="L442" s="223">
        <f>INDEX(PRT,ROW(Input!C24)-5,COLUMN()-2)*L422*Input!$H$441/1000</f>
        <v>0</v>
      </c>
      <c r="M442" s="223">
        <f>INDEX(PRT,ROW(Input!D24)-5,COLUMN()-2)*M422*Input!$H$441/1000</f>
        <v>0</v>
      </c>
      <c r="N442" s="223">
        <f>INDEX(PRT,ROW(Input!E24)-5,COLUMN()-2)*N422*Input!$H$441/1000</f>
        <v>0</v>
      </c>
      <c r="O442" s="223">
        <f>INDEX(PRT,ROW(Input!F24)-5,COLUMN()-2)*O422*Input!$H$441/1000</f>
        <v>0</v>
      </c>
      <c r="Q442" s="5"/>
    </row>
    <row r="443" spans="1:17" s="53" customFormat="1">
      <c r="B443" s="53" t="s">
        <v>69</v>
      </c>
      <c r="C443" s="51"/>
      <c r="D443" s="55" t="s">
        <v>74</v>
      </c>
      <c r="E443" s="52" t="s">
        <v>57</v>
      </c>
      <c r="F443" s="155"/>
      <c r="G443" s="155"/>
      <c r="H443" s="155"/>
      <c r="I443" s="155"/>
      <c r="J443" s="227"/>
      <c r="K443" s="494">
        <f>INDEX(SBW,ROW(Input!B24)-5,COLUMN()-2)*K423*Input!$H$441/1000</f>
        <v>0</v>
      </c>
      <c r="L443" s="223">
        <f>INDEX(SBW,ROW(Input!C24)-5,COLUMN()-2)*L423*Input!$H$441/1000</f>
        <v>0</v>
      </c>
      <c r="M443" s="223">
        <f>INDEX(SBW,ROW(Input!D24)-5,COLUMN()-2)*M423*Input!$H$441/1000</f>
        <v>0</v>
      </c>
      <c r="N443" s="223">
        <f>INDEX(SBW,ROW(Input!E24)-5,COLUMN()-2)*N423*Input!$H$441/1000</f>
        <v>0</v>
      </c>
      <c r="O443" s="223">
        <f>INDEX(SBW,ROW(Input!F24)-5,COLUMN()-2)*O423*Input!$H$441/1000</f>
        <v>0</v>
      </c>
      <c r="Q443" s="5"/>
    </row>
    <row r="444" spans="1:17" s="53" customFormat="1">
      <c r="B444" s="53" t="s">
        <v>69</v>
      </c>
      <c r="C444" s="51"/>
      <c r="D444" s="55" t="s">
        <v>74</v>
      </c>
      <c r="E444" s="52" t="s">
        <v>58</v>
      </c>
      <c r="F444" s="155"/>
      <c r="G444" s="155"/>
      <c r="H444" s="155"/>
      <c r="I444" s="155"/>
      <c r="J444" s="227"/>
      <c r="K444" s="494">
        <f>INDEX(SEW,ROW(Input!B24)-5,COLUMN()-2)*K424*Input!$H$441/1000</f>
        <v>0</v>
      </c>
      <c r="L444" s="223">
        <f>INDEX(SEW,ROW(Input!C24)-5,COLUMN()-2)*L424*Input!$H$441/1000</f>
        <v>0</v>
      </c>
      <c r="M444" s="223">
        <f>INDEX(SEW,ROW(Input!D24)-5,COLUMN()-2)*M424*Input!$H$441/1000</f>
        <v>0</v>
      </c>
      <c r="N444" s="223">
        <f>INDEX(SEW,ROW(Input!E24)-5,COLUMN()-2)*N424*Input!$H$441/1000</f>
        <v>0</v>
      </c>
      <c r="O444" s="223">
        <f>INDEX(SEW,ROW(Input!F24)-5,COLUMN()-2)*O424*Input!$H$441/1000</f>
        <v>0</v>
      </c>
      <c r="Q444" s="5"/>
    </row>
    <row r="445" spans="1:17" s="53" customFormat="1">
      <c r="B445" s="53" t="s">
        <v>69</v>
      </c>
      <c r="C445" s="51"/>
      <c r="D445" s="55" t="s">
        <v>74</v>
      </c>
      <c r="E445" s="52" t="s">
        <v>59</v>
      </c>
      <c r="F445" s="155"/>
      <c r="G445" s="155"/>
      <c r="H445" s="155"/>
      <c r="I445" s="155"/>
      <c r="J445" s="227"/>
      <c r="K445" s="494">
        <f>INDEX(SES,ROW(Input!B24)-5,COLUMN()-2)*K425*Input!$H$441/1000</f>
        <v>0</v>
      </c>
      <c r="L445" s="223">
        <f>INDEX(SES,ROW(Input!C24)-5,COLUMN()-2)*L425*Input!$H$441/1000</f>
        <v>0</v>
      </c>
      <c r="M445" s="223">
        <f>INDEX(SES,ROW(Input!D24)-5,COLUMN()-2)*M425*Input!$H$441/1000</f>
        <v>0</v>
      </c>
      <c r="N445" s="223">
        <f>INDEX(SES,ROW(Input!E24)-5,COLUMN()-2)*N425*Input!$H$441/1000</f>
        <v>0</v>
      </c>
      <c r="O445" s="223">
        <f>INDEX(SES,ROW(Input!F24)-5,COLUMN()-2)*O425*Input!$H$441/1000</f>
        <v>0</v>
      </c>
      <c r="Q445" s="5"/>
    </row>
    <row r="446" spans="1:17" s="53" customFormat="1">
      <c r="B446" s="53" t="s">
        <v>69</v>
      </c>
      <c r="C446" s="51"/>
      <c r="D446" s="55" t="s">
        <v>74</v>
      </c>
      <c r="E446" s="52" t="s">
        <v>65</v>
      </c>
      <c r="F446" s="155"/>
      <c r="G446" s="155"/>
      <c r="H446" s="155"/>
      <c r="I446" s="155"/>
      <c r="J446" s="227"/>
      <c r="K446" s="495">
        <f>SUM(K428:K445)</f>
        <v>51.641476111327371</v>
      </c>
      <c r="L446" s="225">
        <f>SUM(L428:L445)</f>
        <v>52.527763070598169</v>
      </c>
      <c r="M446" s="225">
        <f>SUM(M428:M445)</f>
        <v>52.081440820589194</v>
      </c>
      <c r="N446" s="225">
        <f>SUM(N428:N445)</f>
        <v>51.415616404569477</v>
      </c>
      <c r="O446" s="225">
        <f>SUM(O428:O445)</f>
        <v>53.327056957894584</v>
      </c>
      <c r="Q446" s="5"/>
    </row>
    <row r="447" spans="1:17">
      <c r="A447" s="27"/>
      <c r="B447" s="28"/>
      <c r="C447" s="29"/>
      <c r="D447" s="30"/>
      <c r="E447" s="28" t="s">
        <v>479</v>
      </c>
      <c r="F447" s="31"/>
      <c r="G447" s="31"/>
      <c r="H447" s="31"/>
      <c r="I447" s="31"/>
      <c r="J447" s="472"/>
      <c r="K447" s="480"/>
      <c r="L447" s="31"/>
      <c r="M447" s="31"/>
      <c r="N447" s="31"/>
      <c r="O447" s="31"/>
      <c r="Q447" s="5"/>
    </row>
    <row r="448" spans="1:17" s="53" customFormat="1">
      <c r="A448" s="53" t="s">
        <v>148</v>
      </c>
      <c r="B448" s="53" t="s">
        <v>69</v>
      </c>
      <c r="C448" s="51"/>
      <c r="D448" s="55" t="s">
        <v>74</v>
      </c>
      <c r="E448" s="52" t="s">
        <v>31</v>
      </c>
      <c r="F448" s="153"/>
      <c r="G448" s="153"/>
      <c r="H448" s="153"/>
      <c r="I448" s="153"/>
      <c r="J448" s="227"/>
      <c r="K448" s="493">
        <f t="shared" ref="K448:O457" ca="1" si="7">+K233+K298+K363+K428</f>
        <v>71.39185348331273</v>
      </c>
      <c r="L448" s="176">
        <f t="shared" ca="1" si="7"/>
        <v>74.002723132686398</v>
      </c>
      <c r="M448" s="176">
        <f t="shared" ca="1" si="7"/>
        <v>75.956042343598526</v>
      </c>
      <c r="N448" s="176">
        <f t="shared" ca="1" si="7"/>
        <v>77.325116516186426</v>
      </c>
      <c r="O448" s="176">
        <f t="shared" ca="1" si="7"/>
        <v>78.711841457383343</v>
      </c>
      <c r="P448" s="172"/>
      <c r="Q448" s="5"/>
    </row>
    <row r="449" spans="1:21" s="53" customFormat="1">
      <c r="A449" s="53" t="s">
        <v>148</v>
      </c>
      <c r="B449" s="53" t="s">
        <v>69</v>
      </c>
      <c r="C449" s="51"/>
      <c r="D449" s="55" t="s">
        <v>74</v>
      </c>
      <c r="E449" s="52" t="s">
        <v>32</v>
      </c>
      <c r="F449" s="153"/>
      <c r="G449" s="153"/>
      <c r="H449" s="153"/>
      <c r="I449" s="153"/>
      <c r="J449" s="227"/>
      <c r="K449" s="493">
        <f t="shared" ca="1" si="7"/>
        <v>51.405948504049192</v>
      </c>
      <c r="L449" s="176">
        <f t="shared" ca="1" si="7"/>
        <v>49.849142356779133</v>
      </c>
      <c r="M449" s="176">
        <f t="shared" ca="1" si="7"/>
        <v>48.344143823438074</v>
      </c>
      <c r="N449" s="176">
        <f t="shared" ca="1" si="7"/>
        <v>46.697231726457971</v>
      </c>
      <c r="O449" s="176">
        <f t="shared" ca="1" si="7"/>
        <v>46.581892200401896</v>
      </c>
      <c r="P449" s="172"/>
      <c r="Q449" s="5"/>
      <c r="R449" s="11"/>
      <c r="S449" s="11"/>
      <c r="T449" s="11"/>
      <c r="U449" s="11"/>
    </row>
    <row r="450" spans="1:21" s="53" customFormat="1">
      <c r="A450" s="53" t="s">
        <v>148</v>
      </c>
      <c r="B450" s="53" t="s">
        <v>69</v>
      </c>
      <c r="C450" s="51"/>
      <c r="D450" s="55" t="s">
        <v>74</v>
      </c>
      <c r="E450" s="52" t="s">
        <v>33</v>
      </c>
      <c r="F450" s="153"/>
      <c r="G450" s="153"/>
      <c r="H450" s="153"/>
      <c r="I450" s="153"/>
      <c r="J450" s="227"/>
      <c r="K450" s="493">
        <f t="shared" ca="1" si="7"/>
        <v>51.268462127537823</v>
      </c>
      <c r="L450" s="176">
        <f t="shared" ca="1" si="7"/>
        <v>52.135689862442931</v>
      </c>
      <c r="M450" s="176">
        <f t="shared" ca="1" si="7"/>
        <v>52.757064843032573</v>
      </c>
      <c r="N450" s="176">
        <f t="shared" ca="1" si="7"/>
        <v>53.340601195531221</v>
      </c>
      <c r="O450" s="176">
        <f t="shared" ca="1" si="7"/>
        <v>53.90896116520554</v>
      </c>
      <c r="P450" s="172"/>
      <c r="Q450" s="5"/>
    </row>
    <row r="451" spans="1:21" s="53" customFormat="1">
      <c r="A451" s="53" t="s">
        <v>148</v>
      </c>
      <c r="B451" s="53" t="s">
        <v>69</v>
      </c>
      <c r="C451" s="51"/>
      <c r="D451" s="55" t="s">
        <v>74</v>
      </c>
      <c r="E451" s="52" t="s">
        <v>46</v>
      </c>
      <c r="F451" s="153"/>
      <c r="G451" s="153"/>
      <c r="H451" s="153"/>
      <c r="I451" s="153"/>
      <c r="J451" s="227"/>
      <c r="K451" s="493">
        <f t="shared" ca="1" si="7"/>
        <v>102.43515044271265</v>
      </c>
      <c r="L451" s="176">
        <f t="shared" ca="1" si="7"/>
        <v>106.18682924983153</v>
      </c>
      <c r="M451" s="176">
        <f t="shared" ca="1" si="7"/>
        <v>109.55984227794485</v>
      </c>
      <c r="N451" s="176">
        <f t="shared" ca="1" si="7"/>
        <v>111.13293523537351</v>
      </c>
      <c r="O451" s="176">
        <f t="shared" ca="1" si="7"/>
        <v>112.72168339423901</v>
      </c>
      <c r="P451" s="172"/>
      <c r="Q451" s="5"/>
      <c r="R451" s="11"/>
      <c r="S451" s="11"/>
      <c r="T451" s="11"/>
      <c r="U451" s="11"/>
    </row>
    <row r="452" spans="1:21" s="53" customFormat="1">
      <c r="A452" s="53" t="s">
        <v>148</v>
      </c>
      <c r="B452" s="53" t="s">
        <v>69</v>
      </c>
      <c r="C452" s="51"/>
      <c r="D452" s="55" t="s">
        <v>74</v>
      </c>
      <c r="E452" s="52" t="s">
        <v>47</v>
      </c>
      <c r="F452" s="153"/>
      <c r="G452" s="153"/>
      <c r="H452" s="153"/>
      <c r="I452" s="153"/>
      <c r="J452" s="227"/>
      <c r="K452" s="493">
        <f t="shared" ca="1" si="7"/>
        <v>28.105262265667054</v>
      </c>
      <c r="L452" s="176">
        <f t="shared" ca="1" si="7"/>
        <v>28.505262265667103</v>
      </c>
      <c r="M452" s="176">
        <f t="shared" ca="1" si="7"/>
        <v>28.83826226566709</v>
      </c>
      <c r="N452" s="176">
        <f t="shared" ca="1" si="7"/>
        <v>28.878227411875212</v>
      </c>
      <c r="O452" s="176">
        <f t="shared" ca="1" si="7"/>
        <v>29.282262265667047</v>
      </c>
      <c r="P452" s="172"/>
      <c r="Q452" s="5"/>
    </row>
    <row r="453" spans="1:21" s="53" customFormat="1">
      <c r="A453" s="53" t="s">
        <v>148</v>
      </c>
      <c r="B453" s="53" t="s">
        <v>69</v>
      </c>
      <c r="C453" s="51"/>
      <c r="D453" s="55" t="s">
        <v>74</v>
      </c>
      <c r="E453" s="52" t="s">
        <v>48</v>
      </c>
      <c r="F453" s="153"/>
      <c r="G453" s="153"/>
      <c r="H453" s="153"/>
      <c r="I453" s="153"/>
      <c r="J453" s="227"/>
      <c r="K453" s="493">
        <f t="shared" ca="1" si="7"/>
        <v>58.506976711910809</v>
      </c>
      <c r="L453" s="176">
        <f t="shared" ca="1" si="7"/>
        <v>57.48368675332145</v>
      </c>
      <c r="M453" s="176">
        <f t="shared" ca="1" si="7"/>
        <v>53.310918510807667</v>
      </c>
      <c r="N453" s="176">
        <f t="shared" ca="1" si="7"/>
        <v>49.240950120087206</v>
      </c>
      <c r="O453" s="176">
        <f t="shared" ca="1" si="7"/>
        <v>50.51812093858716</v>
      </c>
      <c r="P453" s="172"/>
      <c r="Q453" s="5"/>
      <c r="R453" s="11"/>
      <c r="S453" s="11"/>
      <c r="T453" s="11"/>
      <c r="U453" s="11"/>
    </row>
    <row r="454" spans="1:21" s="53" customFormat="1">
      <c r="A454" s="53" t="s">
        <v>148</v>
      </c>
      <c r="B454" s="53" t="s">
        <v>69</v>
      </c>
      <c r="C454" s="51"/>
      <c r="D454" s="55" t="s">
        <v>74</v>
      </c>
      <c r="E454" s="52" t="s">
        <v>49</v>
      </c>
      <c r="F454" s="153"/>
      <c r="G454" s="153"/>
      <c r="H454" s="153"/>
      <c r="I454" s="153"/>
      <c r="J454" s="227"/>
      <c r="K454" s="493">
        <f t="shared" ca="1" si="7"/>
        <v>149.27391074188338</v>
      </c>
      <c r="L454" s="176">
        <f t="shared" ca="1" si="7"/>
        <v>150.54493283612354</v>
      </c>
      <c r="M454" s="176">
        <f t="shared" ca="1" si="7"/>
        <v>153.93541196603474</v>
      </c>
      <c r="N454" s="176">
        <f t="shared" ca="1" si="7"/>
        <v>155.63692334206993</v>
      </c>
      <c r="O454" s="176">
        <f t="shared" ca="1" si="7"/>
        <v>160.04141298422405</v>
      </c>
      <c r="P454" s="172"/>
      <c r="Q454" s="5"/>
    </row>
    <row r="455" spans="1:21" s="53" customFormat="1">
      <c r="A455" s="53" t="s">
        <v>148</v>
      </c>
      <c r="B455" s="53" t="s">
        <v>69</v>
      </c>
      <c r="C455" s="51"/>
      <c r="D455" s="55" t="s">
        <v>74</v>
      </c>
      <c r="E455" s="52" t="s">
        <v>50</v>
      </c>
      <c r="F455" s="153"/>
      <c r="G455" s="153"/>
      <c r="H455" s="153"/>
      <c r="I455" s="153"/>
      <c r="J455" s="227"/>
      <c r="K455" s="493">
        <f t="shared" ca="1" si="7"/>
        <v>120.29221404369375</v>
      </c>
      <c r="L455" s="176">
        <f t="shared" ca="1" si="7"/>
        <v>115.37487067643964</v>
      </c>
      <c r="M455" s="176">
        <f t="shared" ca="1" si="7"/>
        <v>108.7895466700997</v>
      </c>
      <c r="N455" s="176">
        <f t="shared" ca="1" si="7"/>
        <v>103.39247221078831</v>
      </c>
      <c r="O455" s="176">
        <f t="shared" ca="1" si="7"/>
        <v>105.36942163260737</v>
      </c>
      <c r="P455" s="172"/>
      <c r="Q455" s="5"/>
      <c r="R455" s="11"/>
      <c r="S455" s="11"/>
      <c r="T455" s="11"/>
      <c r="U455" s="11"/>
    </row>
    <row r="456" spans="1:21" s="53" customFormat="1">
      <c r="A456" s="53" t="s">
        <v>148</v>
      </c>
      <c r="B456" s="53" t="s">
        <v>69</v>
      </c>
      <c r="C456" s="51"/>
      <c r="D456" s="55" t="s">
        <v>74</v>
      </c>
      <c r="E456" s="52" t="s">
        <v>51</v>
      </c>
      <c r="F456" s="153"/>
      <c r="G456" s="153"/>
      <c r="H456" s="153"/>
      <c r="I456" s="153"/>
      <c r="J456" s="227"/>
      <c r="K456" s="493">
        <f t="shared" ca="1" si="7"/>
        <v>29.401890538933309</v>
      </c>
      <c r="L456" s="176">
        <f t="shared" ca="1" si="7"/>
        <v>30.426535909715533</v>
      </c>
      <c r="M456" s="176">
        <f t="shared" ca="1" si="7"/>
        <v>31.60795531344084</v>
      </c>
      <c r="N456" s="176">
        <f t="shared" ca="1" si="7"/>
        <v>32.635464309549022</v>
      </c>
      <c r="O456" s="176">
        <f t="shared" ca="1" si="7"/>
        <v>33.818081814128597</v>
      </c>
      <c r="P456" s="172"/>
      <c r="Q456" s="5"/>
    </row>
    <row r="457" spans="1:21" s="53" customFormat="1">
      <c r="A457" s="53" t="s">
        <v>148</v>
      </c>
      <c r="B457" s="53" t="s">
        <v>69</v>
      </c>
      <c r="C457" s="51"/>
      <c r="D457" s="55" t="s">
        <v>74</v>
      </c>
      <c r="E457" s="52" t="s">
        <v>52</v>
      </c>
      <c r="F457" s="153"/>
      <c r="G457" s="153"/>
      <c r="H457" s="153"/>
      <c r="I457" s="153"/>
      <c r="J457" s="227"/>
      <c r="K457" s="493">
        <f t="shared" ca="1" si="7"/>
        <v>51.773516277613879</v>
      </c>
      <c r="L457" s="176">
        <f t="shared" ca="1" si="7"/>
        <v>53.243877186477626</v>
      </c>
      <c r="M457" s="176">
        <f t="shared" ca="1" si="7"/>
        <v>54.916822106802741</v>
      </c>
      <c r="N457" s="176">
        <f t="shared" ca="1" si="7"/>
        <v>56.716900341790591</v>
      </c>
      <c r="O457" s="176">
        <f t="shared" ca="1" si="7"/>
        <v>58.595779342575653</v>
      </c>
      <c r="P457" s="172"/>
      <c r="Q457" s="5"/>
      <c r="R457" s="11"/>
      <c r="S457" s="11"/>
      <c r="T457" s="11"/>
      <c r="U457" s="11"/>
    </row>
    <row r="458" spans="1:21" s="53" customFormat="1">
      <c r="A458" s="53" t="s">
        <v>148</v>
      </c>
      <c r="B458" s="53" t="s">
        <v>69</v>
      </c>
      <c r="C458" s="51"/>
      <c r="D458" s="55" t="s">
        <v>74</v>
      </c>
      <c r="E458" s="52" t="s">
        <v>53</v>
      </c>
      <c r="F458" s="153"/>
      <c r="G458" s="153"/>
      <c r="H458" s="153"/>
      <c r="I458" s="153"/>
      <c r="J458" s="227"/>
      <c r="K458" s="493">
        <f t="shared" ref="K458:O465" ca="1" si="8">+K243+K308+K373+K438</f>
        <v>26.475074447779704</v>
      </c>
      <c r="L458" s="176">
        <f t="shared" ca="1" si="8"/>
        <v>26.392290805440886</v>
      </c>
      <c r="M458" s="176">
        <f t="shared" ca="1" si="8"/>
        <v>26.249996507232837</v>
      </c>
      <c r="N458" s="176">
        <f t="shared" ca="1" si="8"/>
        <v>26.007951525860435</v>
      </c>
      <c r="O458" s="176">
        <f t="shared" ca="1" si="8"/>
        <v>26.374537454855908</v>
      </c>
      <c r="P458" s="172"/>
      <c r="Q458" s="5"/>
    </row>
    <row r="459" spans="1:21" s="53" customFormat="1">
      <c r="A459" s="53" t="s">
        <v>148</v>
      </c>
      <c r="B459" s="53" t="s">
        <v>69</v>
      </c>
      <c r="C459" s="51"/>
      <c r="D459" s="55" t="s">
        <v>74</v>
      </c>
      <c r="E459" s="52" t="s">
        <v>54</v>
      </c>
      <c r="F459" s="153"/>
      <c r="G459" s="153"/>
      <c r="H459" s="153"/>
      <c r="I459" s="153"/>
      <c r="J459" s="227"/>
      <c r="K459" s="493">
        <f t="shared" ca="1" si="8"/>
        <v>9.5856814954396761</v>
      </c>
      <c r="L459" s="176">
        <f t="shared" ca="1" si="8"/>
        <v>10.054459891616021</v>
      </c>
      <c r="M459" s="176">
        <f t="shared" ca="1" si="8"/>
        <v>10.514556763213719</v>
      </c>
      <c r="N459" s="176">
        <f t="shared" ca="1" si="8"/>
        <v>10.968285668791907</v>
      </c>
      <c r="O459" s="176">
        <f t="shared" ca="1" si="8"/>
        <v>11.563227443664548</v>
      </c>
      <c r="P459" s="172"/>
      <c r="Q459" s="5"/>
      <c r="R459" s="11"/>
      <c r="S459" s="11"/>
      <c r="T459" s="11"/>
      <c r="U459" s="11"/>
    </row>
    <row r="460" spans="1:21" s="53" customFormat="1">
      <c r="A460" s="53" t="s">
        <v>148</v>
      </c>
      <c r="B460" s="53" t="s">
        <v>69</v>
      </c>
      <c r="C460" s="51"/>
      <c r="D460" s="55" t="s">
        <v>74</v>
      </c>
      <c r="E460" s="52" t="s">
        <v>66</v>
      </c>
      <c r="F460" s="153"/>
      <c r="G460" s="153"/>
      <c r="H460" s="153"/>
      <c r="I460" s="153"/>
      <c r="J460" s="227"/>
      <c r="K460" s="493">
        <f t="shared" ca="1" si="8"/>
        <v>13.906445228695809</v>
      </c>
      <c r="L460" s="176">
        <f t="shared" ca="1" si="8"/>
        <v>14.172319409430177</v>
      </c>
      <c r="M460" s="176">
        <f t="shared" ca="1" si="8"/>
        <v>14.681235485238476</v>
      </c>
      <c r="N460" s="176">
        <f t="shared" ca="1" si="8"/>
        <v>15.511407516512822</v>
      </c>
      <c r="O460" s="176">
        <f t="shared" ca="1" si="8"/>
        <v>15.834536663396054</v>
      </c>
      <c r="P460" s="172"/>
      <c r="Q460" s="5"/>
    </row>
    <row r="461" spans="1:21" s="53" customFormat="1">
      <c r="A461" s="53" t="s">
        <v>148</v>
      </c>
      <c r="B461" s="53" t="s">
        <v>69</v>
      </c>
      <c r="C461" s="51"/>
      <c r="D461" s="55" t="s">
        <v>74</v>
      </c>
      <c r="E461" s="52" t="s">
        <v>55</v>
      </c>
      <c r="F461" s="153"/>
      <c r="G461" s="153"/>
      <c r="H461" s="153"/>
      <c r="I461" s="153"/>
      <c r="J461" s="227"/>
      <c r="K461" s="493">
        <f t="shared" ca="1" si="8"/>
        <v>2.7216690878172898</v>
      </c>
      <c r="L461" s="176">
        <f t="shared" ca="1" si="8"/>
        <v>2.7515056737646351</v>
      </c>
      <c r="M461" s="176">
        <f t="shared" ca="1" si="8"/>
        <v>2.7766315048484347</v>
      </c>
      <c r="N461" s="176">
        <f t="shared" ca="1" si="8"/>
        <v>2.8009599388989055</v>
      </c>
      <c r="O461" s="176">
        <f t="shared" ca="1" si="8"/>
        <v>2.8294283352020151</v>
      </c>
      <c r="P461" s="172"/>
      <c r="Q461" s="5"/>
      <c r="R461" s="11"/>
      <c r="S461" s="11"/>
      <c r="T461" s="11"/>
      <c r="U461" s="11"/>
    </row>
    <row r="462" spans="1:21" s="53" customFormat="1">
      <c r="A462" s="53" t="s">
        <v>148</v>
      </c>
      <c r="B462" s="53" t="s">
        <v>69</v>
      </c>
      <c r="C462" s="51"/>
      <c r="D462" s="55" t="s">
        <v>74</v>
      </c>
      <c r="E462" s="52" t="s">
        <v>56</v>
      </c>
      <c r="F462" s="153"/>
      <c r="G462" s="153"/>
      <c r="H462" s="153"/>
      <c r="I462" s="153"/>
      <c r="J462" s="227"/>
      <c r="K462" s="493">
        <f t="shared" ca="1" si="8"/>
        <v>4.237093184837029</v>
      </c>
      <c r="L462" s="176">
        <f t="shared" ca="1" si="8"/>
        <v>4.3123336398624028</v>
      </c>
      <c r="M462" s="176">
        <f t="shared" ca="1" si="8"/>
        <v>4.3875740948877766</v>
      </c>
      <c r="N462" s="176">
        <f t="shared" ca="1" si="8"/>
        <v>4.4679299410783013</v>
      </c>
      <c r="O462" s="176">
        <f t="shared" ca="1" si="8"/>
        <v>4.546228091686249</v>
      </c>
      <c r="P462" s="172"/>
      <c r="Q462" s="5"/>
    </row>
    <row r="463" spans="1:21" s="53" customFormat="1">
      <c r="A463" s="53" t="s">
        <v>148</v>
      </c>
      <c r="B463" s="53" t="s">
        <v>69</v>
      </c>
      <c r="C463" s="51"/>
      <c r="D463" s="55" t="s">
        <v>74</v>
      </c>
      <c r="E463" s="52" t="s">
        <v>57</v>
      </c>
      <c r="F463" s="153"/>
      <c r="G463" s="153"/>
      <c r="H463" s="153"/>
      <c r="I463" s="153"/>
      <c r="J463" s="227"/>
      <c r="K463" s="493">
        <f t="shared" ca="1" si="8"/>
        <v>4.4192589010769634</v>
      </c>
      <c r="L463" s="176">
        <f t="shared" ca="1" si="8"/>
        <v>4.5084917153938937</v>
      </c>
      <c r="M463" s="176">
        <f t="shared" ca="1" si="8"/>
        <v>4.5895262995633637</v>
      </c>
      <c r="N463" s="176">
        <f t="shared" ca="1" si="8"/>
        <v>4.6950711896755664</v>
      </c>
      <c r="O463" s="176">
        <f t="shared" ca="1" si="8"/>
        <v>4.7177026105325552</v>
      </c>
      <c r="P463" s="172"/>
      <c r="Q463" s="5"/>
      <c r="R463" s="11"/>
      <c r="S463" s="11"/>
      <c r="T463" s="11"/>
      <c r="U463" s="11"/>
    </row>
    <row r="464" spans="1:21" s="53" customFormat="1">
      <c r="A464" s="53" t="s">
        <v>148</v>
      </c>
      <c r="B464" s="53" t="s">
        <v>69</v>
      </c>
      <c r="C464" s="51"/>
      <c r="D464" s="55" t="s">
        <v>74</v>
      </c>
      <c r="E464" s="52" t="s">
        <v>58</v>
      </c>
      <c r="F464" s="153"/>
      <c r="G464" s="153"/>
      <c r="H464" s="153"/>
      <c r="I464" s="153"/>
      <c r="J464" s="227"/>
      <c r="K464" s="493">
        <f t="shared" ca="1" si="8"/>
        <v>18.692465149428131</v>
      </c>
      <c r="L464" s="176">
        <f t="shared" ca="1" si="8"/>
        <v>19.222941225828738</v>
      </c>
      <c r="M464" s="176">
        <f t="shared" ca="1" si="8"/>
        <v>19.733616663053432</v>
      </c>
      <c r="N464" s="176">
        <f t="shared" ca="1" si="8"/>
        <v>20.125285214164208</v>
      </c>
      <c r="O464" s="176">
        <f t="shared" ca="1" si="8"/>
        <v>20.745374474518467</v>
      </c>
      <c r="P464" s="172"/>
      <c r="Q464" s="5"/>
    </row>
    <row r="465" spans="1:21" s="53" customFormat="1">
      <c r="A465" s="53" t="s">
        <v>148</v>
      </c>
      <c r="B465" s="53" t="s">
        <v>69</v>
      </c>
      <c r="C465" s="51"/>
      <c r="D465" s="55" t="s">
        <v>74</v>
      </c>
      <c r="E465" s="52" t="s">
        <v>59</v>
      </c>
      <c r="F465" s="153"/>
      <c r="G465" s="153"/>
      <c r="H465" s="153"/>
      <c r="I465" s="153"/>
      <c r="J465" s="227"/>
      <c r="K465" s="493">
        <f t="shared" ca="1" si="8"/>
        <v>5.3633825069840837</v>
      </c>
      <c r="L465" s="176">
        <f t="shared" ca="1" si="8"/>
        <v>5.4207342540642713</v>
      </c>
      <c r="M465" s="176">
        <f t="shared" ca="1" si="8"/>
        <v>5.6254955260018109</v>
      </c>
      <c r="N465" s="176">
        <f t="shared" ca="1" si="8"/>
        <v>5.6000588225662584</v>
      </c>
      <c r="O465" s="176">
        <f t="shared" ca="1" si="8"/>
        <v>5.5872312932757895</v>
      </c>
      <c r="P465" s="172"/>
      <c r="Q465" s="5"/>
      <c r="R465" s="11"/>
      <c r="S465" s="11"/>
      <c r="T465" s="11"/>
      <c r="U465" s="11"/>
    </row>
    <row r="466" spans="1:21" s="53" customFormat="1">
      <c r="A466" s="53" t="s">
        <v>148</v>
      </c>
      <c r="B466" s="53" t="s">
        <v>69</v>
      </c>
      <c r="C466" s="51"/>
      <c r="D466" s="54" t="s">
        <v>74</v>
      </c>
      <c r="E466" s="52" t="s">
        <v>65</v>
      </c>
      <c r="F466" s="153"/>
      <c r="G466" s="153"/>
      <c r="H466" s="153"/>
      <c r="I466" s="153"/>
      <c r="J466" s="227"/>
      <c r="K466" s="489">
        <f ca="1">SUM(K448:K465)</f>
        <v>799.25625513937337</v>
      </c>
      <c r="L466" s="180">
        <f ca="1">SUM(L448:L465)</f>
        <v>804.58862684488611</v>
      </c>
      <c r="M466" s="180">
        <f ca="1">SUM(M448:M465)</f>
        <v>806.57464296490662</v>
      </c>
      <c r="N466" s="180">
        <f ca="1">SUM(N448:N465)</f>
        <v>805.17377222725793</v>
      </c>
      <c r="O466" s="180">
        <f ca="1">SUM(O448:O465)</f>
        <v>821.74772356215124</v>
      </c>
      <c r="P466" s="172"/>
      <c r="Q466" s="5"/>
    </row>
    <row r="467" spans="1:21">
      <c r="A467" s="27"/>
      <c r="B467" s="28"/>
      <c r="C467" s="29"/>
      <c r="D467" s="30"/>
      <c r="E467" s="28" t="s">
        <v>480</v>
      </c>
      <c r="F467" s="31"/>
      <c r="G467" s="31"/>
      <c r="H467" s="31"/>
      <c r="I467" s="31"/>
      <c r="J467" s="472"/>
      <c r="K467" s="496"/>
      <c r="L467" s="173"/>
      <c r="M467" s="173"/>
      <c r="N467" s="173"/>
      <c r="O467" s="173"/>
      <c r="Q467" s="5"/>
    </row>
    <row r="468" spans="1:21" s="53" customFormat="1">
      <c r="A468" s="53" t="s">
        <v>152</v>
      </c>
      <c r="B468" s="53" t="s">
        <v>69</v>
      </c>
      <c r="C468" s="51"/>
      <c r="D468" s="55" t="s">
        <v>138</v>
      </c>
      <c r="E468" s="52" t="s">
        <v>31</v>
      </c>
      <c r="F468" s="153"/>
      <c r="G468" s="153"/>
      <c r="H468" s="128"/>
      <c r="I468" s="227"/>
      <c r="J468" s="218"/>
      <c r="K468" s="497">
        <f ca="1">IF((INDEX(ANH,ROW(Input!D$9)-5,COLUMN()-2)+INDEX(ANH,ROW(Input!D$11)-5,COLUMN()-2))=0,0,+INDEX(ANH,ROW(Input!D$11)-5,COLUMN()-2)/(INDEX(ANH,ROW(Input!D$9)-5,COLUMN()-2)+INDEX(ANH,ROW(Input!D$11)-5,COLUMN()-2)+Input!K27))</f>
        <v>1.3370061961246351E-2</v>
      </c>
      <c r="L468" s="230">
        <f ca="1">IF((INDEX(ANH,ROW(Input!E$9)-5,COLUMN()-2)+INDEX(ANH,ROW(Input!E$11)-5,COLUMN()-2))=0,0,+INDEX(ANH,ROW(Input!E$11)-5,COLUMN()-2)/(INDEX(ANH,ROW(Input!E$9)-5,COLUMN()-2)+INDEX(ANH,ROW(Input!E$11)-5,COLUMN()-2)+Input!L27))</f>
        <v>3.8258323777372281E-2</v>
      </c>
      <c r="M468" s="230">
        <f ca="1">IF((INDEX(ANH,ROW(Input!F$9)-5,COLUMN()-2)+INDEX(ANH,ROW(Input!F$11)-5,COLUMN()-2))=0,0,+INDEX(ANH,ROW(Input!F$11)-5,COLUMN()-2)/(INDEX(ANH,ROW(Input!F$9)-5,COLUMN()-2)+INDEX(ANH,ROW(Input!F$11)-5,COLUMN()-2)+Input!M27))</f>
        <v>5.2314582897337404E-2</v>
      </c>
      <c r="N468" s="230">
        <f ca="1">IF((INDEX(ANH,ROW(Input!G$9)-5,COLUMN()-2)+INDEX(ANH,ROW(Input!G$11)-5,COLUMN()-2))=0,0,+INDEX(ANH,ROW(Input!G$11)-5,COLUMN()-2)/(INDEX(ANH,ROW(Input!G$9)-5,COLUMN()-2)+INDEX(ANH,ROW(Input!G$11)-5,COLUMN()-2)+Input!N27))</f>
        <v>5.7398288921202405E-2</v>
      </c>
      <c r="O468" s="230">
        <f ca="1">IF((INDEX(ANH,ROW(Input!H$9)-5,COLUMN()-2)+INDEX(ANH,ROW(Input!H$11)-5,COLUMN()-2))=0,0,+INDEX(ANH,ROW(Input!H$11)-5,COLUMN()-2)/(INDEX(ANH,ROW(Input!H$9)-5,COLUMN()-2)+INDEX(ANH,ROW(Input!H$11)-5,COLUMN()-2)+Input!O27))</f>
        <v>6.131963929223249E-2</v>
      </c>
      <c r="Q468" s="5"/>
    </row>
    <row r="469" spans="1:21" s="53" customFormat="1">
      <c r="A469" s="53" t="s">
        <v>152</v>
      </c>
      <c r="B469" s="53" t="s">
        <v>69</v>
      </c>
      <c r="C469" s="51"/>
      <c r="D469" s="55" t="s">
        <v>138</v>
      </c>
      <c r="E469" s="52" t="s">
        <v>32</v>
      </c>
      <c r="F469" s="153"/>
      <c r="G469" s="153"/>
      <c r="H469" s="164"/>
      <c r="I469" s="227"/>
      <c r="J469" s="228"/>
      <c r="K469" s="497">
        <f ca="1">IF((INDEX(WSH,ROW(Input!D$9)-5,COLUMN()-2)+INDEX(WSH,ROW(Input!D$11)-5,COLUMN()-2))=0,0,+INDEX(WSH,ROW(Input!D$11)-5,COLUMN()-2)/(INDEX(WSH,ROW(Input!D$9)-5,COLUMN()-2)+INDEX(WSH,ROW(Input!D$11)-5,COLUMN()-2)+Input!K51))</f>
        <v>1.3357509825381308E-2</v>
      </c>
      <c r="L469" s="230">
        <f ca="1">IF((INDEX(WSH,ROW(Input!E$9)-5,COLUMN()-2)+INDEX(WSH,ROW(Input!E$11)-5,COLUMN()-2))=0,0,+INDEX(WSH,ROW(Input!E$11)-5,COLUMN()-2)/(INDEX(WSH,ROW(Input!E$9)-5,COLUMN()-2)+INDEX(WSH,ROW(Input!E$11)-5,COLUMN()-2)+Input!L51))</f>
        <v>2.209261722708002E-2</v>
      </c>
      <c r="M469" s="230">
        <f ca="1">IF((INDEX(WSH,ROW(Input!F$9)-5,COLUMN()-2)+INDEX(WSH,ROW(Input!F$11)-5,COLUMN()-2))=0,0,+INDEX(WSH,ROW(Input!F$11)-5,COLUMN()-2)/(INDEX(WSH,ROW(Input!F$9)-5,COLUMN()-2)+INDEX(WSH,ROW(Input!F$11)-5,COLUMN()-2)+Input!M51))</f>
        <v>2.5924720605839353E-2</v>
      </c>
      <c r="N469" s="230">
        <f ca="1">IF((INDEX(WSH,ROW(Input!G$9)-5,COLUMN()-2)+INDEX(WSH,ROW(Input!G$11)-5,COLUMN()-2))=0,0,+INDEX(WSH,ROW(Input!G$11)-5,COLUMN()-2)/(INDEX(WSH,ROW(Input!G$9)-5,COLUMN()-2)+INDEX(WSH,ROW(Input!G$11)-5,COLUMN()-2)+Input!N51))</f>
        <v>2.8917923109296497E-2</v>
      </c>
      <c r="O469" s="230">
        <f ca="1">IF((INDEX(WSH,ROW(Input!H$9)-5,COLUMN()-2)+INDEX(WSH,ROW(Input!H$11)-5,COLUMN()-2))=0,0,+INDEX(WSH,ROW(Input!H$11)-5,COLUMN()-2)/(INDEX(WSH,ROW(Input!H$9)-5,COLUMN()-2)+INDEX(WSH,ROW(Input!H$11)-5,COLUMN()-2)+Input!O51))</f>
        <v>3.0628912955298765E-2</v>
      </c>
      <c r="Q469" s="5"/>
    </row>
    <row r="470" spans="1:21" s="53" customFormat="1">
      <c r="A470" s="53" t="s">
        <v>152</v>
      </c>
      <c r="B470" s="53" t="s">
        <v>69</v>
      </c>
      <c r="C470" s="51"/>
      <c r="D470" s="55" t="s">
        <v>138</v>
      </c>
      <c r="E470" s="52" t="s">
        <v>33</v>
      </c>
      <c r="F470" s="153"/>
      <c r="G470" s="153"/>
      <c r="H470" s="164"/>
      <c r="I470" s="227"/>
      <c r="J470" s="228"/>
      <c r="K470" s="497">
        <f ca="1">IF((INDEX(NES,ROW(Input!D$9)-5,COLUMN()-2)+INDEX(NES,ROW(Input!D$11)-5,COLUMN()-2))=0,0,+INDEX(NES,ROW(Input!D$11)-5,COLUMN()-2)/(INDEX(NES,ROW(Input!D$9)-5,COLUMN()-2)+INDEX(NES,ROW(Input!D$11)-5,COLUMN()-2)+Input!K75))</f>
        <v>1.9583215251382274E-2</v>
      </c>
      <c r="L470" s="230">
        <f ca="1">IF((INDEX(NES,ROW(Input!E$9)-5,COLUMN()-2)+INDEX(NES,ROW(Input!E$11)-5,COLUMN()-2))=0,0,+INDEX(NES,ROW(Input!E$11)-5,COLUMN()-2)/(INDEX(NES,ROW(Input!E$9)-5,COLUMN()-2)+INDEX(NES,ROW(Input!E$11)-5,COLUMN()-2)+Input!L75))</f>
        <v>3.0759822224430501E-2</v>
      </c>
      <c r="M470" s="230">
        <f ca="1">IF((INDEX(NES,ROW(Input!F$9)-5,COLUMN()-2)+INDEX(NES,ROW(Input!F$11)-5,COLUMN()-2))=0,0,+INDEX(NES,ROW(Input!F$11)-5,COLUMN()-2)/(INDEX(NES,ROW(Input!F$9)-5,COLUMN()-2)+INDEX(NES,ROW(Input!F$11)-5,COLUMN()-2)+Input!M75))</f>
        <v>4.3019569159205101E-2</v>
      </c>
      <c r="N470" s="230">
        <f ca="1">IF((INDEX(NES,ROW(Input!G$9)-5,COLUMN()-2)+INDEX(NES,ROW(Input!G$11)-5,COLUMN()-2))=0,0,+INDEX(NES,ROW(Input!G$11)-5,COLUMN()-2)/(INDEX(NES,ROW(Input!G$9)-5,COLUMN()-2)+INDEX(NES,ROW(Input!G$11)-5,COLUMN()-2)+Input!N75))</f>
        <v>5.2089775688691817E-2</v>
      </c>
      <c r="O470" s="230">
        <f ca="1">IF((INDEX(NES,ROW(Input!H$9)-5,COLUMN()-2)+INDEX(NES,ROW(Input!H$11)-5,COLUMN()-2))=0,0,+INDEX(NES,ROW(Input!H$11)-5,COLUMN()-2)/(INDEX(NES,ROW(Input!H$9)-5,COLUMN()-2)+INDEX(NES,ROW(Input!H$11)-5,COLUMN()-2)+Input!O75))</f>
        <v>6.1780159054395115E-2</v>
      </c>
      <c r="Q470" s="5"/>
    </row>
    <row r="471" spans="1:21" s="53" customFormat="1">
      <c r="A471" s="53" t="s">
        <v>152</v>
      </c>
      <c r="B471" s="53" t="s">
        <v>69</v>
      </c>
      <c r="C471" s="51"/>
      <c r="D471" s="55" t="s">
        <v>138</v>
      </c>
      <c r="E471" s="52" t="s">
        <v>46</v>
      </c>
      <c r="F471" s="153"/>
      <c r="G471" s="153"/>
      <c r="H471" s="164"/>
      <c r="I471" s="227"/>
      <c r="J471" s="228"/>
      <c r="K471" s="497">
        <f ca="1">IF((INDEX(SVT,ROW(Input!D$9)-5,COLUMN()-2)+INDEX(SVT,ROW(Input!D$11)-5,COLUMN()-2))=0,0,+INDEX(SVT,ROW(Input!D$11)-5,COLUMN()-2)/(INDEX(SVT,ROW(Input!D$9)-5,COLUMN()-2)+INDEX(SVT,ROW(Input!D$11)-5,COLUMN()-2)+Input!K99))</f>
        <v>4.885656702040571E-3</v>
      </c>
      <c r="L471" s="230">
        <f ca="1">IF((INDEX(SVT,ROW(Input!E$9)-5,COLUMN()-2)+INDEX(SVT,ROW(Input!E$11)-5,COLUMN()-2))=0,0,+INDEX(SVT,ROW(Input!E$11)-5,COLUMN()-2)/(INDEX(SVT,ROW(Input!E$9)-5,COLUMN()-2)+INDEX(SVT,ROW(Input!E$11)-5,COLUMN()-2)+Input!L99))</f>
        <v>1.4613865222742155E-2</v>
      </c>
      <c r="M471" s="230">
        <f ca="1">IF((INDEX(SVT,ROW(Input!F$9)-5,COLUMN()-2)+INDEX(SVT,ROW(Input!F$11)-5,COLUMN()-2))=0,0,+INDEX(SVT,ROW(Input!F$11)-5,COLUMN()-2)/(INDEX(SVT,ROW(Input!F$9)-5,COLUMN()-2)+INDEX(SVT,ROW(Input!F$11)-5,COLUMN()-2)+Input!M99))</f>
        <v>2.6149809310812969E-2</v>
      </c>
      <c r="N471" s="230">
        <f ca="1">IF((INDEX(SVT,ROW(Input!G$9)-5,COLUMN()-2)+INDEX(SVT,ROW(Input!G$11)-5,COLUMN()-2))=0,0,+INDEX(SVT,ROW(Input!G$11)-5,COLUMN()-2)/(INDEX(SVT,ROW(Input!G$9)-5,COLUMN()-2)+INDEX(SVT,ROW(Input!G$11)-5,COLUMN()-2)+Input!N99))</f>
        <v>4.0533527962511563E-2</v>
      </c>
      <c r="O471" s="230">
        <f ca="1">IF((INDEX(SVT,ROW(Input!H$9)-5,COLUMN()-2)+INDEX(SVT,ROW(Input!H$11)-5,COLUMN()-2))=0,0,+INDEX(SVT,ROW(Input!H$11)-5,COLUMN()-2)/(INDEX(SVT,ROW(Input!H$9)-5,COLUMN()-2)+INDEX(SVT,ROW(Input!H$11)-5,COLUMN()-2)+Input!O99))</f>
        <v>4.8430868320116359E-2</v>
      </c>
      <c r="Q471" s="5"/>
    </row>
    <row r="472" spans="1:21" s="53" customFormat="1">
      <c r="A472" s="53" t="s">
        <v>152</v>
      </c>
      <c r="B472" s="53" t="s">
        <v>69</v>
      </c>
      <c r="C472" s="51"/>
      <c r="D472" s="55" t="s">
        <v>138</v>
      </c>
      <c r="E472" s="52" t="s">
        <v>47</v>
      </c>
      <c r="F472" s="153"/>
      <c r="G472" s="153"/>
      <c r="H472" s="164"/>
      <c r="I472" s="227"/>
      <c r="J472" s="228"/>
      <c r="K472" s="497">
        <f ca="1">IF((INDEX(SWT,ROW(Input!D$9)-5,COLUMN()-2)+INDEX(SWT,ROW(Input!D$11)-5,COLUMN()-2))=0,0,+INDEX(SWT,ROW(Input!D$11)-5,COLUMN()-2)/(INDEX(SWT,ROW(Input!D$9)-5,COLUMN()-2)+INDEX(SWT,ROW(Input!D$11)-5,COLUMN()-2)+Input!K123))</f>
        <v>4.8389514644784481E-3</v>
      </c>
      <c r="L472" s="230">
        <f ca="1">IF((INDEX(SWT,ROW(Input!E$9)-5,COLUMN()-2)+INDEX(SWT,ROW(Input!E$11)-5,COLUMN()-2))=0,0,+INDEX(SWT,ROW(Input!E$11)-5,COLUMN()-2)/(INDEX(SWT,ROW(Input!E$9)-5,COLUMN()-2)+INDEX(SWT,ROW(Input!E$11)-5,COLUMN()-2)+Input!L123))</f>
        <v>1.5225258969910513E-2</v>
      </c>
      <c r="M472" s="230">
        <f ca="1">IF((INDEX(SWT,ROW(Input!F$9)-5,COLUMN()-2)+INDEX(SWT,ROW(Input!F$11)-5,COLUMN()-2))=0,0,+INDEX(SWT,ROW(Input!F$11)-5,COLUMN()-2)/(INDEX(SWT,ROW(Input!F$9)-5,COLUMN()-2)+INDEX(SWT,ROW(Input!F$11)-5,COLUMN()-2)+Input!M123))</f>
        <v>2.4307983384788182E-2</v>
      </c>
      <c r="N472" s="230">
        <f ca="1">IF((INDEX(SWT,ROW(Input!G$9)-5,COLUMN()-2)+INDEX(SWT,ROW(Input!G$11)-5,COLUMN()-2))=0,0,+INDEX(SWT,ROW(Input!G$11)-5,COLUMN()-2)/(INDEX(SWT,ROW(Input!G$9)-5,COLUMN()-2)+INDEX(SWT,ROW(Input!G$11)-5,COLUMN()-2)+Input!N123))</f>
        <v>3.1534500140420356E-2</v>
      </c>
      <c r="O472" s="230">
        <f ca="1">IF((INDEX(SWT,ROW(Input!H$9)-5,COLUMN()-2)+INDEX(SWT,ROW(Input!H$11)-5,COLUMN()-2))=0,0,+INDEX(SWT,ROW(Input!H$11)-5,COLUMN()-2)/(INDEX(SWT,ROW(Input!H$9)-5,COLUMN()-2)+INDEX(SWT,ROW(Input!H$11)-5,COLUMN()-2)+Input!O123))</f>
        <v>3.8111809459082914E-2</v>
      </c>
      <c r="Q472" s="5"/>
    </row>
    <row r="473" spans="1:21" s="53" customFormat="1">
      <c r="A473" s="53" t="s">
        <v>152</v>
      </c>
      <c r="B473" s="53" t="s">
        <v>69</v>
      </c>
      <c r="C473" s="51"/>
      <c r="D473" s="55" t="s">
        <v>138</v>
      </c>
      <c r="E473" s="52" t="s">
        <v>48</v>
      </c>
      <c r="F473" s="153"/>
      <c r="G473" s="153"/>
      <c r="H473" s="164"/>
      <c r="I473" s="227"/>
      <c r="J473" s="228"/>
      <c r="K473" s="497">
        <f ca="1">IF((INDEX(SRN,ROW(Input!D$9)-5,COLUMN()-2)+INDEX(SRN,ROW(Input!D$11)-5,COLUMN()-2))=0,0,+INDEX(SRN,ROW(Input!D$11)-5,COLUMN()-2)/(INDEX(SRN,ROW(Input!D$9)-5,COLUMN()-2)+INDEX(SRN,ROW(Input!D$11)-5,COLUMN()-2)+Input!K147))</f>
        <v>4.702951123306552E-3</v>
      </c>
      <c r="L473" s="230">
        <f ca="1">IF((INDEX(SRN,ROW(Input!E$9)-5,COLUMN()-2)+INDEX(SRN,ROW(Input!E$11)-5,COLUMN()-2))=0,0,+INDEX(SRN,ROW(Input!E$11)-5,COLUMN()-2)/(INDEX(SRN,ROW(Input!E$9)-5,COLUMN()-2)+INDEX(SRN,ROW(Input!E$11)-5,COLUMN()-2)+Input!L147))</f>
        <v>1.3798923133659741E-2</v>
      </c>
      <c r="M473" s="230">
        <f ca="1">IF((INDEX(SRN,ROW(Input!F$9)-5,COLUMN()-2)+INDEX(SRN,ROW(Input!F$11)-5,COLUMN()-2))=0,0,+INDEX(SRN,ROW(Input!F$11)-5,COLUMN()-2)/(INDEX(SRN,ROW(Input!F$9)-5,COLUMN()-2)+INDEX(SRN,ROW(Input!F$11)-5,COLUMN()-2)+Input!M147))</f>
        <v>2.3164395353216006E-2</v>
      </c>
      <c r="N473" s="230">
        <f ca="1">IF((INDEX(SRN,ROW(Input!G$9)-5,COLUMN()-2)+INDEX(SRN,ROW(Input!G$11)-5,COLUMN()-2))=0,0,+INDEX(SRN,ROW(Input!G$11)-5,COLUMN()-2)/(INDEX(SRN,ROW(Input!G$9)-5,COLUMN()-2)+INDEX(SRN,ROW(Input!G$11)-5,COLUMN()-2)+Input!N147))</f>
        <v>3.4684449399923566E-2</v>
      </c>
      <c r="O473" s="230">
        <f ca="1">IF((INDEX(SRN,ROW(Input!H$9)-5,COLUMN()-2)+INDEX(SRN,ROW(Input!H$11)-5,COLUMN()-2))=0,0,+INDEX(SRN,ROW(Input!H$11)-5,COLUMN()-2)/(INDEX(SRN,ROW(Input!H$9)-5,COLUMN()-2)+INDEX(SRN,ROW(Input!H$11)-5,COLUMN()-2)+Input!O147))</f>
        <v>4.4023980945785884E-2</v>
      </c>
      <c r="Q473" s="5"/>
    </row>
    <row r="474" spans="1:21" s="53" customFormat="1">
      <c r="A474" s="53" t="s">
        <v>152</v>
      </c>
      <c r="B474" s="53" t="s">
        <v>69</v>
      </c>
      <c r="C474" s="51"/>
      <c r="D474" s="55" t="s">
        <v>138</v>
      </c>
      <c r="E474" s="52" t="s">
        <v>49</v>
      </c>
      <c r="F474" s="153"/>
      <c r="G474" s="153"/>
      <c r="H474" s="164"/>
      <c r="I474" s="227"/>
      <c r="J474" s="228"/>
      <c r="K474" s="497">
        <f ca="1">IF((INDEX(TMS,ROW(Input!D$9)-5,COLUMN()-2)+INDEX(TMS,ROW(Input!D$11)-5,COLUMN()-2))=0,0,+INDEX(TMS,ROW(Input!D$11)-5,COLUMN()-2)/(INDEX(TMS,ROW(Input!D$9)-5,COLUMN()-2)+INDEX(TMS,ROW(Input!D$11)-5,COLUMN()-2)+Input!K171))</f>
        <v>4.8610294380401651E-3</v>
      </c>
      <c r="L474" s="230">
        <f ca="1">IF((INDEX(TMS,ROW(Input!E$9)-5,COLUMN()-2)+INDEX(TMS,ROW(Input!E$11)-5,COLUMN()-2))=0,0,+INDEX(TMS,ROW(Input!E$11)-5,COLUMN()-2)/(INDEX(TMS,ROW(Input!E$9)-5,COLUMN()-2)+INDEX(TMS,ROW(Input!E$11)-5,COLUMN()-2)+Input!L171))</f>
        <v>1.7637435540324389E-2</v>
      </c>
      <c r="M474" s="230">
        <f ca="1">IF((INDEX(TMS,ROW(Input!F$9)-5,COLUMN()-2)+INDEX(TMS,ROW(Input!F$11)-5,COLUMN()-2))=0,0,+INDEX(TMS,ROW(Input!F$11)-5,COLUMN()-2)/(INDEX(TMS,ROW(Input!F$9)-5,COLUMN()-2)+INDEX(TMS,ROW(Input!F$11)-5,COLUMN()-2)+Input!M171))</f>
        <v>3.546036714389756E-2</v>
      </c>
      <c r="N474" s="230">
        <f ca="1">IF((INDEX(TMS,ROW(Input!G$9)-5,COLUMN()-2)+INDEX(TMS,ROW(Input!G$11)-5,COLUMN()-2))=0,0,+INDEX(TMS,ROW(Input!G$11)-5,COLUMN()-2)/(INDEX(TMS,ROW(Input!G$9)-5,COLUMN()-2)+INDEX(TMS,ROW(Input!G$11)-5,COLUMN()-2)+Input!N171))</f>
        <v>5.1984637654369593E-2</v>
      </c>
      <c r="O474" s="230">
        <f ca="1">IF((INDEX(TMS,ROW(Input!H$9)-5,COLUMN()-2)+INDEX(TMS,ROW(Input!H$11)-5,COLUMN()-2))=0,0,+INDEX(TMS,ROW(Input!H$11)-5,COLUMN()-2)/(INDEX(TMS,ROW(Input!H$9)-5,COLUMN()-2)+INDEX(TMS,ROW(Input!H$11)-5,COLUMN()-2)+Input!O171))</f>
        <v>6.269251490724774E-2</v>
      </c>
      <c r="Q474" s="5"/>
    </row>
    <row r="475" spans="1:21" s="53" customFormat="1">
      <c r="A475" s="53" t="s">
        <v>152</v>
      </c>
      <c r="B475" s="53" t="s">
        <v>69</v>
      </c>
      <c r="C475" s="51"/>
      <c r="D475" s="55" t="s">
        <v>138</v>
      </c>
      <c r="E475" s="52" t="s">
        <v>50</v>
      </c>
      <c r="F475" s="153"/>
      <c r="G475" s="153"/>
      <c r="H475" s="164"/>
      <c r="I475" s="227"/>
      <c r="J475" s="228"/>
      <c r="K475" s="497">
        <f ca="1">IF((INDEX(NWT,ROW(Input!D$9)-5,COLUMN()-2)+INDEX(NWT,ROW(Input!D$11)-5,COLUMN()-2))=0,0,+INDEX(NWT,ROW(Input!D$11)-5,COLUMN()-2)/(INDEX(NWT,ROW(Input!D$9)-5,COLUMN()-2)+INDEX(NWT,ROW(Input!D$11)-5,COLUMN()-2)+Input!K195))</f>
        <v>8.9523681688165012E-3</v>
      </c>
      <c r="L475" s="230">
        <f ca="1">IF((INDEX(NWT,ROW(Input!E$9)-5,COLUMN()-2)+INDEX(NWT,ROW(Input!E$11)-5,COLUMN()-2))=0,0,+INDEX(NWT,ROW(Input!E$11)-5,COLUMN()-2)/(INDEX(NWT,ROW(Input!E$9)-5,COLUMN()-2)+INDEX(NWT,ROW(Input!E$11)-5,COLUMN()-2)+Input!L195))</f>
        <v>1.9563369346840047E-2</v>
      </c>
      <c r="M475" s="230">
        <f ca="1">IF((INDEX(NWT,ROW(Input!F$9)-5,COLUMN()-2)+INDEX(NWT,ROW(Input!F$11)-5,COLUMN()-2))=0,0,+INDEX(NWT,ROW(Input!F$11)-5,COLUMN()-2)/(INDEX(NWT,ROW(Input!F$9)-5,COLUMN()-2)+INDEX(NWT,ROW(Input!F$11)-5,COLUMN()-2)+Input!M195))</f>
        <v>2.7870827623771591E-2</v>
      </c>
      <c r="N475" s="230">
        <f ca="1">IF((INDEX(NWT,ROW(Input!G$9)-5,COLUMN()-2)+INDEX(NWT,ROW(Input!G$11)-5,COLUMN()-2))=0,0,+INDEX(NWT,ROW(Input!G$11)-5,COLUMN()-2)/(INDEX(NWT,ROW(Input!G$9)-5,COLUMN()-2)+INDEX(NWT,ROW(Input!G$11)-5,COLUMN()-2)+Input!N195))</f>
        <v>5.5551695417236528E-2</v>
      </c>
      <c r="O475" s="230">
        <f ca="1">IF((INDEX(NWT,ROW(Input!H$9)-5,COLUMN()-2)+INDEX(NWT,ROW(Input!H$11)-5,COLUMN()-2))=0,0,+INDEX(NWT,ROW(Input!H$11)-5,COLUMN()-2)/(INDEX(NWT,ROW(Input!H$9)-5,COLUMN()-2)+INDEX(NWT,ROW(Input!H$11)-5,COLUMN()-2)+Input!O195))</f>
        <v>8.1681435930018517E-2</v>
      </c>
      <c r="Q475" s="5"/>
    </row>
    <row r="476" spans="1:21" s="53" customFormat="1">
      <c r="A476" s="53" t="s">
        <v>152</v>
      </c>
      <c r="B476" s="53" t="s">
        <v>69</v>
      </c>
      <c r="C476" s="51"/>
      <c r="D476" s="55" t="s">
        <v>138</v>
      </c>
      <c r="E476" s="52" t="s">
        <v>51</v>
      </c>
      <c r="F476" s="153"/>
      <c r="G476" s="153"/>
      <c r="H476" s="164"/>
      <c r="I476" s="227"/>
      <c r="J476" s="228"/>
      <c r="K476" s="497">
        <f ca="1">IF((INDEX(WSX,ROW(Input!D$9)-5,COLUMN()-2)+INDEX(WSX,ROW(Input!D$11)-5,COLUMN()-2))=0,0,+INDEX(WSX,ROW(Input!D$11)-5,COLUMN()-2)/(INDEX(WSX,ROW(Input!D$9)-5,COLUMN()-2)+INDEX(WSX,ROW(Input!D$11)-5,COLUMN()-2)+Input!K219))</f>
        <v>1.6881842112107491E-2</v>
      </c>
      <c r="L476" s="230">
        <f ca="1">IF((INDEX(WSX,ROW(Input!E$9)-5,COLUMN()-2)+INDEX(WSX,ROW(Input!E$11)-5,COLUMN()-2))=0,0,+INDEX(WSX,ROW(Input!E$11)-5,COLUMN()-2)/(INDEX(WSX,ROW(Input!E$9)-5,COLUMN()-2)+INDEX(WSX,ROW(Input!E$11)-5,COLUMN()-2)+Input!L219))</f>
        <v>1.5447111797110679E-2</v>
      </c>
      <c r="M476" s="230">
        <f ca="1">IF((INDEX(WSX,ROW(Input!F$9)-5,COLUMN()-2)+INDEX(WSX,ROW(Input!F$11)-5,COLUMN()-2))=0,0,+INDEX(WSX,ROW(Input!F$11)-5,COLUMN()-2)/(INDEX(WSX,ROW(Input!F$9)-5,COLUMN()-2)+INDEX(WSX,ROW(Input!F$11)-5,COLUMN()-2)+Input!M219))</f>
        <v>1.8770484906046794E-2</v>
      </c>
      <c r="N476" s="230">
        <f ca="1">IF((INDEX(WSX,ROW(Input!G$9)-5,COLUMN()-2)+INDEX(WSX,ROW(Input!G$11)-5,COLUMN()-2))=0,0,+INDEX(WSX,ROW(Input!G$11)-5,COLUMN()-2)/(INDEX(WSX,ROW(Input!G$9)-5,COLUMN()-2)+INDEX(WSX,ROW(Input!G$11)-5,COLUMN()-2)+Input!N219))</f>
        <v>1.7531176685865926E-2</v>
      </c>
      <c r="O476" s="230">
        <f ca="1">IF((INDEX(WSX,ROW(Input!H$9)-5,COLUMN()-2)+INDEX(WSX,ROW(Input!H$11)-5,COLUMN()-2))=0,0,+INDEX(WSX,ROW(Input!H$11)-5,COLUMN()-2)/(INDEX(WSX,ROW(Input!H$9)-5,COLUMN()-2)+INDEX(WSX,ROW(Input!H$11)-5,COLUMN()-2)+Input!O219))</f>
        <v>1.5591048961456948E-2</v>
      </c>
      <c r="Q476" s="5"/>
    </row>
    <row r="477" spans="1:21" s="53" customFormat="1">
      <c r="A477" s="53" t="s">
        <v>152</v>
      </c>
      <c r="B477" s="53" t="s">
        <v>69</v>
      </c>
      <c r="C477" s="51"/>
      <c r="D477" s="55" t="s">
        <v>138</v>
      </c>
      <c r="E477" s="52" t="s">
        <v>52</v>
      </c>
      <c r="F477" s="153"/>
      <c r="G477" s="153"/>
      <c r="H477" s="164"/>
      <c r="I477" s="227"/>
      <c r="J477" s="228"/>
      <c r="K477" s="497">
        <f ca="1">IF((INDEX(YKY,ROW(Input!D$9)-5,COLUMN()-2)+INDEX(YKY,ROW(Input!D$11)-5,COLUMN()-2))=0,0,+INDEX(YKY,ROW(Input!D$11)-5,COLUMN()-2)/(INDEX(YKY,ROW(Input!D$9)-5,COLUMN()-2)+INDEX(YKY,ROW(Input!D$11)-5,COLUMN()-2)+Input!K243))</f>
        <v>1.3633287515312112E-3</v>
      </c>
      <c r="L477" s="230">
        <f ca="1">IF((INDEX(YKY,ROW(Input!E$9)-5,COLUMN()-2)+INDEX(YKY,ROW(Input!E$11)-5,COLUMN()-2))=0,0,+INDEX(YKY,ROW(Input!E$11)-5,COLUMN()-2)/(INDEX(YKY,ROW(Input!E$9)-5,COLUMN()-2)+INDEX(YKY,ROW(Input!E$11)-5,COLUMN()-2)+Input!L243))</f>
        <v>4.126299799155928E-3</v>
      </c>
      <c r="M477" s="230">
        <f ca="1">IF((INDEX(YKY,ROW(Input!F$9)-5,COLUMN()-2)+INDEX(YKY,ROW(Input!F$11)-5,COLUMN()-2))=0,0,+INDEX(YKY,ROW(Input!F$11)-5,COLUMN()-2)/(INDEX(YKY,ROW(Input!F$9)-5,COLUMN()-2)+INDEX(YKY,ROW(Input!F$11)-5,COLUMN()-2)+Input!M243))</f>
        <v>6.9620542333986768E-3</v>
      </c>
      <c r="N477" s="230">
        <f ca="1">IF((INDEX(YKY,ROW(Input!G$9)-5,COLUMN()-2)+INDEX(YKY,ROW(Input!G$11)-5,COLUMN()-2))=0,0,+INDEX(YKY,ROW(Input!G$11)-5,COLUMN()-2)/(INDEX(YKY,ROW(Input!G$9)-5,COLUMN()-2)+INDEX(YKY,ROW(Input!G$11)-5,COLUMN()-2)+Input!N243))</f>
        <v>9.6304772992939353E-3</v>
      </c>
      <c r="O477" s="230">
        <f ca="1">IF((INDEX(YKY,ROW(Input!H$9)-5,COLUMN()-2)+INDEX(YKY,ROW(Input!H$11)-5,COLUMN()-2))=0,0,+INDEX(YKY,ROW(Input!H$11)-5,COLUMN()-2)/(INDEX(YKY,ROW(Input!H$9)-5,COLUMN()-2)+INDEX(YKY,ROW(Input!H$11)-5,COLUMN()-2)+Input!O243))</f>
        <v>1.2019533125576642E-2</v>
      </c>
      <c r="Q477" s="5"/>
    </row>
    <row r="478" spans="1:21" s="53" customFormat="1">
      <c r="A478" s="53" t="s">
        <v>152</v>
      </c>
      <c r="B478" s="53" t="s">
        <v>69</v>
      </c>
      <c r="C478" s="51"/>
      <c r="D478" s="55" t="s">
        <v>138</v>
      </c>
      <c r="E478" s="52" t="s">
        <v>53</v>
      </c>
      <c r="F478" s="153"/>
      <c r="G478" s="153"/>
      <c r="H478" s="164"/>
      <c r="I478" s="227"/>
      <c r="J478" s="228"/>
      <c r="K478" s="497">
        <f ca="1">IF((INDEX(AFW,ROW(Input!D$9)-5,COLUMN()-2)+INDEX(AFW,ROW(Input!D$11)-5,COLUMN()-2))=0,0,+INDEX(AFW,ROW(Input!D$11)-5,COLUMN()-2)/(INDEX(AFW,ROW(Input!D$9)-5,COLUMN()-2)+INDEX(AFW,ROW(Input!D$11)-5,COLUMN()-2)+Input!K267))</f>
        <v>8.760082383132306E-3</v>
      </c>
      <c r="L478" s="230">
        <f ca="1">IF((INDEX(AFW,ROW(Input!E$9)-5,COLUMN()-2)+INDEX(AFW,ROW(Input!E$11)-5,COLUMN()-2))=0,0,+INDEX(AFW,ROW(Input!E$11)-5,COLUMN()-2)/(INDEX(AFW,ROW(Input!E$9)-5,COLUMN()-2)+INDEX(AFW,ROW(Input!E$11)-5,COLUMN()-2)+Input!L267))</f>
        <v>1.7193654768251063E-2</v>
      </c>
      <c r="M478" s="230">
        <f ca="1">IF((INDEX(AFW,ROW(Input!F$9)-5,COLUMN()-2)+INDEX(AFW,ROW(Input!F$11)-5,COLUMN()-2))=0,0,+INDEX(AFW,ROW(Input!F$11)-5,COLUMN()-2)/(INDEX(AFW,ROW(Input!F$9)-5,COLUMN()-2)+INDEX(AFW,ROW(Input!F$11)-5,COLUMN()-2)+Input!M267))</f>
        <v>2.5319736811896334E-2</v>
      </c>
      <c r="N478" s="230">
        <f ca="1">IF((INDEX(AFW,ROW(Input!G$9)-5,COLUMN()-2)+INDEX(AFW,ROW(Input!G$11)-5,COLUMN()-2))=0,0,+INDEX(AFW,ROW(Input!G$11)-5,COLUMN()-2)/(INDEX(AFW,ROW(Input!G$9)-5,COLUMN()-2)+INDEX(AFW,ROW(Input!G$11)-5,COLUMN()-2)+Input!N267))</f>
        <v>3.3211761799965087E-2</v>
      </c>
      <c r="O478" s="230">
        <f ca="1">IF((INDEX(AFW,ROW(Input!H$9)-5,COLUMN()-2)+INDEX(AFW,ROW(Input!H$11)-5,COLUMN()-2))=0,0,+INDEX(AFW,ROW(Input!H$11)-5,COLUMN()-2)/(INDEX(AFW,ROW(Input!H$9)-5,COLUMN()-2)+INDEX(AFW,ROW(Input!H$11)-5,COLUMN()-2)+Input!O267))</f>
        <v>4.0828686016054647E-2</v>
      </c>
      <c r="Q478" s="5"/>
    </row>
    <row r="479" spans="1:21" s="53" customFormat="1">
      <c r="A479" s="53" t="s">
        <v>152</v>
      </c>
      <c r="B479" s="53" t="s">
        <v>69</v>
      </c>
      <c r="C479" s="51"/>
      <c r="D479" s="55" t="s">
        <v>138</v>
      </c>
      <c r="E479" s="52" t="s">
        <v>54</v>
      </c>
      <c r="F479" s="153"/>
      <c r="G479" s="153"/>
      <c r="H479" s="164"/>
      <c r="I479" s="227"/>
      <c r="J479" s="228"/>
      <c r="K479" s="497">
        <f ca="1">IF((INDEX(BRL,ROW(Input!D$9)-5,COLUMN()-2)+INDEX(BRL,ROW(Input!D$11)-5,COLUMN()-2))=0,0,+INDEX(BRL,ROW(Input!D$11)-5,COLUMN()-2)/(INDEX(BRL,ROW(Input!D$9)-5,COLUMN()-2)+INDEX(BRL,ROW(Input!D$11)-5,COLUMN()-2)+Input!K291))</f>
        <v>1.014952347042939E-2</v>
      </c>
      <c r="L479" s="230">
        <f ca="1">IF((INDEX(BRL,ROW(Input!E$9)-5,COLUMN()-2)+INDEX(BRL,ROW(Input!E$11)-5,COLUMN()-2))=0,0,+INDEX(BRL,ROW(Input!E$11)-5,COLUMN()-2)/(INDEX(BRL,ROW(Input!E$9)-5,COLUMN()-2)+INDEX(BRL,ROW(Input!E$11)-5,COLUMN()-2)+Input!L291))</f>
        <v>2.9235963423115793E-2</v>
      </c>
      <c r="M479" s="230">
        <f ca="1">IF((INDEX(BRL,ROW(Input!F$9)-5,COLUMN()-2)+INDEX(BRL,ROW(Input!F$11)-5,COLUMN()-2))=0,0,+INDEX(BRL,ROW(Input!F$11)-5,COLUMN()-2)/(INDEX(BRL,ROW(Input!F$9)-5,COLUMN()-2)+INDEX(BRL,ROW(Input!F$11)-5,COLUMN()-2)+Input!M291))</f>
        <v>4.6878636267856655E-2</v>
      </c>
      <c r="N479" s="230">
        <f ca="1">IF((INDEX(BRL,ROW(Input!G$9)-5,COLUMN()-2)+INDEX(BRL,ROW(Input!G$11)-5,COLUMN()-2))=0,0,+INDEX(BRL,ROW(Input!G$11)-5,COLUMN()-2)/(INDEX(BRL,ROW(Input!G$9)-5,COLUMN()-2)+INDEX(BRL,ROW(Input!G$11)-5,COLUMN()-2)+Input!N291))</f>
        <v>6.3221950507217684E-2</v>
      </c>
      <c r="O479" s="230">
        <f ca="1">IF((INDEX(BRL,ROW(Input!H$9)-5,COLUMN()-2)+INDEX(BRL,ROW(Input!H$11)-5,COLUMN()-2))=0,0,+INDEX(BRL,ROW(Input!H$11)-5,COLUMN()-2)/(INDEX(BRL,ROW(Input!H$9)-5,COLUMN()-2)+INDEX(BRL,ROW(Input!H$11)-5,COLUMN()-2)+Input!O291))</f>
        <v>7.8442667889198084E-2</v>
      </c>
      <c r="Q479" s="5"/>
    </row>
    <row r="480" spans="1:21" s="53" customFormat="1">
      <c r="A480" s="53" t="s">
        <v>152</v>
      </c>
      <c r="B480" s="53" t="s">
        <v>69</v>
      </c>
      <c r="C480" s="51"/>
      <c r="D480" s="55" t="s">
        <v>138</v>
      </c>
      <c r="E480" s="52" t="s">
        <v>66</v>
      </c>
      <c r="F480" s="153"/>
      <c r="G480" s="153"/>
      <c r="H480" s="164"/>
      <c r="I480" s="227"/>
      <c r="J480" s="228"/>
      <c r="K480" s="497">
        <f ca="1">IF((INDEX(SSC,ROW(Input!D$9)-5,COLUMN()-2)+INDEX(SSC,ROW(Input!D$11)-5,COLUMN()-2))=0,0,+INDEX(SSC,ROW(Input!D$11)-5,COLUMN()-2)/(INDEX(SSC,ROW(Input!D$9)-5,COLUMN()-2)+INDEX(SSC,ROW(Input!D$11)-5,COLUMN()-2)+Input!K315))</f>
        <v>1.4842145155371028E-2</v>
      </c>
      <c r="L480" s="230">
        <f ca="1">IF((INDEX(SSC,ROW(Input!E$9)-5,COLUMN()-2)+INDEX(SSC,ROW(Input!E$11)-5,COLUMN()-2))=0,0,+INDEX(SSC,ROW(Input!E$11)-5,COLUMN()-2)/(INDEX(SSC,ROW(Input!E$9)-5,COLUMN()-2)+INDEX(SSC,ROW(Input!E$11)-5,COLUMN()-2)+Input!L315))</f>
        <v>2.8576990395414614E-2</v>
      </c>
      <c r="M480" s="230">
        <f ca="1">IF((INDEX(SSC,ROW(Input!F$9)-5,COLUMN()-2)+INDEX(SSC,ROW(Input!F$11)-5,COLUMN()-2))=0,0,+INDEX(SSC,ROW(Input!F$11)-5,COLUMN()-2)/(INDEX(SSC,ROW(Input!F$9)-5,COLUMN()-2)+INDEX(SSC,ROW(Input!F$11)-5,COLUMN()-2)+Input!M315))</f>
        <v>4.2336182702422877E-2</v>
      </c>
      <c r="N480" s="230">
        <f ca="1">IF((INDEX(SSC,ROW(Input!G$9)-5,COLUMN()-2)+INDEX(SSC,ROW(Input!G$11)-5,COLUMN()-2))=0,0,+INDEX(SSC,ROW(Input!G$11)-5,COLUMN()-2)/(INDEX(SSC,ROW(Input!G$9)-5,COLUMN()-2)+INDEX(SSC,ROW(Input!G$11)-5,COLUMN()-2)+Input!N315))</f>
        <v>5.4222817375432289E-2</v>
      </c>
      <c r="O480" s="230">
        <f ca="1">IF((INDEX(SSC,ROW(Input!H$9)-5,COLUMN()-2)+INDEX(SSC,ROW(Input!H$11)-5,COLUMN()-2))=0,0,+INDEX(SSC,ROW(Input!H$11)-5,COLUMN()-2)/(INDEX(SSC,ROW(Input!H$9)-5,COLUMN()-2)+INDEX(SSC,ROW(Input!H$11)-5,COLUMN()-2)+Input!O315))</f>
        <v>6.2025437445415131E-2</v>
      </c>
      <c r="Q480" s="5"/>
    </row>
    <row r="481" spans="1:17" s="53" customFormat="1">
      <c r="A481" s="53" t="s">
        <v>152</v>
      </c>
      <c r="B481" s="53" t="s">
        <v>69</v>
      </c>
      <c r="C481" s="51"/>
      <c r="D481" s="55" t="s">
        <v>138</v>
      </c>
      <c r="E481" s="52" t="s">
        <v>55</v>
      </c>
      <c r="F481" s="153"/>
      <c r="G481" s="153"/>
      <c r="H481" s="164"/>
      <c r="I481" s="227"/>
      <c r="J481" s="228"/>
      <c r="K481" s="497">
        <f ca="1">IF((INDEX(DVW,ROW(Input!D$9)-5,COLUMN()-2)+INDEX(DVW,ROW(Input!D$11)-5,COLUMN()-2))=0,0,+INDEX(DVW,ROW(Input!D$11)-5,COLUMN()-2)/(INDEX(DVW,ROW(Input!D$9)-5,COLUMN()-2)+INDEX(DVW,ROW(Input!D$11)-5,COLUMN()-2)+Input!K339))</f>
        <v>1.2852710515163211E-2</v>
      </c>
      <c r="L481" s="230">
        <f ca="1">IF((INDEX(DVW,ROW(Input!E$9)-5,COLUMN()-2)+INDEX(DVW,ROW(Input!E$11)-5,COLUMN()-2))=0,0,+INDEX(DVW,ROW(Input!E$11)-5,COLUMN()-2)/(INDEX(DVW,ROW(Input!E$9)-5,COLUMN()-2)+INDEX(DVW,ROW(Input!E$11)-5,COLUMN()-2)+Input!L339))</f>
        <v>2.3930991409632597E-2</v>
      </c>
      <c r="M481" s="230">
        <f ca="1">IF((INDEX(DVW,ROW(Input!F$9)-5,COLUMN()-2)+INDEX(DVW,ROW(Input!F$11)-5,COLUMN()-2))=0,0,+INDEX(DVW,ROW(Input!F$11)-5,COLUMN()-2)/(INDEX(DVW,ROW(Input!F$9)-5,COLUMN()-2)+INDEX(DVW,ROW(Input!F$11)-5,COLUMN()-2)+Input!M339))</f>
        <v>3.0465911157648285E-2</v>
      </c>
      <c r="N481" s="230">
        <f ca="1">IF((INDEX(DVW,ROW(Input!G$9)-5,COLUMN()-2)+INDEX(DVW,ROW(Input!G$11)-5,COLUMN()-2))=0,0,+INDEX(DVW,ROW(Input!G$11)-5,COLUMN()-2)/(INDEX(DVW,ROW(Input!G$9)-5,COLUMN()-2)+INDEX(DVW,ROW(Input!G$11)-5,COLUMN()-2)+Input!N339))</f>
        <v>3.5019160606323194E-2</v>
      </c>
      <c r="O481" s="230">
        <f ca="1">IF((INDEX(DVW,ROW(Input!H$9)-5,COLUMN()-2)+INDEX(DVW,ROW(Input!H$11)-5,COLUMN()-2))=0,0,+INDEX(DVW,ROW(Input!H$11)-5,COLUMN()-2)/(INDEX(DVW,ROW(Input!H$9)-5,COLUMN()-2)+INDEX(DVW,ROW(Input!H$11)-5,COLUMN()-2)+Input!O339))</f>
        <v>3.9835495359365723E-2</v>
      </c>
      <c r="Q481" s="5"/>
    </row>
    <row r="482" spans="1:17" s="53" customFormat="1">
      <c r="A482" s="53" t="s">
        <v>152</v>
      </c>
      <c r="B482" s="53" t="s">
        <v>69</v>
      </c>
      <c r="C482" s="51"/>
      <c r="D482" s="55" t="s">
        <v>138</v>
      </c>
      <c r="E482" s="52" t="s">
        <v>56</v>
      </c>
      <c r="F482" s="153"/>
      <c r="G482" s="153"/>
      <c r="H482" s="164"/>
      <c r="I482" s="227"/>
      <c r="J482" s="228"/>
      <c r="K482" s="497">
        <f ca="1">IF((INDEX(PRT,ROW(Input!D$9)-5,COLUMN()-2)+INDEX(PRT,ROW(Input!D$11)-5,COLUMN()-2))=0,0,+INDEX(PRT,ROW(Input!D$11)-5,COLUMN()-2)/(INDEX(PRT,ROW(Input!D$9)-5,COLUMN()-2)+INDEX(PRT,ROW(Input!D$11)-5,COLUMN()-2)+Input!K363))</f>
        <v>2.9138310055666201E-3</v>
      </c>
      <c r="L482" s="230">
        <f ca="1">IF((INDEX(PRT,ROW(Input!E$9)-5,COLUMN()-2)+INDEX(PRT,ROW(Input!E$11)-5,COLUMN()-2))=0,0,+INDEX(PRT,ROW(Input!E$11)-5,COLUMN()-2)/(INDEX(PRT,ROW(Input!E$9)-5,COLUMN()-2)+INDEX(PRT,ROW(Input!E$11)-5,COLUMN()-2)+Input!L363))</f>
        <v>5.7259825080914154E-3</v>
      </c>
      <c r="M482" s="230">
        <f ca="1">IF((INDEX(PRT,ROW(Input!F$9)-5,COLUMN()-2)+INDEX(PRT,ROW(Input!F$11)-5,COLUMN()-2))=0,0,+INDEX(PRT,ROW(Input!F$11)-5,COLUMN()-2)/(INDEX(PRT,ROW(Input!F$9)-5,COLUMN()-2)+INDEX(PRT,ROW(Input!F$11)-5,COLUMN()-2)+Input!M363))</f>
        <v>8.4416854702272139E-3</v>
      </c>
      <c r="N482" s="230">
        <f ca="1">IF((INDEX(PRT,ROW(Input!G$9)-5,COLUMN()-2)+INDEX(PRT,ROW(Input!G$11)-5,COLUMN()-2))=0,0,+INDEX(PRT,ROW(Input!G$11)-5,COLUMN()-2)/(INDEX(PRT,ROW(Input!G$9)-5,COLUMN()-2)+INDEX(PRT,ROW(Input!G$11)-5,COLUMN()-2)+Input!N363))</f>
        <v>1.1283422622543057E-2</v>
      </c>
      <c r="O482" s="230">
        <f ca="1">IF((INDEX(PRT,ROW(Input!H$9)-5,COLUMN()-2)+INDEX(PRT,ROW(Input!H$11)-5,COLUMN()-2))=0,0,+INDEX(PRT,ROW(Input!H$11)-5,COLUMN()-2)/(INDEX(PRT,ROW(Input!H$9)-5,COLUMN()-2)+INDEX(PRT,ROW(Input!H$11)-5,COLUMN()-2)+Input!O363))</f>
        <v>1.3804788057889808E-2</v>
      </c>
      <c r="Q482" s="5"/>
    </row>
    <row r="483" spans="1:17" s="53" customFormat="1">
      <c r="A483" s="53" t="s">
        <v>152</v>
      </c>
      <c r="B483" s="53" t="s">
        <v>69</v>
      </c>
      <c r="C483" s="51"/>
      <c r="D483" s="55" t="s">
        <v>138</v>
      </c>
      <c r="E483" s="52" t="s">
        <v>57</v>
      </c>
      <c r="F483" s="153"/>
      <c r="G483" s="153"/>
      <c r="H483" s="164"/>
      <c r="I483" s="227"/>
      <c r="J483" s="228"/>
      <c r="K483" s="497">
        <f ca="1">IF((INDEX(SBW,ROW(Input!D$9)-5,COLUMN()-2)+INDEX(SBW,ROW(Input!D$11)-5,COLUMN()-2))=0,0,+INDEX(SBW,ROW(Input!D$11)-5,COLUMN()-2)/(INDEX(SBW,ROW(Input!D$9)-5,COLUMN()-2)+INDEX(SBW,ROW(Input!D$11)-5,COLUMN()-2)+Input!K387))</f>
        <v>1.2705309883669021E-2</v>
      </c>
      <c r="L483" s="230">
        <f ca="1">IF((INDEX(SBW,ROW(Input!E$9)-5,COLUMN()-2)+INDEX(SBW,ROW(Input!E$11)-5,COLUMN()-2))=0,0,+INDEX(SBW,ROW(Input!E$11)-5,COLUMN()-2)/(INDEX(SBW,ROW(Input!E$9)-5,COLUMN()-2)+INDEX(SBW,ROW(Input!E$11)-5,COLUMN()-2)+Input!L387))</f>
        <v>2.514650790973218E-2</v>
      </c>
      <c r="M483" s="230">
        <f ca="1">IF((INDEX(SBW,ROW(Input!F$9)-5,COLUMN()-2)+INDEX(SBW,ROW(Input!F$11)-5,COLUMN()-2))=0,0,+INDEX(SBW,ROW(Input!F$11)-5,COLUMN()-2)/(INDEX(SBW,ROW(Input!F$9)-5,COLUMN()-2)+INDEX(SBW,ROW(Input!F$11)-5,COLUMN()-2)+Input!M387))</f>
        <v>3.8168781856227317E-2</v>
      </c>
      <c r="N483" s="230">
        <f ca="1">IF((INDEX(SBW,ROW(Input!G$9)-5,COLUMN()-2)+INDEX(SBW,ROW(Input!G$11)-5,COLUMN()-2))=0,0,+INDEX(SBW,ROW(Input!G$11)-5,COLUMN()-2)/(INDEX(SBW,ROW(Input!G$9)-5,COLUMN()-2)+INDEX(SBW,ROW(Input!G$11)-5,COLUMN()-2)+Input!N387))</f>
        <v>5.05211453108321E-2</v>
      </c>
      <c r="O483" s="230">
        <f ca="1">IF((INDEX(SBW,ROW(Input!H$9)-5,COLUMN()-2)+INDEX(SBW,ROW(Input!H$11)-5,COLUMN()-2))=0,0,+INDEX(SBW,ROW(Input!H$11)-5,COLUMN()-2)/(INDEX(SBW,ROW(Input!H$9)-5,COLUMN()-2)+INDEX(SBW,ROW(Input!H$11)-5,COLUMN()-2)+Input!O387))</f>
        <v>4.9287959457236033E-2</v>
      </c>
      <c r="Q483" s="5"/>
    </row>
    <row r="484" spans="1:17" s="53" customFormat="1">
      <c r="A484" s="53" t="s">
        <v>152</v>
      </c>
      <c r="B484" s="53" t="s">
        <v>69</v>
      </c>
      <c r="C484" s="51"/>
      <c r="D484" s="55" t="s">
        <v>138</v>
      </c>
      <c r="E484" s="52" t="s">
        <v>58</v>
      </c>
      <c r="F484" s="153"/>
      <c r="G484" s="153"/>
      <c r="H484" s="164"/>
      <c r="I484" s="227"/>
      <c r="J484" s="228"/>
      <c r="K484" s="497">
        <f ca="1">IF((INDEX(SEW,ROW(Input!D$9)-5,COLUMN()-2)+INDEX(SEW,ROW(Input!D$11)-5,COLUMN()-2))=0,0,+INDEX(SEW,ROW(Input!D$11)-5,COLUMN()-2)/(INDEX(SEW,ROW(Input!D$9)-5,COLUMN()-2)+INDEX(SEW,ROW(Input!D$11)-5,COLUMN()-2)+Input!K411))</f>
        <v>5.4509300167803762E-3</v>
      </c>
      <c r="L484" s="230">
        <f ca="1">IF((INDEX(SEW,ROW(Input!E$9)-5,COLUMN()-2)+INDEX(SEW,ROW(Input!E$11)-5,COLUMN()-2))=0,0,+INDEX(SEW,ROW(Input!E$11)-5,COLUMN()-2)/(INDEX(SEW,ROW(Input!E$9)-5,COLUMN()-2)+INDEX(SEW,ROW(Input!E$11)-5,COLUMN()-2)+Input!L411))</f>
        <v>1.9114969846431008E-2</v>
      </c>
      <c r="M484" s="230">
        <f ca="1">IF((INDEX(SEW,ROW(Input!F$9)-5,COLUMN()-2)+INDEX(SEW,ROW(Input!F$11)-5,COLUMN()-2))=0,0,+INDEX(SEW,ROW(Input!F$11)-5,COLUMN()-2)/(INDEX(SEW,ROW(Input!F$9)-5,COLUMN()-2)+INDEX(SEW,ROW(Input!F$11)-5,COLUMN()-2)+Input!M411))</f>
        <v>3.2156373680343728E-2</v>
      </c>
      <c r="N484" s="230">
        <f ca="1">IF((INDEX(SEW,ROW(Input!G$9)-5,COLUMN()-2)+INDEX(SEW,ROW(Input!G$11)-5,COLUMN()-2))=0,0,+INDEX(SEW,ROW(Input!G$11)-5,COLUMN()-2)/(INDEX(SEW,ROW(Input!G$9)-5,COLUMN()-2)+INDEX(SEW,ROW(Input!G$11)-5,COLUMN()-2)+Input!N411))</f>
        <v>4.1000533736409439E-2</v>
      </c>
      <c r="O484" s="230">
        <f ca="1">IF((INDEX(SEW,ROW(Input!H$9)-5,COLUMN()-2)+INDEX(SEW,ROW(Input!H$11)-5,COLUMN()-2))=0,0,+INDEX(SEW,ROW(Input!H$11)-5,COLUMN()-2)/(INDEX(SEW,ROW(Input!H$9)-5,COLUMN()-2)+INDEX(SEW,ROW(Input!H$11)-5,COLUMN()-2)+Input!O411))</f>
        <v>4.9905247899420822E-2</v>
      </c>
      <c r="Q484" s="5"/>
    </row>
    <row r="485" spans="1:17" s="53" customFormat="1">
      <c r="A485" s="53" t="s">
        <v>152</v>
      </c>
      <c r="B485" s="53" t="s">
        <v>69</v>
      </c>
      <c r="C485" s="51"/>
      <c r="D485" s="55" t="s">
        <v>138</v>
      </c>
      <c r="E485" s="52" t="s">
        <v>59</v>
      </c>
      <c r="F485" s="153"/>
      <c r="G485" s="153"/>
      <c r="H485" s="153"/>
      <c r="I485" s="227"/>
      <c r="J485" s="228"/>
      <c r="K485" s="497">
        <f ca="1">IF((INDEX(SES,ROW(Input!D$9)-5,COLUMN()-2)+INDEX(SES,ROW(Input!D$11)-5,COLUMN()-2))=0,0,+INDEX(SES,ROW(Input!D$11)-5,COLUMN()-2)/(INDEX(SES,ROW(Input!D$9)-5,COLUMN()-2)+INDEX(SES,ROW(Input!D$11)-5,COLUMN()-2)+Input!K435))</f>
        <v>6.6384316610967661E-3</v>
      </c>
      <c r="L485" s="230">
        <f ca="1">IF((INDEX(SES,ROW(Input!E$9)-5,COLUMN()-2)+INDEX(SES,ROW(Input!E$11)-5,COLUMN()-2))=0,0,+INDEX(SES,ROW(Input!E$11)-5,COLUMN()-2)/(INDEX(SES,ROW(Input!E$9)-5,COLUMN()-2)+INDEX(SES,ROW(Input!E$11)-5,COLUMN()-2)+Input!L435))</f>
        <v>1.8698714270861869E-2</v>
      </c>
      <c r="M485" s="230">
        <f ca="1">IF((INDEX(SES,ROW(Input!F$9)-5,COLUMN()-2)+INDEX(SES,ROW(Input!F$11)-5,COLUMN()-2))=0,0,+INDEX(SES,ROW(Input!F$11)-5,COLUMN()-2)/(INDEX(SES,ROW(Input!F$9)-5,COLUMN()-2)+INDEX(SES,ROW(Input!F$11)-5,COLUMN()-2)+Input!M435))</f>
        <v>2.743828792607542E-2</v>
      </c>
      <c r="N485" s="230">
        <f ca="1">IF((INDEX(SES,ROW(Input!G$9)-5,COLUMN()-2)+INDEX(SES,ROW(Input!G$11)-5,COLUMN()-2))=0,0,+INDEX(SES,ROW(Input!G$11)-5,COLUMN()-2)/(INDEX(SES,ROW(Input!G$9)-5,COLUMN()-2)+INDEX(SES,ROW(Input!G$11)-5,COLUMN()-2)+Input!N435))</f>
        <v>3.5021953707939153E-2</v>
      </c>
      <c r="O485" s="230">
        <f ca="1">IF((INDEX(SES,ROW(Input!H$9)-5,COLUMN()-2)+INDEX(SES,ROW(Input!H$11)-5,COLUMN()-2))=0,0,+INDEX(SES,ROW(Input!H$11)-5,COLUMN()-2)/(INDEX(SES,ROW(Input!H$9)-5,COLUMN()-2)+INDEX(SES,ROW(Input!H$11)-5,COLUMN()-2)+Input!O435))</f>
        <v>4.1186468222310646E-2</v>
      </c>
      <c r="Q485" s="5"/>
    </row>
    <row r="486" spans="1:17" s="53" customFormat="1">
      <c r="C486" s="51"/>
      <c r="D486" s="54"/>
      <c r="E486" s="52"/>
      <c r="F486" s="153"/>
      <c r="G486" s="153"/>
      <c r="H486" s="153"/>
      <c r="I486" s="153"/>
      <c r="J486" s="227"/>
      <c r="K486" s="498"/>
      <c r="L486" s="174"/>
      <c r="M486" s="174"/>
      <c r="N486" s="174"/>
      <c r="O486" s="174"/>
      <c r="Q486" s="5"/>
    </row>
    <row r="487" spans="1:17">
      <c r="A487" s="27"/>
      <c r="B487" s="28"/>
      <c r="C487" s="29"/>
      <c r="D487" s="30"/>
      <c r="E487" s="28" t="s">
        <v>481</v>
      </c>
      <c r="F487" s="31"/>
      <c r="G487" s="31"/>
      <c r="H487" s="31"/>
      <c r="I487" s="31"/>
      <c r="J487" s="472"/>
      <c r="K487" s="496"/>
      <c r="L487" s="173"/>
      <c r="M487" s="173"/>
      <c r="N487" s="173"/>
      <c r="O487" s="173"/>
      <c r="Q487" s="5"/>
    </row>
    <row r="488" spans="1:17" s="53" customFormat="1">
      <c r="A488" s="53" t="s">
        <v>149</v>
      </c>
      <c r="B488" s="53" t="s">
        <v>69</v>
      </c>
      <c r="C488" s="51"/>
      <c r="D488" s="55" t="s">
        <v>74</v>
      </c>
      <c r="E488" s="52" t="s">
        <v>31</v>
      </c>
      <c r="F488" s="153"/>
      <c r="G488" s="153"/>
      <c r="H488" s="153"/>
      <c r="I488" s="153"/>
      <c r="J488" s="227"/>
      <c r="K488" s="493">
        <f t="shared" ref="K488:O497" ca="1" si="9">+K448*K468</f>
        <v>0.95451350460011231</v>
      </c>
      <c r="L488" s="176">
        <f t="shared" ca="1" si="9"/>
        <v>2.8312201420175538</v>
      </c>
      <c r="M488" s="176">
        <f t="shared" ca="1" si="9"/>
        <v>3.9736086737378553</v>
      </c>
      <c r="N488" s="176">
        <f t="shared" ca="1" si="9"/>
        <v>4.4383293786617086</v>
      </c>
      <c r="O488" s="176">
        <f t="shared" ca="1" si="9"/>
        <v>4.8265817261941377</v>
      </c>
      <c r="Q488" s="5"/>
    </row>
    <row r="489" spans="1:17" s="53" customFormat="1">
      <c r="A489" s="53" t="s">
        <v>149</v>
      </c>
      <c r="B489" s="53" t="s">
        <v>69</v>
      </c>
      <c r="C489" s="51"/>
      <c r="D489" s="55" t="s">
        <v>74</v>
      </c>
      <c r="E489" s="52" t="s">
        <v>32</v>
      </c>
      <c r="F489" s="153"/>
      <c r="G489" s="153"/>
      <c r="H489" s="153"/>
      <c r="I489" s="153"/>
      <c r="J489" s="227"/>
      <c r="K489" s="493">
        <f t="shared" ca="1" si="9"/>
        <v>0.6866554622258827</v>
      </c>
      <c r="L489" s="176">
        <f t="shared" ca="1" si="9"/>
        <v>1.1012980211865431</v>
      </c>
      <c r="M489" s="176">
        <f t="shared" ca="1" si="9"/>
        <v>1.2533084215511463</v>
      </c>
      <c r="N489" s="176">
        <f t="shared" ca="1" si="9"/>
        <v>1.3503869564827125</v>
      </c>
      <c r="O489" s="176">
        <f t="shared" ca="1" si="9"/>
        <v>1.4267527214992202</v>
      </c>
      <c r="Q489" s="5"/>
    </row>
    <row r="490" spans="1:17" s="53" customFormat="1">
      <c r="A490" s="53" t="s">
        <v>149</v>
      </c>
      <c r="B490" s="53" t="s">
        <v>69</v>
      </c>
      <c r="C490" s="51"/>
      <c r="D490" s="55" t="s">
        <v>74</v>
      </c>
      <c r="E490" s="52" t="s">
        <v>33</v>
      </c>
      <c r="F490" s="153"/>
      <c r="G490" s="153"/>
      <c r="H490" s="153"/>
      <c r="I490" s="153"/>
      <c r="J490" s="227"/>
      <c r="K490" s="493">
        <f t="shared" ca="1" si="9"/>
        <v>1.0040013294509131</v>
      </c>
      <c r="L490" s="176">
        <f t="shared" ca="1" si="9"/>
        <v>1.6036845517167881</v>
      </c>
      <c r="M490" s="176">
        <f t="shared" ca="1" si="9"/>
        <v>2.2695861996515077</v>
      </c>
      <c r="N490" s="176">
        <f t="shared" ca="1" si="9"/>
        <v>2.778499951375188</v>
      </c>
      <c r="O490" s="176">
        <f t="shared" ca="1" si="9"/>
        <v>3.3305041952436074</v>
      </c>
      <c r="Q490" s="5"/>
    </row>
    <row r="491" spans="1:17" s="53" customFormat="1">
      <c r="A491" s="53" t="s">
        <v>149</v>
      </c>
      <c r="B491" s="53" t="s">
        <v>69</v>
      </c>
      <c r="C491" s="51"/>
      <c r="D491" s="55" t="s">
        <v>74</v>
      </c>
      <c r="E491" s="52" t="s">
        <v>46</v>
      </c>
      <c r="F491" s="153"/>
      <c r="G491" s="153"/>
      <c r="H491" s="153"/>
      <c r="I491" s="153"/>
      <c r="J491" s="227"/>
      <c r="K491" s="493">
        <f t="shared" ca="1" si="9"/>
        <v>0.5004629792849733</v>
      </c>
      <c r="L491" s="176">
        <f t="shared" ca="1" si="9"/>
        <v>1.5518000110873724</v>
      </c>
      <c r="M491" s="176">
        <f t="shared" ca="1" si="9"/>
        <v>2.8649689836910026</v>
      </c>
      <c r="N491" s="176">
        <f t="shared" ca="1" si="9"/>
        <v>4.5046099379189988</v>
      </c>
      <c r="O491" s="176">
        <f t="shared" ca="1" si="9"/>
        <v>5.459209005288236</v>
      </c>
      <c r="Q491" s="5"/>
    </row>
    <row r="492" spans="1:17" s="53" customFormat="1">
      <c r="A492" s="53" t="s">
        <v>149</v>
      </c>
      <c r="B492" s="53" t="s">
        <v>69</v>
      </c>
      <c r="C492" s="51"/>
      <c r="D492" s="55" t="s">
        <v>74</v>
      </c>
      <c r="E492" s="52" t="s">
        <v>47</v>
      </c>
      <c r="F492" s="153"/>
      <c r="G492" s="153"/>
      <c r="H492" s="153"/>
      <c r="I492" s="153"/>
      <c r="J492" s="227"/>
      <c r="K492" s="493">
        <f t="shared" ca="1" si="9"/>
        <v>0.13600000000000045</v>
      </c>
      <c r="L492" s="176">
        <f t="shared" ca="1" si="9"/>
        <v>0.43399999999999972</v>
      </c>
      <c r="M492" s="176">
        <f t="shared" ca="1" si="9"/>
        <v>0.70099999999999962</v>
      </c>
      <c r="N492" s="176">
        <f t="shared" ca="1" si="9"/>
        <v>0.91066046637486986</v>
      </c>
      <c r="O492" s="176">
        <f t="shared" ca="1" si="9"/>
        <v>1.1159999999999961</v>
      </c>
      <c r="Q492" s="5"/>
    </row>
    <row r="493" spans="1:17" s="53" customFormat="1">
      <c r="A493" s="53" t="s">
        <v>149</v>
      </c>
      <c r="B493" s="53" t="s">
        <v>69</v>
      </c>
      <c r="C493" s="51"/>
      <c r="D493" s="55" t="s">
        <v>74</v>
      </c>
      <c r="E493" s="52" t="s">
        <v>48</v>
      </c>
      <c r="F493" s="153"/>
      <c r="G493" s="153"/>
      <c r="H493" s="153"/>
      <c r="I493" s="153"/>
      <c r="J493" s="227"/>
      <c r="K493" s="493">
        <f t="shared" ca="1" si="9"/>
        <v>0.27515545184855122</v>
      </c>
      <c r="L493" s="176">
        <f t="shared" ca="1" si="9"/>
        <v>0.79321297494845733</v>
      </c>
      <c r="M493" s="176">
        <f t="shared" ca="1" si="9"/>
        <v>1.2349151930274302</v>
      </c>
      <c r="N493" s="176">
        <f t="shared" ca="1" si="9"/>
        <v>1.7078952428443248</v>
      </c>
      <c r="O493" s="176">
        <f t="shared" ca="1" si="9"/>
        <v>2.2240087936172679</v>
      </c>
      <c r="Q493" s="5"/>
    </row>
    <row r="494" spans="1:17" s="53" customFormat="1">
      <c r="A494" s="53" t="s">
        <v>149</v>
      </c>
      <c r="B494" s="53" t="s">
        <v>69</v>
      </c>
      <c r="C494" s="51"/>
      <c r="D494" s="55" t="s">
        <v>74</v>
      </c>
      <c r="E494" s="52" t="s">
        <v>49</v>
      </c>
      <c r="F494" s="153"/>
      <c r="G494" s="153"/>
      <c r="H494" s="153"/>
      <c r="I494" s="153"/>
      <c r="J494" s="227"/>
      <c r="K494" s="493">
        <f t="shared" ca="1" si="9"/>
        <v>0.72562487444767521</v>
      </c>
      <c r="L494" s="176">
        <f t="shared" ca="1" si="9"/>
        <v>2.6552265488195936</v>
      </c>
      <c r="M494" s="176">
        <f t="shared" ca="1" si="9"/>
        <v>5.4586062247627138</v>
      </c>
      <c r="N494" s="176">
        <f t="shared" ca="1" si="9"/>
        <v>8.0907290655784028</v>
      </c>
      <c r="O494" s="176">
        <f t="shared" ca="1" si="9"/>
        <v>10.033398669290458</v>
      </c>
      <c r="Q494" s="5"/>
    </row>
    <row r="495" spans="1:17" s="53" customFormat="1">
      <c r="A495" s="53" t="s">
        <v>149</v>
      </c>
      <c r="B495" s="53" t="s">
        <v>69</v>
      </c>
      <c r="C495" s="51"/>
      <c r="D495" s="55" t="s">
        <v>74</v>
      </c>
      <c r="E495" s="52" t="s">
        <v>50</v>
      </c>
      <c r="F495" s="153"/>
      <c r="G495" s="153"/>
      <c r="H495" s="153"/>
      <c r="I495" s="153"/>
      <c r="J495" s="227"/>
      <c r="K495" s="493">
        <f t="shared" ca="1" si="9"/>
        <v>1.0769001879612252</v>
      </c>
      <c r="L495" s="176">
        <f t="shared" ca="1" si="9"/>
        <v>2.257121208387094</v>
      </c>
      <c r="M495" s="176">
        <f t="shared" ca="1" si="9"/>
        <v>3.0320547025106035</v>
      </c>
      <c r="N495" s="176">
        <f t="shared" ca="1" si="9"/>
        <v>5.7436271246888042</v>
      </c>
      <c r="O495" s="176">
        <f t="shared" ca="1" si="9"/>
        <v>8.6067256620669266</v>
      </c>
      <c r="Q495" s="5"/>
    </row>
    <row r="496" spans="1:17" s="53" customFormat="1">
      <c r="A496" s="53" t="s">
        <v>149</v>
      </c>
      <c r="B496" s="53" t="s">
        <v>69</v>
      </c>
      <c r="C496" s="51"/>
      <c r="D496" s="55" t="s">
        <v>74</v>
      </c>
      <c r="E496" s="52" t="s">
        <v>51</v>
      </c>
      <c r="F496" s="153"/>
      <c r="G496" s="153"/>
      <c r="H496" s="153"/>
      <c r="I496" s="153"/>
      <c r="J496" s="227"/>
      <c r="K496" s="493">
        <f t="shared" ca="1" si="9"/>
        <v>0.49635807387573916</v>
      </c>
      <c r="L496" s="176">
        <f t="shared" ca="1" si="9"/>
        <v>0.47000210179617852</v>
      </c>
      <c r="M496" s="176">
        <f t="shared" ca="1" si="9"/>
        <v>0.59329664812194283</v>
      </c>
      <c r="N496" s="176">
        <f t="shared" ca="1" si="9"/>
        <v>0.57213809103597535</v>
      </c>
      <c r="O496" s="176">
        <f t="shared" ca="1" si="9"/>
        <v>0.52725936934663575</v>
      </c>
      <c r="Q496" s="5"/>
    </row>
    <row r="497" spans="1:17" s="53" customFormat="1">
      <c r="A497" s="53" t="s">
        <v>149</v>
      </c>
      <c r="B497" s="53" t="s">
        <v>69</v>
      </c>
      <c r="C497" s="51"/>
      <c r="D497" s="55" t="s">
        <v>74</v>
      </c>
      <c r="E497" s="52" t="s">
        <v>52</v>
      </c>
      <c r="F497" s="153"/>
      <c r="G497" s="153"/>
      <c r="H497" s="153"/>
      <c r="I497" s="153"/>
      <c r="J497" s="227"/>
      <c r="K497" s="493">
        <f t="shared" ca="1" si="9"/>
        <v>7.0584323309140176E-2</v>
      </c>
      <c r="L497" s="176">
        <f t="shared" ca="1" si="9"/>
        <v>0.21970019974084554</v>
      </c>
      <c r="M497" s="176">
        <f t="shared" ca="1" si="9"/>
        <v>0.38233389383346805</v>
      </c>
      <c r="N497" s="176">
        <f t="shared" ca="1" si="9"/>
        <v>0.54621082122793074</v>
      </c>
      <c r="O497" s="176">
        <f t="shared" ca="1" si="9"/>
        <v>0.7042939108270676</v>
      </c>
      <c r="Q497" s="5"/>
    </row>
    <row r="498" spans="1:17" s="53" customFormat="1">
      <c r="A498" s="53" t="s">
        <v>149</v>
      </c>
      <c r="B498" s="53" t="s">
        <v>69</v>
      </c>
      <c r="C498" s="51"/>
      <c r="D498" s="55" t="s">
        <v>74</v>
      </c>
      <c r="E498" s="52" t="s">
        <v>53</v>
      </c>
      <c r="F498" s="153"/>
      <c r="G498" s="153"/>
      <c r="H498" s="153"/>
      <c r="I498" s="153"/>
      <c r="J498" s="227"/>
      <c r="K498" s="493">
        <f t="shared" ref="K498:O505" ca="1" si="10">+K458*K478</f>
        <v>0.23192383326211125</v>
      </c>
      <c r="L498" s="176">
        <f t="shared" ca="1" si="10"/>
        <v>0.45377993665203736</v>
      </c>
      <c r="M498" s="176">
        <f t="shared" ca="1" si="10"/>
        <v>0.66464300287633349</v>
      </c>
      <c r="N498" s="176">
        <f t="shared" ca="1" si="10"/>
        <v>0.86376989098191526</v>
      </c>
      <c r="O498" s="176">
        <f t="shared" ca="1" si="10"/>
        <v>1.076837708562985</v>
      </c>
      <c r="Q498" s="5"/>
    </row>
    <row r="499" spans="1:17" s="53" customFormat="1">
      <c r="A499" s="53" t="s">
        <v>149</v>
      </c>
      <c r="B499" s="53" t="s">
        <v>69</v>
      </c>
      <c r="C499" s="51"/>
      <c r="D499" s="55" t="s">
        <v>74</v>
      </c>
      <c r="E499" s="52" t="s">
        <v>54</v>
      </c>
      <c r="F499" s="153"/>
      <c r="G499" s="153"/>
      <c r="H499" s="153"/>
      <c r="I499" s="153"/>
      <c r="J499" s="227"/>
      <c r="K499" s="493">
        <f t="shared" ca="1" si="10"/>
        <v>9.7290099318025694E-2</v>
      </c>
      <c r="L499" s="176">
        <f t="shared" ca="1" si="10"/>
        <v>0.29395182163047079</v>
      </c>
      <c r="M499" s="176">
        <f t="shared" ca="1" si="10"/>
        <v>0.49290808202042813</v>
      </c>
      <c r="N499" s="176">
        <f t="shared" ca="1" si="10"/>
        <v>0.69343641370138698</v>
      </c>
      <c r="O499" s="176">
        <f t="shared" ca="1" si="10"/>
        <v>0.90705041009063914</v>
      </c>
      <c r="Q499" s="5"/>
    </row>
    <row r="500" spans="1:17" s="53" customFormat="1">
      <c r="A500" s="53" t="s">
        <v>149</v>
      </c>
      <c r="B500" s="53" t="s">
        <v>69</v>
      </c>
      <c r="C500" s="51"/>
      <c r="D500" s="55" t="s">
        <v>74</v>
      </c>
      <c r="E500" s="52" t="s">
        <v>66</v>
      </c>
      <c r="F500" s="153"/>
      <c r="G500" s="153"/>
      <c r="H500" s="153"/>
      <c r="I500" s="153"/>
      <c r="J500" s="227"/>
      <c r="K500" s="493">
        <f t="shared" ca="1" si="10"/>
        <v>0.20640147867952005</v>
      </c>
      <c r="L500" s="176">
        <f t="shared" ca="1" si="10"/>
        <v>0.40500223564403426</v>
      </c>
      <c r="M500" s="176">
        <f t="shared" ca="1" si="10"/>
        <v>0.62154746780035008</v>
      </c>
      <c r="N500" s="176">
        <f t="shared" ca="1" si="10"/>
        <v>0.84107221700378243</v>
      </c>
      <c r="O500" s="176">
        <f t="shared" ca="1" si="10"/>
        <v>0.9821440632926044</v>
      </c>
      <c r="Q500" s="5"/>
    </row>
    <row r="501" spans="1:17" s="53" customFormat="1">
      <c r="A501" s="53" t="s">
        <v>149</v>
      </c>
      <c r="B501" s="53" t="s">
        <v>69</v>
      </c>
      <c r="C501" s="51"/>
      <c r="D501" s="55" t="s">
        <v>74</v>
      </c>
      <c r="E501" s="52" t="s">
        <v>55</v>
      </c>
      <c r="F501" s="153"/>
      <c r="G501" s="153"/>
      <c r="H501" s="153"/>
      <c r="I501" s="153"/>
      <c r="J501" s="227"/>
      <c r="K501" s="493">
        <f t="shared" ca="1" si="10"/>
        <v>3.4980824903783944E-2</v>
      </c>
      <c r="L501" s="176">
        <f t="shared" ca="1" si="10"/>
        <v>6.5846258642416833E-2</v>
      </c>
      <c r="M501" s="176">
        <f t="shared" ca="1" si="10"/>
        <v>8.459260874423967E-2</v>
      </c>
      <c r="N501" s="176">
        <f t="shared" ca="1" si="10"/>
        <v>9.8087265952177968E-2</v>
      </c>
      <c r="O501" s="176">
        <f t="shared" ca="1" si="10"/>
        <v>0.11271167931659776</v>
      </c>
      <c r="Q501" s="5"/>
    </row>
    <row r="502" spans="1:17" s="53" customFormat="1">
      <c r="A502" s="53" t="s">
        <v>149</v>
      </c>
      <c r="B502" s="53" t="s">
        <v>69</v>
      </c>
      <c r="C502" s="51"/>
      <c r="D502" s="55" t="s">
        <v>74</v>
      </c>
      <c r="E502" s="52" t="s">
        <v>56</v>
      </c>
      <c r="F502" s="153"/>
      <c r="G502" s="153"/>
      <c r="H502" s="153"/>
      <c r="I502" s="153"/>
      <c r="J502" s="227"/>
      <c r="K502" s="493">
        <f t="shared" ca="1" si="10"/>
        <v>1.2346173495453153E-2</v>
      </c>
      <c r="L502" s="176">
        <f t="shared" ca="1" si="10"/>
        <v>2.4692346990906305E-2</v>
      </c>
      <c r="M502" s="176">
        <f t="shared" ca="1" si="10"/>
        <v>3.7038520486359465E-2</v>
      </c>
      <c r="N502" s="176">
        <f t="shared" ca="1" si="10"/>
        <v>5.0413541773100368E-2</v>
      </c>
      <c r="O502" s="176">
        <f t="shared" ca="1" si="10"/>
        <v>6.2759715268553493E-2</v>
      </c>
      <c r="Q502" s="5"/>
    </row>
    <row r="503" spans="1:17" s="53" customFormat="1">
      <c r="A503" s="53" t="s">
        <v>149</v>
      </c>
      <c r="B503" s="53" t="s">
        <v>69</v>
      </c>
      <c r="C503" s="51"/>
      <c r="D503" s="55" t="s">
        <v>74</v>
      </c>
      <c r="E503" s="52" t="s">
        <v>57</v>
      </c>
      <c r="F503" s="153"/>
      <c r="G503" s="153"/>
      <c r="H503" s="153"/>
      <c r="I503" s="153"/>
      <c r="J503" s="227"/>
      <c r="K503" s="493">
        <f t="shared" ca="1" si="10"/>
        <v>5.614805379434544E-2</v>
      </c>
      <c r="L503" s="176">
        <f t="shared" ca="1" si="10"/>
        <v>0.11337282258211455</v>
      </c>
      <c r="M503" s="176">
        <f t="shared" ca="1" si="10"/>
        <v>0.17517662815145221</v>
      </c>
      <c r="N503" s="176">
        <f t="shared" ca="1" si="10"/>
        <v>0.23720037381830061</v>
      </c>
      <c r="O503" s="176">
        <f t="shared" ca="1" si="10"/>
        <v>0.23252593499922516</v>
      </c>
      <c r="Q503" s="5"/>
    </row>
    <row r="504" spans="1:17" s="53" customFormat="1">
      <c r="A504" s="53" t="s">
        <v>149</v>
      </c>
      <c r="B504" s="53" t="s">
        <v>69</v>
      </c>
      <c r="C504" s="51"/>
      <c r="D504" s="55" t="s">
        <v>74</v>
      </c>
      <c r="E504" s="52" t="s">
        <v>58</v>
      </c>
      <c r="F504" s="153"/>
      <c r="G504" s="153"/>
      <c r="H504" s="153"/>
      <c r="I504" s="153"/>
      <c r="J504" s="227"/>
      <c r="K504" s="493">
        <f t="shared" ca="1" si="10"/>
        <v>0.10189131937063887</v>
      </c>
      <c r="L504" s="176">
        <f t="shared" ca="1" si="10"/>
        <v>0.36744594189143182</v>
      </c>
      <c r="M504" s="176">
        <f t="shared" ca="1" si="10"/>
        <v>0.63456155148180382</v>
      </c>
      <c r="N504" s="176">
        <f t="shared" ca="1" si="10"/>
        <v>0.82514743537820168</v>
      </c>
      <c r="O504" s="176">
        <f t="shared" ca="1" si="10"/>
        <v>1.035303055917161</v>
      </c>
      <c r="Q504" s="5"/>
    </row>
    <row r="505" spans="1:17" s="53" customFormat="1">
      <c r="A505" s="53" t="s">
        <v>149</v>
      </c>
      <c r="B505" s="53" t="s">
        <v>69</v>
      </c>
      <c r="C505" s="51"/>
      <c r="D505" s="55" t="s">
        <v>74</v>
      </c>
      <c r="E505" s="52" t="s">
        <v>59</v>
      </c>
      <c r="F505" s="153"/>
      <c r="G505" s="153"/>
      <c r="H505" s="153"/>
      <c r="I505" s="153"/>
      <c r="J505" s="227"/>
      <c r="K505" s="493">
        <f t="shared" ca="1" si="10"/>
        <v>3.5604448244935687E-2</v>
      </c>
      <c r="L505" s="176">
        <f t="shared" ca="1" si="10"/>
        <v>0.10136076095502136</v>
      </c>
      <c r="M505" s="176">
        <f t="shared" ca="1" si="10"/>
        <v>0.15435396596928677</v>
      </c>
      <c r="N505" s="176">
        <f t="shared" ca="1" si="10"/>
        <v>0.19612500084565174</v>
      </c>
      <c r="O505" s="176">
        <f t="shared" ca="1" si="10"/>
        <v>0.23011832411120292</v>
      </c>
      <c r="Q505" s="5"/>
    </row>
    <row r="506" spans="1:17" s="53" customFormat="1">
      <c r="C506" s="51"/>
      <c r="D506" s="55" t="s">
        <v>74</v>
      </c>
      <c r="E506" s="52" t="s">
        <v>65</v>
      </c>
      <c r="F506" s="153"/>
      <c r="G506" s="153"/>
      <c r="H506" s="153"/>
      <c r="I506" s="153"/>
      <c r="J506" s="227"/>
      <c r="K506" s="489">
        <f ca="1">SUM(K488:K505)</f>
        <v>6.7028424180730264</v>
      </c>
      <c r="L506" s="180">
        <f ca="1">SUM(L488:L505)</f>
        <v>15.742717884688856</v>
      </c>
      <c r="M506" s="180">
        <f ca="1">SUM(M488:M505)</f>
        <v>24.628500768417918</v>
      </c>
      <c r="N506" s="180">
        <f ca="1">SUM(N488:N505)</f>
        <v>34.44833917564344</v>
      </c>
      <c r="O506" s="180">
        <f ca="1">SUM(O488:O505)</f>
        <v>42.894184944932526</v>
      </c>
      <c r="Q506" s="5"/>
    </row>
    <row r="507" spans="1:17">
      <c r="A507" s="384"/>
      <c r="B507" s="385"/>
      <c r="C507" s="386"/>
      <c r="D507" s="387"/>
      <c r="E507" s="385"/>
      <c r="F507" s="388"/>
      <c r="G507" s="388"/>
      <c r="H507" s="388"/>
      <c r="I507" s="388"/>
      <c r="J507" s="388"/>
      <c r="K507" s="499"/>
      <c r="L507" s="389"/>
      <c r="M507" s="389"/>
      <c r="N507" s="389"/>
      <c r="O507" s="389"/>
      <c r="Q507" s="5"/>
    </row>
    <row r="508" spans="1:17" s="53" customFormat="1">
      <c r="A508" s="381"/>
      <c r="B508" s="381" t="s">
        <v>69</v>
      </c>
      <c r="C508" s="373"/>
      <c r="D508" s="373"/>
      <c r="E508" s="373"/>
      <c r="F508" s="374"/>
      <c r="G508" s="374"/>
      <c r="H508" s="374"/>
      <c r="I508" s="374"/>
      <c r="J508" s="374"/>
      <c r="K508" s="500"/>
      <c r="L508" s="375"/>
      <c r="M508" s="375"/>
      <c r="N508" s="375"/>
      <c r="O508" s="375"/>
      <c r="Q508" s="5"/>
    </row>
    <row r="509" spans="1:17" s="53" customFormat="1">
      <c r="A509" s="381"/>
      <c r="B509" s="381" t="s">
        <v>69</v>
      </c>
      <c r="C509" s="373"/>
      <c r="D509" s="373"/>
      <c r="E509" s="373"/>
      <c r="F509" s="374"/>
      <c r="G509" s="374"/>
      <c r="H509" s="374"/>
      <c r="I509" s="374"/>
      <c r="J509" s="374"/>
      <c r="K509" s="500"/>
      <c r="L509" s="375"/>
      <c r="M509" s="375"/>
      <c r="N509" s="375"/>
      <c r="O509" s="375"/>
      <c r="Q509" s="5"/>
    </row>
    <row r="510" spans="1:17" s="53" customFormat="1">
      <c r="A510" s="381"/>
      <c r="B510" s="381" t="s">
        <v>69</v>
      </c>
      <c r="C510" s="373"/>
      <c r="D510" s="373"/>
      <c r="E510" s="373"/>
      <c r="F510" s="374"/>
      <c r="G510" s="374"/>
      <c r="H510" s="374"/>
      <c r="I510" s="374"/>
      <c r="J510" s="374"/>
      <c r="K510" s="500"/>
      <c r="L510" s="375"/>
      <c r="M510" s="375"/>
      <c r="N510" s="375"/>
      <c r="O510" s="375"/>
      <c r="Q510" s="5"/>
    </row>
    <row r="511" spans="1:17" s="53" customFormat="1">
      <c r="A511" s="381"/>
      <c r="B511" s="381" t="s">
        <v>69</v>
      </c>
      <c r="C511" s="373"/>
      <c r="D511" s="373"/>
      <c r="E511" s="373"/>
      <c r="F511" s="374"/>
      <c r="G511" s="374"/>
      <c r="H511" s="374"/>
      <c r="I511" s="374"/>
      <c r="J511" s="374"/>
      <c r="K511" s="500"/>
      <c r="L511" s="375"/>
      <c r="M511" s="375"/>
      <c r="N511" s="375"/>
      <c r="O511" s="375"/>
      <c r="Q511" s="5"/>
    </row>
    <row r="512" spans="1:17" s="53" customFormat="1">
      <c r="A512" s="381"/>
      <c r="B512" s="381" t="s">
        <v>69</v>
      </c>
      <c r="C512" s="373"/>
      <c r="D512" s="373"/>
      <c r="E512" s="373"/>
      <c r="F512" s="374"/>
      <c r="G512" s="374"/>
      <c r="H512" s="374"/>
      <c r="I512" s="374"/>
      <c r="J512" s="374"/>
      <c r="K512" s="500"/>
      <c r="L512" s="375"/>
      <c r="M512" s="375"/>
      <c r="N512" s="375"/>
      <c r="O512" s="375"/>
      <c r="Q512" s="5"/>
    </row>
    <row r="513" spans="1:17" s="53" customFormat="1">
      <c r="A513" s="381"/>
      <c r="B513" s="381" t="s">
        <v>69</v>
      </c>
      <c r="C513" s="373"/>
      <c r="D513" s="373"/>
      <c r="E513" s="373"/>
      <c r="F513" s="374"/>
      <c r="G513" s="374"/>
      <c r="H513" s="374"/>
      <c r="I513" s="374"/>
      <c r="J513" s="374"/>
      <c r="K513" s="500"/>
      <c r="L513" s="375"/>
      <c r="M513" s="375"/>
      <c r="N513" s="375"/>
      <c r="O513" s="375"/>
      <c r="Q513" s="5"/>
    </row>
    <row r="514" spans="1:17" s="53" customFormat="1">
      <c r="A514" s="381"/>
      <c r="B514" s="381" t="s">
        <v>69</v>
      </c>
      <c r="C514" s="373"/>
      <c r="D514" s="373"/>
      <c r="E514" s="373"/>
      <c r="F514" s="374"/>
      <c r="G514" s="374"/>
      <c r="H514" s="374"/>
      <c r="I514" s="374"/>
      <c r="J514" s="374"/>
      <c r="K514" s="500"/>
      <c r="L514" s="375"/>
      <c r="M514" s="375"/>
      <c r="N514" s="375"/>
      <c r="O514" s="375"/>
      <c r="Q514" s="5"/>
    </row>
    <row r="515" spans="1:17" s="53" customFormat="1">
      <c r="A515" s="381"/>
      <c r="B515" s="381" t="s">
        <v>69</v>
      </c>
      <c r="C515" s="373"/>
      <c r="D515" s="373"/>
      <c r="E515" s="373"/>
      <c r="F515" s="374"/>
      <c r="G515" s="374"/>
      <c r="H515" s="374"/>
      <c r="I515" s="374"/>
      <c r="J515" s="374"/>
      <c r="K515" s="500"/>
      <c r="L515" s="375"/>
      <c r="M515" s="375"/>
      <c r="N515" s="375"/>
      <c r="O515" s="375"/>
      <c r="Q515" s="5"/>
    </row>
    <row r="516" spans="1:17" s="53" customFormat="1">
      <c r="A516" s="381"/>
      <c r="B516" s="381" t="s">
        <v>69</v>
      </c>
      <c r="C516" s="373"/>
      <c r="D516" s="373"/>
      <c r="E516" s="373"/>
      <c r="F516" s="374"/>
      <c r="G516" s="374"/>
      <c r="H516" s="374"/>
      <c r="I516" s="374"/>
      <c r="J516" s="374"/>
      <c r="K516" s="500"/>
      <c r="L516" s="375"/>
      <c r="M516" s="375"/>
      <c r="N516" s="375"/>
      <c r="O516" s="375"/>
      <c r="Q516" s="5"/>
    </row>
    <row r="517" spans="1:17" s="53" customFormat="1">
      <c r="A517" s="381"/>
      <c r="B517" s="381" t="s">
        <v>69</v>
      </c>
      <c r="C517" s="373"/>
      <c r="D517" s="373"/>
      <c r="E517" s="373"/>
      <c r="F517" s="374"/>
      <c r="G517" s="374"/>
      <c r="H517" s="374"/>
      <c r="I517" s="374"/>
      <c r="J517" s="374"/>
      <c r="K517" s="500"/>
      <c r="L517" s="375"/>
      <c r="M517" s="375"/>
      <c r="N517" s="375"/>
      <c r="O517" s="375"/>
      <c r="Q517" s="5"/>
    </row>
    <row r="518" spans="1:17" s="53" customFormat="1">
      <c r="A518" s="381"/>
      <c r="B518" s="381" t="s">
        <v>69</v>
      </c>
      <c r="C518" s="373"/>
      <c r="D518" s="373"/>
      <c r="E518" s="373"/>
      <c r="F518" s="374"/>
      <c r="G518" s="374"/>
      <c r="H518" s="374"/>
      <c r="I518" s="374"/>
      <c r="J518" s="374"/>
      <c r="K518" s="500"/>
      <c r="L518" s="375"/>
      <c r="M518" s="375"/>
      <c r="N518" s="375"/>
      <c r="O518" s="375"/>
      <c r="Q518" s="5"/>
    </row>
    <row r="519" spans="1:17" s="53" customFormat="1">
      <c r="A519" s="381"/>
      <c r="B519" s="381" t="s">
        <v>69</v>
      </c>
      <c r="C519" s="373"/>
      <c r="D519" s="373"/>
      <c r="E519" s="373"/>
      <c r="F519" s="374"/>
      <c r="G519" s="374"/>
      <c r="H519" s="374"/>
      <c r="I519" s="374"/>
      <c r="J519" s="374"/>
      <c r="K519" s="500"/>
      <c r="L519" s="375"/>
      <c r="M519" s="375"/>
      <c r="N519" s="375"/>
      <c r="O519" s="375"/>
      <c r="Q519" s="5"/>
    </row>
    <row r="520" spans="1:17" s="53" customFormat="1">
      <c r="A520" s="381"/>
      <c r="B520" s="381" t="s">
        <v>69</v>
      </c>
      <c r="C520" s="373"/>
      <c r="D520" s="373"/>
      <c r="E520" s="373"/>
      <c r="F520" s="374"/>
      <c r="G520" s="374"/>
      <c r="H520" s="374"/>
      <c r="I520" s="374"/>
      <c r="J520" s="374"/>
      <c r="K520" s="500"/>
      <c r="L520" s="375"/>
      <c r="M520" s="375"/>
      <c r="N520" s="375"/>
      <c r="O520" s="375"/>
      <c r="Q520" s="5"/>
    </row>
    <row r="521" spans="1:17" s="53" customFormat="1">
      <c r="A521" s="381"/>
      <c r="B521" s="381" t="s">
        <v>69</v>
      </c>
      <c r="C521" s="373"/>
      <c r="D521" s="373"/>
      <c r="E521" s="373"/>
      <c r="F521" s="374"/>
      <c r="G521" s="374"/>
      <c r="H521" s="374"/>
      <c r="I521" s="374"/>
      <c r="J521" s="374"/>
      <c r="K521" s="500"/>
      <c r="L521" s="375"/>
      <c r="M521" s="375"/>
      <c r="N521" s="375"/>
      <c r="O521" s="375"/>
      <c r="Q521" s="5"/>
    </row>
    <row r="522" spans="1:17" s="53" customFormat="1">
      <c r="A522" s="381"/>
      <c r="B522" s="381" t="s">
        <v>69</v>
      </c>
      <c r="C522" s="373"/>
      <c r="D522" s="373"/>
      <c r="E522" s="373"/>
      <c r="F522" s="374"/>
      <c r="G522" s="374"/>
      <c r="H522" s="374"/>
      <c r="I522" s="374"/>
      <c r="J522" s="374"/>
      <c r="K522" s="500"/>
      <c r="L522" s="375"/>
      <c r="M522" s="375"/>
      <c r="N522" s="375"/>
      <c r="O522" s="375"/>
      <c r="Q522" s="5"/>
    </row>
    <row r="523" spans="1:17" s="53" customFormat="1">
      <c r="A523" s="381"/>
      <c r="B523" s="381" t="s">
        <v>69</v>
      </c>
      <c r="C523" s="373"/>
      <c r="D523" s="373"/>
      <c r="E523" s="373"/>
      <c r="F523" s="374"/>
      <c r="G523" s="374"/>
      <c r="H523" s="374"/>
      <c r="I523" s="374"/>
      <c r="J523" s="374"/>
      <c r="K523" s="500"/>
      <c r="L523" s="375"/>
      <c r="M523" s="375"/>
      <c r="N523" s="375"/>
      <c r="O523" s="375"/>
      <c r="Q523" s="5"/>
    </row>
    <row r="524" spans="1:17" s="53" customFormat="1">
      <c r="A524" s="381"/>
      <c r="B524" s="381" t="s">
        <v>69</v>
      </c>
      <c r="C524" s="373"/>
      <c r="D524" s="373"/>
      <c r="E524" s="373"/>
      <c r="F524" s="374"/>
      <c r="G524" s="374"/>
      <c r="H524" s="374"/>
      <c r="I524" s="374"/>
      <c r="J524" s="374"/>
      <c r="K524" s="500"/>
      <c r="L524" s="375"/>
      <c r="M524" s="375"/>
      <c r="N524" s="375"/>
      <c r="O524" s="375"/>
      <c r="Q524" s="5"/>
    </row>
    <row r="525" spans="1:17" s="53" customFormat="1">
      <c r="A525" s="381"/>
      <c r="B525" s="381" t="s">
        <v>69</v>
      </c>
      <c r="C525" s="373"/>
      <c r="D525" s="373"/>
      <c r="E525" s="373"/>
      <c r="F525" s="374"/>
      <c r="G525" s="374"/>
      <c r="H525" s="374"/>
      <c r="I525" s="374"/>
      <c r="J525" s="374"/>
      <c r="K525" s="500"/>
      <c r="L525" s="375"/>
      <c r="M525" s="375"/>
      <c r="N525" s="375"/>
      <c r="O525" s="375"/>
      <c r="Q525" s="5"/>
    </row>
    <row r="526" spans="1:17" s="53" customFormat="1">
      <c r="A526" s="381"/>
      <c r="B526" s="381"/>
      <c r="C526" s="373"/>
      <c r="D526" s="390"/>
      <c r="E526" s="376"/>
      <c r="F526" s="374"/>
      <c r="G526" s="374"/>
      <c r="H526" s="374"/>
      <c r="I526" s="374"/>
      <c r="J526" s="374"/>
      <c r="K526" s="501"/>
      <c r="L526" s="377"/>
      <c r="M526" s="377"/>
      <c r="N526" s="377"/>
      <c r="O526" s="377"/>
      <c r="Q526" s="5"/>
    </row>
    <row r="527" spans="1:17" s="53" customFormat="1">
      <c r="A527" s="381"/>
      <c r="B527" s="381"/>
      <c r="C527" s="373"/>
      <c r="D527" s="378"/>
      <c r="E527" s="379"/>
      <c r="F527" s="380"/>
      <c r="G527" s="380"/>
      <c r="H527" s="380"/>
      <c r="I527" s="380"/>
      <c r="J527" s="380"/>
      <c r="K527" s="502"/>
      <c r="L527" s="380"/>
      <c r="M527" s="380"/>
      <c r="N527" s="380"/>
      <c r="O527" s="380"/>
      <c r="Q527" s="5"/>
    </row>
    <row r="528" spans="1:17" s="53" customFormat="1">
      <c r="A528" s="381"/>
      <c r="B528" s="381"/>
      <c r="C528" s="373"/>
      <c r="D528" s="378"/>
      <c r="E528" s="379"/>
      <c r="F528" s="380"/>
      <c r="G528" s="380"/>
      <c r="H528" s="380"/>
      <c r="I528" s="380"/>
      <c r="J528" s="380"/>
      <c r="K528" s="502"/>
      <c r="L528" s="380"/>
      <c r="M528" s="380"/>
      <c r="N528" s="380"/>
      <c r="O528" s="380"/>
      <c r="Q528" s="5"/>
    </row>
    <row r="529" spans="1:17" s="53" customFormat="1">
      <c r="A529" s="381"/>
      <c r="B529" s="381"/>
      <c r="C529" s="373"/>
      <c r="D529" s="378"/>
      <c r="E529" s="379"/>
      <c r="F529" s="380"/>
      <c r="G529" s="380"/>
      <c r="H529" s="380"/>
      <c r="I529" s="380"/>
      <c r="J529" s="380"/>
      <c r="K529" s="502"/>
      <c r="L529" s="380"/>
      <c r="M529" s="380"/>
      <c r="N529" s="380"/>
      <c r="O529" s="380"/>
      <c r="Q529" s="5"/>
    </row>
    <row r="530" spans="1:17" s="53" customFormat="1">
      <c r="A530" s="381"/>
      <c r="B530" s="381"/>
      <c r="C530" s="373"/>
      <c r="D530" s="378"/>
      <c r="E530" s="379"/>
      <c r="F530" s="380"/>
      <c r="G530" s="380"/>
      <c r="H530" s="380"/>
      <c r="I530" s="380"/>
      <c r="J530" s="380"/>
      <c r="K530" s="502"/>
      <c r="L530" s="380"/>
      <c r="M530" s="380"/>
      <c r="N530" s="380"/>
      <c r="O530" s="380"/>
      <c r="Q530" s="5"/>
    </row>
    <row r="531" spans="1:17" s="53" customFormat="1">
      <c r="A531" s="381"/>
      <c r="B531" s="381"/>
      <c r="C531" s="373"/>
      <c r="D531" s="378"/>
      <c r="E531" s="379"/>
      <c r="F531" s="380"/>
      <c r="G531" s="380"/>
      <c r="H531" s="380"/>
      <c r="I531" s="380"/>
      <c r="J531" s="380"/>
      <c r="K531" s="502"/>
      <c r="L531" s="380"/>
      <c r="M531" s="380"/>
      <c r="N531" s="380"/>
      <c r="O531" s="380"/>
      <c r="Q531" s="5"/>
    </row>
    <row r="532" spans="1:17" s="53" customFormat="1">
      <c r="A532" s="381"/>
      <c r="B532" s="381"/>
      <c r="C532" s="373"/>
      <c r="D532" s="378"/>
      <c r="E532" s="379"/>
      <c r="F532" s="380"/>
      <c r="G532" s="380"/>
      <c r="H532" s="380"/>
      <c r="I532" s="380"/>
      <c r="J532" s="380"/>
      <c r="K532" s="502"/>
      <c r="L532" s="380"/>
      <c r="M532" s="380"/>
      <c r="N532" s="380"/>
      <c r="O532" s="380"/>
      <c r="Q532" s="5"/>
    </row>
    <row r="533" spans="1:17" s="53" customFormat="1">
      <c r="A533" s="381"/>
      <c r="B533" s="381"/>
      <c r="C533" s="373"/>
      <c r="D533" s="378"/>
      <c r="E533" s="379"/>
      <c r="F533" s="380"/>
      <c r="G533" s="380"/>
      <c r="H533" s="380"/>
      <c r="I533" s="380"/>
      <c r="J533" s="380"/>
      <c r="K533" s="502"/>
      <c r="L533" s="380"/>
      <c r="M533" s="380"/>
      <c r="N533" s="380"/>
      <c r="O533" s="380"/>
      <c r="Q533" s="5"/>
    </row>
    <row r="534" spans="1:17" s="53" customFormat="1">
      <c r="A534" s="381"/>
      <c r="B534" s="381"/>
      <c r="C534" s="373"/>
      <c r="D534" s="378"/>
      <c r="E534" s="379"/>
      <c r="F534" s="380"/>
      <c r="G534" s="380"/>
      <c r="H534" s="380"/>
      <c r="I534" s="380"/>
      <c r="J534" s="380"/>
      <c r="K534" s="502"/>
      <c r="L534" s="380"/>
      <c r="M534" s="380"/>
      <c r="N534" s="380"/>
      <c r="O534" s="380"/>
      <c r="Q534" s="5"/>
    </row>
    <row r="535" spans="1:17" s="53" customFormat="1">
      <c r="A535" s="381"/>
      <c r="B535" s="381"/>
      <c r="C535" s="373"/>
      <c r="D535" s="378"/>
      <c r="E535" s="379"/>
      <c r="F535" s="380"/>
      <c r="G535" s="380"/>
      <c r="H535" s="380"/>
      <c r="I535" s="380"/>
      <c r="J535" s="380"/>
      <c r="K535" s="502"/>
      <c r="L535" s="380"/>
      <c r="M535" s="380"/>
      <c r="N535" s="380"/>
      <c r="O535" s="380"/>
      <c r="Q535" s="5"/>
    </row>
    <row r="536" spans="1:17" s="53" customFormat="1">
      <c r="A536" s="381"/>
      <c r="B536" s="381"/>
      <c r="C536" s="373"/>
      <c r="D536" s="378"/>
      <c r="E536" s="379"/>
      <c r="F536" s="380"/>
      <c r="G536" s="380"/>
      <c r="H536" s="380"/>
      <c r="I536" s="380"/>
      <c r="J536" s="380"/>
      <c r="K536" s="502"/>
      <c r="L536" s="380"/>
      <c r="M536" s="380"/>
      <c r="N536" s="380"/>
      <c r="O536" s="380"/>
      <c r="Q536" s="5"/>
    </row>
    <row r="537" spans="1:17" s="53" customFormat="1">
      <c r="A537" s="381"/>
      <c r="B537" s="381"/>
      <c r="C537" s="373"/>
      <c r="D537" s="378"/>
      <c r="E537" s="379"/>
      <c r="F537" s="380"/>
      <c r="G537" s="380"/>
      <c r="H537" s="380"/>
      <c r="I537" s="380"/>
      <c r="J537" s="380"/>
      <c r="K537" s="502"/>
      <c r="L537" s="380"/>
      <c r="M537" s="380"/>
      <c r="N537" s="380"/>
      <c r="O537" s="380"/>
      <c r="Q537" s="5"/>
    </row>
    <row r="538" spans="1:17" s="53" customFormat="1">
      <c r="A538" s="381"/>
      <c r="B538" s="381"/>
      <c r="C538" s="373"/>
      <c r="D538" s="378"/>
      <c r="E538" s="379"/>
      <c r="F538" s="380"/>
      <c r="G538" s="380"/>
      <c r="H538" s="380"/>
      <c r="I538" s="380"/>
      <c r="J538" s="380"/>
      <c r="K538" s="502"/>
      <c r="L538" s="380"/>
      <c r="M538" s="380"/>
      <c r="N538" s="380"/>
      <c r="O538" s="380"/>
      <c r="Q538" s="5"/>
    </row>
    <row r="539" spans="1:17" s="53" customFormat="1">
      <c r="A539" s="381"/>
      <c r="B539" s="381"/>
      <c r="C539" s="373"/>
      <c r="D539" s="378"/>
      <c r="E539" s="379"/>
      <c r="F539" s="380"/>
      <c r="G539" s="380"/>
      <c r="H539" s="380"/>
      <c r="I539" s="380"/>
      <c r="J539" s="380"/>
      <c r="K539" s="502"/>
      <c r="L539" s="380"/>
      <c r="M539" s="380"/>
      <c r="N539" s="380"/>
      <c r="O539" s="380"/>
      <c r="Q539" s="5"/>
    </row>
    <row r="540" spans="1:17" s="53" customFormat="1">
      <c r="A540" s="381"/>
      <c r="B540" s="381"/>
      <c r="C540" s="373"/>
      <c r="D540" s="378"/>
      <c r="E540" s="379"/>
      <c r="F540" s="380"/>
      <c r="G540" s="380"/>
      <c r="H540" s="380"/>
      <c r="I540" s="380"/>
      <c r="J540" s="380"/>
      <c r="K540" s="502"/>
      <c r="L540" s="380"/>
      <c r="M540" s="380"/>
      <c r="N540" s="380"/>
      <c r="O540" s="380"/>
      <c r="Q540" s="5"/>
    </row>
    <row r="541" spans="1:17" s="53" customFormat="1">
      <c r="A541" s="381"/>
      <c r="B541" s="381"/>
      <c r="C541" s="373"/>
      <c r="D541" s="378"/>
      <c r="E541" s="379"/>
      <c r="F541" s="380"/>
      <c r="G541" s="380"/>
      <c r="H541" s="380"/>
      <c r="I541" s="380"/>
      <c r="J541" s="380"/>
      <c r="K541" s="502"/>
      <c r="L541" s="380"/>
      <c r="M541" s="380"/>
      <c r="N541" s="380"/>
      <c r="O541" s="380"/>
      <c r="Q541" s="5"/>
    </row>
    <row r="542" spans="1:17" s="53" customFormat="1">
      <c r="A542" s="381"/>
      <c r="B542" s="381"/>
      <c r="C542" s="373"/>
      <c r="D542" s="378"/>
      <c r="E542" s="379"/>
      <c r="F542" s="380"/>
      <c r="G542" s="380"/>
      <c r="H542" s="380"/>
      <c r="I542" s="380"/>
      <c r="J542" s="380"/>
      <c r="K542" s="502"/>
      <c r="L542" s="380"/>
      <c r="M542" s="380"/>
      <c r="N542" s="380"/>
      <c r="O542" s="380"/>
      <c r="Q542" s="5"/>
    </row>
    <row r="543" spans="1:17" s="53" customFormat="1">
      <c r="A543" s="381"/>
      <c r="B543" s="381"/>
      <c r="C543" s="373"/>
      <c r="D543" s="378"/>
      <c r="E543" s="379"/>
      <c r="F543" s="380"/>
      <c r="G543" s="380"/>
      <c r="H543" s="380"/>
      <c r="I543" s="380"/>
      <c r="J543" s="380"/>
      <c r="K543" s="502"/>
      <c r="L543" s="380"/>
      <c r="M543" s="380"/>
      <c r="N543" s="380"/>
      <c r="O543" s="380"/>
      <c r="Q543" s="5"/>
    </row>
    <row r="544" spans="1:17" s="53" customFormat="1">
      <c r="A544" s="381"/>
      <c r="B544" s="381"/>
      <c r="C544" s="373"/>
      <c r="D544" s="378"/>
      <c r="E544" s="379"/>
      <c r="F544" s="380"/>
      <c r="G544" s="380"/>
      <c r="H544" s="380"/>
      <c r="I544" s="380"/>
      <c r="J544" s="380"/>
      <c r="K544" s="502"/>
      <c r="L544" s="380"/>
      <c r="M544" s="380"/>
      <c r="N544" s="380"/>
      <c r="O544" s="380"/>
      <c r="Q544" s="5"/>
    </row>
    <row r="545" spans="1:17" s="53" customFormat="1">
      <c r="A545" s="381"/>
      <c r="B545" s="381"/>
      <c r="C545" s="373"/>
      <c r="D545" s="378"/>
      <c r="E545" s="379"/>
      <c r="F545" s="380"/>
      <c r="G545" s="380"/>
      <c r="H545" s="380"/>
      <c r="I545" s="380"/>
      <c r="J545" s="380"/>
      <c r="K545" s="502"/>
      <c r="L545" s="380"/>
      <c r="M545" s="380"/>
      <c r="N545" s="380"/>
      <c r="O545" s="380"/>
      <c r="Q545" s="5"/>
    </row>
    <row r="546" spans="1:17" s="53" customFormat="1">
      <c r="A546" s="381"/>
      <c r="B546" s="381"/>
      <c r="C546" s="373"/>
      <c r="D546" s="378"/>
      <c r="E546" s="379"/>
      <c r="F546" s="380"/>
      <c r="G546" s="380"/>
      <c r="H546" s="380"/>
      <c r="I546" s="380"/>
      <c r="J546" s="380"/>
      <c r="K546" s="502"/>
      <c r="L546" s="380"/>
      <c r="M546" s="380"/>
      <c r="N546" s="380"/>
      <c r="O546" s="380"/>
      <c r="Q546" s="5"/>
    </row>
    <row r="547" spans="1:17" s="53" customFormat="1">
      <c r="A547" s="381"/>
      <c r="B547" s="381"/>
      <c r="C547" s="373"/>
      <c r="D547" s="378"/>
      <c r="E547" s="379"/>
      <c r="F547" s="380"/>
      <c r="G547" s="380"/>
      <c r="H547" s="380"/>
      <c r="I547" s="380"/>
      <c r="J547" s="380"/>
      <c r="K547" s="502"/>
      <c r="L547" s="380"/>
      <c r="M547" s="380"/>
      <c r="N547" s="380"/>
      <c r="O547" s="380"/>
      <c r="Q547" s="5"/>
    </row>
    <row r="548" spans="1:17" s="53" customFormat="1">
      <c r="A548" s="381"/>
      <c r="B548" s="381"/>
      <c r="C548" s="373"/>
      <c r="D548" s="378"/>
      <c r="E548" s="379"/>
      <c r="F548" s="380"/>
      <c r="G548" s="380"/>
      <c r="H548" s="380"/>
      <c r="I548" s="380"/>
      <c r="J548" s="380"/>
      <c r="K548" s="502"/>
      <c r="L548" s="380"/>
      <c r="M548" s="380"/>
      <c r="N548" s="380"/>
      <c r="O548" s="380"/>
      <c r="Q548" s="5"/>
    </row>
    <row r="549" spans="1:17" s="53" customFormat="1">
      <c r="A549" s="381"/>
      <c r="B549" s="381"/>
      <c r="C549" s="373"/>
      <c r="D549" s="378"/>
      <c r="E549" s="379"/>
      <c r="F549" s="380"/>
      <c r="G549" s="380"/>
      <c r="H549" s="380"/>
      <c r="I549" s="380"/>
      <c r="J549" s="380"/>
      <c r="K549" s="502"/>
      <c r="L549" s="380"/>
      <c r="M549" s="380"/>
      <c r="N549" s="380"/>
      <c r="O549" s="380"/>
      <c r="Q549" s="5"/>
    </row>
    <row r="550" spans="1:17" s="53" customFormat="1">
      <c r="A550" s="381"/>
      <c r="B550" s="381"/>
      <c r="C550" s="373"/>
      <c r="D550" s="378"/>
      <c r="E550" s="379"/>
      <c r="F550" s="380"/>
      <c r="G550" s="380"/>
      <c r="H550" s="380"/>
      <c r="I550" s="380"/>
      <c r="J550" s="380"/>
      <c r="K550" s="502"/>
      <c r="L550" s="380"/>
      <c r="M550" s="380"/>
      <c r="N550" s="380"/>
      <c r="O550" s="380"/>
      <c r="Q550" s="5"/>
    </row>
    <row r="551" spans="1:17" s="53" customFormat="1">
      <c r="A551" s="381"/>
      <c r="B551" s="381"/>
      <c r="C551" s="373"/>
      <c r="D551" s="378"/>
      <c r="E551" s="379"/>
      <c r="F551" s="380"/>
      <c r="G551" s="380"/>
      <c r="H551" s="380"/>
      <c r="I551" s="380"/>
      <c r="J551" s="380"/>
      <c r="K551" s="502"/>
      <c r="L551" s="380"/>
      <c r="M551" s="380"/>
      <c r="N551" s="380"/>
      <c r="O551" s="380"/>
      <c r="Q551" s="5"/>
    </row>
    <row r="552" spans="1:17" s="53" customFormat="1">
      <c r="A552" s="381"/>
      <c r="B552" s="381"/>
      <c r="C552" s="373"/>
      <c r="D552" s="378"/>
      <c r="E552" s="379"/>
      <c r="F552" s="380"/>
      <c r="G552" s="380"/>
      <c r="H552" s="380"/>
      <c r="I552" s="380"/>
      <c r="J552" s="380"/>
      <c r="K552" s="502"/>
      <c r="L552" s="380"/>
      <c r="M552" s="380"/>
      <c r="N552" s="380"/>
      <c r="O552" s="380"/>
      <c r="Q552" s="5"/>
    </row>
    <row r="553" spans="1:17" s="53" customFormat="1">
      <c r="A553" s="381"/>
      <c r="B553" s="381"/>
      <c r="C553" s="373"/>
      <c r="D553" s="378"/>
      <c r="E553" s="379"/>
      <c r="F553" s="380"/>
      <c r="G553" s="380"/>
      <c r="H553" s="380"/>
      <c r="I553" s="380"/>
      <c r="J553" s="380"/>
      <c r="K553" s="502"/>
      <c r="L553" s="380"/>
      <c r="M553" s="380"/>
      <c r="N553" s="380"/>
      <c r="O553" s="380"/>
      <c r="Q553" s="5"/>
    </row>
    <row r="554" spans="1:17" s="53" customFormat="1">
      <c r="A554" s="381"/>
      <c r="B554" s="381"/>
      <c r="C554" s="373"/>
      <c r="D554" s="378"/>
      <c r="E554" s="379"/>
      <c r="F554" s="380"/>
      <c r="G554" s="380"/>
      <c r="H554" s="380"/>
      <c r="I554" s="380"/>
      <c r="J554" s="380"/>
      <c r="K554" s="502"/>
      <c r="L554" s="380"/>
      <c r="M554" s="380"/>
      <c r="N554" s="380"/>
      <c r="O554" s="380"/>
      <c r="Q554" s="5"/>
    </row>
    <row r="555" spans="1:17" s="53" customFormat="1">
      <c r="A555" s="381"/>
      <c r="B555" s="381"/>
      <c r="C555" s="373"/>
      <c r="D555" s="378"/>
      <c r="E555" s="379"/>
      <c r="F555" s="380"/>
      <c r="G555" s="380"/>
      <c r="H555" s="380"/>
      <c r="I555" s="380"/>
      <c r="J555" s="380"/>
      <c r="K555" s="502"/>
      <c r="L555" s="380"/>
      <c r="M555" s="380"/>
      <c r="N555" s="380"/>
      <c r="O555" s="380"/>
      <c r="Q555" s="5"/>
    </row>
    <row r="556" spans="1:17" s="53" customFormat="1">
      <c r="A556" s="381"/>
      <c r="B556" s="381"/>
      <c r="C556" s="373"/>
      <c r="D556" s="378"/>
      <c r="E556" s="379"/>
      <c r="F556" s="380"/>
      <c r="G556" s="380"/>
      <c r="H556" s="380"/>
      <c r="I556" s="380"/>
      <c r="J556" s="380"/>
      <c r="K556" s="502"/>
      <c r="L556" s="380"/>
      <c r="M556" s="380"/>
      <c r="N556" s="380"/>
      <c r="O556" s="380"/>
      <c r="Q556" s="5"/>
    </row>
    <row r="557" spans="1:17" s="53" customFormat="1">
      <c r="A557" s="381"/>
      <c r="B557" s="381"/>
      <c r="C557" s="373"/>
      <c r="D557" s="378"/>
      <c r="E557" s="379"/>
      <c r="F557" s="380"/>
      <c r="G557" s="380"/>
      <c r="H557" s="380"/>
      <c r="I557" s="380"/>
      <c r="J557" s="380"/>
      <c r="K557" s="502"/>
      <c r="L557" s="380"/>
      <c r="M557" s="380"/>
      <c r="N557" s="380"/>
      <c r="O557" s="380"/>
      <c r="Q557" s="5"/>
    </row>
    <row r="558" spans="1:17" s="53" customFormat="1">
      <c r="A558" s="381"/>
      <c r="B558" s="381"/>
      <c r="C558" s="373"/>
      <c r="D558" s="378"/>
      <c r="E558" s="379"/>
      <c r="F558" s="380"/>
      <c r="G558" s="380"/>
      <c r="H558" s="380"/>
      <c r="I558" s="380"/>
      <c r="J558" s="380"/>
      <c r="K558" s="502"/>
      <c r="L558" s="380"/>
      <c r="M558" s="380"/>
      <c r="N558" s="380"/>
      <c r="O558" s="380"/>
      <c r="Q558" s="5"/>
    </row>
    <row r="559" spans="1:17" s="53" customFormat="1">
      <c r="A559" s="381"/>
      <c r="B559" s="381"/>
      <c r="C559" s="373"/>
      <c r="D559" s="378"/>
      <c r="E559" s="379"/>
      <c r="F559" s="380"/>
      <c r="G559" s="380"/>
      <c r="H559" s="380"/>
      <c r="I559" s="380"/>
      <c r="J559" s="380"/>
      <c r="K559" s="502"/>
      <c r="L559" s="380"/>
      <c r="M559" s="380"/>
      <c r="N559" s="380"/>
      <c r="O559" s="380"/>
      <c r="Q559" s="5"/>
    </row>
    <row r="560" spans="1:17" s="53" customFormat="1">
      <c r="A560" s="381"/>
      <c r="B560" s="381"/>
      <c r="C560" s="373"/>
      <c r="D560" s="378"/>
      <c r="E560" s="379"/>
      <c r="F560" s="380"/>
      <c r="G560" s="380"/>
      <c r="H560" s="380"/>
      <c r="I560" s="380"/>
      <c r="J560" s="380"/>
      <c r="K560" s="502"/>
      <c r="L560" s="380"/>
      <c r="M560" s="380"/>
      <c r="N560" s="380"/>
      <c r="O560" s="380"/>
      <c r="Q560" s="5"/>
    </row>
    <row r="561" spans="1:17" s="53" customFormat="1">
      <c r="A561" s="381"/>
      <c r="B561" s="381"/>
      <c r="C561" s="373"/>
      <c r="D561" s="378"/>
      <c r="E561" s="379"/>
      <c r="F561" s="380"/>
      <c r="G561" s="380"/>
      <c r="H561" s="380"/>
      <c r="I561" s="380"/>
      <c r="J561" s="380"/>
      <c r="K561" s="502"/>
      <c r="L561" s="380"/>
      <c r="M561" s="380"/>
      <c r="N561" s="380"/>
      <c r="O561" s="380"/>
      <c r="Q561" s="5"/>
    </row>
    <row r="562" spans="1:17" s="53" customFormat="1">
      <c r="A562" s="381"/>
      <c r="B562" s="381"/>
      <c r="C562" s="373"/>
      <c r="D562" s="378"/>
      <c r="E562" s="379"/>
      <c r="F562" s="380"/>
      <c r="G562" s="380"/>
      <c r="H562" s="380"/>
      <c r="I562" s="380"/>
      <c r="J562" s="380"/>
      <c r="K562" s="502"/>
      <c r="L562" s="380"/>
      <c r="M562" s="380"/>
      <c r="N562" s="380"/>
      <c r="O562" s="380"/>
      <c r="Q562" s="5"/>
    </row>
    <row r="563" spans="1:17" s="53" customFormat="1">
      <c r="A563" s="381"/>
      <c r="B563" s="381"/>
      <c r="C563" s="373"/>
      <c r="D563" s="378"/>
      <c r="E563" s="379"/>
      <c r="F563" s="380"/>
      <c r="G563" s="380"/>
      <c r="H563" s="380"/>
      <c r="I563" s="380"/>
      <c r="J563" s="380"/>
      <c r="K563" s="502"/>
      <c r="L563" s="380"/>
      <c r="M563" s="380"/>
      <c r="N563" s="380"/>
      <c r="O563" s="380"/>
      <c r="Q563" s="5"/>
    </row>
    <row r="564" spans="1:17" s="53" customFormat="1">
      <c r="A564" s="381"/>
      <c r="B564" s="381"/>
      <c r="C564" s="373"/>
      <c r="D564" s="378"/>
      <c r="E564" s="379"/>
      <c r="F564" s="380"/>
      <c r="G564" s="380"/>
      <c r="H564" s="380"/>
      <c r="I564" s="380"/>
      <c r="J564" s="380"/>
      <c r="K564" s="502"/>
      <c r="L564" s="380"/>
      <c r="M564" s="380"/>
      <c r="N564" s="380"/>
      <c r="O564" s="380"/>
      <c r="Q564" s="5"/>
    </row>
    <row r="565" spans="1:17" s="53" customFormat="1">
      <c r="A565" s="381"/>
      <c r="B565" s="381"/>
      <c r="C565" s="373"/>
      <c r="D565" s="378"/>
      <c r="E565" s="379"/>
      <c r="F565" s="380"/>
      <c r="G565" s="380"/>
      <c r="H565" s="380"/>
      <c r="I565" s="380"/>
      <c r="J565" s="380"/>
      <c r="K565" s="502"/>
      <c r="L565" s="380"/>
      <c r="M565" s="380"/>
      <c r="N565" s="380"/>
      <c r="O565" s="380"/>
      <c r="Q565" s="5"/>
    </row>
    <row r="566" spans="1:17" s="53" customFormat="1">
      <c r="A566" s="381"/>
      <c r="B566" s="381"/>
      <c r="C566" s="373"/>
      <c r="D566" s="378"/>
      <c r="E566" s="379"/>
      <c r="F566" s="380"/>
      <c r="G566" s="380"/>
      <c r="H566" s="380"/>
      <c r="I566" s="380"/>
      <c r="J566" s="380"/>
      <c r="K566" s="502"/>
      <c r="L566" s="380"/>
      <c r="M566" s="380"/>
      <c r="N566" s="380"/>
      <c r="O566" s="380"/>
      <c r="Q566" s="5"/>
    </row>
    <row r="567" spans="1:17" s="53" customFormat="1">
      <c r="A567" s="381"/>
      <c r="B567" s="381"/>
      <c r="C567" s="373"/>
      <c r="D567" s="378"/>
      <c r="E567" s="379"/>
      <c r="F567" s="380"/>
      <c r="G567" s="380"/>
      <c r="H567" s="380"/>
      <c r="I567" s="380"/>
      <c r="J567" s="380"/>
      <c r="K567" s="502"/>
      <c r="L567" s="380"/>
      <c r="M567" s="380"/>
      <c r="N567" s="380"/>
      <c r="O567" s="380"/>
      <c r="Q567" s="5"/>
    </row>
    <row r="568" spans="1:17" s="53" customFormat="1">
      <c r="A568" s="381"/>
      <c r="B568" s="381"/>
      <c r="C568" s="373"/>
      <c r="D568" s="378"/>
      <c r="E568" s="379"/>
      <c r="F568" s="380"/>
      <c r="G568" s="380"/>
      <c r="H568" s="380"/>
      <c r="I568" s="380"/>
      <c r="J568" s="380"/>
      <c r="K568" s="502"/>
      <c r="L568" s="380"/>
      <c r="M568" s="380"/>
      <c r="N568" s="380"/>
      <c r="O568" s="380"/>
      <c r="Q568" s="5"/>
    </row>
    <row r="569" spans="1:17" s="53" customFormat="1">
      <c r="A569" s="381"/>
      <c r="B569" s="381"/>
      <c r="C569" s="373"/>
      <c r="D569" s="378"/>
      <c r="E569" s="379"/>
      <c r="F569" s="380"/>
      <c r="G569" s="380"/>
      <c r="H569" s="380"/>
      <c r="I569" s="380"/>
      <c r="J569" s="380"/>
      <c r="K569" s="502"/>
      <c r="L569" s="380"/>
      <c r="M569" s="380"/>
      <c r="N569" s="380"/>
      <c r="O569" s="380"/>
      <c r="Q569" s="5"/>
    </row>
    <row r="570" spans="1:17" s="53" customFormat="1">
      <c r="A570" s="381"/>
      <c r="B570" s="381"/>
      <c r="C570" s="373"/>
      <c r="D570" s="378"/>
      <c r="E570" s="379"/>
      <c r="F570" s="380"/>
      <c r="G570" s="380"/>
      <c r="H570" s="380"/>
      <c r="I570" s="380"/>
      <c r="J570" s="380"/>
      <c r="K570" s="502"/>
      <c r="L570" s="380"/>
      <c r="M570" s="380"/>
      <c r="N570" s="380"/>
      <c r="O570" s="380"/>
      <c r="Q570" s="5"/>
    </row>
    <row r="571" spans="1:17" s="53" customFormat="1">
      <c r="A571" s="381"/>
      <c r="B571" s="381"/>
      <c r="C571" s="373"/>
      <c r="D571" s="378"/>
      <c r="E571" s="379"/>
      <c r="F571" s="380"/>
      <c r="G571" s="380"/>
      <c r="H571" s="380"/>
      <c r="I571" s="380"/>
      <c r="J571" s="380"/>
      <c r="K571" s="502"/>
      <c r="L571" s="380"/>
      <c r="M571" s="380"/>
      <c r="N571" s="380"/>
      <c r="O571" s="380"/>
      <c r="Q571" s="5"/>
    </row>
    <row r="572" spans="1:17" s="53" customFormat="1">
      <c r="A572" s="381"/>
      <c r="B572" s="381"/>
      <c r="C572" s="373"/>
      <c r="D572" s="378"/>
      <c r="E572" s="379"/>
      <c r="F572" s="380"/>
      <c r="G572" s="380"/>
      <c r="H572" s="380"/>
      <c r="I572" s="380"/>
      <c r="J572" s="380"/>
      <c r="K572" s="502"/>
      <c r="L572" s="380"/>
      <c r="M572" s="380"/>
      <c r="N572" s="380"/>
      <c r="O572" s="380"/>
      <c r="Q572" s="5"/>
    </row>
    <row r="573" spans="1:17" s="53" customFormat="1">
      <c r="A573" s="381"/>
      <c r="B573" s="381"/>
      <c r="C573" s="373"/>
      <c r="D573" s="378"/>
      <c r="E573" s="379"/>
      <c r="F573" s="380"/>
      <c r="G573" s="380"/>
      <c r="H573" s="380"/>
      <c r="I573" s="380"/>
      <c r="J573" s="380"/>
      <c r="K573" s="502"/>
      <c r="L573" s="380"/>
      <c r="M573" s="380"/>
      <c r="N573" s="380"/>
      <c r="O573" s="380"/>
      <c r="Q573" s="5"/>
    </row>
    <row r="574" spans="1:17" s="53" customFormat="1">
      <c r="A574" s="381"/>
      <c r="B574" s="381"/>
      <c r="C574" s="373"/>
      <c r="D574" s="378"/>
      <c r="E574" s="379"/>
      <c r="F574" s="380"/>
      <c r="G574" s="380"/>
      <c r="H574" s="380"/>
      <c r="I574" s="380"/>
      <c r="J574" s="380"/>
      <c r="K574" s="502"/>
      <c r="L574" s="380"/>
      <c r="M574" s="380"/>
      <c r="N574" s="380"/>
      <c r="O574" s="380"/>
      <c r="Q574" s="5"/>
    </row>
    <row r="575" spans="1:17" s="53" customFormat="1">
      <c r="A575" s="381"/>
      <c r="B575" s="381"/>
      <c r="C575" s="373"/>
      <c r="D575" s="378"/>
      <c r="E575" s="379"/>
      <c r="F575" s="380"/>
      <c r="G575" s="380"/>
      <c r="H575" s="380"/>
      <c r="I575" s="380"/>
      <c r="J575" s="380"/>
      <c r="K575" s="502"/>
      <c r="L575" s="380"/>
      <c r="M575" s="380"/>
      <c r="N575" s="380"/>
      <c r="O575" s="380"/>
      <c r="Q575" s="5"/>
    </row>
    <row r="576" spans="1:17" s="53" customFormat="1">
      <c r="A576" s="381"/>
      <c r="B576" s="381"/>
      <c r="C576" s="373"/>
      <c r="D576" s="378"/>
      <c r="E576" s="379"/>
      <c r="F576" s="380"/>
      <c r="G576" s="380"/>
      <c r="H576" s="380"/>
      <c r="I576" s="380"/>
      <c r="J576" s="380"/>
      <c r="K576" s="502"/>
      <c r="L576" s="380"/>
      <c r="M576" s="380"/>
      <c r="N576" s="380"/>
      <c r="O576" s="380"/>
      <c r="Q576" s="5"/>
    </row>
    <row r="577" spans="1:17" s="53" customFormat="1">
      <c r="A577" s="381"/>
      <c r="B577" s="381"/>
      <c r="C577" s="373"/>
      <c r="D577" s="378"/>
      <c r="E577" s="379"/>
      <c r="F577" s="380"/>
      <c r="G577" s="380"/>
      <c r="H577" s="380"/>
      <c r="I577" s="380"/>
      <c r="J577" s="380"/>
      <c r="K577" s="501"/>
      <c r="L577" s="377"/>
      <c r="M577" s="377"/>
      <c r="N577" s="377"/>
      <c r="O577" s="377"/>
      <c r="Q577" s="5"/>
    </row>
    <row r="578" spans="1:17" s="53" customFormat="1">
      <c r="A578" s="381"/>
      <c r="B578" s="381"/>
      <c r="C578" s="373"/>
      <c r="D578" s="378"/>
      <c r="E578" s="379"/>
      <c r="F578" s="380"/>
      <c r="G578" s="380"/>
      <c r="H578" s="380"/>
      <c r="I578" s="380"/>
      <c r="J578" s="380"/>
      <c r="K578" s="501"/>
      <c r="L578" s="377"/>
      <c r="M578" s="377"/>
      <c r="N578" s="377"/>
      <c r="O578" s="377"/>
      <c r="Q578" s="5"/>
    </row>
    <row r="579" spans="1:17" s="53" customFormat="1">
      <c r="A579" s="381"/>
      <c r="B579" s="381"/>
      <c r="C579" s="373"/>
      <c r="D579" s="390"/>
      <c r="E579" s="376"/>
      <c r="F579" s="374"/>
      <c r="G579" s="374"/>
      <c r="H579" s="374"/>
      <c r="I579" s="374"/>
      <c r="J579" s="374"/>
      <c r="K579" s="501"/>
      <c r="L579" s="377"/>
      <c r="M579" s="377"/>
      <c r="N579" s="377"/>
      <c r="O579" s="377"/>
      <c r="Q579" s="5"/>
    </row>
    <row r="580" spans="1:17">
      <c r="A580" s="384"/>
      <c r="B580" s="385"/>
      <c r="C580" s="386"/>
      <c r="D580" s="387"/>
      <c r="E580" s="391"/>
      <c r="F580" s="388"/>
      <c r="G580" s="388"/>
      <c r="H580" s="388"/>
      <c r="I580" s="388"/>
      <c r="J580" s="388"/>
      <c r="K580" s="503"/>
      <c r="L580" s="388"/>
      <c r="M580" s="388"/>
      <c r="N580" s="388"/>
      <c r="O580" s="388"/>
      <c r="Q580" s="5"/>
    </row>
    <row r="581" spans="1:17" s="53" customFormat="1">
      <c r="A581" s="381"/>
      <c r="B581" s="381"/>
      <c r="C581" s="373"/>
      <c r="D581" s="390"/>
      <c r="E581" s="376"/>
      <c r="F581" s="374"/>
      <c r="G581" s="374"/>
      <c r="H581" s="374"/>
      <c r="I581" s="374"/>
      <c r="J581" s="374"/>
      <c r="K581" s="501"/>
      <c r="L581" s="377"/>
      <c r="M581" s="377"/>
      <c r="N581" s="377"/>
      <c r="O581" s="377"/>
      <c r="Q581" s="5"/>
    </row>
    <row r="582" spans="1:17" s="53" customFormat="1">
      <c r="A582" s="381"/>
      <c r="B582" s="381"/>
      <c r="C582" s="373"/>
      <c r="D582" s="381"/>
      <c r="E582" s="376"/>
      <c r="F582" s="380"/>
      <c r="G582" s="380"/>
      <c r="H582" s="380"/>
      <c r="I582" s="380"/>
      <c r="J582" s="380"/>
      <c r="K582" s="502"/>
      <c r="L582" s="380"/>
      <c r="M582" s="380"/>
      <c r="N582" s="380"/>
      <c r="O582" s="380"/>
      <c r="Q582" s="5"/>
    </row>
    <row r="583" spans="1:17" s="53" customFormat="1">
      <c r="A583" s="381"/>
      <c r="B583" s="381"/>
      <c r="C583" s="373"/>
      <c r="D583" s="381"/>
      <c r="E583" s="376"/>
      <c r="F583" s="382"/>
      <c r="G583" s="382"/>
      <c r="H583" s="382"/>
      <c r="I583" s="382"/>
      <c r="J583" s="382"/>
      <c r="K583" s="504"/>
      <c r="L583" s="382"/>
      <c r="M583" s="382"/>
      <c r="N583" s="382"/>
      <c r="O583" s="382"/>
      <c r="Q583" s="5"/>
    </row>
    <row r="584" spans="1:17" s="53" customFormat="1">
      <c r="A584" s="381"/>
      <c r="B584" s="381"/>
      <c r="C584" s="373"/>
      <c r="D584" s="390"/>
      <c r="E584" s="376"/>
      <c r="F584" s="382"/>
      <c r="G584" s="382"/>
      <c r="H584" s="382"/>
      <c r="I584" s="382"/>
      <c r="J584" s="382"/>
      <c r="K584" s="501"/>
      <c r="L584" s="377"/>
      <c r="M584" s="377"/>
      <c r="N584" s="377"/>
      <c r="O584" s="377"/>
      <c r="Q584" s="5"/>
    </row>
    <row r="585" spans="1:17" s="53" customFormat="1">
      <c r="A585" s="381"/>
      <c r="B585" s="381"/>
      <c r="C585" s="373"/>
      <c r="D585" s="381"/>
      <c r="E585" s="376"/>
      <c r="F585" s="382"/>
      <c r="G585" s="382"/>
      <c r="H585" s="380"/>
      <c r="I585" s="380"/>
      <c r="J585" s="380"/>
      <c r="K585" s="502"/>
      <c r="L585" s="380"/>
      <c r="M585" s="380"/>
      <c r="N585" s="380"/>
      <c r="O585" s="380"/>
      <c r="Q585" s="5"/>
    </row>
    <row r="586" spans="1:17" s="53" customFormat="1">
      <c r="A586" s="381"/>
      <c r="B586" s="381"/>
      <c r="C586" s="373"/>
      <c r="D586" s="381"/>
      <c r="E586" s="376"/>
      <c r="F586" s="382"/>
      <c r="G586" s="382"/>
      <c r="H586" s="382"/>
      <c r="I586" s="382"/>
      <c r="J586" s="382"/>
      <c r="K586" s="504"/>
      <c r="L586" s="382"/>
      <c r="M586" s="382"/>
      <c r="N586" s="382"/>
      <c r="O586" s="382"/>
      <c r="Q586" s="5"/>
    </row>
    <row r="587" spans="1:17" s="53" customFormat="1">
      <c r="A587" s="381"/>
      <c r="B587" s="381"/>
      <c r="C587" s="373"/>
      <c r="D587" s="390"/>
      <c r="E587" s="376"/>
      <c r="F587" s="382"/>
      <c r="G587" s="382"/>
      <c r="H587" s="382"/>
      <c r="I587" s="382"/>
      <c r="J587" s="382"/>
      <c r="K587" s="504"/>
      <c r="L587" s="382"/>
      <c r="M587" s="382"/>
      <c r="N587" s="382"/>
      <c r="O587" s="382"/>
      <c r="Q587" s="5"/>
    </row>
    <row r="588" spans="1:17" s="53" customFormat="1">
      <c r="A588" s="381"/>
      <c r="B588" s="381"/>
      <c r="C588" s="373"/>
      <c r="D588" s="381"/>
      <c r="E588" s="376"/>
      <c r="F588" s="382"/>
      <c r="G588" s="382"/>
      <c r="H588" s="380"/>
      <c r="I588" s="380"/>
      <c r="J588" s="380"/>
      <c r="K588" s="502"/>
      <c r="L588" s="380"/>
      <c r="M588" s="380"/>
      <c r="N588" s="380"/>
      <c r="O588" s="380"/>
      <c r="Q588" s="5"/>
    </row>
    <row r="589" spans="1:17" s="53" customFormat="1">
      <c r="A589" s="381"/>
      <c r="B589" s="381"/>
      <c r="C589" s="373"/>
      <c r="D589" s="381"/>
      <c r="E589" s="376"/>
      <c r="F589" s="382"/>
      <c r="G589" s="382"/>
      <c r="H589" s="382"/>
      <c r="I589" s="382"/>
      <c r="J589" s="382"/>
      <c r="K589" s="504"/>
      <c r="L589" s="382"/>
      <c r="M589" s="382"/>
      <c r="N589" s="382"/>
      <c r="O589" s="382"/>
      <c r="Q589" s="5"/>
    </row>
    <row r="590" spans="1:17" s="53" customFormat="1">
      <c r="A590" s="381"/>
      <c r="B590" s="381"/>
      <c r="C590" s="373"/>
      <c r="D590" s="390"/>
      <c r="E590" s="376"/>
      <c r="F590" s="374"/>
      <c r="G590" s="374"/>
      <c r="H590" s="374"/>
      <c r="I590" s="374"/>
      <c r="J590" s="374"/>
      <c r="K590" s="505"/>
      <c r="L590" s="374"/>
      <c r="M590" s="374"/>
      <c r="N590" s="374"/>
      <c r="O590" s="374"/>
      <c r="Q590" s="5"/>
    </row>
    <row r="591" spans="1:17" s="53" customFormat="1">
      <c r="A591" s="381"/>
      <c r="B591" s="381"/>
      <c r="C591" s="373"/>
      <c r="D591" s="381"/>
      <c r="E591" s="376"/>
      <c r="F591" s="380"/>
      <c r="G591" s="380"/>
      <c r="H591" s="380"/>
      <c r="I591" s="380"/>
      <c r="J591" s="380"/>
      <c r="K591" s="502"/>
      <c r="L591" s="380"/>
      <c r="M591" s="380"/>
      <c r="N591" s="380"/>
      <c r="O591" s="380"/>
      <c r="Q591" s="5"/>
    </row>
    <row r="592" spans="1:17" s="53" customFormat="1">
      <c r="A592" s="381"/>
      <c r="B592" s="381"/>
      <c r="C592" s="373"/>
      <c r="D592" s="381"/>
      <c r="E592" s="376"/>
      <c r="F592" s="382"/>
      <c r="G592" s="382"/>
      <c r="H592" s="382"/>
      <c r="I592" s="382"/>
      <c r="J592" s="382"/>
      <c r="K592" s="504"/>
      <c r="L592" s="382"/>
      <c r="M592" s="382"/>
      <c r="N592" s="382"/>
      <c r="O592" s="382"/>
      <c r="Q592" s="5"/>
    </row>
    <row r="593" spans="1:17" s="53" customFormat="1">
      <c r="A593" s="381"/>
      <c r="B593" s="381"/>
      <c r="C593" s="373"/>
      <c r="D593" s="390"/>
      <c r="E593" s="376"/>
      <c r="F593" s="374"/>
      <c r="G593" s="374"/>
      <c r="H593" s="374"/>
      <c r="I593" s="374"/>
      <c r="J593" s="374"/>
      <c r="K593" s="505"/>
      <c r="L593" s="374"/>
      <c r="M593" s="374"/>
      <c r="N593" s="374"/>
      <c r="O593" s="374"/>
      <c r="Q593" s="5"/>
    </row>
    <row r="594" spans="1:17" s="53" customFormat="1">
      <c r="A594" s="381"/>
      <c r="B594" s="381"/>
      <c r="C594" s="373"/>
      <c r="D594" s="381"/>
      <c r="E594" s="376"/>
      <c r="F594" s="380"/>
      <c r="G594" s="380"/>
      <c r="H594" s="380"/>
      <c r="I594" s="380"/>
      <c r="J594" s="380"/>
      <c r="K594" s="502"/>
      <c r="L594" s="380"/>
      <c r="M594" s="380"/>
      <c r="N594" s="380"/>
      <c r="O594" s="380"/>
      <c r="Q594" s="5"/>
    </row>
    <row r="595" spans="1:17" s="53" customFormat="1">
      <c r="A595" s="381"/>
      <c r="B595" s="381"/>
      <c r="C595" s="373"/>
      <c r="D595" s="381"/>
      <c r="E595" s="376"/>
      <c r="F595" s="382"/>
      <c r="G595" s="382"/>
      <c r="H595" s="382"/>
      <c r="I595" s="382"/>
      <c r="J595" s="382"/>
      <c r="K595" s="504"/>
      <c r="L595" s="382"/>
      <c r="M595" s="382"/>
      <c r="N595" s="382"/>
      <c r="O595" s="382"/>
      <c r="Q595" s="5"/>
    </row>
    <row r="596" spans="1:17" s="53" customFormat="1">
      <c r="A596" s="381"/>
      <c r="B596" s="381"/>
      <c r="C596" s="373"/>
      <c r="D596" s="390"/>
      <c r="E596" s="376"/>
      <c r="F596" s="374"/>
      <c r="G596" s="374"/>
      <c r="H596" s="374"/>
      <c r="I596" s="374"/>
      <c r="J596" s="374"/>
      <c r="K596" s="505"/>
      <c r="L596" s="374"/>
      <c r="M596" s="374"/>
      <c r="N596" s="374"/>
      <c r="O596" s="374"/>
      <c r="Q596" s="5"/>
    </row>
    <row r="597" spans="1:17" s="53" customFormat="1">
      <c r="A597" s="381"/>
      <c r="B597" s="381"/>
      <c r="C597" s="373"/>
      <c r="D597" s="381"/>
      <c r="E597" s="376"/>
      <c r="F597" s="380"/>
      <c r="G597" s="380"/>
      <c r="H597" s="380"/>
      <c r="I597" s="380"/>
      <c r="J597" s="380"/>
      <c r="K597" s="502"/>
      <c r="L597" s="380"/>
      <c r="M597" s="380"/>
      <c r="N597" s="380"/>
      <c r="O597" s="380"/>
      <c r="Q597" s="5"/>
    </row>
    <row r="598" spans="1:17" s="53" customFormat="1">
      <c r="A598" s="381"/>
      <c r="B598" s="381"/>
      <c r="C598" s="373"/>
      <c r="D598" s="381"/>
      <c r="E598" s="376"/>
      <c r="F598" s="382"/>
      <c r="G598" s="382"/>
      <c r="H598" s="382"/>
      <c r="I598" s="382"/>
      <c r="J598" s="382"/>
      <c r="K598" s="504"/>
      <c r="L598" s="382"/>
      <c r="M598" s="382"/>
      <c r="N598" s="382"/>
      <c r="O598" s="382"/>
      <c r="Q598" s="5"/>
    </row>
    <row r="599" spans="1:17" s="53" customFormat="1">
      <c r="A599" s="381"/>
      <c r="B599" s="381"/>
      <c r="C599" s="373"/>
      <c r="D599" s="390"/>
      <c r="E599" s="376"/>
      <c r="F599" s="374"/>
      <c r="G599" s="374"/>
      <c r="H599" s="374"/>
      <c r="I599" s="374"/>
      <c r="J599" s="374"/>
      <c r="K599" s="505"/>
      <c r="L599" s="374"/>
      <c r="M599" s="374"/>
      <c r="N599" s="374"/>
      <c r="O599" s="374"/>
      <c r="Q599" s="5"/>
    </row>
    <row r="600" spans="1:17" s="53" customFormat="1">
      <c r="A600" s="381"/>
      <c r="B600" s="381"/>
      <c r="C600" s="373"/>
      <c r="D600" s="381"/>
      <c r="E600" s="376"/>
      <c r="F600" s="380"/>
      <c r="G600" s="380"/>
      <c r="H600" s="380"/>
      <c r="I600" s="380"/>
      <c r="J600" s="380"/>
      <c r="K600" s="502"/>
      <c r="L600" s="380"/>
      <c r="M600" s="380"/>
      <c r="N600" s="380"/>
      <c r="O600" s="380"/>
      <c r="Q600" s="5"/>
    </row>
    <row r="601" spans="1:17" s="53" customFormat="1">
      <c r="A601" s="381"/>
      <c r="B601" s="381"/>
      <c r="C601" s="373"/>
      <c r="D601" s="381"/>
      <c r="E601" s="376"/>
      <c r="F601" s="382"/>
      <c r="G601" s="382"/>
      <c r="H601" s="382"/>
      <c r="I601" s="382"/>
      <c r="J601" s="382"/>
      <c r="K601" s="504"/>
      <c r="L601" s="382"/>
      <c r="M601" s="382"/>
      <c r="N601" s="382"/>
      <c r="O601" s="382"/>
      <c r="Q601" s="5"/>
    </row>
    <row r="602" spans="1:17" s="53" customFormat="1">
      <c r="A602" s="381"/>
      <c r="B602" s="381"/>
      <c r="C602" s="373"/>
      <c r="D602" s="390"/>
      <c r="E602" s="376"/>
      <c r="F602" s="374"/>
      <c r="G602" s="374"/>
      <c r="H602" s="374"/>
      <c r="I602" s="374"/>
      <c r="J602" s="374"/>
      <c r="K602" s="505"/>
      <c r="L602" s="374"/>
      <c r="M602" s="374"/>
      <c r="N602" s="374"/>
      <c r="O602" s="374"/>
      <c r="Q602" s="5"/>
    </row>
    <row r="603" spans="1:17" s="53" customFormat="1">
      <c r="A603" s="381"/>
      <c r="B603" s="381"/>
      <c r="C603" s="373"/>
      <c r="D603" s="381"/>
      <c r="E603" s="376"/>
      <c r="F603" s="380"/>
      <c r="G603" s="380"/>
      <c r="H603" s="380"/>
      <c r="I603" s="380"/>
      <c r="J603" s="380"/>
      <c r="K603" s="502"/>
      <c r="L603" s="380"/>
      <c r="M603" s="380"/>
      <c r="N603" s="380"/>
      <c r="O603" s="380"/>
      <c r="Q603" s="5"/>
    </row>
    <row r="604" spans="1:17" s="53" customFormat="1">
      <c r="A604" s="381"/>
      <c r="B604" s="381"/>
      <c r="C604" s="373"/>
      <c r="D604" s="381"/>
      <c r="E604" s="376"/>
      <c r="F604" s="382"/>
      <c r="G604" s="382"/>
      <c r="H604" s="382"/>
      <c r="I604" s="382"/>
      <c r="J604" s="382"/>
      <c r="K604" s="504"/>
      <c r="L604" s="382"/>
      <c r="M604" s="382"/>
      <c r="N604" s="382"/>
      <c r="O604" s="382"/>
      <c r="Q604" s="5"/>
    </row>
    <row r="605" spans="1:17" s="53" customFormat="1">
      <c r="A605" s="381"/>
      <c r="B605" s="381"/>
      <c r="C605" s="373"/>
      <c r="D605" s="390"/>
      <c r="E605" s="376"/>
      <c r="F605" s="374"/>
      <c r="G605" s="374"/>
      <c r="H605" s="374"/>
      <c r="I605" s="374"/>
      <c r="J605" s="374"/>
      <c r="K605" s="505"/>
      <c r="L605" s="374"/>
      <c r="M605" s="374"/>
      <c r="N605" s="374"/>
      <c r="O605" s="374"/>
      <c r="Q605" s="5"/>
    </row>
    <row r="606" spans="1:17" s="53" customFormat="1">
      <c r="A606" s="381"/>
      <c r="B606" s="381"/>
      <c r="C606" s="373"/>
      <c r="D606" s="381"/>
      <c r="E606" s="376"/>
      <c r="F606" s="380"/>
      <c r="G606" s="380"/>
      <c r="H606" s="380"/>
      <c r="I606" s="380"/>
      <c r="J606" s="380"/>
      <c r="K606" s="502"/>
      <c r="L606" s="380"/>
      <c r="M606" s="380"/>
      <c r="N606" s="380"/>
      <c r="O606" s="380"/>
      <c r="Q606" s="5"/>
    </row>
    <row r="607" spans="1:17" s="53" customFormat="1">
      <c r="A607" s="381"/>
      <c r="B607" s="381"/>
      <c r="C607" s="373"/>
      <c r="D607" s="381"/>
      <c r="E607" s="376"/>
      <c r="F607" s="382"/>
      <c r="G607" s="382"/>
      <c r="H607" s="382"/>
      <c r="I607" s="382"/>
      <c r="J607" s="382"/>
      <c r="K607" s="504"/>
      <c r="L607" s="382"/>
      <c r="M607" s="382"/>
      <c r="N607" s="382"/>
      <c r="O607" s="382"/>
      <c r="Q607" s="5"/>
    </row>
    <row r="608" spans="1:17" s="53" customFormat="1">
      <c r="A608" s="381"/>
      <c r="B608" s="381"/>
      <c r="C608" s="373"/>
      <c r="D608" s="390"/>
      <c r="E608" s="376"/>
      <c r="F608" s="374"/>
      <c r="G608" s="374"/>
      <c r="H608" s="374"/>
      <c r="I608" s="374"/>
      <c r="J608" s="374"/>
      <c r="K608" s="505"/>
      <c r="L608" s="374"/>
      <c r="M608" s="374"/>
      <c r="N608" s="374"/>
      <c r="O608" s="374"/>
      <c r="Q608" s="5"/>
    </row>
    <row r="609" spans="1:17" s="53" customFormat="1">
      <c r="A609" s="381"/>
      <c r="B609" s="381"/>
      <c r="C609" s="373"/>
      <c r="D609" s="381"/>
      <c r="E609" s="376"/>
      <c r="F609" s="380"/>
      <c r="G609" s="380"/>
      <c r="H609" s="380"/>
      <c r="I609" s="380"/>
      <c r="J609" s="380"/>
      <c r="K609" s="502"/>
      <c r="L609" s="380"/>
      <c r="M609" s="380"/>
      <c r="N609" s="380"/>
      <c r="O609" s="380"/>
      <c r="Q609" s="5"/>
    </row>
    <row r="610" spans="1:17" s="53" customFormat="1">
      <c r="A610" s="381"/>
      <c r="B610" s="381"/>
      <c r="C610" s="373"/>
      <c r="D610" s="381"/>
      <c r="E610" s="376"/>
      <c r="F610" s="382"/>
      <c r="G610" s="382"/>
      <c r="H610" s="382"/>
      <c r="I610" s="382"/>
      <c r="J610" s="382"/>
      <c r="K610" s="504"/>
      <c r="L610" s="382"/>
      <c r="M610" s="382"/>
      <c r="N610" s="382"/>
      <c r="O610" s="382"/>
      <c r="Q610" s="5"/>
    </row>
    <row r="611" spans="1:17" s="53" customFormat="1">
      <c r="A611" s="381"/>
      <c r="B611" s="381"/>
      <c r="C611" s="373"/>
      <c r="D611" s="390"/>
      <c r="E611" s="376"/>
      <c r="F611" s="374"/>
      <c r="G611" s="374"/>
      <c r="H611" s="374"/>
      <c r="I611" s="374"/>
      <c r="J611" s="374"/>
      <c r="K611" s="505"/>
      <c r="L611" s="374"/>
      <c r="M611" s="374"/>
      <c r="N611" s="374"/>
      <c r="O611" s="374"/>
      <c r="Q611" s="5"/>
    </row>
    <row r="612" spans="1:17" s="53" customFormat="1">
      <c r="A612" s="381"/>
      <c r="B612" s="381"/>
      <c r="C612" s="373"/>
      <c r="D612" s="381"/>
      <c r="E612" s="376"/>
      <c r="F612" s="380"/>
      <c r="G612" s="380"/>
      <c r="H612" s="380"/>
      <c r="I612" s="380"/>
      <c r="J612" s="380"/>
      <c r="K612" s="502"/>
      <c r="L612" s="380"/>
      <c r="M612" s="380"/>
      <c r="N612" s="380"/>
      <c r="O612" s="380"/>
      <c r="Q612" s="5"/>
    </row>
    <row r="613" spans="1:17" s="53" customFormat="1">
      <c r="A613" s="381"/>
      <c r="B613" s="381"/>
      <c r="C613" s="373"/>
      <c r="D613" s="381"/>
      <c r="E613" s="376"/>
      <c r="F613" s="382"/>
      <c r="G613" s="382"/>
      <c r="H613" s="382"/>
      <c r="I613" s="382"/>
      <c r="J613" s="382"/>
      <c r="K613" s="504"/>
      <c r="L613" s="382"/>
      <c r="M613" s="382"/>
      <c r="N613" s="382"/>
      <c r="O613" s="382"/>
      <c r="Q613" s="5"/>
    </row>
    <row r="614" spans="1:17" s="53" customFormat="1">
      <c r="A614" s="381"/>
      <c r="B614" s="381"/>
      <c r="C614" s="373"/>
      <c r="D614" s="390"/>
      <c r="E614" s="376"/>
      <c r="F614" s="374"/>
      <c r="G614" s="374"/>
      <c r="H614" s="374"/>
      <c r="I614" s="374"/>
      <c r="J614" s="374"/>
      <c r="K614" s="505"/>
      <c r="L614" s="374"/>
      <c r="M614" s="374"/>
      <c r="N614" s="374"/>
      <c r="O614" s="374"/>
      <c r="Q614" s="5"/>
    </row>
    <row r="615" spans="1:17" s="53" customFormat="1">
      <c r="A615" s="381"/>
      <c r="B615" s="381"/>
      <c r="C615" s="373"/>
      <c r="D615" s="381"/>
      <c r="E615" s="376"/>
      <c r="F615" s="380"/>
      <c r="G615" s="380"/>
      <c r="H615" s="380"/>
      <c r="I615" s="380"/>
      <c r="J615" s="380"/>
      <c r="K615" s="502"/>
      <c r="L615" s="380"/>
      <c r="M615" s="380"/>
      <c r="N615" s="380"/>
      <c r="O615" s="380"/>
      <c r="Q615" s="5"/>
    </row>
    <row r="616" spans="1:17" s="53" customFormat="1">
      <c r="A616" s="381"/>
      <c r="B616" s="381"/>
      <c r="C616" s="373"/>
      <c r="D616" s="381"/>
      <c r="E616" s="376"/>
      <c r="F616" s="382"/>
      <c r="G616" s="382"/>
      <c r="H616" s="382"/>
      <c r="I616" s="382"/>
      <c r="J616" s="382"/>
      <c r="K616" s="504"/>
      <c r="L616" s="382"/>
      <c r="M616" s="382"/>
      <c r="N616" s="382"/>
      <c r="O616" s="382"/>
      <c r="Q616" s="5"/>
    </row>
    <row r="617" spans="1:17" s="53" customFormat="1">
      <c r="A617" s="381"/>
      <c r="B617" s="381"/>
      <c r="C617" s="373"/>
      <c r="D617" s="390"/>
      <c r="E617" s="376"/>
      <c r="F617" s="374"/>
      <c r="G617" s="374"/>
      <c r="H617" s="374"/>
      <c r="I617" s="374"/>
      <c r="J617" s="374"/>
      <c r="K617" s="505"/>
      <c r="L617" s="374"/>
      <c r="M617" s="374"/>
      <c r="N617" s="374"/>
      <c r="O617" s="374"/>
      <c r="Q617" s="5"/>
    </row>
    <row r="618" spans="1:17" s="53" customFormat="1">
      <c r="A618" s="381"/>
      <c r="B618" s="381"/>
      <c r="C618" s="373"/>
      <c r="D618" s="381"/>
      <c r="E618" s="376"/>
      <c r="F618" s="380"/>
      <c r="G618" s="380"/>
      <c r="H618" s="380"/>
      <c r="I618" s="380"/>
      <c r="J618" s="380"/>
      <c r="K618" s="502"/>
      <c r="L618" s="380"/>
      <c r="M618" s="380"/>
      <c r="N618" s="380"/>
      <c r="O618" s="380"/>
      <c r="Q618" s="5"/>
    </row>
    <row r="619" spans="1:17" s="53" customFormat="1">
      <c r="A619" s="381"/>
      <c r="B619" s="381"/>
      <c r="C619" s="373"/>
      <c r="D619" s="381"/>
      <c r="E619" s="376"/>
      <c r="F619" s="382"/>
      <c r="G619" s="382"/>
      <c r="H619" s="382"/>
      <c r="I619" s="382"/>
      <c r="J619" s="382"/>
      <c r="K619" s="504"/>
      <c r="L619" s="382"/>
      <c r="M619" s="382"/>
      <c r="N619" s="382"/>
      <c r="O619" s="382"/>
      <c r="Q619" s="5"/>
    </row>
    <row r="620" spans="1:17" s="53" customFormat="1">
      <c r="A620" s="381"/>
      <c r="B620" s="381"/>
      <c r="C620" s="373"/>
      <c r="D620" s="390"/>
      <c r="E620" s="376"/>
      <c r="F620" s="374"/>
      <c r="G620" s="374"/>
      <c r="H620" s="374"/>
      <c r="I620" s="374"/>
      <c r="J620" s="374"/>
      <c r="K620" s="505"/>
      <c r="L620" s="374"/>
      <c r="M620" s="374"/>
      <c r="N620" s="374"/>
      <c r="O620" s="374"/>
      <c r="Q620" s="5"/>
    </row>
    <row r="621" spans="1:17" s="53" customFormat="1">
      <c r="A621" s="381"/>
      <c r="B621" s="381"/>
      <c r="C621" s="373"/>
      <c r="D621" s="381"/>
      <c r="E621" s="376"/>
      <c r="F621" s="380"/>
      <c r="G621" s="380"/>
      <c r="H621" s="380"/>
      <c r="I621" s="380"/>
      <c r="J621" s="380"/>
      <c r="K621" s="502"/>
      <c r="L621" s="380"/>
      <c r="M621" s="380"/>
      <c r="N621" s="380"/>
      <c r="O621" s="380"/>
      <c r="Q621" s="5"/>
    </row>
    <row r="622" spans="1:17" s="53" customFormat="1">
      <c r="A622" s="381"/>
      <c r="B622" s="381"/>
      <c r="C622" s="373"/>
      <c r="D622" s="381"/>
      <c r="E622" s="376"/>
      <c r="F622" s="382"/>
      <c r="G622" s="382"/>
      <c r="H622" s="382"/>
      <c r="I622" s="382"/>
      <c r="J622" s="382"/>
      <c r="K622" s="504"/>
      <c r="L622" s="382"/>
      <c r="M622" s="382"/>
      <c r="N622" s="382"/>
      <c r="O622" s="382"/>
      <c r="Q622" s="5"/>
    </row>
    <row r="623" spans="1:17" s="53" customFormat="1">
      <c r="A623" s="381"/>
      <c r="B623" s="381"/>
      <c r="C623" s="373"/>
      <c r="D623" s="390"/>
      <c r="E623" s="376"/>
      <c r="F623" s="374"/>
      <c r="G623" s="374"/>
      <c r="H623" s="374"/>
      <c r="I623" s="374"/>
      <c r="J623" s="374"/>
      <c r="K623" s="505"/>
      <c r="L623" s="374"/>
      <c r="M623" s="374"/>
      <c r="N623" s="374"/>
      <c r="O623" s="374"/>
      <c r="Q623" s="5"/>
    </row>
    <row r="624" spans="1:17" s="53" customFormat="1">
      <c r="A624" s="381"/>
      <c r="B624" s="381"/>
      <c r="C624" s="373"/>
      <c r="D624" s="381"/>
      <c r="E624" s="376"/>
      <c r="F624" s="380"/>
      <c r="G624" s="380"/>
      <c r="H624" s="380"/>
      <c r="I624" s="380"/>
      <c r="J624" s="380"/>
      <c r="K624" s="502"/>
      <c r="L624" s="380"/>
      <c r="M624" s="380"/>
      <c r="N624" s="380"/>
      <c r="O624" s="380"/>
      <c r="Q624" s="5"/>
    </row>
    <row r="625" spans="1:17" s="53" customFormat="1">
      <c r="A625" s="381"/>
      <c r="B625" s="381"/>
      <c r="C625" s="373"/>
      <c r="D625" s="381"/>
      <c r="E625" s="376"/>
      <c r="F625" s="382"/>
      <c r="G625" s="382"/>
      <c r="H625" s="382"/>
      <c r="I625" s="382"/>
      <c r="J625" s="382"/>
      <c r="K625" s="504"/>
      <c r="L625" s="382"/>
      <c r="M625" s="382"/>
      <c r="N625" s="382"/>
      <c r="O625" s="382"/>
      <c r="Q625" s="5"/>
    </row>
    <row r="626" spans="1:17" s="53" customFormat="1">
      <c r="A626" s="381"/>
      <c r="B626" s="381"/>
      <c r="C626" s="373"/>
      <c r="D626" s="390"/>
      <c r="E626" s="376"/>
      <c r="F626" s="374"/>
      <c r="G626" s="374"/>
      <c r="H626" s="374"/>
      <c r="I626" s="374"/>
      <c r="J626" s="374"/>
      <c r="K626" s="505"/>
      <c r="L626" s="374"/>
      <c r="M626" s="374"/>
      <c r="N626" s="374"/>
      <c r="O626" s="374"/>
      <c r="Q626" s="5"/>
    </row>
    <row r="627" spans="1:17" s="53" customFormat="1">
      <c r="A627" s="381"/>
      <c r="B627" s="381"/>
      <c r="C627" s="373"/>
      <c r="D627" s="381"/>
      <c r="E627" s="376"/>
      <c r="F627" s="380"/>
      <c r="G627" s="380"/>
      <c r="H627" s="380"/>
      <c r="I627" s="380"/>
      <c r="J627" s="380"/>
      <c r="K627" s="502"/>
      <c r="L627" s="380"/>
      <c r="M627" s="380"/>
      <c r="N627" s="380"/>
      <c r="O627" s="380"/>
      <c r="Q627" s="5"/>
    </row>
    <row r="628" spans="1:17" s="53" customFormat="1">
      <c r="A628" s="381"/>
      <c r="B628" s="381"/>
      <c r="C628" s="373"/>
      <c r="D628" s="381"/>
      <c r="E628" s="376"/>
      <c r="F628" s="382"/>
      <c r="G628" s="382"/>
      <c r="H628" s="382"/>
      <c r="I628" s="382"/>
      <c r="J628" s="382"/>
      <c r="K628" s="504"/>
      <c r="L628" s="382"/>
      <c r="M628" s="382"/>
      <c r="N628" s="382"/>
      <c r="O628" s="382"/>
      <c r="Q628" s="5"/>
    </row>
    <row r="629" spans="1:17" s="53" customFormat="1">
      <c r="A629" s="381"/>
      <c r="B629" s="381"/>
      <c r="C629" s="373"/>
      <c r="D629" s="390"/>
      <c r="E629" s="376"/>
      <c r="F629" s="374"/>
      <c r="G629" s="374"/>
      <c r="H629" s="374"/>
      <c r="I629" s="374"/>
      <c r="J629" s="374"/>
      <c r="K629" s="505"/>
      <c r="L629" s="374"/>
      <c r="M629" s="374"/>
      <c r="N629" s="374"/>
      <c r="O629" s="374"/>
      <c r="Q629" s="5"/>
    </row>
    <row r="630" spans="1:17" s="53" customFormat="1">
      <c r="A630" s="381"/>
      <c r="B630" s="381"/>
      <c r="C630" s="373"/>
      <c r="D630" s="381"/>
      <c r="E630" s="376"/>
      <c r="F630" s="380"/>
      <c r="G630" s="380"/>
      <c r="H630" s="380"/>
      <c r="I630" s="380"/>
      <c r="J630" s="380"/>
      <c r="K630" s="502"/>
      <c r="L630" s="380"/>
      <c r="M630" s="380"/>
      <c r="N630" s="380"/>
      <c r="O630" s="380"/>
      <c r="Q630" s="5"/>
    </row>
    <row r="631" spans="1:17" s="53" customFormat="1">
      <c r="A631" s="381"/>
      <c r="B631" s="381"/>
      <c r="C631" s="373"/>
      <c r="D631" s="381"/>
      <c r="E631" s="376"/>
      <c r="F631" s="382"/>
      <c r="G631" s="382"/>
      <c r="H631" s="382"/>
      <c r="I631" s="382"/>
      <c r="J631" s="382"/>
      <c r="K631" s="504"/>
      <c r="L631" s="382"/>
      <c r="M631" s="382"/>
      <c r="N631" s="382"/>
      <c r="O631" s="382"/>
      <c r="Q631" s="5"/>
    </row>
    <row r="632" spans="1:17" s="53" customFormat="1">
      <c r="A632" s="381"/>
      <c r="B632" s="381"/>
      <c r="C632" s="373"/>
      <c r="D632" s="390"/>
      <c r="E632" s="376"/>
      <c r="F632" s="374"/>
      <c r="G632" s="374"/>
      <c r="H632" s="374"/>
      <c r="I632" s="374"/>
      <c r="J632" s="374"/>
      <c r="K632" s="505"/>
      <c r="L632" s="374"/>
      <c r="M632" s="374"/>
      <c r="N632" s="374"/>
      <c r="O632" s="374"/>
      <c r="Q632" s="5"/>
    </row>
    <row r="633" spans="1:17" s="53" customFormat="1">
      <c r="A633" s="381"/>
      <c r="B633" s="381"/>
      <c r="C633" s="373"/>
      <c r="D633" s="381"/>
      <c r="E633" s="376"/>
      <c r="F633" s="380"/>
      <c r="G633" s="380"/>
      <c r="H633" s="380"/>
      <c r="I633" s="380"/>
      <c r="J633" s="380"/>
      <c r="K633" s="502"/>
      <c r="L633" s="380"/>
      <c r="M633" s="380"/>
      <c r="N633" s="380"/>
      <c r="O633" s="380"/>
      <c r="Q633" s="5"/>
    </row>
    <row r="634" spans="1:17" s="53" customFormat="1">
      <c r="A634" s="381"/>
      <c r="B634" s="381"/>
      <c r="C634" s="373"/>
      <c r="D634" s="381"/>
      <c r="E634" s="376"/>
      <c r="F634" s="382"/>
      <c r="G634" s="382"/>
      <c r="H634" s="382"/>
      <c r="I634" s="382"/>
      <c r="J634" s="382"/>
      <c r="K634" s="504"/>
      <c r="L634" s="382"/>
      <c r="M634" s="382"/>
      <c r="N634" s="382"/>
      <c r="O634" s="382"/>
      <c r="Q634" s="5"/>
    </row>
    <row r="635" spans="1:17" s="53" customFormat="1">
      <c r="A635" s="381"/>
      <c r="B635" s="381"/>
      <c r="C635" s="373"/>
      <c r="D635" s="390"/>
      <c r="E635" s="376"/>
      <c r="F635" s="382"/>
      <c r="G635" s="382"/>
      <c r="H635" s="382"/>
      <c r="I635" s="382"/>
      <c r="J635" s="382"/>
      <c r="K635" s="501"/>
      <c r="L635" s="377"/>
      <c r="M635" s="377"/>
      <c r="N635" s="377"/>
      <c r="O635" s="377"/>
      <c r="Q635" s="5"/>
    </row>
    <row r="636" spans="1:17">
      <c r="A636" s="384"/>
      <c r="B636" s="385"/>
      <c r="C636" s="386"/>
      <c r="D636" s="387"/>
      <c r="E636" s="391"/>
      <c r="F636" s="388"/>
      <c r="G636" s="388"/>
      <c r="H636" s="388"/>
      <c r="I636" s="388"/>
      <c r="J636" s="388"/>
      <c r="K636" s="503"/>
      <c r="L636" s="388"/>
      <c r="M636" s="388"/>
      <c r="N636" s="388"/>
      <c r="O636" s="388"/>
      <c r="Q636" s="5"/>
    </row>
    <row r="637" spans="1:17" s="53" customFormat="1">
      <c r="A637" s="381"/>
      <c r="B637" s="381"/>
      <c r="C637" s="373"/>
      <c r="D637" s="390"/>
      <c r="E637" s="376"/>
      <c r="F637" s="374"/>
      <c r="G637" s="374"/>
      <c r="H637" s="374"/>
      <c r="I637" s="374"/>
      <c r="J637" s="374"/>
      <c r="K637" s="501"/>
      <c r="L637" s="377"/>
      <c r="M637" s="377"/>
      <c r="N637" s="377"/>
      <c r="O637" s="377"/>
      <c r="Q637" s="5"/>
    </row>
    <row r="638" spans="1:17" s="53" customFormat="1">
      <c r="A638" s="381"/>
      <c r="B638" s="381"/>
      <c r="C638" s="373"/>
      <c r="D638" s="381"/>
      <c r="E638" s="376"/>
      <c r="F638" s="380"/>
      <c r="G638" s="380"/>
      <c r="H638" s="380"/>
      <c r="I638" s="380"/>
      <c r="J638" s="380"/>
      <c r="K638" s="502"/>
      <c r="L638" s="380"/>
      <c r="M638" s="380"/>
      <c r="N638" s="380"/>
      <c r="O638" s="380"/>
      <c r="Q638" s="5"/>
    </row>
    <row r="639" spans="1:17" s="53" customFormat="1">
      <c r="A639" s="381"/>
      <c r="B639" s="381"/>
      <c r="C639" s="373"/>
      <c r="D639" s="381"/>
      <c r="E639" s="383"/>
      <c r="F639" s="380"/>
      <c r="G639" s="380"/>
      <c r="H639" s="380"/>
      <c r="I639" s="380"/>
      <c r="J639" s="380"/>
      <c r="K639" s="502"/>
      <c r="L639" s="380"/>
      <c r="M639" s="380"/>
      <c r="N639" s="380"/>
      <c r="O639" s="380"/>
      <c r="Q639" s="5"/>
    </row>
    <row r="640" spans="1:17" s="53" customFormat="1">
      <c r="A640" s="381"/>
      <c r="B640" s="381"/>
      <c r="C640" s="373"/>
      <c r="D640" s="381"/>
      <c r="E640" s="383"/>
      <c r="F640" s="380"/>
      <c r="G640" s="380"/>
      <c r="H640" s="380"/>
      <c r="I640" s="380"/>
      <c r="J640" s="380"/>
      <c r="K640" s="502"/>
      <c r="L640" s="380"/>
      <c r="M640" s="380"/>
      <c r="N640" s="380"/>
      <c r="O640" s="380"/>
      <c r="Q640" s="5"/>
    </row>
    <row r="641" spans="1:17" s="53" customFormat="1">
      <c r="A641" s="381"/>
      <c r="B641" s="381"/>
      <c r="C641" s="373"/>
      <c r="D641" s="381"/>
      <c r="E641" s="383"/>
      <c r="F641" s="380"/>
      <c r="G641" s="380"/>
      <c r="H641" s="380"/>
      <c r="I641" s="380"/>
      <c r="J641" s="380"/>
      <c r="K641" s="502"/>
      <c r="L641" s="380"/>
      <c r="M641" s="380"/>
      <c r="N641" s="380"/>
      <c r="O641" s="380"/>
      <c r="Q641" s="5"/>
    </row>
    <row r="642" spans="1:17" s="53" customFormat="1">
      <c r="A642" s="381"/>
      <c r="B642" s="381"/>
      <c r="C642" s="373"/>
      <c r="D642" s="381"/>
      <c r="E642" s="383"/>
      <c r="F642" s="380"/>
      <c r="G642" s="380"/>
      <c r="H642" s="380"/>
      <c r="I642" s="380"/>
      <c r="J642" s="380"/>
      <c r="K642" s="502"/>
      <c r="L642" s="380"/>
      <c r="M642" s="380"/>
      <c r="N642" s="380"/>
      <c r="O642" s="380"/>
      <c r="Q642" s="5"/>
    </row>
    <row r="643" spans="1:17" s="53" customFormat="1">
      <c r="A643" s="381"/>
      <c r="B643" s="381"/>
      <c r="C643" s="373"/>
      <c r="D643" s="381"/>
      <c r="E643" s="383"/>
      <c r="F643" s="380"/>
      <c r="G643" s="380"/>
      <c r="H643" s="380"/>
      <c r="I643" s="380"/>
      <c r="J643" s="380"/>
      <c r="K643" s="502"/>
      <c r="L643" s="380"/>
      <c r="M643" s="380"/>
      <c r="N643" s="380"/>
      <c r="O643" s="380"/>
      <c r="Q643" s="5"/>
    </row>
    <row r="644" spans="1:17" s="53" customFormat="1">
      <c r="A644" s="381"/>
      <c r="B644" s="381"/>
      <c r="C644" s="373"/>
      <c r="D644" s="381"/>
      <c r="E644" s="383"/>
      <c r="F644" s="380"/>
      <c r="G644" s="380"/>
      <c r="H644" s="380"/>
      <c r="I644" s="380"/>
      <c r="J644" s="380"/>
      <c r="K644" s="502"/>
      <c r="L644" s="380"/>
      <c r="M644" s="380"/>
      <c r="N644" s="380"/>
      <c r="O644" s="380"/>
      <c r="Q644" s="5"/>
    </row>
    <row r="645" spans="1:17" s="53" customFormat="1">
      <c r="A645" s="381"/>
      <c r="B645" s="381"/>
      <c r="C645" s="373"/>
      <c r="D645" s="381"/>
      <c r="E645" s="376"/>
      <c r="F645" s="380"/>
      <c r="G645" s="380"/>
      <c r="H645" s="380"/>
      <c r="I645" s="380"/>
      <c r="J645" s="380"/>
      <c r="K645" s="502"/>
      <c r="L645" s="380"/>
      <c r="M645" s="380"/>
      <c r="N645" s="380"/>
      <c r="O645" s="380"/>
      <c r="Q645" s="5"/>
    </row>
    <row r="646" spans="1:17" s="53" customFormat="1">
      <c r="A646" s="381"/>
      <c r="B646" s="381"/>
      <c r="C646" s="373"/>
      <c r="D646" s="390"/>
      <c r="E646" s="376"/>
      <c r="F646" s="374"/>
      <c r="G646" s="374"/>
      <c r="H646" s="374"/>
      <c r="I646" s="374"/>
      <c r="J646" s="374"/>
      <c r="K646" s="501"/>
      <c r="L646" s="377"/>
      <c r="M646" s="377"/>
      <c r="N646" s="377"/>
      <c r="O646" s="377"/>
      <c r="Q646" s="5"/>
    </row>
    <row r="647" spans="1:17" s="53" customFormat="1">
      <c r="A647" s="381"/>
      <c r="B647" s="381"/>
      <c r="C647" s="373"/>
      <c r="D647" s="381"/>
      <c r="E647" s="376"/>
      <c r="F647" s="380"/>
      <c r="G647" s="380"/>
      <c r="H647" s="380"/>
      <c r="I647" s="380"/>
      <c r="J647" s="380"/>
      <c r="K647" s="502"/>
      <c r="L647" s="380"/>
      <c r="M647" s="380"/>
      <c r="N647" s="380"/>
      <c r="O647" s="380"/>
      <c r="Q647" s="5"/>
    </row>
    <row r="648" spans="1:17" s="53" customFormat="1">
      <c r="A648" s="381"/>
      <c r="B648" s="381"/>
      <c r="C648" s="373"/>
      <c r="D648" s="381"/>
      <c r="E648" s="383"/>
      <c r="F648" s="380"/>
      <c r="G648" s="380"/>
      <c r="H648" s="380"/>
      <c r="I648" s="380"/>
      <c r="J648" s="380"/>
      <c r="K648" s="502"/>
      <c r="L648" s="380"/>
      <c r="M648" s="380"/>
      <c r="N648" s="380"/>
      <c r="O648" s="380"/>
      <c r="Q648" s="5"/>
    </row>
    <row r="649" spans="1:17" s="53" customFormat="1">
      <c r="A649" s="381"/>
      <c r="B649" s="381"/>
      <c r="C649" s="373"/>
      <c r="D649" s="381"/>
      <c r="E649" s="383"/>
      <c r="F649" s="380"/>
      <c r="G649" s="380"/>
      <c r="H649" s="380"/>
      <c r="I649" s="380"/>
      <c r="J649" s="380"/>
      <c r="K649" s="502"/>
      <c r="L649" s="380"/>
      <c r="M649" s="380"/>
      <c r="N649" s="380"/>
      <c r="O649" s="380"/>
      <c r="Q649" s="5"/>
    </row>
    <row r="650" spans="1:17" s="53" customFormat="1">
      <c r="A650" s="381"/>
      <c r="B650" s="381"/>
      <c r="C650" s="373"/>
      <c r="D650" s="381"/>
      <c r="E650" s="383"/>
      <c r="F650" s="380"/>
      <c r="G650" s="380"/>
      <c r="H650" s="380"/>
      <c r="I650" s="380"/>
      <c r="J650" s="380"/>
      <c r="K650" s="502"/>
      <c r="L650" s="380"/>
      <c r="M650" s="380"/>
      <c r="N650" s="380"/>
      <c r="O650" s="380"/>
      <c r="Q650" s="5"/>
    </row>
    <row r="651" spans="1:17" s="53" customFormat="1">
      <c r="A651" s="381"/>
      <c r="B651" s="381"/>
      <c r="C651" s="373"/>
      <c r="D651" s="381"/>
      <c r="E651" s="383"/>
      <c r="F651" s="380"/>
      <c r="G651" s="380"/>
      <c r="H651" s="380"/>
      <c r="I651" s="380"/>
      <c r="J651" s="380"/>
      <c r="K651" s="502"/>
      <c r="L651" s="380"/>
      <c r="M651" s="380"/>
      <c r="N651" s="380"/>
      <c r="O651" s="380"/>
      <c r="Q651" s="5"/>
    </row>
    <row r="652" spans="1:17" s="53" customFormat="1">
      <c r="A652" s="381"/>
      <c r="B652" s="381"/>
      <c r="C652" s="373"/>
      <c r="D652" s="381"/>
      <c r="E652" s="383"/>
      <c r="F652" s="380"/>
      <c r="G652" s="380"/>
      <c r="H652" s="380"/>
      <c r="I652" s="380"/>
      <c r="J652" s="380"/>
      <c r="K652" s="502"/>
      <c r="L652" s="380"/>
      <c r="M652" s="380"/>
      <c r="N652" s="380"/>
      <c r="O652" s="380"/>
      <c r="Q652" s="5"/>
    </row>
    <row r="653" spans="1:17" s="53" customFormat="1">
      <c r="A653" s="381"/>
      <c r="B653" s="381"/>
      <c r="C653" s="373"/>
      <c r="D653" s="381"/>
      <c r="E653" s="383"/>
      <c r="F653" s="380"/>
      <c r="G653" s="380"/>
      <c r="H653" s="380"/>
      <c r="I653" s="380"/>
      <c r="J653" s="380"/>
      <c r="K653" s="502"/>
      <c r="L653" s="380"/>
      <c r="M653" s="380"/>
      <c r="N653" s="380"/>
      <c r="O653" s="380"/>
      <c r="Q653" s="5"/>
    </row>
    <row r="654" spans="1:17" s="53" customFormat="1">
      <c r="A654" s="381"/>
      <c r="B654" s="381"/>
      <c r="C654" s="373"/>
      <c r="D654" s="381"/>
      <c r="E654" s="376"/>
      <c r="F654" s="380"/>
      <c r="G654" s="380"/>
      <c r="H654" s="380"/>
      <c r="I654" s="380"/>
      <c r="J654" s="380"/>
      <c r="K654" s="502"/>
      <c r="L654" s="380"/>
      <c r="M654" s="380"/>
      <c r="N654" s="380"/>
      <c r="O654" s="380"/>
      <c r="Q654" s="5"/>
    </row>
    <row r="655" spans="1:17" s="53" customFormat="1">
      <c r="A655" s="381"/>
      <c r="B655" s="381"/>
      <c r="C655" s="373"/>
      <c r="D655" s="390"/>
      <c r="E655" s="376"/>
      <c r="F655" s="374"/>
      <c r="G655" s="374"/>
      <c r="H655" s="374"/>
      <c r="I655" s="374"/>
      <c r="J655" s="374"/>
      <c r="K655" s="501"/>
      <c r="L655" s="377"/>
      <c r="M655" s="377"/>
      <c r="N655" s="377"/>
      <c r="O655" s="377"/>
      <c r="Q655" s="5"/>
    </row>
    <row r="656" spans="1:17" s="53" customFormat="1">
      <c r="A656" s="381"/>
      <c r="B656" s="381"/>
      <c r="C656" s="373"/>
      <c r="D656" s="381"/>
      <c r="E656" s="376"/>
      <c r="F656" s="380"/>
      <c r="G656" s="380"/>
      <c r="H656" s="380"/>
      <c r="I656" s="380"/>
      <c r="J656" s="380"/>
      <c r="K656" s="502"/>
      <c r="L656" s="380"/>
      <c r="M656" s="380"/>
      <c r="N656" s="380"/>
      <c r="O656" s="380"/>
      <c r="Q656" s="5"/>
    </row>
    <row r="657" spans="1:17" s="53" customFormat="1">
      <c r="A657" s="381"/>
      <c r="B657" s="381"/>
      <c r="C657" s="373"/>
      <c r="D657" s="381"/>
      <c r="E657" s="383"/>
      <c r="F657" s="380"/>
      <c r="G657" s="380"/>
      <c r="H657" s="380"/>
      <c r="I657" s="380"/>
      <c r="J657" s="380"/>
      <c r="K657" s="502"/>
      <c r="L657" s="380"/>
      <c r="M657" s="380"/>
      <c r="N657" s="380"/>
      <c r="O657" s="380"/>
      <c r="Q657" s="5"/>
    </row>
    <row r="658" spans="1:17" s="53" customFormat="1">
      <c r="A658" s="381"/>
      <c r="B658" s="381"/>
      <c r="C658" s="373"/>
      <c r="D658" s="381"/>
      <c r="E658" s="383"/>
      <c r="F658" s="380"/>
      <c r="G658" s="380"/>
      <c r="H658" s="380"/>
      <c r="I658" s="380"/>
      <c r="J658" s="380"/>
      <c r="K658" s="502"/>
      <c r="L658" s="380"/>
      <c r="M658" s="380"/>
      <c r="N658" s="380"/>
      <c r="O658" s="380"/>
      <c r="Q658" s="5"/>
    </row>
    <row r="659" spans="1:17" s="53" customFormat="1">
      <c r="A659" s="381"/>
      <c r="B659" s="381"/>
      <c r="C659" s="373"/>
      <c r="D659" s="381"/>
      <c r="E659" s="383"/>
      <c r="F659" s="380"/>
      <c r="G659" s="380"/>
      <c r="H659" s="380"/>
      <c r="I659" s="380"/>
      <c r="J659" s="380"/>
      <c r="K659" s="502"/>
      <c r="L659" s="380"/>
      <c r="M659" s="380"/>
      <c r="N659" s="380"/>
      <c r="O659" s="380"/>
      <c r="Q659" s="5"/>
    </row>
    <row r="660" spans="1:17" s="53" customFormat="1">
      <c r="A660" s="381"/>
      <c r="B660" s="381"/>
      <c r="C660" s="373"/>
      <c r="D660" s="381"/>
      <c r="E660" s="383"/>
      <c r="F660" s="380"/>
      <c r="G660" s="380"/>
      <c r="H660" s="380"/>
      <c r="I660" s="380"/>
      <c r="J660" s="380"/>
      <c r="K660" s="502"/>
      <c r="L660" s="380"/>
      <c r="M660" s="380"/>
      <c r="N660" s="380"/>
      <c r="O660" s="380"/>
      <c r="Q660" s="5"/>
    </row>
    <row r="661" spans="1:17" s="53" customFormat="1">
      <c r="A661" s="381"/>
      <c r="B661" s="381"/>
      <c r="C661" s="373"/>
      <c r="D661" s="381"/>
      <c r="E661" s="383"/>
      <c r="F661" s="380"/>
      <c r="G661" s="380"/>
      <c r="H661" s="380"/>
      <c r="I661" s="380"/>
      <c r="J661" s="380"/>
      <c r="K661" s="502"/>
      <c r="L661" s="380"/>
      <c r="M661" s="380"/>
      <c r="N661" s="380"/>
      <c r="O661" s="380"/>
      <c r="Q661" s="5"/>
    </row>
    <row r="662" spans="1:17" s="53" customFormat="1">
      <c r="A662" s="381"/>
      <c r="B662" s="381"/>
      <c r="C662" s="373"/>
      <c r="D662" s="381"/>
      <c r="E662" s="383"/>
      <c r="F662" s="380"/>
      <c r="G662" s="380"/>
      <c r="H662" s="380"/>
      <c r="I662" s="380"/>
      <c r="J662" s="380"/>
      <c r="K662" s="502"/>
      <c r="L662" s="380"/>
      <c r="M662" s="380"/>
      <c r="N662" s="380"/>
      <c r="O662" s="380"/>
      <c r="Q662" s="5"/>
    </row>
    <row r="663" spans="1:17" s="53" customFormat="1">
      <c r="A663" s="381"/>
      <c r="B663" s="381"/>
      <c r="C663" s="373"/>
      <c r="D663" s="381"/>
      <c r="E663" s="376"/>
      <c r="F663" s="380"/>
      <c r="G663" s="380"/>
      <c r="H663" s="380"/>
      <c r="I663" s="380"/>
      <c r="J663" s="380"/>
      <c r="K663" s="502"/>
      <c r="L663" s="380"/>
      <c r="M663" s="380"/>
      <c r="N663" s="380"/>
      <c r="O663" s="380"/>
      <c r="Q663" s="5"/>
    </row>
    <row r="664" spans="1:17" s="53" customFormat="1">
      <c r="A664" s="381"/>
      <c r="B664" s="381"/>
      <c r="C664" s="373"/>
      <c r="D664" s="390"/>
      <c r="E664" s="376"/>
      <c r="F664" s="374"/>
      <c r="G664" s="374"/>
      <c r="H664" s="374"/>
      <c r="I664" s="374"/>
      <c r="J664" s="374"/>
      <c r="K664" s="505"/>
      <c r="L664" s="374"/>
      <c r="M664" s="374"/>
      <c r="N664" s="374"/>
      <c r="O664" s="374"/>
      <c r="Q664" s="5"/>
    </row>
    <row r="665" spans="1:17" s="53" customFormat="1">
      <c r="A665" s="381"/>
      <c r="B665" s="381"/>
      <c r="C665" s="373"/>
      <c r="D665" s="381"/>
      <c r="E665" s="376"/>
      <c r="F665" s="380"/>
      <c r="G665" s="380"/>
      <c r="H665" s="380"/>
      <c r="I665" s="380"/>
      <c r="J665" s="380"/>
      <c r="K665" s="502"/>
      <c r="L665" s="380"/>
      <c r="M665" s="380"/>
      <c r="N665" s="380"/>
      <c r="O665" s="380"/>
      <c r="Q665" s="5"/>
    </row>
    <row r="666" spans="1:17" s="53" customFormat="1">
      <c r="A666" s="381"/>
      <c r="B666" s="381"/>
      <c r="C666" s="373"/>
      <c r="D666" s="381"/>
      <c r="E666" s="383"/>
      <c r="F666" s="380"/>
      <c r="G666" s="380"/>
      <c r="H666" s="380"/>
      <c r="I666" s="380"/>
      <c r="J666" s="380"/>
      <c r="K666" s="502"/>
      <c r="L666" s="380"/>
      <c r="M666" s="380"/>
      <c r="N666" s="380"/>
      <c r="O666" s="380"/>
      <c r="Q666" s="5"/>
    </row>
    <row r="667" spans="1:17" s="53" customFormat="1">
      <c r="A667" s="381"/>
      <c r="B667" s="381"/>
      <c r="C667" s="373"/>
      <c r="D667" s="381"/>
      <c r="E667" s="383"/>
      <c r="F667" s="380"/>
      <c r="G667" s="380"/>
      <c r="H667" s="380"/>
      <c r="I667" s="380"/>
      <c r="J667" s="380"/>
      <c r="K667" s="502"/>
      <c r="L667" s="380"/>
      <c r="M667" s="380"/>
      <c r="N667" s="380"/>
      <c r="O667" s="380"/>
      <c r="Q667" s="5"/>
    </row>
    <row r="668" spans="1:17" s="53" customFormat="1">
      <c r="A668" s="381"/>
      <c r="B668" s="381"/>
      <c r="C668" s="373"/>
      <c r="D668" s="381"/>
      <c r="E668" s="383"/>
      <c r="F668" s="380"/>
      <c r="G668" s="380"/>
      <c r="H668" s="380"/>
      <c r="I668" s="380"/>
      <c r="J668" s="380"/>
      <c r="K668" s="502"/>
      <c r="L668" s="380"/>
      <c r="M668" s="380"/>
      <c r="N668" s="380"/>
      <c r="O668" s="380"/>
      <c r="Q668" s="5"/>
    </row>
    <row r="669" spans="1:17" s="53" customFormat="1">
      <c r="A669" s="381"/>
      <c r="B669" s="381"/>
      <c r="C669" s="373"/>
      <c r="D669" s="381"/>
      <c r="E669" s="383"/>
      <c r="F669" s="380"/>
      <c r="G669" s="380"/>
      <c r="H669" s="380"/>
      <c r="I669" s="380"/>
      <c r="J669" s="380"/>
      <c r="K669" s="502"/>
      <c r="L669" s="380"/>
      <c r="M669" s="380"/>
      <c r="N669" s="380"/>
      <c r="O669" s="380"/>
      <c r="Q669" s="5"/>
    </row>
    <row r="670" spans="1:17" s="53" customFormat="1">
      <c r="A670" s="381"/>
      <c r="B670" s="381"/>
      <c r="C670" s="373"/>
      <c r="D670" s="381"/>
      <c r="E670" s="383"/>
      <c r="F670" s="380"/>
      <c r="G670" s="380"/>
      <c r="H670" s="380"/>
      <c r="I670" s="380"/>
      <c r="J670" s="380"/>
      <c r="K670" s="502"/>
      <c r="L670" s="380"/>
      <c r="M670" s="380"/>
      <c r="N670" s="380"/>
      <c r="O670" s="380"/>
      <c r="Q670" s="5"/>
    </row>
    <row r="671" spans="1:17" s="53" customFormat="1">
      <c r="A671" s="381"/>
      <c r="B671" s="381"/>
      <c r="C671" s="373"/>
      <c r="D671" s="381"/>
      <c r="E671" s="383"/>
      <c r="F671" s="380"/>
      <c r="G671" s="380"/>
      <c r="H671" s="380"/>
      <c r="I671" s="380"/>
      <c r="J671" s="380"/>
      <c r="K671" s="502"/>
      <c r="L671" s="380"/>
      <c r="M671" s="380"/>
      <c r="N671" s="380"/>
      <c r="O671" s="380"/>
      <c r="Q671" s="5"/>
    </row>
    <row r="672" spans="1:17" s="53" customFormat="1">
      <c r="A672" s="381"/>
      <c r="B672" s="381"/>
      <c r="C672" s="373"/>
      <c r="D672" s="381"/>
      <c r="E672" s="376"/>
      <c r="F672" s="380"/>
      <c r="G672" s="380"/>
      <c r="H672" s="380"/>
      <c r="I672" s="380"/>
      <c r="J672" s="380"/>
      <c r="K672" s="502"/>
      <c r="L672" s="380"/>
      <c r="M672" s="380"/>
      <c r="N672" s="380"/>
      <c r="O672" s="380"/>
      <c r="Q672" s="5"/>
    </row>
    <row r="673" spans="1:17" s="53" customFormat="1">
      <c r="A673" s="381"/>
      <c r="B673" s="381"/>
      <c r="C673" s="373"/>
      <c r="D673" s="390"/>
      <c r="E673" s="376"/>
      <c r="F673" s="374"/>
      <c r="G673" s="374"/>
      <c r="H673" s="374"/>
      <c r="I673" s="374"/>
      <c r="J673" s="374"/>
      <c r="K673" s="505"/>
      <c r="L673" s="374"/>
      <c r="M673" s="374"/>
      <c r="N673" s="374"/>
      <c r="O673" s="374"/>
      <c r="Q673" s="5"/>
    </row>
    <row r="674" spans="1:17" s="53" customFormat="1">
      <c r="A674" s="381"/>
      <c r="B674" s="381"/>
      <c r="C674" s="373"/>
      <c r="D674" s="381"/>
      <c r="E674" s="376"/>
      <c r="F674" s="380"/>
      <c r="G674" s="380"/>
      <c r="H674" s="380"/>
      <c r="I674" s="380"/>
      <c r="J674" s="380"/>
      <c r="K674" s="502"/>
      <c r="L674" s="380"/>
      <c r="M674" s="380"/>
      <c r="N674" s="380"/>
      <c r="O674" s="380"/>
      <c r="Q674" s="5"/>
    </row>
    <row r="675" spans="1:17" s="53" customFormat="1">
      <c r="A675" s="381"/>
      <c r="B675" s="381"/>
      <c r="C675" s="373"/>
      <c r="D675" s="381"/>
      <c r="E675" s="383"/>
      <c r="F675" s="380"/>
      <c r="G675" s="380"/>
      <c r="H675" s="380"/>
      <c r="I675" s="380"/>
      <c r="J675" s="380"/>
      <c r="K675" s="502"/>
      <c r="L675" s="380"/>
      <c r="M675" s="380"/>
      <c r="N675" s="380"/>
      <c r="O675" s="380"/>
      <c r="Q675" s="5"/>
    </row>
    <row r="676" spans="1:17" s="53" customFormat="1">
      <c r="A676" s="381"/>
      <c r="B676" s="381"/>
      <c r="C676" s="373"/>
      <c r="D676" s="381"/>
      <c r="E676" s="383"/>
      <c r="F676" s="380"/>
      <c r="G676" s="380"/>
      <c r="H676" s="380"/>
      <c r="I676" s="380"/>
      <c r="J676" s="380"/>
      <c r="K676" s="502"/>
      <c r="L676" s="380"/>
      <c r="M676" s="380"/>
      <c r="N676" s="380"/>
      <c r="O676" s="380"/>
      <c r="Q676" s="5"/>
    </row>
    <row r="677" spans="1:17" s="53" customFormat="1">
      <c r="A677" s="381"/>
      <c r="B677" s="381"/>
      <c r="C677" s="373"/>
      <c r="D677" s="381"/>
      <c r="E677" s="383"/>
      <c r="F677" s="380"/>
      <c r="G677" s="380"/>
      <c r="H677" s="380"/>
      <c r="I677" s="380"/>
      <c r="J677" s="380"/>
      <c r="K677" s="502"/>
      <c r="L677" s="380"/>
      <c r="M677" s="380"/>
      <c r="N677" s="380"/>
      <c r="O677" s="380"/>
      <c r="Q677" s="5"/>
    </row>
    <row r="678" spans="1:17" s="53" customFormat="1">
      <c r="A678" s="381"/>
      <c r="B678" s="381"/>
      <c r="C678" s="373"/>
      <c r="D678" s="381"/>
      <c r="E678" s="383"/>
      <c r="F678" s="380"/>
      <c r="G678" s="380"/>
      <c r="H678" s="380"/>
      <c r="I678" s="380"/>
      <c r="J678" s="380"/>
      <c r="K678" s="502"/>
      <c r="L678" s="380"/>
      <c r="M678" s="380"/>
      <c r="N678" s="380"/>
      <c r="O678" s="380"/>
      <c r="Q678" s="5"/>
    </row>
    <row r="679" spans="1:17" s="53" customFormat="1">
      <c r="A679" s="381"/>
      <c r="B679" s="381"/>
      <c r="C679" s="373"/>
      <c r="D679" s="381"/>
      <c r="E679" s="383"/>
      <c r="F679" s="380"/>
      <c r="G679" s="380"/>
      <c r="H679" s="380"/>
      <c r="I679" s="380"/>
      <c r="J679" s="380"/>
      <c r="K679" s="502"/>
      <c r="L679" s="380"/>
      <c r="M679" s="380"/>
      <c r="N679" s="380"/>
      <c r="O679" s="380"/>
      <c r="Q679" s="5"/>
    </row>
    <row r="680" spans="1:17" s="53" customFormat="1">
      <c r="A680" s="381"/>
      <c r="B680" s="381"/>
      <c r="C680" s="373"/>
      <c r="D680" s="381"/>
      <c r="E680" s="383"/>
      <c r="F680" s="380"/>
      <c r="G680" s="380"/>
      <c r="H680" s="380"/>
      <c r="I680" s="380"/>
      <c r="J680" s="380"/>
      <c r="K680" s="502"/>
      <c r="L680" s="380"/>
      <c r="M680" s="380"/>
      <c r="N680" s="380"/>
      <c r="O680" s="380"/>
      <c r="Q680" s="5"/>
    </row>
    <row r="681" spans="1:17" s="53" customFormat="1">
      <c r="A681" s="381"/>
      <c r="B681" s="381"/>
      <c r="C681" s="373"/>
      <c r="D681" s="381"/>
      <c r="E681" s="376"/>
      <c r="F681" s="380"/>
      <c r="G681" s="380"/>
      <c r="H681" s="380"/>
      <c r="I681" s="380"/>
      <c r="J681" s="380"/>
      <c r="K681" s="502"/>
      <c r="L681" s="380"/>
      <c r="M681" s="380"/>
      <c r="N681" s="380"/>
      <c r="O681" s="380"/>
      <c r="Q681" s="5"/>
    </row>
    <row r="682" spans="1:17" s="53" customFormat="1">
      <c r="A682" s="381"/>
      <c r="B682" s="381"/>
      <c r="C682" s="373"/>
      <c r="D682" s="390"/>
      <c r="E682" s="376"/>
      <c r="F682" s="374"/>
      <c r="G682" s="374"/>
      <c r="H682" s="374"/>
      <c r="I682" s="374"/>
      <c r="J682" s="374"/>
      <c r="K682" s="505"/>
      <c r="L682" s="374"/>
      <c r="M682" s="374"/>
      <c r="N682" s="374"/>
      <c r="O682" s="374"/>
      <c r="Q682" s="5"/>
    </row>
    <row r="683" spans="1:17" s="53" customFormat="1">
      <c r="A683" s="381"/>
      <c r="B683" s="381"/>
      <c r="C683" s="373"/>
      <c r="D683" s="381"/>
      <c r="E683" s="376"/>
      <c r="F683" s="380"/>
      <c r="G683" s="380"/>
      <c r="H683" s="380"/>
      <c r="I683" s="380"/>
      <c r="J683" s="380"/>
      <c r="K683" s="502"/>
      <c r="L683" s="380"/>
      <c r="M683" s="380"/>
      <c r="N683" s="380"/>
      <c r="O683" s="380"/>
      <c r="Q683" s="5"/>
    </row>
    <row r="684" spans="1:17" s="53" customFormat="1">
      <c r="A684" s="381"/>
      <c r="B684" s="381"/>
      <c r="C684" s="373"/>
      <c r="D684" s="381"/>
      <c r="E684" s="383"/>
      <c r="F684" s="380"/>
      <c r="G684" s="380"/>
      <c r="H684" s="380"/>
      <c r="I684" s="380"/>
      <c r="J684" s="380"/>
      <c r="K684" s="502"/>
      <c r="L684" s="380"/>
      <c r="M684" s="380"/>
      <c r="N684" s="380"/>
      <c r="O684" s="380"/>
      <c r="Q684" s="5"/>
    </row>
    <row r="685" spans="1:17" s="53" customFormat="1">
      <c r="A685" s="381"/>
      <c r="B685" s="381"/>
      <c r="C685" s="373"/>
      <c r="D685" s="381"/>
      <c r="E685" s="383"/>
      <c r="F685" s="380"/>
      <c r="G685" s="380"/>
      <c r="H685" s="380"/>
      <c r="I685" s="380"/>
      <c r="J685" s="380"/>
      <c r="K685" s="502"/>
      <c r="L685" s="380"/>
      <c r="M685" s="380"/>
      <c r="N685" s="380"/>
      <c r="O685" s="380"/>
      <c r="Q685" s="5"/>
    </row>
    <row r="686" spans="1:17" s="53" customFormat="1">
      <c r="A686" s="381"/>
      <c r="B686" s="381"/>
      <c r="C686" s="373"/>
      <c r="D686" s="381"/>
      <c r="E686" s="383"/>
      <c r="F686" s="380"/>
      <c r="G686" s="380"/>
      <c r="H686" s="380"/>
      <c r="I686" s="380"/>
      <c r="J686" s="380"/>
      <c r="K686" s="502"/>
      <c r="L686" s="380"/>
      <c r="M686" s="380"/>
      <c r="N686" s="380"/>
      <c r="O686" s="380"/>
      <c r="Q686" s="5"/>
    </row>
    <row r="687" spans="1:17" s="53" customFormat="1">
      <c r="A687" s="381"/>
      <c r="B687" s="381"/>
      <c r="C687" s="373"/>
      <c r="D687" s="381"/>
      <c r="E687" s="383"/>
      <c r="F687" s="380"/>
      <c r="G687" s="380"/>
      <c r="H687" s="380"/>
      <c r="I687" s="380"/>
      <c r="J687" s="380"/>
      <c r="K687" s="502"/>
      <c r="L687" s="380"/>
      <c r="M687" s="380"/>
      <c r="N687" s="380"/>
      <c r="O687" s="380"/>
      <c r="Q687" s="5"/>
    </row>
    <row r="688" spans="1:17" s="53" customFormat="1">
      <c r="A688" s="381"/>
      <c r="B688" s="381"/>
      <c r="C688" s="373"/>
      <c r="D688" s="381"/>
      <c r="E688" s="383"/>
      <c r="F688" s="380"/>
      <c r="G688" s="380"/>
      <c r="H688" s="380"/>
      <c r="I688" s="380"/>
      <c r="J688" s="380"/>
      <c r="K688" s="502"/>
      <c r="L688" s="380"/>
      <c r="M688" s="380"/>
      <c r="N688" s="380"/>
      <c r="O688" s="380"/>
    </row>
    <row r="689" spans="1:15" s="53" customFormat="1">
      <c r="A689" s="381"/>
      <c r="B689" s="381"/>
      <c r="C689" s="373"/>
      <c r="D689" s="381"/>
      <c r="E689" s="383"/>
      <c r="F689" s="380"/>
      <c r="G689" s="380"/>
      <c r="H689" s="380"/>
      <c r="I689" s="380"/>
      <c r="J689" s="380"/>
      <c r="K689" s="502"/>
      <c r="L689" s="380"/>
      <c r="M689" s="380"/>
      <c r="N689" s="380"/>
      <c r="O689" s="380"/>
    </row>
    <row r="690" spans="1:15" s="53" customFormat="1">
      <c r="A690" s="381"/>
      <c r="B690" s="381"/>
      <c r="C690" s="373"/>
      <c r="D690" s="381"/>
      <c r="E690" s="376"/>
      <c r="F690" s="380"/>
      <c r="G690" s="380"/>
      <c r="H690" s="380"/>
      <c r="I690" s="380"/>
      <c r="J690" s="380"/>
      <c r="K690" s="502"/>
      <c r="L690" s="380"/>
      <c r="M690" s="380"/>
      <c r="N690" s="380"/>
      <c r="O690" s="380"/>
    </row>
    <row r="691" spans="1:15" s="53" customFormat="1">
      <c r="A691" s="381"/>
      <c r="B691" s="381"/>
      <c r="C691" s="373"/>
      <c r="D691" s="390"/>
      <c r="E691" s="376"/>
      <c r="F691" s="374"/>
      <c r="G691" s="374"/>
      <c r="H691" s="374"/>
      <c r="I691" s="374"/>
      <c r="J691" s="374"/>
      <c r="K691" s="505"/>
      <c r="L691" s="374"/>
      <c r="M691" s="374"/>
      <c r="N691" s="374"/>
      <c r="O691" s="374"/>
    </row>
    <row r="692" spans="1:15" s="53" customFormat="1">
      <c r="A692" s="381"/>
      <c r="B692" s="381"/>
      <c r="C692" s="373"/>
      <c r="D692" s="381"/>
      <c r="E692" s="376"/>
      <c r="F692" s="380"/>
      <c r="G692" s="380"/>
      <c r="H692" s="380"/>
      <c r="I692" s="380"/>
      <c r="J692" s="380"/>
      <c r="K692" s="502"/>
      <c r="L692" s="380"/>
      <c r="M692" s="380"/>
      <c r="N692" s="380"/>
      <c r="O692" s="380"/>
    </row>
    <row r="693" spans="1:15" s="53" customFormat="1">
      <c r="A693" s="381"/>
      <c r="B693" s="381"/>
      <c r="C693" s="373"/>
      <c r="D693" s="381"/>
      <c r="E693" s="383"/>
      <c r="F693" s="380"/>
      <c r="G693" s="380"/>
      <c r="H693" s="380"/>
      <c r="I693" s="380"/>
      <c r="J693" s="380"/>
      <c r="K693" s="502"/>
      <c r="L693" s="380"/>
      <c r="M693" s="380"/>
      <c r="N693" s="380"/>
      <c r="O693" s="380"/>
    </row>
    <row r="694" spans="1:15" s="53" customFormat="1">
      <c r="A694" s="381"/>
      <c r="B694" s="381"/>
      <c r="C694" s="373"/>
      <c r="D694" s="381"/>
      <c r="E694" s="383"/>
      <c r="F694" s="380"/>
      <c r="G694" s="380"/>
      <c r="H694" s="380"/>
      <c r="I694" s="380"/>
      <c r="J694" s="380"/>
      <c r="K694" s="502"/>
      <c r="L694" s="380"/>
      <c r="M694" s="380"/>
      <c r="N694" s="380"/>
      <c r="O694" s="380"/>
    </row>
    <row r="695" spans="1:15" s="53" customFormat="1">
      <c r="A695" s="381"/>
      <c r="B695" s="381"/>
      <c r="C695" s="373"/>
      <c r="D695" s="381"/>
      <c r="E695" s="383"/>
      <c r="F695" s="380"/>
      <c r="G695" s="380"/>
      <c r="H695" s="380"/>
      <c r="I695" s="380"/>
      <c r="J695" s="380"/>
      <c r="K695" s="502"/>
      <c r="L695" s="380"/>
      <c r="M695" s="380"/>
      <c r="N695" s="380"/>
      <c r="O695" s="380"/>
    </row>
    <row r="696" spans="1:15" s="53" customFormat="1">
      <c r="A696" s="381"/>
      <c r="B696" s="381"/>
      <c r="C696" s="373"/>
      <c r="D696" s="381"/>
      <c r="E696" s="383"/>
      <c r="F696" s="380"/>
      <c r="G696" s="380"/>
      <c r="H696" s="380"/>
      <c r="I696" s="380"/>
      <c r="J696" s="380"/>
      <c r="K696" s="502"/>
      <c r="L696" s="380"/>
      <c r="M696" s="380"/>
      <c r="N696" s="380"/>
      <c r="O696" s="380"/>
    </row>
    <row r="697" spans="1:15" s="53" customFormat="1">
      <c r="A697" s="381"/>
      <c r="B697" s="381"/>
      <c r="C697" s="373"/>
      <c r="D697" s="381"/>
      <c r="E697" s="383"/>
      <c r="F697" s="380"/>
      <c r="G697" s="380"/>
      <c r="H697" s="380"/>
      <c r="I697" s="380"/>
      <c r="J697" s="380"/>
      <c r="K697" s="502"/>
      <c r="L697" s="380"/>
      <c r="M697" s="380"/>
      <c r="N697" s="380"/>
      <c r="O697" s="380"/>
    </row>
    <row r="698" spans="1:15" s="53" customFormat="1">
      <c r="A698" s="381"/>
      <c r="B698" s="381"/>
      <c r="C698" s="373"/>
      <c r="D698" s="381"/>
      <c r="E698" s="383"/>
      <c r="F698" s="380"/>
      <c r="G698" s="380"/>
      <c r="H698" s="380"/>
      <c r="I698" s="380"/>
      <c r="J698" s="380"/>
      <c r="K698" s="502"/>
      <c r="L698" s="380"/>
      <c r="M698" s="380"/>
      <c r="N698" s="380"/>
      <c r="O698" s="380"/>
    </row>
    <row r="699" spans="1:15" s="53" customFormat="1">
      <c r="A699" s="381"/>
      <c r="B699" s="381"/>
      <c r="C699" s="373"/>
      <c r="D699" s="381"/>
      <c r="E699" s="376"/>
      <c r="F699" s="380"/>
      <c r="G699" s="380"/>
      <c r="H699" s="380"/>
      <c r="I699" s="380"/>
      <c r="J699" s="380"/>
      <c r="K699" s="502"/>
      <c r="L699" s="380"/>
      <c r="M699" s="380"/>
      <c r="N699" s="380"/>
      <c r="O699" s="380"/>
    </row>
    <row r="700" spans="1:15" s="53" customFormat="1">
      <c r="A700" s="381"/>
      <c r="B700" s="381"/>
      <c r="C700" s="373"/>
      <c r="D700" s="390"/>
      <c r="E700" s="376"/>
      <c r="F700" s="374"/>
      <c r="G700" s="374"/>
      <c r="H700" s="374"/>
      <c r="I700" s="374"/>
      <c r="J700" s="374"/>
      <c r="K700" s="505"/>
      <c r="L700" s="374"/>
      <c r="M700" s="374"/>
      <c r="N700" s="374"/>
      <c r="O700" s="374"/>
    </row>
    <row r="701" spans="1:15" s="53" customFormat="1">
      <c r="A701" s="381"/>
      <c r="B701" s="381"/>
      <c r="C701" s="373"/>
      <c r="D701" s="381"/>
      <c r="E701" s="376"/>
      <c r="F701" s="380"/>
      <c r="G701" s="380"/>
      <c r="H701" s="380"/>
      <c r="I701" s="380"/>
      <c r="J701" s="380"/>
      <c r="K701" s="502"/>
      <c r="L701" s="380"/>
      <c r="M701" s="380"/>
      <c r="N701" s="380"/>
      <c r="O701" s="380"/>
    </row>
    <row r="702" spans="1:15" s="53" customFormat="1">
      <c r="A702" s="381"/>
      <c r="B702" s="381"/>
      <c r="C702" s="373"/>
      <c r="D702" s="381"/>
      <c r="E702" s="383"/>
      <c r="F702" s="380"/>
      <c r="G702" s="380"/>
      <c r="H702" s="380"/>
      <c r="I702" s="380"/>
      <c r="J702" s="380"/>
      <c r="K702" s="502"/>
      <c r="L702" s="380"/>
      <c r="M702" s="380"/>
      <c r="N702" s="380"/>
      <c r="O702" s="380"/>
    </row>
    <row r="703" spans="1:15" s="53" customFormat="1">
      <c r="A703" s="381"/>
      <c r="B703" s="381"/>
      <c r="C703" s="373"/>
      <c r="D703" s="381"/>
      <c r="E703" s="383"/>
      <c r="F703" s="380"/>
      <c r="G703" s="380"/>
      <c r="H703" s="380"/>
      <c r="I703" s="380"/>
      <c r="J703" s="380"/>
      <c r="K703" s="502"/>
      <c r="L703" s="380"/>
      <c r="M703" s="380"/>
      <c r="N703" s="380"/>
      <c r="O703" s="380"/>
    </row>
    <row r="704" spans="1:15" s="53" customFormat="1">
      <c r="A704" s="381"/>
      <c r="B704" s="381"/>
      <c r="C704" s="373"/>
      <c r="D704" s="381"/>
      <c r="E704" s="383"/>
      <c r="F704" s="380"/>
      <c r="G704" s="380"/>
      <c r="H704" s="380"/>
      <c r="I704" s="380"/>
      <c r="J704" s="380"/>
      <c r="K704" s="502"/>
      <c r="L704" s="380"/>
      <c r="M704" s="380"/>
      <c r="N704" s="380"/>
      <c r="O704" s="380"/>
    </row>
    <row r="705" spans="1:15" s="53" customFormat="1">
      <c r="A705" s="381"/>
      <c r="B705" s="381"/>
      <c r="C705" s="373"/>
      <c r="D705" s="381"/>
      <c r="E705" s="383"/>
      <c r="F705" s="380"/>
      <c r="G705" s="380"/>
      <c r="H705" s="380"/>
      <c r="I705" s="380"/>
      <c r="J705" s="380"/>
      <c r="K705" s="502"/>
      <c r="L705" s="380"/>
      <c r="M705" s="380"/>
      <c r="N705" s="380"/>
      <c r="O705" s="380"/>
    </row>
    <row r="706" spans="1:15" s="53" customFormat="1">
      <c r="A706" s="381"/>
      <c r="B706" s="381"/>
      <c r="C706" s="373"/>
      <c r="D706" s="381"/>
      <c r="E706" s="383"/>
      <c r="F706" s="380"/>
      <c r="G706" s="380"/>
      <c r="H706" s="380"/>
      <c r="I706" s="380"/>
      <c r="J706" s="380"/>
      <c r="K706" s="502"/>
      <c r="L706" s="380"/>
      <c r="M706" s="380"/>
      <c r="N706" s="380"/>
      <c r="O706" s="380"/>
    </row>
    <row r="707" spans="1:15" s="53" customFormat="1">
      <c r="A707" s="381"/>
      <c r="B707" s="381"/>
      <c r="C707" s="373"/>
      <c r="D707" s="381"/>
      <c r="E707" s="383"/>
      <c r="F707" s="380"/>
      <c r="G707" s="380"/>
      <c r="H707" s="380"/>
      <c r="I707" s="380"/>
      <c r="J707" s="380"/>
      <c r="K707" s="502"/>
      <c r="L707" s="380"/>
      <c r="M707" s="380"/>
      <c r="N707" s="380"/>
      <c r="O707" s="380"/>
    </row>
    <row r="708" spans="1:15" s="53" customFormat="1">
      <c r="A708" s="381"/>
      <c r="B708" s="381"/>
      <c r="C708" s="373"/>
      <c r="D708" s="381"/>
      <c r="E708" s="376"/>
      <c r="F708" s="380"/>
      <c r="G708" s="380"/>
      <c r="H708" s="380"/>
      <c r="I708" s="380"/>
      <c r="J708" s="380"/>
      <c r="K708" s="502"/>
      <c r="L708" s="380"/>
      <c r="M708" s="380"/>
      <c r="N708" s="380"/>
      <c r="O708" s="380"/>
    </row>
    <row r="709" spans="1:15" s="53" customFormat="1">
      <c r="A709" s="381"/>
      <c r="B709" s="381"/>
      <c r="C709" s="373"/>
      <c r="D709" s="390"/>
      <c r="E709" s="376"/>
      <c r="F709" s="374"/>
      <c r="G709" s="374"/>
      <c r="H709" s="374"/>
      <c r="I709" s="374"/>
      <c r="J709" s="374"/>
      <c r="K709" s="505"/>
      <c r="L709" s="374"/>
      <c r="M709" s="374"/>
      <c r="N709" s="374"/>
      <c r="O709" s="374"/>
    </row>
    <row r="710" spans="1:15" s="53" customFormat="1">
      <c r="A710" s="381"/>
      <c r="B710" s="381"/>
      <c r="C710" s="373"/>
      <c r="D710" s="381"/>
      <c r="E710" s="376"/>
      <c r="F710" s="380"/>
      <c r="G710" s="380"/>
      <c r="H710" s="380"/>
      <c r="I710" s="380"/>
      <c r="J710" s="380"/>
      <c r="K710" s="502"/>
      <c r="L710" s="380"/>
      <c r="M710" s="380"/>
      <c r="N710" s="380"/>
      <c r="O710" s="380"/>
    </row>
    <row r="711" spans="1:15" s="53" customFormat="1">
      <c r="A711" s="381"/>
      <c r="B711" s="381"/>
      <c r="C711" s="373"/>
      <c r="D711" s="381"/>
      <c r="E711" s="383"/>
      <c r="F711" s="380"/>
      <c r="G711" s="380"/>
      <c r="H711" s="380"/>
      <c r="I711" s="380"/>
      <c r="J711" s="380"/>
      <c r="K711" s="502"/>
      <c r="L711" s="380"/>
      <c r="M711" s="380"/>
      <c r="N711" s="380"/>
      <c r="O711" s="380"/>
    </row>
    <row r="712" spans="1:15" s="53" customFormat="1">
      <c r="A712" s="381"/>
      <c r="B712" s="381"/>
      <c r="C712" s="373"/>
      <c r="D712" s="381"/>
      <c r="E712" s="383"/>
      <c r="F712" s="380"/>
      <c r="G712" s="380"/>
      <c r="H712" s="380"/>
      <c r="I712" s="380"/>
      <c r="J712" s="380"/>
      <c r="K712" s="502"/>
      <c r="L712" s="380"/>
      <c r="M712" s="380"/>
      <c r="N712" s="380"/>
      <c r="O712" s="380"/>
    </row>
    <row r="713" spans="1:15" s="53" customFormat="1">
      <c r="A713" s="381"/>
      <c r="B713" s="381"/>
      <c r="C713" s="373"/>
      <c r="D713" s="381"/>
      <c r="E713" s="383"/>
      <c r="F713" s="380"/>
      <c r="G713" s="380"/>
      <c r="H713" s="380"/>
      <c r="I713" s="380"/>
      <c r="J713" s="380"/>
      <c r="K713" s="502"/>
      <c r="L713" s="380"/>
      <c r="M713" s="380"/>
      <c r="N713" s="380"/>
      <c r="O713" s="380"/>
    </row>
    <row r="714" spans="1:15" s="53" customFormat="1">
      <c r="A714" s="381"/>
      <c r="B714" s="381"/>
      <c r="C714" s="373"/>
      <c r="D714" s="381"/>
      <c r="E714" s="383"/>
      <c r="F714" s="380"/>
      <c r="G714" s="380"/>
      <c r="H714" s="380"/>
      <c r="I714" s="380"/>
      <c r="J714" s="380"/>
      <c r="K714" s="502"/>
      <c r="L714" s="380"/>
      <c r="M714" s="380"/>
      <c r="N714" s="380"/>
      <c r="O714" s="380"/>
    </row>
    <row r="715" spans="1:15" s="53" customFormat="1">
      <c r="A715" s="381"/>
      <c r="B715" s="381"/>
      <c r="C715" s="373"/>
      <c r="D715" s="381"/>
      <c r="E715" s="383"/>
      <c r="F715" s="380"/>
      <c r="G715" s="380"/>
      <c r="H715" s="380"/>
      <c r="I715" s="380"/>
      <c r="J715" s="380"/>
      <c r="K715" s="502"/>
      <c r="L715" s="380"/>
      <c r="M715" s="380"/>
      <c r="N715" s="380"/>
      <c r="O715" s="380"/>
    </row>
    <row r="716" spans="1:15" s="53" customFormat="1">
      <c r="A716" s="381"/>
      <c r="B716" s="381"/>
      <c r="C716" s="373"/>
      <c r="D716" s="381"/>
      <c r="E716" s="383"/>
      <c r="F716" s="380"/>
      <c r="G716" s="380"/>
      <c r="H716" s="380"/>
      <c r="I716" s="380"/>
      <c r="J716" s="380"/>
      <c r="K716" s="502"/>
      <c r="L716" s="380"/>
      <c r="M716" s="380"/>
      <c r="N716" s="380"/>
      <c r="O716" s="380"/>
    </row>
    <row r="717" spans="1:15" s="53" customFormat="1">
      <c r="A717" s="381"/>
      <c r="B717" s="381"/>
      <c r="C717" s="373"/>
      <c r="D717" s="381"/>
      <c r="E717" s="376"/>
      <c r="F717" s="380"/>
      <c r="G717" s="380"/>
      <c r="H717" s="380"/>
      <c r="I717" s="380"/>
      <c r="J717" s="380"/>
      <c r="K717" s="502"/>
      <c r="L717" s="380"/>
      <c r="M717" s="380"/>
      <c r="N717" s="380"/>
      <c r="O717" s="380"/>
    </row>
    <row r="718" spans="1:15" s="53" customFormat="1">
      <c r="A718" s="381"/>
      <c r="B718" s="381"/>
      <c r="C718" s="373"/>
      <c r="D718" s="390"/>
      <c r="E718" s="376"/>
      <c r="F718" s="374"/>
      <c r="G718" s="374"/>
      <c r="H718" s="374"/>
      <c r="I718" s="374"/>
      <c r="J718" s="374"/>
      <c r="K718" s="505"/>
      <c r="L718" s="374"/>
      <c r="M718" s="374"/>
      <c r="N718" s="374"/>
      <c r="O718" s="374"/>
    </row>
    <row r="719" spans="1:15" s="53" customFormat="1">
      <c r="A719" s="381"/>
      <c r="B719" s="381"/>
      <c r="C719" s="373"/>
      <c r="D719" s="381"/>
      <c r="E719" s="376"/>
      <c r="F719" s="380"/>
      <c r="G719" s="380"/>
      <c r="H719" s="380"/>
      <c r="I719" s="380"/>
      <c r="J719" s="380"/>
      <c r="K719" s="502"/>
      <c r="L719" s="380"/>
      <c r="M719" s="380"/>
      <c r="N719" s="380"/>
      <c r="O719" s="380"/>
    </row>
    <row r="720" spans="1:15" s="53" customFormat="1">
      <c r="A720" s="381"/>
      <c r="B720" s="381"/>
      <c r="C720" s="373"/>
      <c r="D720" s="381"/>
      <c r="E720" s="383"/>
      <c r="F720" s="380"/>
      <c r="G720" s="380"/>
      <c r="H720" s="380"/>
      <c r="I720" s="380"/>
      <c r="J720" s="380"/>
      <c r="K720" s="502"/>
      <c r="L720" s="380"/>
      <c r="M720" s="380"/>
      <c r="N720" s="380"/>
      <c r="O720" s="380"/>
    </row>
    <row r="721" spans="1:15" s="53" customFormat="1">
      <c r="A721" s="381"/>
      <c r="B721" s="381"/>
      <c r="C721" s="373"/>
      <c r="D721" s="381"/>
      <c r="E721" s="383"/>
      <c r="F721" s="380"/>
      <c r="G721" s="380"/>
      <c r="H721" s="380"/>
      <c r="I721" s="380"/>
      <c r="J721" s="380"/>
      <c r="K721" s="502"/>
      <c r="L721" s="380"/>
      <c r="M721" s="380"/>
      <c r="N721" s="380"/>
      <c r="O721" s="380"/>
    </row>
    <row r="722" spans="1:15" s="53" customFormat="1">
      <c r="A722" s="381"/>
      <c r="B722" s="381"/>
      <c r="C722" s="373"/>
      <c r="D722" s="381"/>
      <c r="E722" s="383"/>
      <c r="F722" s="380"/>
      <c r="G722" s="380"/>
      <c r="H722" s="380"/>
      <c r="I722" s="380"/>
      <c r="J722" s="380"/>
      <c r="K722" s="502"/>
      <c r="L722" s="380"/>
      <c r="M722" s="380"/>
      <c r="N722" s="380"/>
      <c r="O722" s="380"/>
    </row>
    <row r="723" spans="1:15" s="53" customFormat="1">
      <c r="A723" s="381"/>
      <c r="B723" s="381"/>
      <c r="C723" s="373"/>
      <c r="D723" s="381"/>
      <c r="E723" s="383"/>
      <c r="F723" s="380"/>
      <c r="G723" s="380"/>
      <c r="H723" s="380"/>
      <c r="I723" s="380"/>
      <c r="J723" s="380"/>
      <c r="K723" s="502"/>
      <c r="L723" s="380"/>
      <c r="M723" s="380"/>
      <c r="N723" s="380"/>
      <c r="O723" s="380"/>
    </row>
    <row r="724" spans="1:15" s="53" customFormat="1">
      <c r="A724" s="381"/>
      <c r="B724" s="381"/>
      <c r="C724" s="373"/>
      <c r="D724" s="381"/>
      <c r="E724" s="383"/>
      <c r="F724" s="380"/>
      <c r="G724" s="380"/>
      <c r="H724" s="380"/>
      <c r="I724" s="380"/>
      <c r="J724" s="380"/>
      <c r="K724" s="502"/>
      <c r="L724" s="380"/>
      <c r="M724" s="380"/>
      <c r="N724" s="380"/>
      <c r="O724" s="380"/>
    </row>
    <row r="725" spans="1:15" s="53" customFormat="1">
      <c r="A725" s="381"/>
      <c r="B725" s="381"/>
      <c r="C725" s="373"/>
      <c r="D725" s="381"/>
      <c r="E725" s="383"/>
      <c r="F725" s="380"/>
      <c r="G725" s="380"/>
      <c r="H725" s="380"/>
      <c r="I725" s="380"/>
      <c r="J725" s="380"/>
      <c r="K725" s="502"/>
      <c r="L725" s="380"/>
      <c r="M725" s="380"/>
      <c r="N725" s="380"/>
      <c r="O725" s="380"/>
    </row>
    <row r="726" spans="1:15" s="53" customFormat="1">
      <c r="A726" s="381"/>
      <c r="B726" s="381"/>
      <c r="C726" s="373"/>
      <c r="D726" s="381"/>
      <c r="E726" s="376"/>
      <c r="F726" s="380"/>
      <c r="G726" s="380"/>
      <c r="H726" s="380"/>
      <c r="I726" s="380"/>
      <c r="J726" s="380"/>
      <c r="K726" s="502"/>
      <c r="L726" s="380"/>
      <c r="M726" s="380"/>
      <c r="N726" s="380"/>
      <c r="O726" s="380"/>
    </row>
    <row r="727" spans="1:15" s="53" customFormat="1">
      <c r="A727" s="381"/>
      <c r="B727" s="381"/>
      <c r="C727" s="373"/>
      <c r="D727" s="390"/>
      <c r="E727" s="376"/>
      <c r="F727" s="374"/>
      <c r="G727" s="374"/>
      <c r="H727" s="374"/>
      <c r="I727" s="374"/>
      <c r="J727" s="374"/>
      <c r="K727" s="505"/>
      <c r="L727" s="374"/>
      <c r="M727" s="374"/>
      <c r="N727" s="374"/>
      <c r="O727" s="374"/>
    </row>
    <row r="728" spans="1:15" s="53" customFormat="1">
      <c r="A728" s="381"/>
      <c r="B728" s="381"/>
      <c r="C728" s="373"/>
      <c r="D728" s="381"/>
      <c r="E728" s="376"/>
      <c r="F728" s="380"/>
      <c r="G728" s="380"/>
      <c r="H728" s="380"/>
      <c r="I728" s="380"/>
      <c r="J728" s="380"/>
      <c r="K728" s="502"/>
      <c r="L728" s="380"/>
      <c r="M728" s="380"/>
      <c r="N728" s="380"/>
      <c r="O728" s="380"/>
    </row>
    <row r="729" spans="1:15" s="53" customFormat="1">
      <c r="A729" s="381"/>
      <c r="B729" s="381"/>
      <c r="C729" s="373"/>
      <c r="D729" s="381"/>
      <c r="E729" s="383"/>
      <c r="F729" s="380"/>
      <c r="G729" s="380"/>
      <c r="H729" s="380"/>
      <c r="I729" s="380"/>
      <c r="J729" s="380"/>
      <c r="K729" s="502"/>
      <c r="L729" s="380"/>
      <c r="M729" s="380"/>
      <c r="N729" s="380"/>
      <c r="O729" s="380"/>
    </row>
    <row r="730" spans="1:15" s="53" customFormat="1">
      <c r="A730" s="381"/>
      <c r="B730" s="381"/>
      <c r="C730" s="373"/>
      <c r="D730" s="381"/>
      <c r="E730" s="383"/>
      <c r="F730" s="380"/>
      <c r="G730" s="380"/>
      <c r="H730" s="380"/>
      <c r="I730" s="380"/>
      <c r="J730" s="380"/>
      <c r="K730" s="502"/>
      <c r="L730" s="380"/>
      <c r="M730" s="380"/>
      <c r="N730" s="380"/>
      <c r="O730" s="380"/>
    </row>
    <row r="731" spans="1:15" s="53" customFormat="1">
      <c r="A731" s="381"/>
      <c r="B731" s="381"/>
      <c r="C731" s="373"/>
      <c r="D731" s="381"/>
      <c r="E731" s="383"/>
      <c r="F731" s="380"/>
      <c r="G731" s="380"/>
      <c r="H731" s="380"/>
      <c r="I731" s="380"/>
      <c r="J731" s="380"/>
      <c r="K731" s="502"/>
      <c r="L731" s="380"/>
      <c r="M731" s="380"/>
      <c r="N731" s="380"/>
      <c r="O731" s="380"/>
    </row>
    <row r="732" spans="1:15" s="53" customFormat="1">
      <c r="A732" s="381"/>
      <c r="B732" s="381"/>
      <c r="C732" s="373"/>
      <c r="D732" s="381"/>
      <c r="E732" s="383"/>
      <c r="F732" s="380"/>
      <c r="G732" s="380"/>
      <c r="H732" s="380"/>
      <c r="I732" s="380"/>
      <c r="J732" s="380"/>
      <c r="K732" s="502"/>
      <c r="L732" s="380"/>
      <c r="M732" s="380"/>
      <c r="N732" s="380"/>
      <c r="O732" s="380"/>
    </row>
    <row r="733" spans="1:15" s="53" customFormat="1">
      <c r="A733" s="381"/>
      <c r="B733" s="381"/>
      <c r="C733" s="373"/>
      <c r="D733" s="381"/>
      <c r="E733" s="383"/>
      <c r="F733" s="380"/>
      <c r="G733" s="380"/>
      <c r="H733" s="380"/>
      <c r="I733" s="380"/>
      <c r="J733" s="380"/>
      <c r="K733" s="502"/>
      <c r="L733" s="380"/>
      <c r="M733" s="380"/>
      <c r="N733" s="380"/>
      <c r="O733" s="380"/>
    </row>
    <row r="734" spans="1:15" s="53" customFormat="1">
      <c r="A734" s="381"/>
      <c r="B734" s="381"/>
      <c r="C734" s="373"/>
      <c r="D734" s="381"/>
      <c r="E734" s="383"/>
      <c r="F734" s="380"/>
      <c r="G734" s="380"/>
      <c r="H734" s="380"/>
      <c r="I734" s="380"/>
      <c r="J734" s="380"/>
      <c r="K734" s="502"/>
      <c r="L734" s="380"/>
      <c r="M734" s="380"/>
      <c r="N734" s="380"/>
      <c r="O734" s="380"/>
    </row>
    <row r="735" spans="1:15" s="53" customFormat="1">
      <c r="A735" s="381"/>
      <c r="B735" s="381"/>
      <c r="C735" s="373"/>
      <c r="D735" s="381"/>
      <c r="E735" s="376"/>
      <c r="F735" s="380"/>
      <c r="G735" s="380"/>
      <c r="H735" s="380"/>
      <c r="I735" s="380"/>
      <c r="J735" s="380"/>
      <c r="K735" s="502"/>
      <c r="L735" s="380"/>
      <c r="M735" s="380"/>
      <c r="N735" s="380"/>
      <c r="O735" s="380"/>
    </row>
    <row r="736" spans="1:15" s="53" customFormat="1">
      <c r="A736" s="381"/>
      <c r="B736" s="381"/>
      <c r="C736" s="373"/>
      <c r="D736" s="390"/>
      <c r="E736" s="376"/>
      <c r="F736" s="374"/>
      <c r="G736" s="374"/>
      <c r="H736" s="374"/>
      <c r="I736" s="374"/>
      <c r="J736" s="374"/>
      <c r="K736" s="505"/>
      <c r="L736" s="374"/>
      <c r="M736" s="374"/>
      <c r="N736" s="374"/>
      <c r="O736" s="374"/>
    </row>
    <row r="737" spans="1:15" s="53" customFormat="1">
      <c r="A737" s="381"/>
      <c r="B737" s="381"/>
      <c r="C737" s="373"/>
      <c r="D737" s="381"/>
      <c r="E737" s="376"/>
      <c r="F737" s="380"/>
      <c r="G737" s="380"/>
      <c r="H737" s="380"/>
      <c r="I737" s="380"/>
      <c r="J737" s="380"/>
      <c r="K737" s="502"/>
      <c r="L737" s="380"/>
      <c r="M737" s="380"/>
      <c r="N737" s="380"/>
      <c r="O737" s="380"/>
    </row>
    <row r="738" spans="1:15" s="53" customFormat="1">
      <c r="A738" s="381"/>
      <c r="B738" s="381"/>
      <c r="C738" s="373"/>
      <c r="D738" s="381"/>
      <c r="E738" s="383"/>
      <c r="F738" s="380"/>
      <c r="G738" s="380"/>
      <c r="H738" s="380"/>
      <c r="I738" s="380"/>
      <c r="J738" s="380"/>
      <c r="K738" s="502"/>
      <c r="L738" s="380"/>
      <c r="M738" s="380"/>
      <c r="N738" s="380"/>
      <c r="O738" s="380"/>
    </row>
    <row r="739" spans="1:15" s="53" customFormat="1">
      <c r="A739" s="381"/>
      <c r="B739" s="381"/>
      <c r="C739" s="373"/>
      <c r="D739" s="381"/>
      <c r="E739" s="383"/>
      <c r="F739" s="380"/>
      <c r="G739" s="380"/>
      <c r="H739" s="380"/>
      <c r="I739" s="380"/>
      <c r="J739" s="380"/>
      <c r="K739" s="502"/>
      <c r="L739" s="380"/>
      <c r="M739" s="380"/>
      <c r="N739" s="380"/>
      <c r="O739" s="380"/>
    </row>
    <row r="740" spans="1:15" s="53" customFormat="1">
      <c r="A740" s="381"/>
      <c r="B740" s="381"/>
      <c r="C740" s="373"/>
      <c r="D740" s="381"/>
      <c r="E740" s="383"/>
      <c r="F740" s="380"/>
      <c r="G740" s="380"/>
      <c r="H740" s="380"/>
      <c r="I740" s="380"/>
      <c r="J740" s="380"/>
      <c r="K740" s="502"/>
      <c r="L740" s="380"/>
      <c r="M740" s="380"/>
      <c r="N740" s="380"/>
      <c r="O740" s="380"/>
    </row>
    <row r="741" spans="1:15" s="53" customFormat="1">
      <c r="A741" s="381"/>
      <c r="B741" s="381"/>
      <c r="C741" s="373"/>
      <c r="D741" s="381"/>
      <c r="E741" s="383"/>
      <c r="F741" s="380"/>
      <c r="G741" s="380"/>
      <c r="H741" s="380"/>
      <c r="I741" s="380"/>
      <c r="J741" s="380"/>
      <c r="K741" s="502"/>
      <c r="L741" s="380"/>
      <c r="M741" s="380"/>
      <c r="N741" s="380"/>
      <c r="O741" s="380"/>
    </row>
    <row r="742" spans="1:15" s="53" customFormat="1">
      <c r="A742" s="381"/>
      <c r="B742" s="381"/>
      <c r="C742" s="373"/>
      <c r="D742" s="381"/>
      <c r="E742" s="383"/>
      <c r="F742" s="380"/>
      <c r="G742" s="380"/>
      <c r="H742" s="380"/>
      <c r="I742" s="380"/>
      <c r="J742" s="380"/>
      <c r="K742" s="502"/>
      <c r="L742" s="380"/>
      <c r="M742" s="380"/>
      <c r="N742" s="380"/>
      <c r="O742" s="380"/>
    </row>
    <row r="743" spans="1:15" s="53" customFormat="1">
      <c r="A743" s="381"/>
      <c r="B743" s="381"/>
      <c r="C743" s="373"/>
      <c r="D743" s="381"/>
      <c r="E743" s="383"/>
      <c r="F743" s="380"/>
      <c r="G743" s="380"/>
      <c r="H743" s="380"/>
      <c r="I743" s="380"/>
      <c r="J743" s="380"/>
      <c r="K743" s="502"/>
      <c r="L743" s="380"/>
      <c r="M743" s="380"/>
      <c r="N743" s="380"/>
      <c r="O743" s="380"/>
    </row>
    <row r="744" spans="1:15" s="53" customFormat="1">
      <c r="A744" s="381"/>
      <c r="B744" s="381"/>
      <c r="C744" s="373"/>
      <c r="D744" s="381"/>
      <c r="E744" s="376"/>
      <c r="F744" s="380"/>
      <c r="G744" s="380"/>
      <c r="H744" s="380"/>
      <c r="I744" s="380"/>
      <c r="J744" s="380"/>
      <c r="K744" s="502"/>
      <c r="L744" s="380"/>
      <c r="M744" s="380"/>
      <c r="N744" s="380"/>
      <c r="O744" s="380"/>
    </row>
    <row r="745" spans="1:15" s="53" customFormat="1">
      <c r="A745" s="381"/>
      <c r="B745" s="381"/>
      <c r="C745" s="373"/>
      <c r="D745" s="390"/>
      <c r="E745" s="376"/>
      <c r="F745" s="374"/>
      <c r="G745" s="374"/>
      <c r="H745" s="374"/>
      <c r="I745" s="374"/>
      <c r="J745" s="374"/>
      <c r="K745" s="505"/>
      <c r="L745" s="374"/>
      <c r="M745" s="374"/>
      <c r="N745" s="374"/>
      <c r="O745" s="374"/>
    </row>
    <row r="746" spans="1:15" s="53" customFormat="1">
      <c r="A746" s="381"/>
      <c r="B746" s="381"/>
      <c r="C746" s="373"/>
      <c r="D746" s="381"/>
      <c r="E746" s="376"/>
      <c r="F746" s="380"/>
      <c r="G746" s="380"/>
      <c r="H746" s="380"/>
      <c r="I746" s="380"/>
      <c r="J746" s="380"/>
      <c r="K746" s="502"/>
      <c r="L746" s="380"/>
      <c r="M746" s="380"/>
      <c r="N746" s="380"/>
      <c r="O746" s="380"/>
    </row>
    <row r="747" spans="1:15" s="53" customFormat="1">
      <c r="A747" s="381"/>
      <c r="B747" s="381"/>
      <c r="C747" s="373"/>
      <c r="D747" s="381"/>
      <c r="E747" s="383"/>
      <c r="F747" s="380"/>
      <c r="G747" s="380"/>
      <c r="H747" s="380"/>
      <c r="I747" s="380"/>
      <c r="J747" s="380"/>
      <c r="K747" s="502"/>
      <c r="L747" s="380"/>
      <c r="M747" s="380"/>
      <c r="N747" s="380"/>
      <c r="O747" s="380"/>
    </row>
    <row r="748" spans="1:15" s="53" customFormat="1">
      <c r="A748" s="381"/>
      <c r="B748" s="381"/>
      <c r="C748" s="373"/>
      <c r="D748" s="381"/>
      <c r="E748" s="383"/>
      <c r="F748" s="380"/>
      <c r="G748" s="380"/>
      <c r="H748" s="380"/>
      <c r="I748" s="380"/>
      <c r="J748" s="380"/>
      <c r="K748" s="502"/>
      <c r="L748" s="380"/>
      <c r="M748" s="380"/>
      <c r="N748" s="380"/>
      <c r="O748" s="380"/>
    </row>
    <row r="749" spans="1:15" s="53" customFormat="1">
      <c r="A749" s="381"/>
      <c r="B749" s="381"/>
      <c r="C749" s="373"/>
      <c r="D749" s="381"/>
      <c r="E749" s="383"/>
      <c r="F749" s="380"/>
      <c r="G749" s="380"/>
      <c r="H749" s="380"/>
      <c r="I749" s="380"/>
      <c r="J749" s="380"/>
      <c r="K749" s="502"/>
      <c r="L749" s="380"/>
      <c r="M749" s="380"/>
      <c r="N749" s="380"/>
      <c r="O749" s="380"/>
    </row>
    <row r="750" spans="1:15" s="53" customFormat="1">
      <c r="A750" s="381"/>
      <c r="B750" s="381"/>
      <c r="C750" s="373"/>
      <c r="D750" s="381"/>
      <c r="E750" s="383"/>
      <c r="F750" s="380"/>
      <c r="G750" s="380"/>
      <c r="H750" s="380"/>
      <c r="I750" s="380"/>
      <c r="J750" s="380"/>
      <c r="K750" s="502"/>
      <c r="L750" s="380"/>
      <c r="M750" s="380"/>
      <c r="N750" s="380"/>
      <c r="O750" s="380"/>
    </row>
    <row r="751" spans="1:15" s="53" customFormat="1">
      <c r="A751" s="381"/>
      <c r="B751" s="381"/>
      <c r="C751" s="373"/>
      <c r="D751" s="381"/>
      <c r="E751" s="383"/>
      <c r="F751" s="380"/>
      <c r="G751" s="380"/>
      <c r="H751" s="380"/>
      <c r="I751" s="380"/>
      <c r="J751" s="380"/>
      <c r="K751" s="502"/>
      <c r="L751" s="380"/>
      <c r="M751" s="380"/>
      <c r="N751" s="380"/>
      <c r="O751" s="380"/>
    </row>
    <row r="752" spans="1:15" s="53" customFormat="1">
      <c r="A752" s="381"/>
      <c r="B752" s="381"/>
      <c r="C752" s="373"/>
      <c r="D752" s="381"/>
      <c r="E752" s="383"/>
      <c r="F752" s="380"/>
      <c r="G752" s="380"/>
      <c r="H752" s="380"/>
      <c r="I752" s="380"/>
      <c r="J752" s="380"/>
      <c r="K752" s="502"/>
      <c r="L752" s="380"/>
      <c r="M752" s="380"/>
      <c r="N752" s="380"/>
      <c r="O752" s="380"/>
    </row>
    <row r="753" spans="1:15" s="53" customFormat="1">
      <c r="A753" s="381"/>
      <c r="B753" s="381"/>
      <c r="C753" s="373"/>
      <c r="D753" s="381"/>
      <c r="E753" s="376"/>
      <c r="F753" s="380"/>
      <c r="G753" s="380"/>
      <c r="H753" s="380"/>
      <c r="I753" s="380"/>
      <c r="J753" s="380"/>
      <c r="K753" s="502"/>
      <c r="L753" s="380"/>
      <c r="M753" s="380"/>
      <c r="N753" s="380"/>
      <c r="O753" s="380"/>
    </row>
    <row r="754" spans="1:15" s="53" customFormat="1">
      <c r="A754" s="381"/>
      <c r="B754" s="381"/>
      <c r="C754" s="373"/>
      <c r="D754" s="390"/>
      <c r="E754" s="376"/>
      <c r="F754" s="374"/>
      <c r="G754" s="374"/>
      <c r="H754" s="374"/>
      <c r="I754" s="374"/>
      <c r="J754" s="374"/>
      <c r="K754" s="505"/>
      <c r="L754" s="374"/>
      <c r="M754" s="374"/>
      <c r="N754" s="374"/>
      <c r="O754" s="374"/>
    </row>
    <row r="755" spans="1:15" s="53" customFormat="1">
      <c r="A755" s="381"/>
      <c r="B755" s="381"/>
      <c r="C755" s="373"/>
      <c r="D755" s="381"/>
      <c r="E755" s="376"/>
      <c r="F755" s="380"/>
      <c r="G755" s="380"/>
      <c r="H755" s="380"/>
      <c r="I755" s="380"/>
      <c r="J755" s="380"/>
      <c r="K755" s="502"/>
      <c r="L755" s="380"/>
      <c r="M755" s="380"/>
      <c r="N755" s="380"/>
      <c r="O755" s="380"/>
    </row>
    <row r="756" spans="1:15" s="53" customFormat="1">
      <c r="A756" s="381"/>
      <c r="B756" s="381"/>
      <c r="C756" s="373"/>
      <c r="D756" s="381"/>
      <c r="E756" s="383"/>
      <c r="F756" s="380"/>
      <c r="G756" s="380"/>
      <c r="H756" s="380"/>
      <c r="I756" s="380"/>
      <c r="J756" s="380"/>
      <c r="K756" s="502"/>
      <c r="L756" s="380"/>
      <c r="M756" s="380"/>
      <c r="N756" s="380"/>
      <c r="O756" s="380"/>
    </row>
    <row r="757" spans="1:15" s="53" customFormat="1">
      <c r="A757" s="381"/>
      <c r="B757" s="381"/>
      <c r="C757" s="373"/>
      <c r="D757" s="381"/>
      <c r="E757" s="383"/>
      <c r="F757" s="380"/>
      <c r="G757" s="380"/>
      <c r="H757" s="380"/>
      <c r="I757" s="380"/>
      <c r="J757" s="380"/>
      <c r="K757" s="502"/>
      <c r="L757" s="380"/>
      <c r="M757" s="380"/>
      <c r="N757" s="380"/>
      <c r="O757" s="380"/>
    </row>
    <row r="758" spans="1:15" s="53" customFormat="1">
      <c r="A758" s="381"/>
      <c r="B758" s="381"/>
      <c r="C758" s="373"/>
      <c r="D758" s="381"/>
      <c r="E758" s="383"/>
      <c r="F758" s="380"/>
      <c r="G758" s="380"/>
      <c r="H758" s="380"/>
      <c r="I758" s="380"/>
      <c r="J758" s="380"/>
      <c r="K758" s="502"/>
      <c r="L758" s="380"/>
      <c r="M758" s="380"/>
      <c r="N758" s="380"/>
      <c r="O758" s="380"/>
    </row>
    <row r="759" spans="1:15" s="53" customFormat="1">
      <c r="A759" s="381"/>
      <c r="B759" s="381"/>
      <c r="C759" s="373"/>
      <c r="D759" s="381"/>
      <c r="E759" s="383"/>
      <c r="F759" s="380"/>
      <c r="G759" s="380"/>
      <c r="H759" s="380"/>
      <c r="I759" s="380"/>
      <c r="J759" s="380"/>
      <c r="K759" s="502"/>
      <c r="L759" s="380"/>
      <c r="M759" s="380"/>
      <c r="N759" s="380"/>
      <c r="O759" s="380"/>
    </row>
    <row r="760" spans="1:15" s="53" customFormat="1">
      <c r="A760" s="381"/>
      <c r="B760" s="381"/>
      <c r="C760" s="373"/>
      <c r="D760" s="381"/>
      <c r="E760" s="383"/>
      <c r="F760" s="380"/>
      <c r="G760" s="380"/>
      <c r="H760" s="380"/>
      <c r="I760" s="380"/>
      <c r="J760" s="380"/>
      <c r="K760" s="502"/>
      <c r="L760" s="380"/>
      <c r="M760" s="380"/>
      <c r="N760" s="380"/>
      <c r="O760" s="380"/>
    </row>
    <row r="761" spans="1:15" s="53" customFormat="1">
      <c r="A761" s="381"/>
      <c r="B761" s="381"/>
      <c r="C761" s="373"/>
      <c r="D761" s="381"/>
      <c r="E761" s="383"/>
      <c r="F761" s="380"/>
      <c r="G761" s="380"/>
      <c r="H761" s="380"/>
      <c r="I761" s="380"/>
      <c r="J761" s="380"/>
      <c r="K761" s="502"/>
      <c r="L761" s="380"/>
      <c r="M761" s="380"/>
      <c r="N761" s="380"/>
      <c r="O761" s="380"/>
    </row>
    <row r="762" spans="1:15" s="53" customFormat="1">
      <c r="A762" s="381"/>
      <c r="B762" s="381"/>
      <c r="C762" s="373"/>
      <c r="D762" s="381"/>
      <c r="E762" s="376"/>
      <c r="F762" s="380"/>
      <c r="G762" s="380"/>
      <c r="H762" s="380"/>
      <c r="I762" s="380"/>
      <c r="J762" s="380"/>
      <c r="K762" s="502"/>
      <c r="L762" s="380"/>
      <c r="M762" s="380"/>
      <c r="N762" s="380"/>
      <c r="O762" s="380"/>
    </row>
    <row r="763" spans="1:15" s="53" customFormat="1">
      <c r="A763" s="381"/>
      <c r="B763" s="381"/>
      <c r="C763" s="373"/>
      <c r="D763" s="390"/>
      <c r="E763" s="376"/>
      <c r="F763" s="374"/>
      <c r="G763" s="374"/>
      <c r="H763" s="374"/>
      <c r="I763" s="374"/>
      <c r="J763" s="374"/>
      <c r="K763" s="505"/>
      <c r="L763" s="374"/>
      <c r="M763" s="374"/>
      <c r="N763" s="374"/>
      <c r="O763" s="374"/>
    </row>
    <row r="764" spans="1:15" s="53" customFormat="1">
      <c r="A764" s="381"/>
      <c r="B764" s="381"/>
      <c r="C764" s="373"/>
      <c r="D764" s="381"/>
      <c r="E764" s="376"/>
      <c r="F764" s="380"/>
      <c r="G764" s="380"/>
      <c r="H764" s="380"/>
      <c r="I764" s="380"/>
      <c r="J764" s="380"/>
      <c r="K764" s="502"/>
      <c r="L764" s="380"/>
      <c r="M764" s="380"/>
      <c r="N764" s="380"/>
      <c r="O764" s="380"/>
    </row>
    <row r="765" spans="1:15" s="53" customFormat="1">
      <c r="A765" s="381"/>
      <c r="B765" s="381"/>
      <c r="C765" s="373"/>
      <c r="D765" s="381"/>
      <c r="E765" s="383"/>
      <c r="F765" s="380"/>
      <c r="G765" s="380"/>
      <c r="H765" s="380"/>
      <c r="I765" s="380"/>
      <c r="J765" s="380"/>
      <c r="K765" s="502"/>
      <c r="L765" s="380"/>
      <c r="M765" s="380"/>
      <c r="N765" s="380"/>
      <c r="O765" s="380"/>
    </row>
    <row r="766" spans="1:15" s="53" customFormat="1">
      <c r="A766" s="381"/>
      <c r="B766" s="381"/>
      <c r="C766" s="373"/>
      <c r="D766" s="381"/>
      <c r="E766" s="383"/>
      <c r="F766" s="380"/>
      <c r="G766" s="380"/>
      <c r="H766" s="380"/>
      <c r="I766" s="380"/>
      <c r="J766" s="380"/>
      <c r="K766" s="502"/>
      <c r="L766" s="380"/>
      <c r="M766" s="380"/>
      <c r="N766" s="380"/>
      <c r="O766" s="380"/>
    </row>
    <row r="767" spans="1:15" s="53" customFormat="1">
      <c r="A767" s="381"/>
      <c r="B767" s="381"/>
      <c r="C767" s="373"/>
      <c r="D767" s="381"/>
      <c r="E767" s="383"/>
      <c r="F767" s="380"/>
      <c r="G767" s="380"/>
      <c r="H767" s="380"/>
      <c r="I767" s="380"/>
      <c r="J767" s="380"/>
      <c r="K767" s="502"/>
      <c r="L767" s="380"/>
      <c r="M767" s="380"/>
      <c r="N767" s="380"/>
      <c r="O767" s="380"/>
    </row>
    <row r="768" spans="1:15" s="53" customFormat="1">
      <c r="A768" s="381"/>
      <c r="B768" s="381"/>
      <c r="C768" s="373"/>
      <c r="D768" s="381"/>
      <c r="E768" s="383"/>
      <c r="F768" s="380"/>
      <c r="G768" s="380"/>
      <c r="H768" s="380"/>
      <c r="I768" s="380"/>
      <c r="J768" s="380"/>
      <c r="K768" s="502"/>
      <c r="L768" s="380"/>
      <c r="M768" s="380"/>
      <c r="N768" s="380"/>
      <c r="O768" s="380"/>
    </row>
    <row r="769" spans="1:15" s="53" customFormat="1">
      <c r="A769" s="381"/>
      <c r="B769" s="381"/>
      <c r="C769" s="373"/>
      <c r="D769" s="381"/>
      <c r="E769" s="383"/>
      <c r="F769" s="380"/>
      <c r="G769" s="380"/>
      <c r="H769" s="380"/>
      <c r="I769" s="380"/>
      <c r="J769" s="380"/>
      <c r="K769" s="502"/>
      <c r="L769" s="380"/>
      <c r="M769" s="380"/>
      <c r="N769" s="380"/>
      <c r="O769" s="380"/>
    </row>
    <row r="770" spans="1:15" s="53" customFormat="1">
      <c r="A770" s="381"/>
      <c r="B770" s="381"/>
      <c r="C770" s="373"/>
      <c r="D770" s="381"/>
      <c r="E770" s="383"/>
      <c r="F770" s="380"/>
      <c r="G770" s="380"/>
      <c r="H770" s="380"/>
      <c r="I770" s="380"/>
      <c r="J770" s="380"/>
      <c r="K770" s="502"/>
      <c r="L770" s="380"/>
      <c r="M770" s="380"/>
      <c r="N770" s="380"/>
      <c r="O770" s="380"/>
    </row>
    <row r="771" spans="1:15" s="53" customFormat="1">
      <c r="A771" s="381"/>
      <c r="B771" s="381"/>
      <c r="C771" s="373"/>
      <c r="D771" s="381"/>
      <c r="E771" s="376"/>
      <c r="F771" s="380"/>
      <c r="G771" s="380"/>
      <c r="H771" s="380"/>
      <c r="I771" s="380"/>
      <c r="J771" s="380"/>
      <c r="K771" s="502"/>
      <c r="L771" s="380"/>
      <c r="M771" s="380"/>
      <c r="N771" s="380"/>
      <c r="O771" s="380"/>
    </row>
    <row r="772" spans="1:15" s="53" customFormat="1">
      <c r="A772" s="381"/>
      <c r="B772" s="381"/>
      <c r="C772" s="373"/>
      <c r="D772" s="390"/>
      <c r="E772" s="376"/>
      <c r="F772" s="374"/>
      <c r="G772" s="374"/>
      <c r="H772" s="374"/>
      <c r="I772" s="374"/>
      <c r="J772" s="374"/>
      <c r="K772" s="505"/>
      <c r="L772" s="374"/>
      <c r="M772" s="374"/>
      <c r="N772" s="374"/>
      <c r="O772" s="374"/>
    </row>
    <row r="773" spans="1:15" s="53" customFormat="1">
      <c r="A773" s="381"/>
      <c r="B773" s="381"/>
      <c r="C773" s="373"/>
      <c r="D773" s="381"/>
      <c r="E773" s="376"/>
      <c r="F773" s="380"/>
      <c r="G773" s="380"/>
      <c r="H773" s="380"/>
      <c r="I773" s="380"/>
      <c r="J773" s="380"/>
      <c r="K773" s="502"/>
      <c r="L773" s="380"/>
      <c r="M773" s="380"/>
      <c r="N773" s="380"/>
      <c r="O773" s="380"/>
    </row>
    <row r="774" spans="1:15" s="53" customFormat="1">
      <c r="A774" s="381"/>
      <c r="B774" s="381"/>
      <c r="C774" s="373"/>
      <c r="D774" s="381"/>
      <c r="E774" s="383"/>
      <c r="F774" s="380"/>
      <c r="G774" s="380"/>
      <c r="H774" s="380"/>
      <c r="I774" s="380"/>
      <c r="J774" s="380"/>
      <c r="K774" s="502"/>
      <c r="L774" s="380"/>
      <c r="M774" s="380"/>
      <c r="N774" s="380"/>
      <c r="O774" s="380"/>
    </row>
    <row r="775" spans="1:15" s="53" customFormat="1">
      <c r="A775" s="381"/>
      <c r="B775" s="381"/>
      <c r="C775" s="373"/>
      <c r="D775" s="381"/>
      <c r="E775" s="383"/>
      <c r="F775" s="380"/>
      <c r="G775" s="380"/>
      <c r="H775" s="380"/>
      <c r="I775" s="380"/>
      <c r="J775" s="380"/>
      <c r="K775" s="502"/>
      <c r="L775" s="380"/>
      <c r="M775" s="380"/>
      <c r="N775" s="380"/>
      <c r="O775" s="380"/>
    </row>
    <row r="776" spans="1:15" s="53" customFormat="1">
      <c r="A776" s="381"/>
      <c r="B776" s="381"/>
      <c r="C776" s="373"/>
      <c r="D776" s="381"/>
      <c r="E776" s="383"/>
      <c r="F776" s="380"/>
      <c r="G776" s="380"/>
      <c r="H776" s="380"/>
      <c r="I776" s="380"/>
      <c r="J776" s="380"/>
      <c r="K776" s="502"/>
      <c r="L776" s="380"/>
      <c r="M776" s="380"/>
      <c r="N776" s="380"/>
      <c r="O776" s="380"/>
    </row>
    <row r="777" spans="1:15" s="53" customFormat="1">
      <c r="A777" s="381"/>
      <c r="B777" s="381"/>
      <c r="C777" s="373"/>
      <c r="D777" s="381"/>
      <c r="E777" s="383"/>
      <c r="F777" s="380"/>
      <c r="G777" s="380"/>
      <c r="H777" s="380"/>
      <c r="I777" s="380"/>
      <c r="J777" s="380"/>
      <c r="K777" s="502"/>
      <c r="L777" s="380"/>
      <c r="M777" s="380"/>
      <c r="N777" s="380"/>
      <c r="O777" s="380"/>
    </row>
    <row r="778" spans="1:15" s="53" customFormat="1">
      <c r="A778" s="381"/>
      <c r="B778" s="381"/>
      <c r="C778" s="373"/>
      <c r="D778" s="381"/>
      <c r="E778" s="383"/>
      <c r="F778" s="380"/>
      <c r="G778" s="380"/>
      <c r="H778" s="380"/>
      <c r="I778" s="380"/>
      <c r="J778" s="380"/>
      <c r="K778" s="502"/>
      <c r="L778" s="380"/>
      <c r="M778" s="380"/>
      <c r="N778" s="380"/>
      <c r="O778" s="380"/>
    </row>
    <row r="779" spans="1:15" s="53" customFormat="1">
      <c r="A779" s="381"/>
      <c r="B779" s="381"/>
      <c r="C779" s="373"/>
      <c r="D779" s="381"/>
      <c r="E779" s="383"/>
      <c r="F779" s="380"/>
      <c r="G779" s="380"/>
      <c r="H779" s="380"/>
      <c r="I779" s="380"/>
      <c r="J779" s="380"/>
      <c r="K779" s="502"/>
      <c r="L779" s="380"/>
      <c r="M779" s="380"/>
      <c r="N779" s="380"/>
      <c r="O779" s="380"/>
    </row>
    <row r="780" spans="1:15" s="53" customFormat="1">
      <c r="A780" s="381"/>
      <c r="B780" s="381"/>
      <c r="C780" s="373"/>
      <c r="D780" s="381"/>
      <c r="E780" s="376"/>
      <c r="F780" s="380"/>
      <c r="G780" s="380"/>
      <c r="H780" s="380"/>
      <c r="I780" s="380"/>
      <c r="J780" s="380"/>
      <c r="K780" s="502"/>
      <c r="L780" s="380"/>
      <c r="M780" s="380"/>
      <c r="N780" s="380"/>
      <c r="O780" s="380"/>
    </row>
    <row r="781" spans="1:15" s="53" customFormat="1">
      <c r="A781" s="381"/>
      <c r="B781" s="381"/>
      <c r="C781" s="373"/>
      <c r="D781" s="390"/>
      <c r="E781" s="376"/>
      <c r="F781" s="374"/>
      <c r="G781" s="374"/>
      <c r="H781" s="374"/>
      <c r="I781" s="374"/>
      <c r="J781" s="374"/>
      <c r="K781" s="505"/>
      <c r="L781" s="374"/>
      <c r="M781" s="374"/>
      <c r="N781" s="374"/>
      <c r="O781" s="374"/>
    </row>
    <row r="782" spans="1:15" s="53" customFormat="1">
      <c r="A782" s="381"/>
      <c r="B782" s="381"/>
      <c r="C782" s="373"/>
      <c r="D782" s="381"/>
      <c r="E782" s="376"/>
      <c r="F782" s="380"/>
      <c r="G782" s="380"/>
      <c r="H782" s="380"/>
      <c r="I782" s="380"/>
      <c r="J782" s="380"/>
      <c r="K782" s="502"/>
      <c r="L782" s="380"/>
      <c r="M782" s="380"/>
      <c r="N782" s="380"/>
      <c r="O782" s="380"/>
    </row>
    <row r="783" spans="1:15" s="53" customFormat="1">
      <c r="A783" s="381"/>
      <c r="B783" s="381"/>
      <c r="C783" s="373"/>
      <c r="D783" s="381"/>
      <c r="E783" s="383"/>
      <c r="F783" s="380"/>
      <c r="G783" s="380"/>
      <c r="H783" s="380"/>
      <c r="I783" s="380"/>
      <c r="J783" s="380"/>
      <c r="K783" s="502"/>
      <c r="L783" s="380"/>
      <c r="M783" s="380"/>
      <c r="N783" s="380"/>
      <c r="O783" s="380"/>
    </row>
    <row r="784" spans="1:15" s="53" customFormat="1">
      <c r="A784" s="381"/>
      <c r="B784" s="381"/>
      <c r="C784" s="373"/>
      <c r="D784" s="381"/>
      <c r="E784" s="383"/>
      <c r="F784" s="380"/>
      <c r="G784" s="380"/>
      <c r="H784" s="380"/>
      <c r="I784" s="380"/>
      <c r="J784" s="380"/>
      <c r="K784" s="502"/>
      <c r="L784" s="380"/>
      <c r="M784" s="380"/>
      <c r="N784" s="380"/>
      <c r="O784" s="380"/>
    </row>
    <row r="785" spans="1:15" s="53" customFormat="1">
      <c r="A785" s="381"/>
      <c r="B785" s="381"/>
      <c r="C785" s="373"/>
      <c r="D785" s="381"/>
      <c r="E785" s="383"/>
      <c r="F785" s="380"/>
      <c r="G785" s="380"/>
      <c r="H785" s="380"/>
      <c r="I785" s="380"/>
      <c r="J785" s="380"/>
      <c r="K785" s="502"/>
      <c r="L785" s="380"/>
      <c r="M785" s="380"/>
      <c r="N785" s="380"/>
      <c r="O785" s="380"/>
    </row>
    <row r="786" spans="1:15" s="53" customFormat="1">
      <c r="A786" s="381"/>
      <c r="B786" s="381"/>
      <c r="C786" s="373"/>
      <c r="D786" s="381"/>
      <c r="E786" s="383"/>
      <c r="F786" s="380"/>
      <c r="G786" s="380"/>
      <c r="H786" s="380"/>
      <c r="I786" s="380"/>
      <c r="J786" s="380"/>
      <c r="K786" s="502"/>
      <c r="L786" s="380"/>
      <c r="M786" s="380"/>
      <c r="N786" s="380"/>
      <c r="O786" s="380"/>
    </row>
    <row r="787" spans="1:15" s="53" customFormat="1">
      <c r="A787" s="381"/>
      <c r="B787" s="381"/>
      <c r="C787" s="373"/>
      <c r="D787" s="381"/>
      <c r="E787" s="383"/>
      <c r="F787" s="380"/>
      <c r="G787" s="380"/>
      <c r="H787" s="380"/>
      <c r="I787" s="380"/>
      <c r="J787" s="380"/>
      <c r="K787" s="502"/>
      <c r="L787" s="380"/>
      <c r="M787" s="380"/>
      <c r="N787" s="380"/>
      <c r="O787" s="380"/>
    </row>
    <row r="788" spans="1:15" s="53" customFormat="1">
      <c r="A788" s="381"/>
      <c r="B788" s="381"/>
      <c r="C788" s="373"/>
      <c r="D788" s="381"/>
      <c r="E788" s="383"/>
      <c r="F788" s="380"/>
      <c r="G788" s="380"/>
      <c r="H788" s="380"/>
      <c r="I788" s="380"/>
      <c r="J788" s="380"/>
      <c r="K788" s="502"/>
      <c r="L788" s="380"/>
      <c r="M788" s="380"/>
      <c r="N788" s="380"/>
      <c r="O788" s="380"/>
    </row>
    <row r="789" spans="1:15" s="53" customFormat="1">
      <c r="A789" s="381"/>
      <c r="B789" s="381"/>
      <c r="C789" s="373"/>
      <c r="D789" s="381"/>
      <c r="E789" s="376"/>
      <c r="F789" s="380"/>
      <c r="G789" s="380"/>
      <c r="H789" s="380"/>
      <c r="I789" s="380"/>
      <c r="J789" s="380"/>
      <c r="K789" s="502"/>
      <c r="L789" s="380"/>
      <c r="M789" s="380"/>
      <c r="N789" s="380"/>
      <c r="O789" s="380"/>
    </row>
    <row r="790" spans="1:15" s="53" customFormat="1">
      <c r="A790" s="381"/>
      <c r="B790" s="381"/>
      <c r="C790" s="373"/>
      <c r="D790" s="390"/>
      <c r="E790" s="376"/>
      <c r="F790" s="374"/>
      <c r="G790" s="374"/>
      <c r="H790" s="374"/>
      <c r="I790" s="374"/>
      <c r="J790" s="374"/>
      <c r="K790" s="505"/>
      <c r="L790" s="374"/>
      <c r="M790" s="374"/>
      <c r="N790" s="374"/>
      <c r="O790" s="374"/>
    </row>
    <row r="791" spans="1:15" s="53" customFormat="1">
      <c r="A791" s="381"/>
      <c r="B791" s="381"/>
      <c r="C791" s="373"/>
      <c r="D791" s="381"/>
      <c r="E791" s="376"/>
      <c r="F791" s="380"/>
      <c r="G791" s="380"/>
      <c r="H791" s="380"/>
      <c r="I791" s="380"/>
      <c r="J791" s="380"/>
      <c r="K791" s="502"/>
      <c r="L791" s="380"/>
      <c r="M791" s="380"/>
      <c r="N791" s="380"/>
      <c r="O791" s="380"/>
    </row>
    <row r="792" spans="1:15" s="53" customFormat="1">
      <c r="A792" s="381"/>
      <c r="B792" s="381"/>
      <c r="C792" s="373"/>
      <c r="D792" s="381"/>
      <c r="E792" s="383"/>
      <c r="F792" s="380"/>
      <c r="G792" s="380"/>
      <c r="H792" s="380"/>
      <c r="I792" s="380"/>
      <c r="J792" s="380"/>
      <c r="K792" s="502"/>
      <c r="L792" s="380"/>
      <c r="M792" s="380"/>
      <c r="N792" s="380"/>
      <c r="O792" s="380"/>
    </row>
    <row r="793" spans="1:15" s="53" customFormat="1">
      <c r="A793" s="381"/>
      <c r="B793" s="381"/>
      <c r="C793" s="373"/>
      <c r="D793" s="381"/>
      <c r="E793" s="383"/>
      <c r="F793" s="380"/>
      <c r="G793" s="380"/>
      <c r="H793" s="380"/>
      <c r="I793" s="380"/>
      <c r="J793" s="380"/>
      <c r="K793" s="502"/>
      <c r="L793" s="380"/>
      <c r="M793" s="380"/>
      <c r="N793" s="380"/>
      <c r="O793" s="380"/>
    </row>
    <row r="794" spans="1:15" s="53" customFormat="1">
      <c r="A794" s="381"/>
      <c r="B794" s="381"/>
      <c r="C794" s="373"/>
      <c r="D794" s="381"/>
      <c r="E794" s="383"/>
      <c r="F794" s="380"/>
      <c r="G794" s="380"/>
      <c r="H794" s="380"/>
      <c r="I794" s="380"/>
      <c r="J794" s="380"/>
      <c r="K794" s="502"/>
      <c r="L794" s="380"/>
      <c r="M794" s="380"/>
      <c r="N794" s="380"/>
      <c r="O794" s="380"/>
    </row>
    <row r="795" spans="1:15" s="53" customFormat="1">
      <c r="A795" s="381"/>
      <c r="B795" s="381"/>
      <c r="C795" s="373"/>
      <c r="D795" s="381"/>
      <c r="E795" s="383"/>
      <c r="F795" s="380"/>
      <c r="G795" s="380"/>
      <c r="H795" s="380"/>
      <c r="I795" s="380"/>
      <c r="J795" s="380"/>
      <c r="K795" s="502"/>
      <c r="L795" s="380"/>
      <c r="M795" s="380"/>
      <c r="N795" s="380"/>
      <c r="O795" s="380"/>
    </row>
    <row r="796" spans="1:15" s="53" customFormat="1">
      <c r="A796" s="381"/>
      <c r="B796" s="381"/>
      <c r="C796" s="373"/>
      <c r="D796" s="381"/>
      <c r="E796" s="383"/>
      <c r="F796" s="380"/>
      <c r="G796" s="380"/>
      <c r="H796" s="380"/>
      <c r="I796" s="380"/>
      <c r="J796" s="380"/>
      <c r="K796" s="502"/>
      <c r="L796" s="380"/>
      <c r="M796" s="380"/>
      <c r="N796" s="380"/>
      <c r="O796" s="380"/>
    </row>
    <row r="797" spans="1:15" s="53" customFormat="1">
      <c r="A797" s="381"/>
      <c r="B797" s="381"/>
      <c r="C797" s="373"/>
      <c r="D797" s="381"/>
      <c r="E797" s="383"/>
      <c r="F797" s="380"/>
      <c r="G797" s="380"/>
      <c r="H797" s="380"/>
      <c r="I797" s="380"/>
      <c r="J797" s="380"/>
      <c r="K797" s="502"/>
      <c r="L797" s="380"/>
      <c r="M797" s="380"/>
      <c r="N797" s="380"/>
      <c r="O797" s="380"/>
    </row>
    <row r="798" spans="1:15" s="53" customFormat="1">
      <c r="A798" s="381"/>
      <c r="B798" s="381"/>
      <c r="C798" s="373"/>
      <c r="D798" s="381"/>
      <c r="E798" s="376"/>
      <c r="F798" s="380"/>
      <c r="G798" s="380"/>
      <c r="H798" s="380"/>
      <c r="I798" s="380"/>
      <c r="J798" s="380"/>
      <c r="K798" s="502"/>
      <c r="L798" s="380"/>
      <c r="M798" s="380"/>
      <c r="N798" s="380"/>
      <c r="O798" s="380"/>
    </row>
    <row r="799" spans="1:15" s="53" customFormat="1">
      <c r="A799" s="381"/>
      <c r="B799" s="381"/>
      <c r="C799" s="373"/>
      <c r="D799" s="390"/>
      <c r="E799" s="376"/>
      <c r="F799" s="374"/>
      <c r="G799" s="374"/>
      <c r="H799" s="374"/>
      <c r="I799" s="374"/>
      <c r="J799" s="374"/>
      <c r="K799" s="501"/>
      <c r="L799" s="377"/>
      <c r="M799" s="377"/>
      <c r="N799" s="377"/>
      <c r="O799" s="377"/>
    </row>
    <row r="800" spans="1:15" s="21" customFormat="1">
      <c r="A800" s="373"/>
      <c r="B800" s="373"/>
      <c r="C800" s="373"/>
      <c r="D800" s="373"/>
      <c r="E800" s="376"/>
      <c r="F800" s="373"/>
      <c r="G800" s="373"/>
      <c r="H800" s="373"/>
      <c r="I800" s="373"/>
      <c r="J800" s="373"/>
      <c r="K800" s="506"/>
      <c r="L800" s="373"/>
      <c r="M800" s="373"/>
      <c r="N800" s="373"/>
      <c r="O800" s="373"/>
    </row>
  </sheetData>
  <customSheetViews>
    <customSheetView guid="{3FDF7207-004C-4A93-86DD-71ED7363ED58}" scale="80" hiddenColumns="1" showRuler="0">
      <pane xSplit="5" ySplit="3" topLeftCell="Y4" activePane="bottomRight" state="frozen"/>
      <selection pane="bottomRight" activeCell="Y4" sqref="Y4"/>
      <pageMargins left="0.75" right="0.75" top="1" bottom="1" header="0.5" footer="0.5"/>
      <pageSetup paperSize="9" orientation="portrait" verticalDpi="0" r:id="rId1"/>
      <headerFooter alignWithMargins="0"/>
    </customSheetView>
  </customSheetViews>
  <phoneticPr fontId="21" type="noConversion"/>
  <pageMargins left="0.70866141732283472" right="0.70866141732283472" top="0.74803149606299213" bottom="0.74803149606299213" header="0.31496062992125984" footer="0.31496062992125984"/>
  <pageSetup paperSize="9" scale="10" orientation="portrait" r:id="rId2"/>
  <headerFooter>
    <oddFooter>&amp;L&amp;Z
&amp;F&amp;R&amp;D</oddFooter>
  </headerFooter>
  <cellWatches>
    <cellWatch r="E132"/>
  </cellWatch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1"/>
  <sheetViews>
    <sheetView showGridLines="0" zoomScaleNormal="100" workbookViewId="0">
      <pane xSplit="4" ySplit="2" topLeftCell="E400" activePane="bottomRight" state="frozen"/>
      <selection activeCell="B43" sqref="B43:M43"/>
      <selection pane="topRight" activeCell="B43" sqref="B43:M43"/>
      <selection pane="bottomLeft" activeCell="B43" sqref="B43:M43"/>
      <selection pane="bottomRight" activeCell="C5" sqref="C5:C421"/>
    </sheetView>
  </sheetViews>
  <sheetFormatPr defaultColWidth="9.140625" defaultRowHeight="12.75"/>
  <cols>
    <col min="1" max="1" width="5.42578125" style="368" customWidth="1"/>
    <col min="2" max="2" width="12.5703125" style="369" customWidth="1"/>
    <col min="3" max="3" width="36.28515625" style="370" customWidth="1"/>
    <col min="4" max="4" width="3.5703125" style="10" customWidth="1"/>
    <col min="5" max="5" width="18.85546875" style="371" customWidth="1"/>
    <col min="6" max="12" width="9.140625" style="372" bestFit="1" customWidth="1"/>
    <col min="13" max="16384" width="9.140625" style="14"/>
  </cols>
  <sheetData>
    <row r="1" spans="1:12" ht="37.5" customHeight="1">
      <c r="A1" s="108"/>
      <c r="B1" s="354"/>
      <c r="C1" s="117" t="s">
        <v>508</v>
      </c>
      <c r="D1" s="117"/>
      <c r="E1" s="171"/>
      <c r="F1" s="507"/>
      <c r="G1" s="119"/>
      <c r="H1" s="119"/>
      <c r="I1" s="119"/>
      <c r="J1" s="119"/>
      <c r="K1" s="119"/>
      <c r="L1" s="104"/>
    </row>
    <row r="2" spans="1:12" s="53" customFormat="1" ht="18" customHeight="1">
      <c r="A2" s="513" t="s">
        <v>180</v>
      </c>
      <c r="B2" s="512" t="s">
        <v>23</v>
      </c>
      <c r="C2" s="509" t="s">
        <v>22</v>
      </c>
      <c r="D2" s="511" t="s">
        <v>76</v>
      </c>
      <c r="E2" s="510" t="s">
        <v>181</v>
      </c>
      <c r="F2" s="508" t="s">
        <v>8</v>
      </c>
      <c r="G2" s="130" t="s">
        <v>9</v>
      </c>
      <c r="H2" s="130" t="s">
        <v>34</v>
      </c>
      <c r="I2" s="130" t="s">
        <v>35</v>
      </c>
      <c r="J2" s="130" t="s">
        <v>36</v>
      </c>
      <c r="K2" s="130" t="s">
        <v>37</v>
      </c>
      <c r="L2" s="138" t="s">
        <v>38</v>
      </c>
    </row>
    <row r="3" spans="1:12" s="53" customFormat="1">
      <c r="A3" s="57"/>
      <c r="B3" s="355"/>
      <c r="C3" s="58"/>
      <c r="E3" s="59"/>
      <c r="F3" s="160"/>
      <c r="G3" s="141"/>
      <c r="H3" s="141"/>
      <c r="I3" s="131"/>
      <c r="J3" s="131"/>
      <c r="K3" s="131"/>
      <c r="L3" s="139"/>
    </row>
    <row r="4" spans="1:12" s="53" customFormat="1">
      <c r="A4" s="60" t="s">
        <v>31</v>
      </c>
      <c r="B4" s="355" t="s">
        <v>162</v>
      </c>
      <c r="C4" s="59" t="s">
        <v>175</v>
      </c>
      <c r="D4" s="169" t="s">
        <v>74</v>
      </c>
      <c r="E4" s="169" t="s">
        <v>182</v>
      </c>
      <c r="F4" s="262">
        <f>VLOOKUP($A4,'Price setting'!$E$448:$O$466,COLUMN()-1,FALSE)</f>
        <v>0</v>
      </c>
      <c r="G4" s="263">
        <f>VLOOKUP($A4,'Price setting'!$E$448:$O$466,COLUMN()-1,FALSE)</f>
        <v>0</v>
      </c>
      <c r="H4" s="263">
        <f ca="1">VLOOKUP($A4,'Price setting'!$E$448:$O$466,COLUMN()-1,FALSE)</f>
        <v>71.39185348331273</v>
      </c>
      <c r="I4" s="263">
        <f ca="1">VLOOKUP($A4,'Price setting'!$E$448:$O$466,COLUMN()-1,FALSE)</f>
        <v>74.002723132686398</v>
      </c>
      <c r="J4" s="263">
        <f ca="1">VLOOKUP($A4,'Price setting'!$E$448:$O$466,COLUMN()-1,FALSE)</f>
        <v>75.956042343598526</v>
      </c>
      <c r="K4" s="263">
        <f ca="1">VLOOKUP($A4,'Price setting'!$E$448:$O$466,COLUMN()-1,FALSE)</f>
        <v>77.325116516186426</v>
      </c>
      <c r="L4" s="264">
        <f ca="1">VLOOKUP($A4,'Price setting'!$E$448:$O$466,COLUMN()-1,FALSE)</f>
        <v>78.711841457383343</v>
      </c>
    </row>
    <row r="5" spans="1:12" s="53" customFormat="1">
      <c r="A5" s="60" t="s">
        <v>31</v>
      </c>
      <c r="B5" s="355" t="s">
        <v>163</v>
      </c>
      <c r="C5" s="59" t="s">
        <v>118</v>
      </c>
      <c r="D5" s="168" t="s">
        <v>75</v>
      </c>
      <c r="E5" s="169" t="s">
        <v>182</v>
      </c>
      <c r="F5" s="316">
        <f>VLOOKUP($A5,'Price setting'!$E$213:$O$231,COLUMN()-1,FALSE)</f>
        <v>0</v>
      </c>
      <c r="G5" s="317">
        <f>VLOOKUP($A5,'Price setting'!$E$213:$O$231,COLUMN()-1,FALSE)</f>
        <v>0</v>
      </c>
      <c r="H5" s="317">
        <f ca="1">VLOOKUP($A5,'Price setting'!$E$213:$O$231,COLUMN()-1,FALSE)</f>
        <v>19.677260963836904</v>
      </c>
      <c r="I5" s="318">
        <f ca="1">VLOOKUP($A5,'Price setting'!$E$213:$O$231,COLUMN()-1,FALSE)</f>
        <v>20.244623115283289</v>
      </c>
      <c r="J5" s="318">
        <f ca="1">VLOOKUP($A5,'Price setting'!$E$213:$O$231,COLUMN()-1,FALSE)</f>
        <v>20.593615852115768</v>
      </c>
      <c r="K5" s="318">
        <f ca="1">VLOOKUP($A5,'Price setting'!$E$213:$O$231,COLUMN()-1,FALSE)</f>
        <v>20.747657600929873</v>
      </c>
      <c r="L5" s="319">
        <f ca="1">VLOOKUP($A5,'Price setting'!$E$213:$O$231,COLUMN()-1,FALSE)</f>
        <v>20.890617760281941</v>
      </c>
    </row>
    <row r="6" spans="1:12" s="53" customFormat="1">
      <c r="A6" s="60" t="s">
        <v>31</v>
      </c>
      <c r="B6" s="355" t="s">
        <v>164</v>
      </c>
      <c r="C6" s="59" t="s">
        <v>119</v>
      </c>
      <c r="D6" s="168" t="s">
        <v>75</v>
      </c>
      <c r="E6" s="169" t="s">
        <v>182</v>
      </c>
      <c r="F6" s="316">
        <f>VLOOKUP($A6,'Price setting'!$E$278:$O$296,COLUMN()-1,FALSE)+VLOOKUP($A5,'Price setting'!$E$213:$O$231,COLUMN()-1,FALSE)</f>
        <v>0</v>
      </c>
      <c r="G6" s="317">
        <f>VLOOKUP($A6,'Price setting'!$E$278:$O$296,COLUMN()-1,FALSE)+VLOOKUP($A5,'Price setting'!$E$213:$O$231,COLUMN()-1,FALSE)</f>
        <v>0</v>
      </c>
      <c r="H6" s="317">
        <f ca="1">VLOOKUP($A6,'Price setting'!$E$278:$O$296,COLUMN()-1,FALSE)+VLOOKUP($A5,'Price setting'!$E$213:$O$231,COLUMN()-1,FALSE)</f>
        <v>22.157260963836901</v>
      </c>
      <c r="I6" s="318">
        <f ca="1">VLOOKUP($A6,'Price setting'!$E$278:$O$296,COLUMN()-1,FALSE)+VLOOKUP($A5,'Price setting'!$E$213:$O$231,COLUMN()-1,FALSE)</f>
        <v>22.72462311528329</v>
      </c>
      <c r="J6" s="318">
        <f ca="1">VLOOKUP($A6,'Price setting'!$E$278:$O$296,COLUMN()-1,FALSE)+VLOOKUP($A5,'Price setting'!$E$213:$O$231,COLUMN()-1,FALSE)</f>
        <v>23.073615852115768</v>
      </c>
      <c r="K6" s="318">
        <f ca="1">VLOOKUP($A6,'Price setting'!$E$278:$O$296,COLUMN()-1,FALSE)+VLOOKUP($A5,'Price setting'!$E$213:$O$231,COLUMN()-1,FALSE)</f>
        <v>23.227657600929874</v>
      </c>
      <c r="L6" s="319">
        <f ca="1">VLOOKUP($A6,'Price setting'!$E$278:$O$296,COLUMN()-1,FALSE)+VLOOKUP($A5,'Price setting'!$E$213:$O$231,COLUMN()-1,FALSE)</f>
        <v>23.370617760281942</v>
      </c>
    </row>
    <row r="7" spans="1:12" s="53" customFormat="1">
      <c r="A7" s="60" t="s">
        <v>31</v>
      </c>
      <c r="B7" s="355" t="s">
        <v>165</v>
      </c>
      <c r="C7" s="59" t="s">
        <v>120</v>
      </c>
      <c r="D7" s="168" t="s">
        <v>75</v>
      </c>
      <c r="E7" s="169" t="s">
        <v>182</v>
      </c>
      <c r="F7" s="316">
        <f>VLOOKUP($A7,'Price setting'!$E$343:$O$361,COLUMN()-1,FALSE)+VLOOKUP($A5,'Price setting'!$E$213:$O$231,COLUMN()-1,FALSE)</f>
        <v>0</v>
      </c>
      <c r="G7" s="317">
        <f>VLOOKUP($A7,'Price setting'!$E$343:$O$361,COLUMN()-1,FALSE)+VLOOKUP($A5,'Price setting'!$E$213:$O$231,COLUMN()-1,FALSE)</f>
        <v>0</v>
      </c>
      <c r="H7" s="317">
        <f ca="1">VLOOKUP($A7,'Price setting'!$E$343:$O$361,COLUMN()-1,FALSE)+VLOOKUP($A5,'Price setting'!$E$213:$O$231,COLUMN()-1,FALSE)</f>
        <v>22.817260963836908</v>
      </c>
      <c r="I7" s="318">
        <f ca="1">VLOOKUP($A7,'Price setting'!$E$343:$O$361,COLUMN()-1,FALSE)+VLOOKUP($A5,'Price setting'!$E$213:$O$231,COLUMN()-1,FALSE)</f>
        <v>23.384623115283297</v>
      </c>
      <c r="J7" s="318">
        <f ca="1">VLOOKUP($A7,'Price setting'!$E$343:$O$361,COLUMN()-1,FALSE)+VLOOKUP($A5,'Price setting'!$E$213:$O$231,COLUMN()-1,FALSE)</f>
        <v>23.733615852115769</v>
      </c>
      <c r="K7" s="318">
        <f ca="1">VLOOKUP($A7,'Price setting'!$E$343:$O$361,COLUMN()-1,FALSE)+VLOOKUP($A5,'Price setting'!$E$213:$O$231,COLUMN()-1,FALSE)</f>
        <v>23.88765760092987</v>
      </c>
      <c r="L7" s="319">
        <f ca="1">VLOOKUP($A7,'Price setting'!$E$343:$O$361,COLUMN()-1,FALSE)+VLOOKUP($A5,'Price setting'!$E$213:$O$231,COLUMN()-1,FALSE)</f>
        <v>24.030617760281949</v>
      </c>
    </row>
    <row r="8" spans="1:12" s="53" customFormat="1">
      <c r="A8" s="60" t="s">
        <v>31</v>
      </c>
      <c r="B8" s="355" t="s">
        <v>166</v>
      </c>
      <c r="C8" s="59" t="s">
        <v>124</v>
      </c>
      <c r="D8" s="168" t="s">
        <v>75</v>
      </c>
      <c r="E8" s="169" t="s">
        <v>182</v>
      </c>
      <c r="F8" s="316">
        <f>VLOOKUP($A8,'Price setting'!$E$408:$O$426,COLUMN()-1,FALSE)+VLOOKUP($A5,'Price setting'!$E$213:$O$231,COLUMN()-1,FALSE)</f>
        <v>0</v>
      </c>
      <c r="G8" s="317">
        <f>VLOOKUP($A8,'Price setting'!$E$408:$O$426,COLUMN()-1,FALSE)+VLOOKUP($A5,'Price setting'!$E$213:$O$231,COLUMN()-1,FALSE)</f>
        <v>0</v>
      </c>
      <c r="H8" s="317">
        <f ca="1">VLOOKUP($A8,'Price setting'!$E$408:$O$426,COLUMN()-1,FALSE)+VLOOKUP($A5,'Price setting'!$E$213:$O$231,COLUMN()-1,FALSE)</f>
        <v>22.361876348452288</v>
      </c>
      <c r="I8" s="318">
        <f ca="1">VLOOKUP($A8,'Price setting'!$E$408:$O$426,COLUMN()-1,FALSE)+VLOOKUP($A5,'Price setting'!$E$213:$O$231,COLUMN()-1,FALSE)</f>
        <v>22.929238499898677</v>
      </c>
      <c r="J8" s="318">
        <f ca="1">VLOOKUP($A8,'Price setting'!$E$408:$O$426,COLUMN()-1,FALSE)+VLOOKUP($A5,'Price setting'!$E$213:$O$231,COLUMN()-1,FALSE)</f>
        <v>23.278231236731155</v>
      </c>
      <c r="K8" s="318">
        <f ca="1">VLOOKUP($A8,'Price setting'!$E$408:$O$426,COLUMN()-1,FALSE)+VLOOKUP($A5,'Price setting'!$E$213:$O$231,COLUMN()-1,FALSE)</f>
        <v>23.432272985545257</v>
      </c>
      <c r="L8" s="319">
        <f ca="1">VLOOKUP($A8,'Price setting'!$E$408:$O$426,COLUMN()-1,FALSE)+VLOOKUP($A5,'Price setting'!$E$213:$O$231,COLUMN()-1,FALSE)</f>
        <v>23.575233144897322</v>
      </c>
    </row>
    <row r="9" spans="1:12" s="53" customFormat="1">
      <c r="A9" s="60" t="s">
        <v>31</v>
      </c>
      <c r="B9" s="355" t="s">
        <v>167</v>
      </c>
      <c r="C9" s="59" t="s">
        <v>122</v>
      </c>
      <c r="D9" s="170" t="s">
        <v>88</v>
      </c>
      <c r="E9" s="169" t="s">
        <v>182</v>
      </c>
      <c r="F9" s="262">
        <f>INDEX(ANH,ROW(Input!B$23)-5,COLUMN()+1)*Input!$H$441</f>
        <v>480.54890000000006</v>
      </c>
      <c r="G9" s="263">
        <f>INDEX(ANH,ROW(Input!C$23)-5,COLUMN()+1)*Input!$H$441</f>
        <v>428.49430000000001</v>
      </c>
      <c r="H9" s="263">
        <f>INDEX(ANH,ROW(Input!D$23)-5,COLUMN()+1)*Input!$H$441</f>
        <v>385.91540000000003</v>
      </c>
      <c r="I9" s="265">
        <f>INDEX(ANH,ROW(Input!E$23)-5,COLUMN()+1)*Input!$H$441</f>
        <v>344.34010000000001</v>
      </c>
      <c r="J9" s="265">
        <f>INDEX(ANH,ROW(Input!F$23)-5,COLUMN()+1)*Input!$H$441</f>
        <v>304.08300000000003</v>
      </c>
      <c r="K9" s="265">
        <f>INDEX(ANH,ROW(Input!G$23)-5,COLUMN()+1)*Input!$H$441</f>
        <v>265.05829999999997</v>
      </c>
      <c r="L9" s="266">
        <f>INDEX(ANH,ROW(Input!H$23)-5,COLUMN()+1)*Input!$H$441</f>
        <v>229.95830000000001</v>
      </c>
    </row>
    <row r="10" spans="1:12" s="53" customFormat="1">
      <c r="A10" s="60" t="s">
        <v>31</v>
      </c>
      <c r="B10" s="355" t="s">
        <v>168</v>
      </c>
      <c r="C10" s="59" t="s">
        <v>123</v>
      </c>
      <c r="D10" s="170" t="s">
        <v>88</v>
      </c>
      <c r="E10" s="169" t="s">
        <v>182</v>
      </c>
      <c r="F10" s="262">
        <f>+INDEX(ANH,ROW(Input!B$24)-5,COLUMN()+1)*Input!$H$441</f>
        <v>1709.1594000000002</v>
      </c>
      <c r="G10" s="263">
        <f>+INDEX(ANH,ROW(Input!C$24)-5,COLUMN()+1)*Input!$H$441</f>
        <v>1781.2535</v>
      </c>
      <c r="H10" s="263">
        <f>+INDEX(ANH,ROW(Input!D$24)-5,COLUMN()+1)*Input!$H$441</f>
        <v>1842.7344000000001</v>
      </c>
      <c r="I10" s="265">
        <f>+INDEX(ANH,ROW(Input!E$24)-5,COLUMN()+1)*Input!$H$441</f>
        <v>1904.2855000000002</v>
      </c>
      <c r="J10" s="265">
        <f>+INDEX(ANH,ROW(Input!F$24)-5,COLUMN()+1)*Input!$H$441</f>
        <v>1965.8626000000002</v>
      </c>
      <c r="K10" s="265">
        <f>+INDEX(ANH,ROW(Input!G$24)-5,COLUMN()+1)*Input!$H$441</f>
        <v>2027.5436999999999</v>
      </c>
      <c r="L10" s="267">
        <f>+INDEX(ANH,ROW(Input!H$24)-5,COLUMN()+1)*Input!$H$441</f>
        <v>2086.4948000000004</v>
      </c>
    </row>
    <row r="11" spans="1:12" s="53" customFormat="1">
      <c r="A11" s="60" t="s">
        <v>31</v>
      </c>
      <c r="B11" s="355" t="s">
        <v>169</v>
      </c>
      <c r="C11" s="59" t="s">
        <v>139</v>
      </c>
      <c r="D11" s="170" t="s">
        <v>74</v>
      </c>
      <c r="E11" s="169" t="s">
        <v>182</v>
      </c>
      <c r="F11" s="262">
        <f>VLOOKUP($A11,'Price setting'!$E$488:$O$506,COLUMN()-1,FALSE)</f>
        <v>0</v>
      </c>
      <c r="G11" s="263">
        <f>VLOOKUP($A11,'Price setting'!$E$488:$O$506,COLUMN()-1,FALSE)</f>
        <v>0</v>
      </c>
      <c r="H11" s="263">
        <f ca="1">VLOOKUP($A11,'Price setting'!$E$488:$O$506,COLUMN()-1,FALSE)</f>
        <v>0.95451350460011231</v>
      </c>
      <c r="I11" s="263">
        <f ca="1">VLOOKUP($A11,'Price setting'!$E$488:$O$506,COLUMN()-1,FALSE)</f>
        <v>2.8312201420175538</v>
      </c>
      <c r="J11" s="263">
        <f ca="1">VLOOKUP($A11,'Price setting'!$E$488:$O$506,COLUMN()-1,FALSE)</f>
        <v>3.9736086737378553</v>
      </c>
      <c r="K11" s="263">
        <f ca="1">VLOOKUP($A11,'Price setting'!$E$488:$O$506,COLUMN()-1,FALSE)</f>
        <v>4.4383293786617086</v>
      </c>
      <c r="L11" s="264">
        <f ca="1">VLOOKUP($A11,'Price setting'!$E$488:$O$506,COLUMN()-1,FALSE)</f>
        <v>4.8265817261941377</v>
      </c>
    </row>
    <row r="12" spans="1:12" s="53" customFormat="1">
      <c r="A12" s="60" t="str">
        <f>+A11</f>
        <v>ANH</v>
      </c>
      <c r="B12" s="355" t="s">
        <v>170</v>
      </c>
      <c r="C12" s="59" t="s">
        <v>67</v>
      </c>
      <c r="D12" s="170" t="s">
        <v>171</v>
      </c>
      <c r="E12" s="169" t="s">
        <v>182</v>
      </c>
      <c r="F12" s="320">
        <f>+Input!$H$441</f>
        <v>1.3</v>
      </c>
      <c r="G12" s="321">
        <f>+Input!$H$441</f>
        <v>1.3</v>
      </c>
      <c r="H12" s="321">
        <f>+Input!$H$441</f>
        <v>1.3</v>
      </c>
      <c r="I12" s="321">
        <f>+Input!$H$441</f>
        <v>1.3</v>
      </c>
      <c r="J12" s="321">
        <f>+Input!$H$441</f>
        <v>1.3</v>
      </c>
      <c r="K12" s="321">
        <f>+Input!$H$441</f>
        <v>1.3</v>
      </c>
      <c r="L12" s="322">
        <f>+Input!$H$441</f>
        <v>1.3</v>
      </c>
    </row>
    <row r="13" spans="1:12" s="53" customFormat="1">
      <c r="A13" s="60" t="s">
        <v>31</v>
      </c>
      <c r="B13" s="355" t="s">
        <v>194</v>
      </c>
      <c r="C13" s="59" t="s">
        <v>185</v>
      </c>
      <c r="D13" s="168" t="s">
        <v>75</v>
      </c>
      <c r="E13" s="169" t="s">
        <v>182</v>
      </c>
      <c r="F13" s="316">
        <f ca="1">VLOOKUP(A13,'Price setting'!$E$89:$I$106,COLUMN()-1,FALSE)</f>
        <v>20.431638005231878</v>
      </c>
      <c r="G13" s="317"/>
      <c r="H13" s="317"/>
      <c r="I13" s="317"/>
      <c r="J13" s="317"/>
      <c r="K13" s="317"/>
      <c r="L13" s="323"/>
    </row>
    <row r="14" spans="1:12" s="53" customFormat="1">
      <c r="A14" s="60" t="s">
        <v>31</v>
      </c>
      <c r="B14" s="355" t="s">
        <v>195</v>
      </c>
      <c r="C14" s="59" t="s">
        <v>186</v>
      </c>
      <c r="D14" s="168" t="s">
        <v>75</v>
      </c>
      <c r="E14" s="169" t="s">
        <v>182</v>
      </c>
      <c r="F14" s="316">
        <f ca="1">VLOOKUP(A14,'Price setting'!E$254:I$271,COLUMN()-1,FALSE)+VLOOKUP(A13,'Price setting'!$E$89:$I$106,COLUMN()-1,FALSE)</f>
        <v>22.960551616465469</v>
      </c>
      <c r="G14" s="317"/>
      <c r="H14" s="317"/>
      <c r="I14" s="317"/>
      <c r="J14" s="317"/>
      <c r="K14" s="317"/>
      <c r="L14" s="323"/>
    </row>
    <row r="15" spans="1:12" s="53" customFormat="1">
      <c r="A15" s="60" t="s">
        <v>31</v>
      </c>
      <c r="B15" s="355" t="s">
        <v>196</v>
      </c>
      <c r="C15" s="59" t="s">
        <v>187</v>
      </c>
      <c r="D15" s="168" t="s">
        <v>75</v>
      </c>
      <c r="E15" s="169" t="s">
        <v>182</v>
      </c>
      <c r="F15" s="316">
        <f ca="1">VLOOKUP(A15,'Price setting'!E$319:I$336,COLUMN()-1,FALSE)+VLOOKUP(A13,'Price setting'!$E$89:$I$106,COLUMN()-1,FALSE)</f>
        <v>23.584986609230846</v>
      </c>
      <c r="G15" s="317"/>
      <c r="H15" s="317"/>
      <c r="I15" s="317"/>
      <c r="J15" s="317"/>
      <c r="K15" s="317"/>
      <c r="L15" s="323"/>
    </row>
    <row r="16" spans="1:12" s="53" customFormat="1">
      <c r="A16" s="60" t="s">
        <v>31</v>
      </c>
      <c r="B16" s="355" t="s">
        <v>197</v>
      </c>
      <c r="C16" s="59" t="s">
        <v>188</v>
      </c>
      <c r="D16" s="168" t="s">
        <v>75</v>
      </c>
      <c r="E16" s="169" t="s">
        <v>182</v>
      </c>
      <c r="F16" s="316">
        <f ca="1">(VLOOKUP(A16,'Price setting'!E$384:I$401,COLUMN()-1,FALSE)+VLOOKUP(A13,'Price setting'!$E$89:$I$106,COLUMN()-1,FALSE))*+Input!$H$441</f>
        <v>30.065540802836242</v>
      </c>
      <c r="G16" s="317"/>
      <c r="H16" s="317"/>
      <c r="I16" s="317"/>
      <c r="J16" s="317"/>
      <c r="K16" s="317"/>
      <c r="L16" s="323"/>
    </row>
    <row r="17" spans="1:12" s="53" customFormat="1">
      <c r="A17" s="60" t="s">
        <v>31</v>
      </c>
      <c r="B17" s="355" t="s">
        <v>198</v>
      </c>
      <c r="C17" s="59" t="s">
        <v>189</v>
      </c>
      <c r="D17" s="168" t="s">
        <v>75</v>
      </c>
      <c r="E17" s="169" t="s">
        <v>182</v>
      </c>
      <c r="F17" s="316">
        <f ca="1">VLOOKUP(A17,'Price setting'!E$89:I$106,COLUMN()-1,FALSE)*+Input!$H$441</f>
        <v>26.561129406801442</v>
      </c>
      <c r="G17" s="317"/>
      <c r="H17" s="317"/>
      <c r="I17" s="317"/>
      <c r="J17" s="317"/>
      <c r="K17" s="317"/>
      <c r="L17" s="323"/>
    </row>
    <row r="18" spans="1:12" s="53" customFormat="1">
      <c r="A18" s="60" t="s">
        <v>31</v>
      </c>
      <c r="B18" s="356" t="s">
        <v>204</v>
      </c>
      <c r="C18" s="59" t="s">
        <v>203</v>
      </c>
      <c r="D18" s="168" t="s">
        <v>75</v>
      </c>
      <c r="E18" s="169" t="s">
        <v>182</v>
      </c>
      <c r="F18" s="316"/>
      <c r="G18" s="317"/>
      <c r="H18" s="317">
        <f ca="1">VLOOKUP($A18,'Price setting'!$E$213:$O$230,COLUMN()-1,FALSE)</f>
        <v>19.677260963836904</v>
      </c>
      <c r="I18" s="317">
        <f ca="1">VLOOKUP($A18,'Price setting'!$E$213:$O$230,COLUMN()-1,FALSE)</f>
        <v>20.244623115283289</v>
      </c>
      <c r="J18" s="317">
        <f ca="1">VLOOKUP($A18,'Price setting'!$E$213:$O$230,COLUMN()-1,FALSE)</f>
        <v>20.593615852115768</v>
      </c>
      <c r="K18" s="317">
        <f ca="1">VLOOKUP($A18,'Price setting'!$E$213:$O$230,COLUMN()-1,FALSE)</f>
        <v>20.747657600929873</v>
      </c>
      <c r="L18" s="323">
        <f ca="1">VLOOKUP($A18,'Price setting'!$E$213:$O$230,COLUMN()-1,FALSE)</f>
        <v>20.890617760281941</v>
      </c>
    </row>
    <row r="19" spans="1:12" s="53" customFormat="1">
      <c r="A19" s="60" t="s">
        <v>31</v>
      </c>
      <c r="B19" s="355" t="s">
        <v>199</v>
      </c>
      <c r="C19" s="59" t="s">
        <v>190</v>
      </c>
      <c r="D19" s="168" t="s">
        <v>75</v>
      </c>
      <c r="E19" s="169" t="s">
        <v>182</v>
      </c>
      <c r="F19" s="316"/>
      <c r="G19" s="317"/>
      <c r="H19" s="317">
        <f ca="1">VLOOKUP($A18,'Price setting'!$E$213:$O$230,COLUMN()-1,FALSE)*+Input!$H$441</f>
        <v>25.580439252987976</v>
      </c>
      <c r="I19" s="317">
        <f ca="1">VLOOKUP($A18,'Price setting'!$E$213:$O$230,COLUMN()-1,FALSE)*+Input!$H$441</f>
        <v>26.318010049868278</v>
      </c>
      <c r="J19" s="317">
        <f ca="1">VLOOKUP($A18,'Price setting'!$E$213:$O$230,COLUMN()-1,FALSE)*+Input!$H$441</f>
        <v>26.7717006077505</v>
      </c>
      <c r="K19" s="317">
        <f ca="1">VLOOKUP($A18,'Price setting'!$E$213:$O$230,COLUMN()-1,FALSE)*+Input!$H$441</f>
        <v>26.971954881208838</v>
      </c>
      <c r="L19" s="323">
        <f ca="1">VLOOKUP($A18,'Price setting'!$E$213:$O$230,COLUMN()-1,FALSE)*+Input!$H$441</f>
        <v>27.157803088366524</v>
      </c>
    </row>
    <row r="20" spans="1:12" s="53" customFormat="1">
      <c r="A20" s="60" t="s">
        <v>31</v>
      </c>
      <c r="B20" s="355" t="s">
        <v>200</v>
      </c>
      <c r="C20" s="59" t="s">
        <v>191</v>
      </c>
      <c r="D20" s="168" t="s">
        <v>75</v>
      </c>
      <c r="E20" s="169" t="s">
        <v>182</v>
      </c>
      <c r="F20" s="316"/>
      <c r="G20" s="317"/>
      <c r="H20" s="317">
        <f ca="1">VLOOKUP($A20,'Price setting'!$E$278:$O$295,COLUMN()-1,FALSE)+VLOOKUP($A18,'Price setting'!$E$213:$O$230,COLUMN()-1,FALSE)</f>
        <v>22.157260963836901</v>
      </c>
      <c r="I20" s="317">
        <f ca="1">VLOOKUP($A20,'Price setting'!$E$278:$O$295,COLUMN()-1,FALSE)+VLOOKUP($A18,'Price setting'!$E$213:$O$230,COLUMN()-1,FALSE)</f>
        <v>22.72462311528329</v>
      </c>
      <c r="J20" s="317">
        <f ca="1">VLOOKUP($A20,'Price setting'!$E$278:$O$295,COLUMN()-1,FALSE)+VLOOKUP($A18,'Price setting'!$E$213:$O$230,COLUMN()-1,FALSE)</f>
        <v>23.073615852115768</v>
      </c>
      <c r="K20" s="317">
        <f ca="1">VLOOKUP($A20,'Price setting'!$E$278:$O$295,COLUMN()-1,FALSE)+VLOOKUP($A18,'Price setting'!$E$213:$O$230,COLUMN()-1,FALSE)</f>
        <v>23.227657600929874</v>
      </c>
      <c r="L20" s="323">
        <f ca="1">VLOOKUP($A20,'Price setting'!$E$278:$O$295,COLUMN()-1,FALSE)+VLOOKUP($A18,'Price setting'!$E$213:$O$230,COLUMN()-1,FALSE)</f>
        <v>23.370617760281942</v>
      </c>
    </row>
    <row r="21" spans="1:12" s="53" customFormat="1">
      <c r="A21" s="60" t="s">
        <v>31</v>
      </c>
      <c r="B21" s="355" t="s">
        <v>201</v>
      </c>
      <c r="C21" s="59" t="s">
        <v>192</v>
      </c>
      <c r="D21" s="168" t="s">
        <v>75</v>
      </c>
      <c r="E21" s="169" t="s">
        <v>182</v>
      </c>
      <c r="F21" s="316"/>
      <c r="G21" s="317"/>
      <c r="H21" s="317">
        <f ca="1">VLOOKUP($A21,'Price setting'!$E$343:$O$360,COLUMN()-1,FALSE)+VLOOKUP($A18,'Price setting'!$E$213:$O$230,COLUMN()-1,FALSE)</f>
        <v>22.817260963836908</v>
      </c>
      <c r="I21" s="317">
        <f ca="1">VLOOKUP($A21,'Price setting'!$E$343:$O$360,COLUMN()-1,FALSE)+VLOOKUP($A18,'Price setting'!$E$213:$O$230,COLUMN()-1,FALSE)</f>
        <v>23.384623115283297</v>
      </c>
      <c r="J21" s="317">
        <f ca="1">VLOOKUP($A21,'Price setting'!$E$343:$O$360,COLUMN()-1,FALSE)+VLOOKUP($A18,'Price setting'!$E$213:$O$230,COLUMN()-1,FALSE)</f>
        <v>23.733615852115769</v>
      </c>
      <c r="K21" s="317">
        <f ca="1">VLOOKUP($A21,'Price setting'!$E$343:$O$360,COLUMN()-1,FALSE)+VLOOKUP($A18,'Price setting'!$E$213:$O$230,COLUMN()-1,FALSE)</f>
        <v>23.88765760092987</v>
      </c>
      <c r="L21" s="323">
        <f ca="1">VLOOKUP($A21,'Price setting'!$E$343:$O$360,COLUMN()-1,FALSE)+VLOOKUP($A18,'Price setting'!$E$213:$O$230,COLUMN()-1,FALSE)</f>
        <v>24.030617760281949</v>
      </c>
    </row>
    <row r="22" spans="1:12" s="53" customFormat="1">
      <c r="A22" s="60" t="s">
        <v>31</v>
      </c>
      <c r="B22" s="355" t="s">
        <v>202</v>
      </c>
      <c r="C22" s="59" t="s">
        <v>193</v>
      </c>
      <c r="D22" s="168" t="s">
        <v>75</v>
      </c>
      <c r="E22" s="169" t="s">
        <v>182</v>
      </c>
      <c r="F22" s="316"/>
      <c r="G22" s="317"/>
      <c r="H22" s="317">
        <f ca="1">(VLOOKUP($A22,'Price setting'!$E$408:$O$425,COLUMN()-1,FALSE)+VLOOKUP($A18,'Price setting'!$E$213:$O$230,COLUMN()-1,FALSE))*+Input!$H$441</f>
        <v>29.070439252987974</v>
      </c>
      <c r="I22" s="317">
        <f ca="1">(VLOOKUP($A22,'Price setting'!$E$408:$O$425,COLUMN()-1,FALSE)+VLOOKUP($A18,'Price setting'!$E$213:$O$230,COLUMN()-1,FALSE))*+Input!$H$441</f>
        <v>29.80801004986828</v>
      </c>
      <c r="J22" s="317">
        <f ca="1">(VLOOKUP($A22,'Price setting'!$E$408:$O$425,COLUMN()-1,FALSE)+VLOOKUP($A18,'Price setting'!$E$213:$O$230,COLUMN()-1,FALSE))*+Input!$H$441</f>
        <v>30.261700607750502</v>
      </c>
      <c r="K22" s="317">
        <f ca="1">(VLOOKUP($A22,'Price setting'!$E$408:$O$425,COLUMN()-1,FALSE)+VLOOKUP($A18,'Price setting'!$E$213:$O$230,COLUMN()-1,FALSE))*+Input!$H$441</f>
        <v>30.461954881208836</v>
      </c>
      <c r="L22" s="323">
        <f ca="1">(VLOOKUP($A22,'Price setting'!$E$408:$O$425,COLUMN()-1,FALSE)+VLOOKUP($A18,'Price setting'!$E$213:$O$230,COLUMN()-1,FALSE))*+Input!$H$441</f>
        <v>30.647803088366519</v>
      </c>
    </row>
    <row r="23" spans="1:12" s="53" customFormat="1">
      <c r="A23" s="60" t="s">
        <v>31</v>
      </c>
      <c r="B23" s="355" t="s">
        <v>208</v>
      </c>
      <c r="C23" s="59" t="s">
        <v>205</v>
      </c>
      <c r="D23" s="168" t="s">
        <v>75</v>
      </c>
      <c r="E23" s="169" t="s">
        <v>182</v>
      </c>
      <c r="F23" s="262">
        <f ca="1">VLOOKUP($A23,'Price setting'!$E$49:$I$66,COLUMN()-1,FALSE)</f>
        <v>0.30651533978294476</v>
      </c>
      <c r="G23" s="263"/>
      <c r="H23" s="263"/>
      <c r="I23" s="263"/>
      <c r="J23" s="263"/>
      <c r="K23" s="263"/>
      <c r="L23" s="264"/>
    </row>
    <row r="24" spans="1:12" s="53" customFormat="1">
      <c r="A24" s="60" t="s">
        <v>31</v>
      </c>
      <c r="B24" s="355" t="s">
        <v>206</v>
      </c>
      <c r="C24" s="59" t="s">
        <v>132</v>
      </c>
      <c r="D24" s="168" t="s">
        <v>74</v>
      </c>
      <c r="E24" s="169" t="s">
        <v>182</v>
      </c>
      <c r="F24" s="262">
        <f ca="1">'Used inputs'!I4</f>
        <v>67.321406396621526</v>
      </c>
      <c r="G24" s="263">
        <f>'Used inputs'!J4</f>
        <v>67.733798726621487</v>
      </c>
      <c r="H24" s="263">
        <f ca="1">'Used inputs'!K4</f>
        <v>68.670189112235548</v>
      </c>
      <c r="I24" s="263">
        <f ca="1">'Used inputs'!L4</f>
        <v>69.404352124191789</v>
      </c>
      <c r="J24" s="263">
        <f ca="1">'Used inputs'!M4</f>
        <v>70.215282803383616</v>
      </c>
      <c r="K24" s="263">
        <f ca="1">'Used inputs'!N4</f>
        <v>71.119636271047668</v>
      </c>
      <c r="L24" s="264">
        <f ca="1">'Used inputs'!O4</f>
        <v>72.118108864712156</v>
      </c>
    </row>
    <row r="25" spans="1:12" s="53" customFormat="1">
      <c r="A25" s="60" t="s">
        <v>31</v>
      </c>
      <c r="B25" s="355" t="s">
        <v>207</v>
      </c>
      <c r="C25" s="59" t="s">
        <v>157</v>
      </c>
      <c r="D25" s="168" t="s">
        <v>74</v>
      </c>
      <c r="E25" s="169" t="s">
        <v>182</v>
      </c>
      <c r="F25" s="262">
        <f>'Used inputs'!I17</f>
        <v>1.7732007871072051</v>
      </c>
      <c r="G25" s="263">
        <f>'Used inputs'!J17</f>
        <v>1.7193090539831746</v>
      </c>
      <c r="H25" s="263">
        <f>'Used inputs'!K17</f>
        <v>1.7671508664770625</v>
      </c>
      <c r="I25" s="263">
        <f>'Used inputs'!L17</f>
        <v>1.7671508664770625</v>
      </c>
      <c r="J25" s="263">
        <f>'Used inputs'!M17</f>
        <v>1.7671508664770625</v>
      </c>
      <c r="K25" s="263">
        <f>'Used inputs'!N17</f>
        <v>1.7671508664770625</v>
      </c>
      <c r="L25" s="264">
        <f>'Used inputs'!O17</f>
        <v>1.7671508664770625</v>
      </c>
    </row>
    <row r="26" spans="1:12" s="53" customFormat="1">
      <c r="A26" s="60" t="s">
        <v>32</v>
      </c>
      <c r="B26" s="355" t="s">
        <v>162</v>
      </c>
      <c r="C26" s="59" t="s">
        <v>175</v>
      </c>
      <c r="D26" s="169" t="s">
        <v>74</v>
      </c>
      <c r="E26" s="169" t="s">
        <v>182</v>
      </c>
      <c r="F26" s="262">
        <f>VLOOKUP($A26,'Price setting'!$E$448:$O$466,COLUMN()-1,FALSE)</f>
        <v>0</v>
      </c>
      <c r="G26" s="263">
        <f>VLOOKUP($A26,'Price setting'!$E$448:$O$466,COLUMN()-1,FALSE)</f>
        <v>0</v>
      </c>
      <c r="H26" s="263">
        <f ca="1">VLOOKUP($A26,'Price setting'!$E$448:$O$466,COLUMN()-1,FALSE)</f>
        <v>51.405948504049192</v>
      </c>
      <c r="I26" s="263">
        <f ca="1">VLOOKUP($A26,'Price setting'!$E$448:$O$466,COLUMN()-1,FALSE)</f>
        <v>49.849142356779133</v>
      </c>
      <c r="J26" s="263">
        <f ca="1">VLOOKUP($A26,'Price setting'!$E$448:$O$466,COLUMN()-1,FALSE)</f>
        <v>48.344143823438074</v>
      </c>
      <c r="K26" s="263">
        <f ca="1">VLOOKUP($A26,'Price setting'!$E$448:$O$466,COLUMN()-1,FALSE)</f>
        <v>46.697231726457971</v>
      </c>
      <c r="L26" s="264">
        <f ca="1">VLOOKUP($A26,'Price setting'!$E$448:$O$466,COLUMN()-1,FALSE)</f>
        <v>46.581892200401896</v>
      </c>
    </row>
    <row r="27" spans="1:12" s="53" customFormat="1">
      <c r="A27" s="60" t="s">
        <v>32</v>
      </c>
      <c r="B27" s="355" t="s">
        <v>163</v>
      </c>
      <c r="C27" s="59" t="s">
        <v>118</v>
      </c>
      <c r="D27" s="168" t="s">
        <v>75</v>
      </c>
      <c r="E27" s="169" t="s">
        <v>182</v>
      </c>
      <c r="F27" s="316">
        <f>VLOOKUP($A27,'Price setting'!$E$213:$O$231,COLUMN()-1,FALSE)</f>
        <v>0</v>
      </c>
      <c r="G27" s="317">
        <f>VLOOKUP($A27,'Price setting'!$E$213:$O$231,COLUMN()-1,FALSE)</f>
        <v>0</v>
      </c>
      <c r="H27" s="317">
        <f ca="1">VLOOKUP($A27,'Price setting'!$E$213:$O$231,COLUMN()-1,FALSE)</f>
        <v>27.461587447808238</v>
      </c>
      <c r="I27" s="317">
        <f ca="1">VLOOKUP($A27,'Price setting'!$E$213:$O$231,COLUMN()-1,FALSE)</f>
        <v>26.485648691099559</v>
      </c>
      <c r="J27" s="317">
        <f ca="1">VLOOKUP($A27,'Price setting'!$E$213:$O$231,COLUMN()-1,FALSE)</f>
        <v>25.563106244419838</v>
      </c>
      <c r="K27" s="317">
        <f ca="1">VLOOKUP($A27,'Price setting'!$E$213:$O$231,COLUMN()-1,FALSE)</f>
        <v>24.592173340461585</v>
      </c>
      <c r="L27" s="323">
        <f ca="1">VLOOKUP($A27,'Price setting'!$E$213:$O$231,COLUMN()-1,FALSE)</f>
        <v>24.335332211274139</v>
      </c>
    </row>
    <row r="28" spans="1:12" s="53" customFormat="1">
      <c r="A28" s="60" t="s">
        <v>32</v>
      </c>
      <c r="B28" s="355" t="s">
        <v>164</v>
      </c>
      <c r="C28" s="59" t="s">
        <v>119</v>
      </c>
      <c r="D28" s="168" t="s">
        <v>75</v>
      </c>
      <c r="E28" s="169" t="s">
        <v>182</v>
      </c>
      <c r="F28" s="316">
        <f>VLOOKUP($A28,'Price setting'!$E$278:$O$296,COLUMN()-1,FALSE)+VLOOKUP($A27,'Price setting'!$E$213:$O$231,COLUMN()-1,FALSE)</f>
        <v>0</v>
      </c>
      <c r="G28" s="317">
        <f>VLOOKUP($A28,'Price setting'!$E$278:$O$296,COLUMN()-1,FALSE)+VLOOKUP($A27,'Price setting'!$E$213:$O$231,COLUMN()-1,FALSE)</f>
        <v>0</v>
      </c>
      <c r="H28" s="317">
        <f ca="1">VLOOKUP($A28,'Price setting'!$E$278:$O$296,COLUMN()-1,FALSE)+VLOOKUP($A27,'Price setting'!$E$213:$O$231,COLUMN()-1,FALSE)</f>
        <v>35.13167125066915</v>
      </c>
      <c r="I28" s="317">
        <f ca="1">VLOOKUP($A28,'Price setting'!$E$278:$O$296,COLUMN()-1,FALSE)+VLOOKUP($A27,'Price setting'!$E$213:$O$231,COLUMN()-1,FALSE)</f>
        <v>33.54797797118178</v>
      </c>
      <c r="J28" s="317">
        <f ca="1">VLOOKUP($A28,'Price setting'!$E$278:$O$296,COLUMN()-1,FALSE)+VLOOKUP($A27,'Price setting'!$E$213:$O$231,COLUMN()-1,FALSE)</f>
        <v>31.989731880392227</v>
      </c>
      <c r="K28" s="317">
        <f ca="1">VLOOKUP($A28,'Price setting'!$E$278:$O$296,COLUMN()-1,FALSE)+VLOOKUP($A27,'Price setting'!$E$213:$O$231,COLUMN()-1,FALSE)</f>
        <v>30.383095332324146</v>
      </c>
      <c r="L28" s="323">
        <f ca="1">VLOOKUP($A28,'Price setting'!$E$278:$O$296,COLUMN()-1,FALSE)+VLOOKUP($A27,'Price setting'!$E$213:$O$231,COLUMN()-1,FALSE)</f>
        <v>30.1262542031367</v>
      </c>
    </row>
    <row r="29" spans="1:12" s="53" customFormat="1">
      <c r="A29" s="60" t="s">
        <v>32</v>
      </c>
      <c r="B29" s="355" t="s">
        <v>165</v>
      </c>
      <c r="C29" s="59" t="s">
        <v>120</v>
      </c>
      <c r="D29" s="168" t="s">
        <v>75</v>
      </c>
      <c r="E29" s="169" t="s">
        <v>182</v>
      </c>
      <c r="F29" s="316">
        <f>VLOOKUP($A29,'Price setting'!$E$343:$O$361,COLUMN()-1,FALSE)+VLOOKUP($A27,'Price setting'!$E$213:$O$231,COLUMN()-1,FALSE)</f>
        <v>0</v>
      </c>
      <c r="G29" s="317">
        <f>VLOOKUP($A29,'Price setting'!$E$343:$O$361,COLUMN()-1,FALSE)+VLOOKUP($A27,'Price setting'!$E$213:$O$231,COLUMN()-1,FALSE)</f>
        <v>0</v>
      </c>
      <c r="H29" s="317">
        <f ca="1">VLOOKUP($A29,'Price setting'!$E$343:$O$361,COLUMN()-1,FALSE)+VLOOKUP($A27,'Price setting'!$E$213:$O$231,COLUMN()-1,FALSE)</f>
        <v>34.72201123299223</v>
      </c>
      <c r="I29" s="317">
        <f ca="1">VLOOKUP($A29,'Price setting'!$E$343:$O$361,COLUMN()-1,FALSE)+VLOOKUP($A27,'Price setting'!$E$213:$O$231,COLUMN()-1,FALSE)</f>
        <v>32.683936859465049</v>
      </c>
      <c r="J29" s="317">
        <f ca="1">VLOOKUP($A29,'Price setting'!$E$343:$O$361,COLUMN()-1,FALSE)+VLOOKUP($A27,'Price setting'!$E$213:$O$231,COLUMN()-1,FALSE)</f>
        <v>30.699258795966823</v>
      </c>
      <c r="K29" s="317">
        <f ca="1">VLOOKUP($A29,'Price setting'!$E$343:$O$361,COLUMN()-1,FALSE)+VLOOKUP($A27,'Price setting'!$E$213:$O$231,COLUMN()-1,FALSE)</f>
        <v>28.666190275190065</v>
      </c>
      <c r="L29" s="323">
        <f ca="1">VLOOKUP($A29,'Price setting'!$E$343:$O$361,COLUMN()-1,FALSE)+VLOOKUP($A27,'Price setting'!$E$213:$O$231,COLUMN()-1,FALSE)</f>
        <v>28.409349146002619</v>
      </c>
    </row>
    <row r="30" spans="1:12" s="53" customFormat="1">
      <c r="A30" s="60" t="s">
        <v>32</v>
      </c>
      <c r="B30" s="355" t="s">
        <v>166</v>
      </c>
      <c r="C30" s="59" t="s">
        <v>124</v>
      </c>
      <c r="D30" s="168" t="s">
        <v>75</v>
      </c>
      <c r="E30" s="169" t="s">
        <v>182</v>
      </c>
      <c r="F30" s="316">
        <f>VLOOKUP($A30,'Price setting'!$E$408:$O$426,COLUMN()-1,FALSE)+VLOOKUP($A27,'Price setting'!$E$213:$O$231,COLUMN()-1,FALSE)</f>
        <v>0</v>
      </c>
      <c r="G30" s="317">
        <f>VLOOKUP($A30,'Price setting'!$E$408:$O$426,COLUMN()-1,FALSE)+VLOOKUP($A27,'Price setting'!$E$213:$O$231,COLUMN()-1,FALSE)</f>
        <v>0</v>
      </c>
      <c r="H30" s="317">
        <f ca="1">VLOOKUP($A30,'Price setting'!$E$408:$O$426,COLUMN()-1,FALSE)+VLOOKUP($A27,'Price setting'!$E$213:$O$231,COLUMN()-1,FALSE)</f>
        <v>33.368520981607304</v>
      </c>
      <c r="I30" s="317">
        <f ca="1">VLOOKUP($A30,'Price setting'!$E$408:$O$426,COLUMN()-1,FALSE)+VLOOKUP($A27,'Price setting'!$E$213:$O$231,COLUMN()-1,FALSE)</f>
        <v>32.081846699427892</v>
      </c>
      <c r="J30" s="317">
        <f ca="1">VLOOKUP($A30,'Price setting'!$E$408:$O$426,COLUMN()-1,FALSE)+VLOOKUP($A27,'Price setting'!$E$213:$O$231,COLUMN()-1,FALSE)</f>
        <v>30.825857468186562</v>
      </c>
      <c r="K30" s="317">
        <f ca="1">VLOOKUP($A30,'Price setting'!$E$408:$O$426,COLUMN()-1,FALSE)+VLOOKUP($A27,'Price setting'!$E$213:$O$231,COLUMN()-1,FALSE)</f>
        <v>29.477012110371753</v>
      </c>
      <c r="L30" s="323">
        <f ca="1">VLOOKUP($A30,'Price setting'!$E$408:$O$426,COLUMN()-1,FALSE)+VLOOKUP($A27,'Price setting'!$E$213:$O$231,COLUMN()-1,FALSE)</f>
        <v>29.141051133783328</v>
      </c>
    </row>
    <row r="31" spans="1:12" s="53" customFormat="1">
      <c r="A31" s="60" t="s">
        <v>32</v>
      </c>
      <c r="B31" s="355" t="s">
        <v>167</v>
      </c>
      <c r="C31" s="59" t="s">
        <v>122</v>
      </c>
      <c r="D31" s="170" t="s">
        <v>88</v>
      </c>
      <c r="E31" s="169" t="s">
        <v>182</v>
      </c>
      <c r="F31" s="262">
        <f>INDEX(WSH,ROW(Input!B$23)-5,COLUMN()+1)*Input!$H$441</f>
        <v>940.82300000000009</v>
      </c>
      <c r="G31" s="263">
        <f>INDEX(WSH,ROW(Input!C$23)-5,COLUMN()+1)*Input!$H$441</f>
        <v>918.38110000000006</v>
      </c>
      <c r="H31" s="263">
        <f>INDEX(WSH,ROW(Input!D$23)-5,COLUMN()+1)*Input!$H$441</f>
        <v>895.53490000000011</v>
      </c>
      <c r="I31" s="263">
        <f>INDEX(WSH,ROW(Input!E$23)-5,COLUMN()+1)*Input!$H$441</f>
        <v>873.28150000000005</v>
      </c>
      <c r="J31" s="263">
        <f>INDEX(WSH,ROW(Input!F$23)-5,COLUMN()+1)*Input!$H$441</f>
        <v>851.60400000000004</v>
      </c>
      <c r="K31" s="263">
        <f>INDEX(WSH,ROW(Input!G$23)-5,COLUMN()+1)*Input!$H$441</f>
        <v>830.48550000000012</v>
      </c>
      <c r="L31" s="264">
        <f>INDEX(WSH,ROW(Input!H$23)-5,COLUMN()+1)*Input!$H$441</f>
        <v>809.9117</v>
      </c>
    </row>
    <row r="32" spans="1:12" s="53" customFormat="1">
      <c r="A32" s="60" t="s">
        <v>32</v>
      </c>
      <c r="B32" s="355" t="s">
        <v>168</v>
      </c>
      <c r="C32" s="59" t="s">
        <v>123</v>
      </c>
      <c r="D32" s="170" t="s">
        <v>88</v>
      </c>
      <c r="E32" s="169" t="s">
        <v>182</v>
      </c>
      <c r="F32" s="262">
        <f>+INDEX(WSH,ROW(Input!B$24)-5,COLUMN()+1)*Input!$H$441</f>
        <v>555.25340000000006</v>
      </c>
      <c r="G32" s="263">
        <f>+INDEX(WSH,ROW(Input!C$24)-5,COLUMN()+1)*Input!$H$441</f>
        <v>584.60350000000005</v>
      </c>
      <c r="H32" s="263">
        <f>+INDEX(WSH,ROW(Input!D$24)-5,COLUMN()+1)*Input!$H$441</f>
        <v>614.35790000000009</v>
      </c>
      <c r="I32" s="263">
        <f>+INDEX(WSH,ROW(Input!E$24)-5,COLUMN()+1)*Input!$H$441</f>
        <v>643.98099999999999</v>
      </c>
      <c r="J32" s="263">
        <f>+INDEX(WSH,ROW(Input!F$24)-5,COLUMN()+1)*Input!$H$441</f>
        <v>673.4910000000001</v>
      </c>
      <c r="K32" s="263">
        <f>+INDEX(WSH,ROW(Input!G$24)-5,COLUMN()+1)*Input!$H$441</f>
        <v>702.90089999999998</v>
      </c>
      <c r="L32" s="264">
        <f>+INDEX(WSH,ROW(Input!H$24)-5,COLUMN()+1)*Input!$H$441</f>
        <v>732.22759999999994</v>
      </c>
    </row>
    <row r="33" spans="1:12" s="53" customFormat="1">
      <c r="A33" s="60" t="s">
        <v>32</v>
      </c>
      <c r="B33" s="355" t="s">
        <v>169</v>
      </c>
      <c r="C33" s="59" t="s">
        <v>139</v>
      </c>
      <c r="D33" s="170" t="s">
        <v>74</v>
      </c>
      <c r="E33" s="169" t="s">
        <v>182</v>
      </c>
      <c r="F33" s="262">
        <f>VLOOKUP($A33,'Price setting'!$E$488:$O$506,COLUMN()-1,FALSE)</f>
        <v>0</v>
      </c>
      <c r="G33" s="263">
        <f>VLOOKUP($A33,'Price setting'!$E$488:$O$506,COLUMN()-1,FALSE)</f>
        <v>0</v>
      </c>
      <c r="H33" s="263">
        <f ca="1">VLOOKUP($A33,'Price setting'!$E$488:$O$506,COLUMN()-1,FALSE)</f>
        <v>0.6866554622258827</v>
      </c>
      <c r="I33" s="263">
        <f ca="1">VLOOKUP($A33,'Price setting'!$E$488:$O$506,COLUMN()-1,FALSE)</f>
        <v>1.1012980211865431</v>
      </c>
      <c r="J33" s="263">
        <f ca="1">VLOOKUP($A33,'Price setting'!$E$488:$O$506,COLUMN()-1,FALSE)</f>
        <v>1.2533084215511463</v>
      </c>
      <c r="K33" s="263">
        <f ca="1">VLOOKUP($A33,'Price setting'!$E$488:$O$506,COLUMN()-1,FALSE)</f>
        <v>1.3503869564827125</v>
      </c>
      <c r="L33" s="264">
        <f ca="1">VLOOKUP($A33,'Price setting'!$E$488:$O$506,COLUMN()-1,FALSE)</f>
        <v>1.4267527214992202</v>
      </c>
    </row>
    <row r="34" spans="1:12" s="53" customFormat="1">
      <c r="A34" s="60" t="str">
        <f>+A33</f>
        <v>WSH</v>
      </c>
      <c r="B34" s="355" t="s">
        <v>170</v>
      </c>
      <c r="C34" s="59" t="s">
        <v>67</v>
      </c>
      <c r="D34" s="170" t="s">
        <v>171</v>
      </c>
      <c r="E34" s="169" t="s">
        <v>182</v>
      </c>
      <c r="F34" s="320">
        <f>+Input!$H$441</f>
        <v>1.3</v>
      </c>
      <c r="G34" s="321">
        <f>+Input!$H$441</f>
        <v>1.3</v>
      </c>
      <c r="H34" s="321">
        <f>+Input!$H$441</f>
        <v>1.3</v>
      </c>
      <c r="I34" s="321">
        <f>+Input!$H$441</f>
        <v>1.3</v>
      </c>
      <c r="J34" s="321">
        <f>+Input!$H$441</f>
        <v>1.3</v>
      </c>
      <c r="K34" s="321">
        <f>+Input!$H$441</f>
        <v>1.3</v>
      </c>
      <c r="L34" s="322">
        <f>+Input!$H$441</f>
        <v>1.3</v>
      </c>
    </row>
    <row r="35" spans="1:12" s="53" customFormat="1">
      <c r="A35" s="60" t="str">
        <f t="shared" ref="A35:A47" si="0">+A34</f>
        <v>WSH</v>
      </c>
      <c r="B35" s="355" t="s">
        <v>194</v>
      </c>
      <c r="C35" s="59" t="s">
        <v>185</v>
      </c>
      <c r="D35" s="170" t="s">
        <v>75</v>
      </c>
      <c r="E35" s="169" t="s">
        <v>182</v>
      </c>
      <c r="F35" s="316">
        <f ca="1">VLOOKUP(A35,'Price setting'!$E$89:$I$106,COLUMN()-1,FALSE)</f>
        <v>24.438141584581874</v>
      </c>
      <c r="G35" s="317"/>
      <c r="H35" s="317"/>
      <c r="I35" s="317"/>
      <c r="J35" s="317"/>
      <c r="K35" s="317"/>
      <c r="L35" s="323"/>
    </row>
    <row r="36" spans="1:12" s="53" customFormat="1">
      <c r="A36" s="60" t="str">
        <f t="shared" si="0"/>
        <v>WSH</v>
      </c>
      <c r="B36" s="355" t="s">
        <v>195</v>
      </c>
      <c r="C36" s="59" t="s">
        <v>186</v>
      </c>
      <c r="D36" s="170" t="s">
        <v>75</v>
      </c>
      <c r="E36" s="169" t="s">
        <v>182</v>
      </c>
      <c r="F36" s="316">
        <f ca="1">VLOOKUP(A36,'Price setting'!E$254:I$271,COLUMN()-1,FALSE)+VLOOKUP(A35,'Price setting'!$E$89:$I$106,COLUMN()-1,FALSE)</f>
        <v>32.771878152883751</v>
      </c>
      <c r="G36" s="317"/>
      <c r="H36" s="317"/>
      <c r="I36" s="317"/>
      <c r="J36" s="317"/>
      <c r="K36" s="317"/>
      <c r="L36" s="323"/>
    </row>
    <row r="37" spans="1:12" s="53" customFormat="1">
      <c r="A37" s="60" t="str">
        <f t="shared" si="0"/>
        <v>WSH</v>
      </c>
      <c r="B37" s="355" t="s">
        <v>196</v>
      </c>
      <c r="C37" s="59" t="s">
        <v>187</v>
      </c>
      <c r="D37" s="170" t="s">
        <v>75</v>
      </c>
      <c r="E37" s="169" t="s">
        <v>182</v>
      </c>
      <c r="F37" s="316">
        <f ca="1">VLOOKUP(A37,'Price setting'!E$319:I$336,COLUMN()-1,FALSE)+VLOOKUP(A35,'Price setting'!$E$89:$I$106,COLUMN()-1,FALSE)</f>
        <v>32.760700986584375</v>
      </c>
      <c r="G37" s="317"/>
      <c r="H37" s="317"/>
      <c r="I37" s="317"/>
      <c r="J37" s="317"/>
      <c r="K37" s="317"/>
      <c r="L37" s="323"/>
    </row>
    <row r="38" spans="1:12" s="53" customFormat="1">
      <c r="A38" s="60" t="str">
        <f t="shared" si="0"/>
        <v>WSH</v>
      </c>
      <c r="B38" s="355" t="s">
        <v>197</v>
      </c>
      <c r="C38" s="59" t="s">
        <v>188</v>
      </c>
      <c r="D38" s="170" t="s">
        <v>75</v>
      </c>
      <c r="E38" s="169" t="s">
        <v>182</v>
      </c>
      <c r="F38" s="316">
        <f ca="1">(VLOOKUP(A38,'Price setting'!E$384:I$401,COLUMN()-1,FALSE)+VLOOKUP(A35,'Price setting'!$E$89:$I$106,COLUMN()-1,FALSE))*+Input!$H$441</f>
        <v>40.085019220893749</v>
      </c>
      <c r="G38" s="317"/>
      <c r="H38" s="317"/>
      <c r="I38" s="317"/>
      <c r="J38" s="317"/>
      <c r="K38" s="317"/>
      <c r="L38" s="323"/>
    </row>
    <row r="39" spans="1:12" s="53" customFormat="1">
      <c r="A39" s="60" t="str">
        <f t="shared" si="0"/>
        <v>WSH</v>
      </c>
      <c r="B39" s="355" t="s">
        <v>198</v>
      </c>
      <c r="C39" s="59" t="s">
        <v>189</v>
      </c>
      <c r="D39" s="170" t="s">
        <v>75</v>
      </c>
      <c r="E39" s="169" t="s">
        <v>182</v>
      </c>
      <c r="F39" s="316">
        <f ca="1">VLOOKUP(A39,'Price setting'!E$89:I$106,COLUMN()-1,FALSE)*+Input!$H$441</f>
        <v>31.769584059956436</v>
      </c>
      <c r="G39" s="317"/>
      <c r="H39" s="317"/>
      <c r="I39" s="317"/>
      <c r="J39" s="317"/>
      <c r="K39" s="317"/>
      <c r="L39" s="323"/>
    </row>
    <row r="40" spans="1:12" s="53" customFormat="1">
      <c r="A40" s="60" t="s">
        <v>32</v>
      </c>
      <c r="B40" s="356" t="s">
        <v>204</v>
      </c>
      <c r="C40" s="59" t="s">
        <v>203</v>
      </c>
      <c r="D40" s="168" t="s">
        <v>75</v>
      </c>
      <c r="E40" s="169" t="s">
        <v>182</v>
      </c>
      <c r="F40" s="316"/>
      <c r="G40" s="317"/>
      <c r="H40" s="317">
        <f ca="1">VLOOKUP($A40,'Price setting'!$E$213:$O$230,COLUMN()-1,FALSE)</f>
        <v>27.461587447808238</v>
      </c>
      <c r="I40" s="317">
        <f ca="1">VLOOKUP($A40,'Price setting'!$E$213:$O$230,COLUMN()-1,FALSE)</f>
        <v>26.485648691099559</v>
      </c>
      <c r="J40" s="317">
        <f ca="1">VLOOKUP($A40,'Price setting'!$E$213:$O$230,COLUMN()-1,FALSE)</f>
        <v>25.563106244419838</v>
      </c>
      <c r="K40" s="317">
        <f ca="1">VLOOKUP($A40,'Price setting'!$E$213:$O$230,COLUMN()-1,FALSE)</f>
        <v>24.592173340461585</v>
      </c>
      <c r="L40" s="323">
        <f ca="1">VLOOKUP($A40,'Price setting'!$E$213:$O$230,COLUMN()-1,FALSE)</f>
        <v>24.335332211274139</v>
      </c>
    </row>
    <row r="41" spans="1:12" s="53" customFormat="1">
      <c r="A41" s="60" t="str">
        <f>+A39</f>
        <v>WSH</v>
      </c>
      <c r="B41" s="355" t="s">
        <v>199</v>
      </c>
      <c r="C41" s="59" t="s">
        <v>190</v>
      </c>
      <c r="D41" s="170" t="s">
        <v>75</v>
      </c>
      <c r="E41" s="169" t="s">
        <v>182</v>
      </c>
      <c r="F41" s="316"/>
      <c r="G41" s="317"/>
      <c r="H41" s="317">
        <f ca="1">VLOOKUP($A40,'Price setting'!$E$213:$O$230,COLUMN()-1,FALSE)*+Input!$H$441</f>
        <v>35.700063682150713</v>
      </c>
      <c r="I41" s="317">
        <f ca="1">VLOOKUP($A40,'Price setting'!$E$213:$O$230,COLUMN()-1,FALSE)*+Input!$H$441</f>
        <v>34.431343298429425</v>
      </c>
      <c r="J41" s="317">
        <f ca="1">VLOOKUP($A40,'Price setting'!$E$213:$O$230,COLUMN()-1,FALSE)*+Input!$H$441</f>
        <v>33.232038117745795</v>
      </c>
      <c r="K41" s="317">
        <f ca="1">VLOOKUP($A40,'Price setting'!$E$213:$O$230,COLUMN()-1,FALSE)*+Input!$H$441</f>
        <v>31.96982534260006</v>
      </c>
      <c r="L41" s="323">
        <f ca="1">VLOOKUP($A40,'Price setting'!$E$213:$O$230,COLUMN()-1,FALSE)*+Input!$H$441</f>
        <v>31.635931874656382</v>
      </c>
    </row>
    <row r="42" spans="1:12" s="53" customFormat="1">
      <c r="A42" s="60" t="str">
        <f t="shared" si="0"/>
        <v>WSH</v>
      </c>
      <c r="B42" s="355" t="s">
        <v>200</v>
      </c>
      <c r="C42" s="59" t="s">
        <v>191</v>
      </c>
      <c r="D42" s="170" t="s">
        <v>75</v>
      </c>
      <c r="E42" s="169" t="s">
        <v>182</v>
      </c>
      <c r="F42" s="316"/>
      <c r="G42" s="317"/>
      <c r="H42" s="317">
        <f ca="1">VLOOKUP($A42,'Price setting'!$E$278:$O$295,COLUMN()-1,FALSE)+VLOOKUP($A40,'Price setting'!$E$213:$O$230,COLUMN()-1,FALSE)</f>
        <v>35.13167125066915</v>
      </c>
      <c r="I42" s="317">
        <f ca="1">VLOOKUP($A42,'Price setting'!$E$278:$O$295,COLUMN()-1,FALSE)+VLOOKUP($A40,'Price setting'!$E$213:$O$230,COLUMN()-1,FALSE)</f>
        <v>33.54797797118178</v>
      </c>
      <c r="J42" s="317">
        <f ca="1">VLOOKUP($A42,'Price setting'!$E$278:$O$295,COLUMN()-1,FALSE)+VLOOKUP($A40,'Price setting'!$E$213:$O$230,COLUMN()-1,FALSE)</f>
        <v>31.989731880392227</v>
      </c>
      <c r="K42" s="317">
        <f ca="1">VLOOKUP($A42,'Price setting'!$E$278:$O$295,COLUMN()-1,FALSE)+VLOOKUP($A40,'Price setting'!$E$213:$O$230,COLUMN()-1,FALSE)</f>
        <v>30.383095332324146</v>
      </c>
      <c r="L42" s="323">
        <f ca="1">VLOOKUP($A42,'Price setting'!$E$278:$O$295,COLUMN()-1,FALSE)+VLOOKUP($A40,'Price setting'!$E$213:$O$230,COLUMN()-1,FALSE)</f>
        <v>30.1262542031367</v>
      </c>
    </row>
    <row r="43" spans="1:12" s="53" customFormat="1">
      <c r="A43" s="60" t="str">
        <f t="shared" si="0"/>
        <v>WSH</v>
      </c>
      <c r="B43" s="355" t="s">
        <v>201</v>
      </c>
      <c r="C43" s="59" t="s">
        <v>192</v>
      </c>
      <c r="D43" s="170" t="s">
        <v>75</v>
      </c>
      <c r="E43" s="169" t="s">
        <v>182</v>
      </c>
      <c r="F43" s="316"/>
      <c r="G43" s="317"/>
      <c r="H43" s="317">
        <f ca="1">VLOOKUP($A43,'Price setting'!$E$343:$O$360,COLUMN()-1,FALSE)+VLOOKUP($A40,'Price setting'!$E$213:$O$230,COLUMN()-1,FALSE)</f>
        <v>34.72201123299223</v>
      </c>
      <c r="I43" s="317">
        <f ca="1">VLOOKUP($A43,'Price setting'!$E$343:$O$360,COLUMN()-1,FALSE)+VLOOKUP($A40,'Price setting'!$E$213:$O$230,COLUMN()-1,FALSE)</f>
        <v>32.683936859465049</v>
      </c>
      <c r="J43" s="317">
        <f ca="1">VLOOKUP($A43,'Price setting'!$E$343:$O$360,COLUMN()-1,FALSE)+VLOOKUP($A40,'Price setting'!$E$213:$O$230,COLUMN()-1,FALSE)</f>
        <v>30.699258795966823</v>
      </c>
      <c r="K43" s="317">
        <f ca="1">VLOOKUP($A43,'Price setting'!$E$343:$O$360,COLUMN()-1,FALSE)+VLOOKUP($A40,'Price setting'!$E$213:$O$230,COLUMN()-1,FALSE)</f>
        <v>28.666190275190065</v>
      </c>
      <c r="L43" s="323">
        <f ca="1">VLOOKUP($A43,'Price setting'!$E$343:$O$360,COLUMN()-1,FALSE)+VLOOKUP($A40,'Price setting'!$E$213:$O$230,COLUMN()-1,FALSE)</f>
        <v>28.409349146002619</v>
      </c>
    </row>
    <row r="44" spans="1:12" s="53" customFormat="1">
      <c r="A44" s="60" t="str">
        <f t="shared" si="0"/>
        <v>WSH</v>
      </c>
      <c r="B44" s="355" t="s">
        <v>202</v>
      </c>
      <c r="C44" s="59" t="s">
        <v>193</v>
      </c>
      <c r="D44" s="170" t="s">
        <v>75</v>
      </c>
      <c r="E44" s="169" t="s">
        <v>182</v>
      </c>
      <c r="F44" s="316"/>
      <c r="G44" s="317"/>
      <c r="H44" s="317">
        <f ca="1">(VLOOKUP($A44,'Price setting'!$E$408:$O$425,COLUMN()-1,FALSE)+VLOOKUP($A40,'Price setting'!$E$213:$O$230,COLUMN()-1,FALSE))*+Input!$H$441</f>
        <v>43.379077276089497</v>
      </c>
      <c r="I44" s="317">
        <f ca="1">(VLOOKUP($A44,'Price setting'!$E$408:$O$425,COLUMN()-1,FALSE)+VLOOKUP($A40,'Price setting'!$E$213:$O$230,COLUMN()-1,FALSE))*+Input!$H$441</f>
        <v>41.706400709256265</v>
      </c>
      <c r="J44" s="317">
        <f ca="1">(VLOOKUP($A44,'Price setting'!$E$408:$O$425,COLUMN()-1,FALSE)+VLOOKUP($A40,'Price setting'!$E$213:$O$230,COLUMN()-1,FALSE))*+Input!$H$441</f>
        <v>40.073614708642531</v>
      </c>
      <c r="K44" s="317">
        <f ca="1">(VLOOKUP($A44,'Price setting'!$E$408:$O$425,COLUMN()-1,FALSE)+VLOOKUP($A40,'Price setting'!$E$213:$O$230,COLUMN()-1,FALSE))*+Input!$H$441</f>
        <v>38.320115743483278</v>
      </c>
      <c r="L44" s="323">
        <f ca="1">(VLOOKUP($A44,'Price setting'!$E$408:$O$425,COLUMN()-1,FALSE)+VLOOKUP($A40,'Price setting'!$E$213:$O$230,COLUMN()-1,FALSE))*+Input!$H$441</f>
        <v>37.883366473918329</v>
      </c>
    </row>
    <row r="45" spans="1:12" s="53" customFormat="1">
      <c r="A45" s="60" t="str">
        <f t="shared" si="0"/>
        <v>WSH</v>
      </c>
      <c r="B45" s="355" t="s">
        <v>208</v>
      </c>
      <c r="C45" s="59" t="s">
        <v>205</v>
      </c>
      <c r="D45" s="168" t="s">
        <v>75</v>
      </c>
      <c r="E45" s="169" t="s">
        <v>182</v>
      </c>
      <c r="F45" s="262">
        <f ca="1">VLOOKUP($A45,'Price setting'!$E$49:$I$66,COLUMN()-1,FALSE)</f>
        <v>0</v>
      </c>
      <c r="G45" s="263"/>
      <c r="H45" s="263"/>
      <c r="I45" s="263"/>
      <c r="J45" s="263"/>
      <c r="K45" s="263"/>
      <c r="L45" s="264"/>
    </row>
    <row r="46" spans="1:12" s="53" customFormat="1">
      <c r="A46" s="60" t="str">
        <f t="shared" si="0"/>
        <v>WSH</v>
      </c>
      <c r="B46" s="355" t="s">
        <v>206</v>
      </c>
      <c r="C46" s="59" t="s">
        <v>132</v>
      </c>
      <c r="D46" s="168" t="s">
        <v>74</v>
      </c>
      <c r="E46" s="169" t="s">
        <v>182</v>
      </c>
      <c r="F46" s="262">
        <f ca="1">'Used inputs'!I19</f>
        <v>44.455777382551858</v>
      </c>
      <c r="G46" s="263">
        <f>'Used inputs'!J19</f>
        <v>45.05551386023204</v>
      </c>
      <c r="H46" s="263">
        <f ca="1">'Used inputs'!K19</f>
        <v>44.334265568615614</v>
      </c>
      <c r="I46" s="263">
        <f ca="1">'Used inputs'!L19</f>
        <v>43.046380526439187</v>
      </c>
      <c r="J46" s="263">
        <f ca="1">'Used inputs'!M19</f>
        <v>42.106483392000321</v>
      </c>
      <c r="K46" s="263">
        <f ca="1">'Used inputs'!N19</f>
        <v>41.16078568387158</v>
      </c>
      <c r="L46" s="264">
        <f ca="1">'Used inputs'!O19</f>
        <v>41.26293695485284</v>
      </c>
    </row>
    <row r="47" spans="1:12" s="53" customFormat="1">
      <c r="A47" s="60" t="str">
        <f t="shared" si="0"/>
        <v>WSH</v>
      </c>
      <c r="B47" s="355" t="s">
        <v>207</v>
      </c>
      <c r="C47" s="59" t="s">
        <v>157</v>
      </c>
      <c r="D47" s="168" t="s">
        <v>74</v>
      </c>
      <c r="E47" s="169" t="s">
        <v>182</v>
      </c>
      <c r="F47" s="262">
        <f>'Used inputs'!I32</f>
        <v>10.608698879621056</v>
      </c>
      <c r="G47" s="263">
        <f>'Used inputs'!J32</f>
        <v>14.448109533054051</v>
      </c>
      <c r="H47" s="263">
        <f>'Used inputs'!K32</f>
        <v>10.002212297022298</v>
      </c>
      <c r="I47" s="263">
        <f>'Used inputs'!L32</f>
        <v>9.5078274221615597</v>
      </c>
      <c r="J47" s="263">
        <f>'Used inputs'!M32</f>
        <v>9.0368947539600253</v>
      </c>
      <c r="K47" s="263">
        <f>'Used inputs'!N32</f>
        <v>8.5902884342970793</v>
      </c>
      <c r="L47" s="264">
        <f>'Used inputs'!O32</f>
        <v>8.1660124306172808</v>
      </c>
    </row>
    <row r="48" spans="1:12" s="53" customFormat="1">
      <c r="A48" s="60" t="s">
        <v>33</v>
      </c>
      <c r="B48" s="355" t="s">
        <v>162</v>
      </c>
      <c r="C48" s="59" t="s">
        <v>175</v>
      </c>
      <c r="D48" s="169" t="s">
        <v>74</v>
      </c>
      <c r="E48" s="169" t="s">
        <v>182</v>
      </c>
      <c r="F48" s="262">
        <f>VLOOKUP($A48,'Price setting'!$E$448:$O$466,COLUMN()-1,FALSE)</f>
        <v>0</v>
      </c>
      <c r="G48" s="263">
        <f>VLOOKUP($A48,'Price setting'!$E$448:$O$466,COLUMN()-1,FALSE)</f>
        <v>0</v>
      </c>
      <c r="H48" s="263">
        <f ca="1">VLOOKUP($A48,'Price setting'!$E$448:$O$466,COLUMN()-1,FALSE)</f>
        <v>51.268462127537823</v>
      </c>
      <c r="I48" s="263">
        <f ca="1">VLOOKUP($A48,'Price setting'!$E$448:$O$466,COLUMN()-1,FALSE)</f>
        <v>52.135689862442931</v>
      </c>
      <c r="J48" s="263">
        <f ca="1">VLOOKUP($A48,'Price setting'!$E$448:$O$466,COLUMN()-1,FALSE)</f>
        <v>52.757064843032573</v>
      </c>
      <c r="K48" s="263">
        <f ca="1">VLOOKUP($A48,'Price setting'!$E$448:$O$466,COLUMN()-1,FALSE)</f>
        <v>53.340601195531221</v>
      </c>
      <c r="L48" s="264">
        <f ca="1">VLOOKUP($A48,'Price setting'!$E$448:$O$466,COLUMN()-1,FALSE)</f>
        <v>53.90896116520554</v>
      </c>
    </row>
    <row r="49" spans="1:12" s="53" customFormat="1">
      <c r="A49" s="60" t="s">
        <v>33</v>
      </c>
      <c r="B49" s="355" t="s">
        <v>163</v>
      </c>
      <c r="C49" s="59" t="s">
        <v>118</v>
      </c>
      <c r="D49" s="168" t="s">
        <v>75</v>
      </c>
      <c r="E49" s="169" t="s">
        <v>182</v>
      </c>
      <c r="F49" s="316">
        <f>VLOOKUP($A49,'Price setting'!$E$213:$O$231,COLUMN()-1,FALSE)</f>
        <v>0</v>
      </c>
      <c r="G49" s="317">
        <f>VLOOKUP($A49,'Price setting'!$E$213:$O$231,COLUMN()-1,FALSE)</f>
        <v>0</v>
      </c>
      <c r="H49" s="317">
        <f ca="1">VLOOKUP($A49,'Price setting'!$E$213:$O$231,COLUMN()-1,FALSE)</f>
        <v>22.101456925184344</v>
      </c>
      <c r="I49" s="317">
        <f ca="1">VLOOKUP($A49,'Price setting'!$E$213:$O$231,COLUMN()-1,FALSE)</f>
        <v>22.303298293808485</v>
      </c>
      <c r="J49" s="317">
        <f ca="1">VLOOKUP($A49,'Price setting'!$E$213:$O$231,COLUMN()-1,FALSE)</f>
        <v>22.387205789307693</v>
      </c>
      <c r="K49" s="317">
        <f ca="1">VLOOKUP($A49,'Price setting'!$E$213:$O$231,COLUMN()-1,FALSE)</f>
        <v>22.450452811596104</v>
      </c>
      <c r="L49" s="323">
        <f ca="1">VLOOKUP($A49,'Price setting'!$E$213:$O$231,COLUMN()-1,FALSE)</f>
        <v>22.502530231091086</v>
      </c>
    </row>
    <row r="50" spans="1:12" s="53" customFormat="1">
      <c r="A50" s="60" t="s">
        <v>33</v>
      </c>
      <c r="B50" s="355" t="s">
        <v>164</v>
      </c>
      <c r="C50" s="59" t="s">
        <v>119</v>
      </c>
      <c r="D50" s="168" t="s">
        <v>75</v>
      </c>
      <c r="E50" s="169" t="s">
        <v>182</v>
      </c>
      <c r="F50" s="316">
        <f>VLOOKUP($A50,'Price setting'!$E$278:$O$296,COLUMN()-1,FALSE)+VLOOKUP($A49,'Price setting'!$E$213:$O$231,COLUMN()-1,FALSE)</f>
        <v>0</v>
      </c>
      <c r="G50" s="317">
        <f>VLOOKUP($A50,'Price setting'!$E$278:$O$296,COLUMN()-1,FALSE)+VLOOKUP($A49,'Price setting'!$E$213:$O$231,COLUMN()-1,FALSE)</f>
        <v>0</v>
      </c>
      <c r="H50" s="317">
        <f ca="1">VLOOKUP($A50,'Price setting'!$E$278:$O$296,COLUMN()-1,FALSE)+VLOOKUP($A49,'Price setting'!$E$213:$O$231,COLUMN()-1,FALSE)</f>
        <v>24.752888793742184</v>
      </c>
      <c r="I50" s="317">
        <f ca="1">VLOOKUP($A50,'Price setting'!$E$278:$O$296,COLUMN()-1,FALSE)+VLOOKUP($A49,'Price setting'!$E$213:$O$231,COLUMN()-1,FALSE)</f>
        <v>24.954764948741854</v>
      </c>
      <c r="J50" s="317">
        <f ca="1">VLOOKUP($A50,'Price setting'!$E$278:$O$296,COLUMN()-1,FALSE)+VLOOKUP($A49,'Price setting'!$E$213:$O$231,COLUMN()-1,FALSE)</f>
        <v>25.039999391326027</v>
      </c>
      <c r="K50" s="317">
        <f ca="1">VLOOKUP($A50,'Price setting'!$E$278:$O$296,COLUMN()-1,FALSE)+VLOOKUP($A49,'Price setting'!$E$213:$O$231,COLUMN()-1,FALSE)</f>
        <v>25.103325287299274</v>
      </c>
      <c r="L50" s="323">
        <f ca="1">VLOOKUP($A50,'Price setting'!$E$278:$O$296,COLUMN()-1,FALSE)+VLOOKUP($A49,'Price setting'!$E$213:$O$231,COLUMN()-1,FALSE)</f>
        <v>25.155283727602971</v>
      </c>
    </row>
    <row r="51" spans="1:12" s="53" customFormat="1">
      <c r="A51" s="60" t="s">
        <v>33</v>
      </c>
      <c r="B51" s="355" t="s">
        <v>165</v>
      </c>
      <c r="C51" s="59" t="s">
        <v>120</v>
      </c>
      <c r="D51" s="168" t="s">
        <v>75</v>
      </c>
      <c r="E51" s="169" t="s">
        <v>182</v>
      </c>
      <c r="F51" s="316">
        <f>VLOOKUP($A51,'Price setting'!$E$343:$O$361,COLUMN()-1,FALSE)+VLOOKUP($A49,'Price setting'!$E$213:$O$231,COLUMN()-1,FALSE)</f>
        <v>0</v>
      </c>
      <c r="G51" s="317">
        <f>VLOOKUP($A51,'Price setting'!$E$343:$O$361,COLUMN()-1,FALSE)+VLOOKUP($A49,'Price setting'!$E$213:$O$231,COLUMN()-1,FALSE)</f>
        <v>0</v>
      </c>
      <c r="H51" s="317">
        <f ca="1">VLOOKUP($A51,'Price setting'!$E$343:$O$361,COLUMN()-1,FALSE)+VLOOKUP($A49,'Price setting'!$E$213:$O$231,COLUMN()-1,FALSE)</f>
        <v>24.766841689142261</v>
      </c>
      <c r="I51" s="317">
        <f ca="1">VLOOKUP($A51,'Price setting'!$E$343:$O$361,COLUMN()-1,FALSE)+VLOOKUP($A49,'Price setting'!$E$213:$O$231,COLUMN()-1,FALSE)</f>
        <v>24.955679568859399</v>
      </c>
      <c r="J51" s="317">
        <f ca="1">VLOOKUP($A51,'Price setting'!$E$343:$O$361,COLUMN()-1,FALSE)+VLOOKUP($A49,'Price setting'!$E$213:$O$231,COLUMN()-1,FALSE)</f>
        <v>25.027071199807413</v>
      </c>
      <c r="K51" s="317">
        <f ca="1">VLOOKUP($A51,'Price setting'!$E$343:$O$361,COLUMN()-1,FALSE)+VLOOKUP($A49,'Price setting'!$E$213:$O$231,COLUMN()-1,FALSE)</f>
        <v>25.102912256918685</v>
      </c>
      <c r="L51" s="323">
        <f ca="1">VLOOKUP($A51,'Price setting'!$E$343:$O$361,COLUMN()-1,FALSE)+VLOOKUP($A49,'Price setting'!$E$213:$O$231,COLUMN()-1,FALSE)</f>
        <v>25.165710744025823</v>
      </c>
    </row>
    <row r="52" spans="1:12" s="53" customFormat="1">
      <c r="A52" s="60" t="s">
        <v>33</v>
      </c>
      <c r="B52" s="355" t="s">
        <v>166</v>
      </c>
      <c r="C52" s="59" t="s">
        <v>124</v>
      </c>
      <c r="D52" s="168" t="s">
        <v>75</v>
      </c>
      <c r="E52" s="169" t="s">
        <v>182</v>
      </c>
      <c r="F52" s="316">
        <f>VLOOKUP($A52,'Price setting'!$E$408:$O$426,COLUMN()-1,FALSE)+VLOOKUP($A49,'Price setting'!$E$213:$O$231,COLUMN()-1,FALSE)</f>
        <v>0</v>
      </c>
      <c r="G52" s="317">
        <f>VLOOKUP($A52,'Price setting'!$E$408:$O$426,COLUMN()-1,FALSE)+VLOOKUP($A49,'Price setting'!$E$213:$O$231,COLUMN()-1,FALSE)</f>
        <v>0</v>
      </c>
      <c r="H52" s="317">
        <f ca="1">VLOOKUP($A52,'Price setting'!$E$408:$O$426,COLUMN()-1,FALSE)+VLOOKUP($A49,'Price setting'!$E$213:$O$231,COLUMN()-1,FALSE)</f>
        <v>26.182094537669112</v>
      </c>
      <c r="I52" s="317">
        <f ca="1">VLOOKUP($A52,'Price setting'!$E$408:$O$426,COLUMN()-1,FALSE)+VLOOKUP($A49,'Price setting'!$E$213:$O$231,COLUMN()-1,FALSE)</f>
        <v>26.382533581019761</v>
      </c>
      <c r="J52" s="317">
        <f ca="1">VLOOKUP($A52,'Price setting'!$E$408:$O$426,COLUMN()-1,FALSE)+VLOOKUP($A49,'Price setting'!$E$213:$O$231,COLUMN()-1,FALSE)</f>
        <v>26.467754593667387</v>
      </c>
      <c r="K52" s="317">
        <f ca="1">VLOOKUP($A52,'Price setting'!$E$408:$O$426,COLUMN()-1,FALSE)+VLOOKUP($A49,'Price setting'!$E$213:$O$231,COLUMN()-1,FALSE)</f>
        <v>26.529914948255851</v>
      </c>
      <c r="L52" s="323">
        <f ca="1">VLOOKUP($A52,'Price setting'!$E$408:$O$426,COLUMN()-1,FALSE)+VLOOKUP($A49,'Price setting'!$E$213:$O$231,COLUMN()-1,FALSE)</f>
        <v>26.581643803140476</v>
      </c>
    </row>
    <row r="53" spans="1:12" s="53" customFormat="1">
      <c r="A53" s="60" t="s">
        <v>33</v>
      </c>
      <c r="B53" s="355" t="s">
        <v>167</v>
      </c>
      <c r="C53" s="59" t="s">
        <v>122</v>
      </c>
      <c r="D53" s="170" t="s">
        <v>88</v>
      </c>
      <c r="E53" s="169" t="s">
        <v>182</v>
      </c>
      <c r="F53" s="262">
        <f>INDEX(NES,ROW(Input!B$23)-5,COLUMN()+1)*Input!$H$441</f>
        <v>978.47490000000005</v>
      </c>
      <c r="G53" s="263">
        <f>INDEX(NES,ROW(Input!C$23)-5,COLUMN()+1)*Input!$H$441</f>
        <v>958.05320000000006</v>
      </c>
      <c r="H53" s="263">
        <f>INDEX(NES,ROW(Input!D$23)-5,COLUMN()+1)*Input!$H$441</f>
        <v>938.24770000000012</v>
      </c>
      <c r="I53" s="263">
        <f>INDEX(NES,ROW(Input!E$23)-5,COLUMN()+1)*Input!$H$441</f>
        <v>918.44220000000007</v>
      </c>
      <c r="J53" s="263">
        <f>INDEX(NES,ROW(Input!F$23)-5,COLUMN()+1)*Input!$H$441</f>
        <v>898.63670000000002</v>
      </c>
      <c r="K53" s="263">
        <f>INDEX(NES,ROW(Input!G$23)-5,COLUMN()+1)*Input!$H$441</f>
        <v>878.83120000000008</v>
      </c>
      <c r="L53" s="264">
        <f>INDEX(NES,ROW(Input!H$23)-5,COLUMN()+1)*Input!$H$441</f>
        <v>859.02440000000001</v>
      </c>
    </row>
    <row r="54" spans="1:12" s="53" customFormat="1">
      <c r="A54" s="60" t="s">
        <v>33</v>
      </c>
      <c r="B54" s="355" t="s">
        <v>168</v>
      </c>
      <c r="C54" s="59" t="s">
        <v>123</v>
      </c>
      <c r="D54" s="170" t="s">
        <v>88</v>
      </c>
      <c r="E54" s="169" t="s">
        <v>182</v>
      </c>
      <c r="F54" s="262">
        <f>+INDEX(NES,ROW(Input!B$24)-5,COLUMN()+1)*Input!$H$441</f>
        <v>390.58889999999997</v>
      </c>
      <c r="G54" s="263">
        <f>+INDEX(NES,ROW(Input!C$24)-5,COLUMN()+1)*Input!$H$441</f>
        <v>416.86840000000001</v>
      </c>
      <c r="H54" s="263">
        <f>+INDEX(NES,ROW(Input!D$24)-5,COLUMN()+1)*Input!$H$441</f>
        <v>443.0686</v>
      </c>
      <c r="I54" s="263">
        <f>+INDEX(NES,ROW(Input!E$24)-5,COLUMN()+1)*Input!$H$441</f>
        <v>469.69650000000001</v>
      </c>
      <c r="J54" s="263">
        <f>+INDEX(NES,ROW(Input!F$24)-5,COLUMN()+1)*Input!$H$441</f>
        <v>496.50250000000005</v>
      </c>
      <c r="K54" s="263">
        <f>+INDEX(NES,ROW(Input!G$24)-5,COLUMN()+1)*Input!$H$441</f>
        <v>523.35400000000004</v>
      </c>
      <c r="L54" s="264">
        <f>+INDEX(NES,ROW(Input!H$24)-5,COLUMN()+1)*Input!$H$441</f>
        <v>550.36540000000002</v>
      </c>
    </row>
    <row r="55" spans="1:12" s="53" customFormat="1">
      <c r="A55" s="60" t="s">
        <v>33</v>
      </c>
      <c r="B55" s="355" t="s">
        <v>169</v>
      </c>
      <c r="C55" s="59" t="s">
        <v>139</v>
      </c>
      <c r="D55" s="170" t="s">
        <v>74</v>
      </c>
      <c r="E55" s="169" t="s">
        <v>182</v>
      </c>
      <c r="F55" s="262">
        <f>VLOOKUP($A55,'Price setting'!$E$488:$O$506,COLUMN()-1,FALSE)</f>
        <v>0</v>
      </c>
      <c r="G55" s="263">
        <f>VLOOKUP($A55,'Price setting'!$E$488:$O$506,COLUMN()-1,FALSE)</f>
        <v>0</v>
      </c>
      <c r="H55" s="263">
        <f ca="1">VLOOKUP($A55,'Price setting'!$E$488:$O$506,COLUMN()-1,FALSE)</f>
        <v>1.0040013294509131</v>
      </c>
      <c r="I55" s="263">
        <f ca="1">VLOOKUP($A55,'Price setting'!$E$488:$O$506,COLUMN()-1,FALSE)</f>
        <v>1.6036845517167881</v>
      </c>
      <c r="J55" s="263">
        <f ca="1">VLOOKUP($A55,'Price setting'!$E$488:$O$506,COLUMN()-1,FALSE)</f>
        <v>2.2695861996515077</v>
      </c>
      <c r="K55" s="263">
        <f ca="1">VLOOKUP($A55,'Price setting'!$E$488:$O$506,COLUMN()-1,FALSE)</f>
        <v>2.778499951375188</v>
      </c>
      <c r="L55" s="264">
        <f ca="1">VLOOKUP($A55,'Price setting'!$E$488:$O$506,COLUMN()-1,FALSE)</f>
        <v>3.3305041952436074</v>
      </c>
    </row>
    <row r="56" spans="1:12" s="53" customFormat="1">
      <c r="A56" s="60" t="str">
        <f>+A55</f>
        <v>NES</v>
      </c>
      <c r="B56" s="355" t="s">
        <v>170</v>
      </c>
      <c r="C56" s="59" t="s">
        <v>67</v>
      </c>
      <c r="D56" s="170" t="s">
        <v>171</v>
      </c>
      <c r="E56" s="169" t="s">
        <v>182</v>
      </c>
      <c r="F56" s="320">
        <f>+Input!$H$441</f>
        <v>1.3</v>
      </c>
      <c r="G56" s="321">
        <f>+Input!$H$441</f>
        <v>1.3</v>
      </c>
      <c r="H56" s="321">
        <f>+Input!$H$441</f>
        <v>1.3</v>
      </c>
      <c r="I56" s="321">
        <f>+Input!$H$441</f>
        <v>1.3</v>
      </c>
      <c r="J56" s="321">
        <f>+Input!$H$441</f>
        <v>1.3</v>
      </c>
      <c r="K56" s="321">
        <f>+Input!$H$441</f>
        <v>1.3</v>
      </c>
      <c r="L56" s="322">
        <f>+Input!$H$441</f>
        <v>1.3</v>
      </c>
    </row>
    <row r="57" spans="1:12" s="53" customFormat="1">
      <c r="A57" s="60" t="str">
        <f t="shared" ref="A57:A69" si="1">+A56</f>
        <v>NES</v>
      </c>
      <c r="B57" s="355" t="s">
        <v>194</v>
      </c>
      <c r="C57" s="59" t="s">
        <v>185</v>
      </c>
      <c r="D57" s="170" t="s">
        <v>75</v>
      </c>
      <c r="E57" s="169" t="s">
        <v>182</v>
      </c>
      <c r="F57" s="316">
        <f ca="1">VLOOKUP(A57,'Price setting'!$E$89:$I$106,COLUMN()-1,FALSE)</f>
        <v>21.875341653121762</v>
      </c>
      <c r="G57" s="317"/>
      <c r="H57" s="317"/>
      <c r="I57" s="317"/>
      <c r="J57" s="317"/>
      <c r="K57" s="317"/>
      <c r="L57" s="323"/>
    </row>
    <row r="58" spans="1:12" s="53" customFormat="1">
      <c r="A58" s="60" t="str">
        <f t="shared" si="1"/>
        <v>NES</v>
      </c>
      <c r="B58" s="355" t="s">
        <v>195</v>
      </c>
      <c r="C58" s="59" t="s">
        <v>186</v>
      </c>
      <c r="D58" s="170" t="s">
        <v>75</v>
      </c>
      <c r="E58" s="169" t="s">
        <v>182</v>
      </c>
      <c r="F58" s="316">
        <f ca="1">VLOOKUP(A58,'Price setting'!E$254:I$271,COLUMN()-1,FALSE)+VLOOKUP(A57,'Price setting'!$E$89:$I$106,COLUMN()-1,FALSE)</f>
        <v>24.527811402712395</v>
      </c>
      <c r="G58" s="317"/>
      <c r="H58" s="317"/>
      <c r="I58" s="317"/>
      <c r="J58" s="317"/>
      <c r="K58" s="317"/>
      <c r="L58" s="323"/>
    </row>
    <row r="59" spans="1:12" s="53" customFormat="1">
      <c r="A59" s="60" t="str">
        <f t="shared" si="1"/>
        <v>NES</v>
      </c>
      <c r="B59" s="355" t="s">
        <v>196</v>
      </c>
      <c r="C59" s="59" t="s">
        <v>187</v>
      </c>
      <c r="D59" s="170" t="s">
        <v>75</v>
      </c>
      <c r="E59" s="169" t="s">
        <v>182</v>
      </c>
      <c r="F59" s="316">
        <f ca="1">VLOOKUP(A59,'Price setting'!E$319:I$336,COLUMN()-1,FALSE)+VLOOKUP(A57,'Price setting'!$E$89:$I$106,COLUMN()-1,FALSE)</f>
        <v>24.534919642893826</v>
      </c>
      <c r="G59" s="317"/>
      <c r="H59" s="317"/>
      <c r="I59" s="317"/>
      <c r="J59" s="317"/>
      <c r="K59" s="317"/>
      <c r="L59" s="323"/>
    </row>
    <row r="60" spans="1:12" s="53" customFormat="1">
      <c r="A60" s="60" t="str">
        <f t="shared" si="1"/>
        <v>NES</v>
      </c>
      <c r="B60" s="355" t="s">
        <v>197</v>
      </c>
      <c r="C60" s="59" t="s">
        <v>188</v>
      </c>
      <c r="D60" s="170" t="s">
        <v>75</v>
      </c>
      <c r="E60" s="169" t="s">
        <v>182</v>
      </c>
      <c r="F60" s="316">
        <f ca="1">(VLOOKUP(A60,'Price setting'!E$384:I$401,COLUMN()-1,FALSE)+VLOOKUP(A57,'Price setting'!$E$89:$I$106,COLUMN()-1,FALSE))*+Input!$H$441</f>
        <v>33.743273470788978</v>
      </c>
      <c r="G60" s="317"/>
      <c r="H60" s="317"/>
      <c r="I60" s="317"/>
      <c r="J60" s="317"/>
      <c r="K60" s="317"/>
      <c r="L60" s="323"/>
    </row>
    <row r="61" spans="1:12" s="53" customFormat="1">
      <c r="A61" s="60" t="str">
        <f t="shared" si="1"/>
        <v>NES</v>
      </c>
      <c r="B61" s="355" t="s">
        <v>198</v>
      </c>
      <c r="C61" s="59" t="s">
        <v>189</v>
      </c>
      <c r="D61" s="170" t="s">
        <v>75</v>
      </c>
      <c r="E61" s="169" t="s">
        <v>182</v>
      </c>
      <c r="F61" s="316">
        <f ca="1">VLOOKUP(A61,'Price setting'!E$89:I$106,COLUMN()-1,FALSE)*+Input!$H$441</f>
        <v>28.437944149058293</v>
      </c>
      <c r="G61" s="317"/>
      <c r="H61" s="317"/>
      <c r="I61" s="317"/>
      <c r="J61" s="317"/>
      <c r="K61" s="317"/>
      <c r="L61" s="323"/>
    </row>
    <row r="62" spans="1:12" s="53" customFormat="1">
      <c r="A62" s="60" t="str">
        <f t="shared" si="1"/>
        <v>NES</v>
      </c>
      <c r="B62" s="356" t="s">
        <v>204</v>
      </c>
      <c r="C62" s="59" t="s">
        <v>203</v>
      </c>
      <c r="D62" s="168" t="s">
        <v>75</v>
      </c>
      <c r="E62" s="169" t="s">
        <v>182</v>
      </c>
      <c r="F62" s="316"/>
      <c r="G62" s="317"/>
      <c r="H62" s="317">
        <f ca="1">VLOOKUP($A62,'Price setting'!$E$213:$O$230,COLUMN()-1,FALSE)</f>
        <v>22.101456925184344</v>
      </c>
      <c r="I62" s="317">
        <f ca="1">VLOOKUP($A62,'Price setting'!$E$213:$O$230,COLUMN()-1,FALSE)</f>
        <v>22.303298293808485</v>
      </c>
      <c r="J62" s="317">
        <f ca="1">VLOOKUP($A62,'Price setting'!$E$213:$O$230,COLUMN()-1,FALSE)</f>
        <v>22.387205789307693</v>
      </c>
      <c r="K62" s="317">
        <f ca="1">VLOOKUP($A62,'Price setting'!$E$213:$O$230,COLUMN()-1,FALSE)</f>
        <v>22.450452811596104</v>
      </c>
      <c r="L62" s="323">
        <f ca="1">VLOOKUP($A62,'Price setting'!$E$213:$O$230,COLUMN()-1,FALSE)</f>
        <v>22.502530231091086</v>
      </c>
    </row>
    <row r="63" spans="1:12" s="53" customFormat="1">
      <c r="A63" s="60" t="str">
        <f t="shared" si="1"/>
        <v>NES</v>
      </c>
      <c r="B63" s="355" t="s">
        <v>199</v>
      </c>
      <c r="C63" s="59" t="s">
        <v>190</v>
      </c>
      <c r="D63" s="170" t="s">
        <v>75</v>
      </c>
      <c r="E63" s="169" t="s">
        <v>182</v>
      </c>
      <c r="F63" s="316"/>
      <c r="G63" s="317"/>
      <c r="H63" s="317">
        <f ca="1">VLOOKUP($A62,'Price setting'!$E$213:$O$230,COLUMN()-1,FALSE)*+Input!$H$441</f>
        <v>28.731894002739647</v>
      </c>
      <c r="I63" s="317">
        <f ca="1">VLOOKUP($A62,'Price setting'!$E$213:$O$230,COLUMN()-1,FALSE)*+Input!$H$441</f>
        <v>28.99428778195103</v>
      </c>
      <c r="J63" s="317">
        <f ca="1">VLOOKUP($A62,'Price setting'!$E$213:$O$230,COLUMN()-1,FALSE)*+Input!$H$441</f>
        <v>29.103367526100001</v>
      </c>
      <c r="K63" s="317">
        <f ca="1">VLOOKUP($A62,'Price setting'!$E$213:$O$230,COLUMN()-1,FALSE)*+Input!$H$441</f>
        <v>29.185588655074937</v>
      </c>
      <c r="L63" s="323">
        <f ca="1">VLOOKUP($A62,'Price setting'!$E$213:$O$230,COLUMN()-1,FALSE)*+Input!$H$441</f>
        <v>29.253289300418412</v>
      </c>
    </row>
    <row r="64" spans="1:12" s="53" customFormat="1">
      <c r="A64" s="60" t="str">
        <f t="shared" si="1"/>
        <v>NES</v>
      </c>
      <c r="B64" s="355" t="s">
        <v>200</v>
      </c>
      <c r="C64" s="59" t="s">
        <v>191</v>
      </c>
      <c r="D64" s="170" t="s">
        <v>75</v>
      </c>
      <c r="E64" s="169" t="s">
        <v>182</v>
      </c>
      <c r="F64" s="316"/>
      <c r="G64" s="317"/>
      <c r="H64" s="317">
        <f ca="1">VLOOKUP($A64,'Price setting'!$E$278:$O$295,COLUMN()-1,FALSE)+VLOOKUP($A62,'Price setting'!$E$213:$O$230,COLUMN()-1,FALSE)</f>
        <v>24.752888793742184</v>
      </c>
      <c r="I64" s="317">
        <f ca="1">VLOOKUP($A64,'Price setting'!$E$278:$O$295,COLUMN()-1,FALSE)+VLOOKUP($A62,'Price setting'!$E$213:$O$230,COLUMN()-1,FALSE)</f>
        <v>24.954764948741854</v>
      </c>
      <c r="J64" s="317">
        <f ca="1">VLOOKUP($A64,'Price setting'!$E$278:$O$295,COLUMN()-1,FALSE)+VLOOKUP($A62,'Price setting'!$E$213:$O$230,COLUMN()-1,FALSE)</f>
        <v>25.039999391326027</v>
      </c>
      <c r="K64" s="317">
        <f ca="1">VLOOKUP($A64,'Price setting'!$E$278:$O$295,COLUMN()-1,FALSE)+VLOOKUP($A62,'Price setting'!$E$213:$O$230,COLUMN()-1,FALSE)</f>
        <v>25.103325287299274</v>
      </c>
      <c r="L64" s="323">
        <f ca="1">VLOOKUP($A64,'Price setting'!$E$278:$O$295,COLUMN()-1,FALSE)+VLOOKUP($A62,'Price setting'!$E$213:$O$230,COLUMN()-1,FALSE)</f>
        <v>25.155283727602971</v>
      </c>
    </row>
    <row r="65" spans="1:12" s="53" customFormat="1">
      <c r="A65" s="60" t="str">
        <f t="shared" si="1"/>
        <v>NES</v>
      </c>
      <c r="B65" s="355" t="s">
        <v>201</v>
      </c>
      <c r="C65" s="59" t="s">
        <v>192</v>
      </c>
      <c r="D65" s="170" t="s">
        <v>75</v>
      </c>
      <c r="E65" s="169" t="s">
        <v>182</v>
      </c>
      <c r="F65" s="316"/>
      <c r="G65" s="317"/>
      <c r="H65" s="317">
        <f ca="1">VLOOKUP($A65,'Price setting'!$E$343:$O$360,COLUMN()-1,FALSE)+VLOOKUP($A62,'Price setting'!$E$213:$O$230,COLUMN()-1,FALSE)</f>
        <v>24.766841689142261</v>
      </c>
      <c r="I65" s="317">
        <f ca="1">VLOOKUP($A65,'Price setting'!$E$343:$O$360,COLUMN()-1,FALSE)+VLOOKUP($A62,'Price setting'!$E$213:$O$230,COLUMN()-1,FALSE)</f>
        <v>24.955679568859399</v>
      </c>
      <c r="J65" s="317">
        <f ca="1">VLOOKUP($A65,'Price setting'!$E$343:$O$360,COLUMN()-1,FALSE)+VLOOKUP($A62,'Price setting'!$E$213:$O$230,COLUMN()-1,FALSE)</f>
        <v>25.027071199807413</v>
      </c>
      <c r="K65" s="317">
        <f ca="1">VLOOKUP($A65,'Price setting'!$E$343:$O$360,COLUMN()-1,FALSE)+VLOOKUP($A62,'Price setting'!$E$213:$O$230,COLUMN()-1,FALSE)</f>
        <v>25.102912256918685</v>
      </c>
      <c r="L65" s="323">
        <f ca="1">VLOOKUP($A65,'Price setting'!$E$343:$O$360,COLUMN()-1,FALSE)+VLOOKUP($A62,'Price setting'!$E$213:$O$230,COLUMN()-1,FALSE)</f>
        <v>25.165710744025823</v>
      </c>
    </row>
    <row r="66" spans="1:12" s="53" customFormat="1">
      <c r="A66" s="60" t="str">
        <f t="shared" si="1"/>
        <v>NES</v>
      </c>
      <c r="B66" s="355" t="s">
        <v>202</v>
      </c>
      <c r="C66" s="59" t="s">
        <v>193</v>
      </c>
      <c r="D66" s="170" t="s">
        <v>75</v>
      </c>
      <c r="E66" s="169" t="s">
        <v>182</v>
      </c>
      <c r="F66" s="316"/>
      <c r="G66" s="317"/>
      <c r="H66" s="317">
        <f ca="1">(VLOOKUP($A66,'Price setting'!$E$408:$O$425,COLUMN()-1,FALSE)+VLOOKUP($A62,'Price setting'!$E$213:$O$230,COLUMN()-1,FALSE))*+Input!$H$441</f>
        <v>34.036722898969849</v>
      </c>
      <c r="I66" s="317">
        <f ca="1">(VLOOKUP($A66,'Price setting'!$E$408:$O$425,COLUMN()-1,FALSE)+VLOOKUP($A62,'Price setting'!$E$213:$O$230,COLUMN()-1,FALSE))*+Input!$H$441</f>
        <v>34.297293655325689</v>
      </c>
      <c r="J66" s="317">
        <f ca="1">(VLOOKUP($A66,'Price setting'!$E$408:$O$425,COLUMN()-1,FALSE)+VLOOKUP($A62,'Price setting'!$E$213:$O$230,COLUMN()-1,FALSE))*+Input!$H$441</f>
        <v>34.408080971767603</v>
      </c>
      <c r="K66" s="317">
        <f ca="1">(VLOOKUP($A66,'Price setting'!$E$408:$O$425,COLUMN()-1,FALSE)+VLOOKUP($A62,'Price setting'!$E$213:$O$230,COLUMN()-1,FALSE))*+Input!$H$441</f>
        <v>34.488889432732606</v>
      </c>
      <c r="L66" s="323">
        <f ca="1">(VLOOKUP($A66,'Price setting'!$E$408:$O$425,COLUMN()-1,FALSE)+VLOOKUP($A62,'Price setting'!$E$213:$O$230,COLUMN()-1,FALSE))*+Input!$H$441</f>
        <v>34.556136944082624</v>
      </c>
    </row>
    <row r="67" spans="1:12" s="53" customFormat="1">
      <c r="A67" s="60" t="str">
        <f t="shared" si="1"/>
        <v>NES</v>
      </c>
      <c r="B67" s="355" t="s">
        <v>208</v>
      </c>
      <c r="C67" s="59" t="s">
        <v>205</v>
      </c>
      <c r="D67" s="168" t="s">
        <v>75</v>
      </c>
      <c r="E67" s="169" t="s">
        <v>182</v>
      </c>
      <c r="F67" s="262">
        <f ca="1">VLOOKUP($A67,'Price setting'!$E$49:$I$66,COLUMN()-1,FALSE)</f>
        <v>0.81023270593786045</v>
      </c>
      <c r="G67" s="263"/>
      <c r="H67" s="263"/>
      <c r="I67" s="263"/>
      <c r="J67" s="263"/>
      <c r="K67" s="263"/>
      <c r="L67" s="264"/>
    </row>
    <row r="68" spans="1:12" s="53" customFormat="1">
      <c r="A68" s="60" t="str">
        <f t="shared" si="1"/>
        <v>NES</v>
      </c>
      <c r="B68" s="355" t="s">
        <v>206</v>
      </c>
      <c r="C68" s="59" t="s">
        <v>132</v>
      </c>
      <c r="D68" s="168" t="s">
        <v>74</v>
      </c>
      <c r="E68" s="169" t="s">
        <v>182</v>
      </c>
      <c r="F68" s="262">
        <f ca="1">'Used inputs'!I34</f>
        <v>45.32599656382083</v>
      </c>
      <c r="G68" s="263">
        <f>'Used inputs'!J34</f>
        <v>43.012446749739908</v>
      </c>
      <c r="H68" s="263">
        <f ca="1">'Used inputs'!K34</f>
        <v>46.602780441087852</v>
      </c>
      <c r="I68" s="263">
        <f ca="1">'Used inputs'!L34</f>
        <v>47.037881548490823</v>
      </c>
      <c r="J68" s="263">
        <f ca="1">'Used inputs'!M34</f>
        <v>47.480182910626326</v>
      </c>
      <c r="K68" s="263">
        <f ca="1">'Used inputs'!N34</f>
        <v>47.928655919675244</v>
      </c>
      <c r="L68" s="264">
        <f ca="1">'Used inputs'!O34</f>
        <v>48.382271967818859</v>
      </c>
    </row>
    <row r="69" spans="1:12" s="53" customFormat="1">
      <c r="A69" s="60" t="str">
        <f t="shared" si="1"/>
        <v>NES</v>
      </c>
      <c r="B69" s="355" t="s">
        <v>207</v>
      </c>
      <c r="C69" s="59" t="s">
        <v>157</v>
      </c>
      <c r="D69" s="168" t="s">
        <v>74</v>
      </c>
      <c r="E69" s="169" t="s">
        <v>182</v>
      </c>
      <c r="F69" s="262">
        <f>'Used inputs'!I47</f>
        <v>3.0999999999999992</v>
      </c>
      <c r="G69" s="263">
        <f>'Used inputs'!J47</f>
        <v>6.8917708392266457</v>
      </c>
      <c r="H69" s="263">
        <f>'Used inputs'!K47</f>
        <v>3.6616803569990632</v>
      </c>
      <c r="I69" s="263">
        <f>'Used inputs'!L47</f>
        <v>3.6616803569990632</v>
      </c>
      <c r="J69" s="263">
        <f>'Used inputs'!M47</f>
        <v>3.6616803569990632</v>
      </c>
      <c r="K69" s="263">
        <f>'Used inputs'!N47</f>
        <v>3.6616803569990632</v>
      </c>
      <c r="L69" s="264">
        <f>'Used inputs'!O47</f>
        <v>3.6616803569990632</v>
      </c>
    </row>
    <row r="70" spans="1:12" s="53" customFormat="1">
      <c r="A70" s="60" t="s">
        <v>46</v>
      </c>
      <c r="B70" s="355" t="s">
        <v>162</v>
      </c>
      <c r="C70" s="59" t="s">
        <v>175</v>
      </c>
      <c r="D70" s="169" t="s">
        <v>74</v>
      </c>
      <c r="E70" s="169" t="s">
        <v>182</v>
      </c>
      <c r="F70" s="262">
        <f>VLOOKUP($A70,'Price setting'!$E$448:$O$466,COLUMN()-1,FALSE)</f>
        <v>0</v>
      </c>
      <c r="G70" s="263">
        <f>VLOOKUP($A70,'Price setting'!$E$448:$O$466,COLUMN()-1,FALSE)</f>
        <v>0</v>
      </c>
      <c r="H70" s="263">
        <f ca="1">VLOOKUP($A70,'Price setting'!$E$448:$O$466,COLUMN()-1,FALSE)</f>
        <v>102.43515044271265</v>
      </c>
      <c r="I70" s="263">
        <f ca="1">VLOOKUP($A70,'Price setting'!$E$448:$O$466,COLUMN()-1,FALSE)</f>
        <v>106.18682924983153</v>
      </c>
      <c r="J70" s="263">
        <f ca="1">VLOOKUP($A70,'Price setting'!$E$448:$O$466,COLUMN()-1,FALSE)</f>
        <v>109.55984227794485</v>
      </c>
      <c r="K70" s="263">
        <f ca="1">VLOOKUP($A70,'Price setting'!$E$448:$O$466,COLUMN()-1,FALSE)</f>
        <v>111.13293523537351</v>
      </c>
      <c r="L70" s="264">
        <f ca="1">VLOOKUP($A70,'Price setting'!$E$448:$O$466,COLUMN()-1,FALSE)</f>
        <v>112.72168339423901</v>
      </c>
    </row>
    <row r="71" spans="1:12" s="53" customFormat="1">
      <c r="A71" s="60" t="s">
        <v>46</v>
      </c>
      <c r="B71" s="355" t="s">
        <v>163</v>
      </c>
      <c r="C71" s="59" t="s">
        <v>118</v>
      </c>
      <c r="D71" s="168" t="s">
        <v>75</v>
      </c>
      <c r="E71" s="169" t="s">
        <v>182</v>
      </c>
      <c r="F71" s="316">
        <f>VLOOKUP($A71,'Price setting'!$E$213:$O$231,COLUMN()-1,FALSE)</f>
        <v>0</v>
      </c>
      <c r="G71" s="317">
        <f>VLOOKUP($A71,'Price setting'!$E$213:$O$231,COLUMN()-1,FALSE)</f>
        <v>0</v>
      </c>
      <c r="H71" s="317">
        <f ca="1">VLOOKUP($A71,'Price setting'!$E$213:$O$231,COLUMN()-1,FALSE)</f>
        <v>19.532958140882293</v>
      </c>
      <c r="I71" s="317">
        <f ca="1">VLOOKUP($A71,'Price setting'!$E$213:$O$231,COLUMN()-1,FALSE)</f>
        <v>20.20754150714788</v>
      </c>
      <c r="J71" s="317">
        <f ca="1">VLOOKUP($A71,'Price setting'!$E$213:$O$231,COLUMN()-1,FALSE)</f>
        <v>20.830027698148548</v>
      </c>
      <c r="K71" s="317">
        <f ca="1">VLOOKUP($A71,'Price setting'!$E$213:$O$231,COLUMN()-1,FALSE)</f>
        <v>21.081113241684431</v>
      </c>
      <c r="L71" s="323">
        <f ca="1">VLOOKUP($A71,'Price setting'!$E$213:$O$231,COLUMN()-1,FALSE)</f>
        <v>21.208872646561563</v>
      </c>
    </row>
    <row r="72" spans="1:12" s="53" customFormat="1">
      <c r="A72" s="60" t="s">
        <v>46</v>
      </c>
      <c r="B72" s="355" t="s">
        <v>164</v>
      </c>
      <c r="C72" s="59" t="s">
        <v>119</v>
      </c>
      <c r="D72" s="168" t="s">
        <v>75</v>
      </c>
      <c r="E72" s="169" t="s">
        <v>182</v>
      </c>
      <c r="F72" s="316">
        <f>VLOOKUP($A72,'Price setting'!$E$278:$O$296,COLUMN()-1,FALSE)+VLOOKUP($A71,'Price setting'!$E$213:$O$231,COLUMN()-1,FALSE)</f>
        <v>0</v>
      </c>
      <c r="G72" s="317">
        <f>VLOOKUP($A72,'Price setting'!$E$278:$O$296,COLUMN()-1,FALSE)+VLOOKUP($A71,'Price setting'!$E$213:$O$231,COLUMN()-1,FALSE)</f>
        <v>0</v>
      </c>
      <c r="H72" s="317">
        <f ca="1">VLOOKUP($A72,'Price setting'!$E$278:$O$296,COLUMN()-1,FALSE)+VLOOKUP($A71,'Price setting'!$E$213:$O$231,COLUMN()-1,FALSE)</f>
        <v>26.725206345787893</v>
      </c>
      <c r="I72" s="317">
        <f ca="1">VLOOKUP($A72,'Price setting'!$E$278:$O$296,COLUMN()-1,FALSE)+VLOOKUP($A71,'Price setting'!$E$213:$O$231,COLUMN()-1,FALSE)</f>
        <v>27.001197807550099</v>
      </c>
      <c r="J72" s="317">
        <f ca="1">VLOOKUP($A72,'Price setting'!$E$278:$O$296,COLUMN()-1,FALSE)+VLOOKUP($A71,'Price setting'!$E$213:$O$231,COLUMN()-1,FALSE)</f>
        <v>27.122316844280938</v>
      </c>
      <c r="K72" s="317">
        <f ca="1">VLOOKUP($A72,'Price setting'!$E$278:$O$296,COLUMN()-1,FALSE)+VLOOKUP($A71,'Price setting'!$E$213:$O$231,COLUMN()-1,FALSE)</f>
        <v>26.872035233546992</v>
      </c>
      <c r="L72" s="323">
        <f ca="1">VLOOKUP($A72,'Price setting'!$E$278:$O$296,COLUMN()-1,FALSE)+VLOOKUP($A71,'Price setting'!$E$213:$O$231,COLUMN()-1,FALSE)</f>
        <v>26.999794638424124</v>
      </c>
    </row>
    <row r="73" spans="1:12" s="53" customFormat="1">
      <c r="A73" s="60" t="s">
        <v>46</v>
      </c>
      <c r="B73" s="355" t="s">
        <v>165</v>
      </c>
      <c r="C73" s="59" t="s">
        <v>120</v>
      </c>
      <c r="D73" s="168" t="s">
        <v>75</v>
      </c>
      <c r="E73" s="169" t="s">
        <v>182</v>
      </c>
      <c r="F73" s="316">
        <f>VLOOKUP($A73,'Price setting'!$E$343:$O$361,COLUMN()-1,FALSE)+VLOOKUP($A71,'Price setting'!$E$213:$O$231,COLUMN()-1,FALSE)</f>
        <v>0</v>
      </c>
      <c r="G73" s="317">
        <f>VLOOKUP($A73,'Price setting'!$E$343:$O$361,COLUMN()-1,FALSE)+VLOOKUP($A71,'Price setting'!$E$213:$O$231,COLUMN()-1,FALSE)</f>
        <v>0</v>
      </c>
      <c r="H73" s="317">
        <f ca="1">VLOOKUP($A73,'Price setting'!$E$343:$O$361,COLUMN()-1,FALSE)+VLOOKUP($A71,'Price setting'!$E$213:$O$231,COLUMN()-1,FALSE)</f>
        <v>20.189660438506547</v>
      </c>
      <c r="I73" s="317">
        <f ca="1">VLOOKUP($A73,'Price setting'!$E$343:$O$361,COLUMN()-1,FALSE)+VLOOKUP($A71,'Price setting'!$E$213:$O$231,COLUMN()-1,FALSE)</f>
        <v>20.856020252632945</v>
      </c>
      <c r="J73" s="317">
        <f ca="1">VLOOKUP($A73,'Price setting'!$E$343:$O$361,COLUMN()-1,FALSE)+VLOOKUP($A71,'Price setting'!$E$213:$O$231,COLUMN()-1,FALSE)</f>
        <v>21.47151711902249</v>
      </c>
      <c r="K73" s="317">
        <f ca="1">VLOOKUP($A73,'Price setting'!$E$343:$O$361,COLUMN()-1,FALSE)+VLOOKUP($A71,'Price setting'!$E$213:$O$231,COLUMN()-1,FALSE)</f>
        <v>21.715186745169319</v>
      </c>
      <c r="L73" s="323">
        <f ca="1">VLOOKUP($A73,'Price setting'!$E$343:$O$361,COLUMN()-1,FALSE)+VLOOKUP($A71,'Price setting'!$E$213:$O$231,COLUMN()-1,FALSE)</f>
        <v>21.835487444446404</v>
      </c>
    </row>
    <row r="74" spans="1:12" s="53" customFormat="1">
      <c r="A74" s="60" t="s">
        <v>46</v>
      </c>
      <c r="B74" s="355" t="s">
        <v>166</v>
      </c>
      <c r="C74" s="59" t="s">
        <v>124</v>
      </c>
      <c r="D74" s="168" t="s">
        <v>75</v>
      </c>
      <c r="E74" s="169" t="s">
        <v>182</v>
      </c>
      <c r="F74" s="316">
        <f>VLOOKUP($A74,'Price setting'!$E$408:$O$426,COLUMN()-1,FALSE)+VLOOKUP($A71,'Price setting'!$E$213:$O$231,COLUMN()-1,FALSE)</f>
        <v>0</v>
      </c>
      <c r="G74" s="317">
        <f>VLOOKUP($A74,'Price setting'!$E$408:$O$426,COLUMN()-1,FALSE)+VLOOKUP($A71,'Price setting'!$E$213:$O$231,COLUMN()-1,FALSE)</f>
        <v>0</v>
      </c>
      <c r="H74" s="317">
        <f ca="1">VLOOKUP($A74,'Price setting'!$E$408:$O$426,COLUMN()-1,FALSE)+VLOOKUP($A71,'Price setting'!$E$213:$O$231,COLUMN()-1,FALSE)</f>
        <v>25.06544788645698</v>
      </c>
      <c r="I74" s="317">
        <f ca="1">VLOOKUP($A74,'Price setting'!$E$408:$O$426,COLUMN()-1,FALSE)+VLOOKUP($A71,'Price setting'!$E$213:$O$231,COLUMN()-1,FALSE)</f>
        <v>25.609644964895828</v>
      </c>
      <c r="J74" s="317">
        <f ca="1">VLOOKUP($A74,'Price setting'!$E$408:$O$426,COLUMN()-1,FALSE)+VLOOKUP($A71,'Price setting'!$E$213:$O$231,COLUMN()-1,FALSE)</f>
        <v>25.99252960492522</v>
      </c>
      <c r="K74" s="317">
        <f ca="1">VLOOKUP($A74,'Price setting'!$E$408:$O$426,COLUMN()-1,FALSE)+VLOOKUP($A71,'Price setting'!$E$213:$O$231,COLUMN()-1,FALSE)</f>
        <v>25.965952011594599</v>
      </c>
      <c r="L74" s="323">
        <f ca="1">VLOOKUP($A74,'Price setting'!$E$408:$O$426,COLUMN()-1,FALSE)+VLOOKUP($A71,'Price setting'!$E$213:$O$231,COLUMN()-1,FALSE)</f>
        <v>26.093711416471731</v>
      </c>
    </row>
    <row r="75" spans="1:12" s="53" customFormat="1">
      <c r="A75" s="60" t="s">
        <v>46</v>
      </c>
      <c r="B75" s="355" t="s">
        <v>167</v>
      </c>
      <c r="C75" s="59" t="s">
        <v>122</v>
      </c>
      <c r="D75" s="170" t="s">
        <v>88</v>
      </c>
      <c r="E75" s="169" t="s">
        <v>182</v>
      </c>
      <c r="F75" s="262">
        <f>INDEX(SVT,ROW(Input!B$23)-5,COLUMN()+1)*Input!$H$441</f>
        <v>2299.2411000000002</v>
      </c>
      <c r="G75" s="263">
        <f>INDEX(SVT,ROW(Input!C$23)-5,COLUMN()+1)*Input!$H$441</f>
        <v>2249.6123000000002</v>
      </c>
      <c r="H75" s="263">
        <f>INDEX(SVT,ROW(Input!D$23)-5,COLUMN()+1)*Input!$H$441</f>
        <v>2198.1986000000002</v>
      </c>
      <c r="I75" s="263">
        <f>INDEX(SVT,ROW(Input!E$23)-5,COLUMN()+1)*Input!$H$441</f>
        <v>2149.9829</v>
      </c>
      <c r="J75" s="263">
        <f>INDEX(SVT,ROW(Input!F$23)-5,COLUMN()+1)*Input!$H$441</f>
        <v>2102.5719000000004</v>
      </c>
      <c r="K75" s="263">
        <f>INDEX(SVT,ROW(Input!G$23)-5,COLUMN()+1)*Input!$H$441</f>
        <v>2055.9500000000003</v>
      </c>
      <c r="L75" s="264">
        <f>INDEX(SVT,ROW(Input!H$23)-5,COLUMN()+1)*Input!$H$441</f>
        <v>2010.1042</v>
      </c>
    </row>
    <row r="76" spans="1:12" s="53" customFormat="1">
      <c r="A76" s="60" t="s">
        <v>46</v>
      </c>
      <c r="B76" s="355" t="s">
        <v>168</v>
      </c>
      <c r="C76" s="59" t="s">
        <v>123</v>
      </c>
      <c r="D76" s="170" t="s">
        <v>88</v>
      </c>
      <c r="E76" s="169" t="s">
        <v>182</v>
      </c>
      <c r="F76" s="262">
        <f>+INDEX(SVT,ROW(Input!B$24)-5,COLUMN()+1)*Input!$H$441</f>
        <v>1454.2905000000001</v>
      </c>
      <c r="G76" s="263">
        <f>+INDEX(SVT,ROW(Input!C$24)-5,COLUMN()+1)*Input!$H$441</f>
        <v>1517.165</v>
      </c>
      <c r="H76" s="263">
        <f>+INDEX(SVT,ROW(Input!D$24)-5,COLUMN()+1)*Input!$H$441</f>
        <v>1582.0857000000001</v>
      </c>
      <c r="I76" s="263">
        <f>+INDEX(SVT,ROW(Input!E$24)-5,COLUMN()+1)*Input!$H$441</f>
        <v>1647.0064000000002</v>
      </c>
      <c r="J76" s="263">
        <f>+INDEX(SVT,ROW(Input!F$24)-5,COLUMN()+1)*Input!$H$441</f>
        <v>1713.4286</v>
      </c>
      <c r="K76" s="263">
        <f>+INDEX(SVT,ROW(Input!G$24)-5,COLUMN()+1)*Input!$H$441</f>
        <v>1781.3666000000001</v>
      </c>
      <c r="L76" s="264">
        <f>+INDEX(SVT,ROW(Input!H$24)-5,COLUMN()+1)*Input!$H$441</f>
        <v>1850.8347000000001</v>
      </c>
    </row>
    <row r="77" spans="1:12" s="53" customFormat="1">
      <c r="A77" s="60" t="s">
        <v>46</v>
      </c>
      <c r="B77" s="355" t="s">
        <v>169</v>
      </c>
      <c r="C77" s="59" t="s">
        <v>139</v>
      </c>
      <c r="D77" s="170" t="s">
        <v>74</v>
      </c>
      <c r="E77" s="169" t="s">
        <v>182</v>
      </c>
      <c r="F77" s="262">
        <f>VLOOKUP($A77,'Price setting'!$E$488:$O$506,COLUMN()-1,FALSE)</f>
        <v>0</v>
      </c>
      <c r="G77" s="263">
        <f>VLOOKUP($A77,'Price setting'!$E$488:$O$506,COLUMN()-1,FALSE)</f>
        <v>0</v>
      </c>
      <c r="H77" s="263">
        <f ca="1">VLOOKUP($A77,'Price setting'!$E$488:$O$506,COLUMN()-1,FALSE)</f>
        <v>0.5004629792849733</v>
      </c>
      <c r="I77" s="263">
        <f ca="1">VLOOKUP($A77,'Price setting'!$E$488:$O$506,COLUMN()-1,FALSE)</f>
        <v>1.5518000110873724</v>
      </c>
      <c r="J77" s="263">
        <f ca="1">VLOOKUP($A77,'Price setting'!$E$488:$O$506,COLUMN()-1,FALSE)</f>
        <v>2.8649689836910026</v>
      </c>
      <c r="K77" s="263">
        <f ca="1">VLOOKUP($A77,'Price setting'!$E$488:$O$506,COLUMN()-1,FALSE)</f>
        <v>4.5046099379189988</v>
      </c>
      <c r="L77" s="264">
        <f ca="1">VLOOKUP($A77,'Price setting'!$E$488:$O$506,COLUMN()-1,FALSE)</f>
        <v>5.459209005288236</v>
      </c>
    </row>
    <row r="78" spans="1:12" s="53" customFormat="1">
      <c r="A78" s="60" t="str">
        <f>+A77</f>
        <v>SVT</v>
      </c>
      <c r="B78" s="355" t="s">
        <v>170</v>
      </c>
      <c r="C78" s="59" t="s">
        <v>67</v>
      </c>
      <c r="D78" s="170" t="s">
        <v>171</v>
      </c>
      <c r="E78" s="169" t="s">
        <v>182</v>
      </c>
      <c r="F78" s="320">
        <f>+Input!$H$441</f>
        <v>1.3</v>
      </c>
      <c r="G78" s="321">
        <f>+Input!$H$441</f>
        <v>1.3</v>
      </c>
      <c r="H78" s="321">
        <f>+Input!$H$441</f>
        <v>1.3</v>
      </c>
      <c r="I78" s="321">
        <f>+Input!$H$441</f>
        <v>1.3</v>
      </c>
      <c r="J78" s="321">
        <f>+Input!$H$441</f>
        <v>1.3</v>
      </c>
      <c r="K78" s="321">
        <f>+Input!$H$441</f>
        <v>1.3</v>
      </c>
      <c r="L78" s="322">
        <f>+Input!$H$441</f>
        <v>1.3</v>
      </c>
    </row>
    <row r="79" spans="1:12" s="53" customFormat="1">
      <c r="A79" s="60" t="str">
        <f t="shared" ref="A79:A91" si="2">+A78</f>
        <v>SVT</v>
      </c>
      <c r="B79" s="355" t="s">
        <v>194</v>
      </c>
      <c r="C79" s="59" t="s">
        <v>185</v>
      </c>
      <c r="D79" s="170" t="s">
        <v>75</v>
      </c>
      <c r="E79" s="169" t="s">
        <v>182</v>
      </c>
      <c r="F79" s="316">
        <f ca="1">VLOOKUP(A79,'Price setting'!$E$89:$I$106,COLUMN()-1,FALSE)</f>
        <v>21.47447618098531</v>
      </c>
      <c r="G79" s="317"/>
      <c r="H79" s="317"/>
      <c r="I79" s="317"/>
      <c r="J79" s="317"/>
      <c r="K79" s="317"/>
      <c r="L79" s="323"/>
    </row>
    <row r="80" spans="1:12" s="53" customFormat="1">
      <c r="A80" s="60" t="str">
        <f t="shared" si="2"/>
        <v>SVT</v>
      </c>
      <c r="B80" s="355" t="s">
        <v>195</v>
      </c>
      <c r="C80" s="59" t="s">
        <v>186</v>
      </c>
      <c r="D80" s="170" t="s">
        <v>75</v>
      </c>
      <c r="E80" s="169" t="s">
        <v>182</v>
      </c>
      <c r="F80" s="316">
        <f ca="1">VLOOKUP(A80,'Price setting'!E$254:I$271,COLUMN()-1,FALSE)+VLOOKUP(A79,'Price setting'!$E$89:$I$106,COLUMN()-1,FALSE)</f>
        <v>29.270866789927187</v>
      </c>
      <c r="G80" s="317"/>
      <c r="H80" s="317"/>
      <c r="I80" s="317"/>
      <c r="J80" s="317"/>
      <c r="K80" s="317"/>
      <c r="L80" s="323"/>
    </row>
    <row r="81" spans="1:12" s="53" customFormat="1">
      <c r="A81" s="60" t="str">
        <f t="shared" si="2"/>
        <v>SVT</v>
      </c>
      <c r="B81" s="355" t="s">
        <v>196</v>
      </c>
      <c r="C81" s="59" t="s">
        <v>187</v>
      </c>
      <c r="D81" s="170" t="s">
        <v>75</v>
      </c>
      <c r="E81" s="169" t="s">
        <v>182</v>
      </c>
      <c r="F81" s="316">
        <f ca="1">VLOOKUP(A81,'Price setting'!E$319:I$336,COLUMN()-1,FALSE)+VLOOKUP(A79,'Price setting'!$E$89:$I$106,COLUMN()-1,FALSE)</f>
        <v>21.966604661267457</v>
      </c>
      <c r="G81" s="317"/>
      <c r="H81" s="317"/>
      <c r="I81" s="317"/>
      <c r="J81" s="317"/>
      <c r="K81" s="317"/>
      <c r="L81" s="323"/>
    </row>
    <row r="82" spans="1:12" s="53" customFormat="1">
      <c r="A82" s="60" t="str">
        <f t="shared" si="2"/>
        <v>SVT</v>
      </c>
      <c r="B82" s="355" t="s">
        <v>197</v>
      </c>
      <c r="C82" s="59" t="s">
        <v>188</v>
      </c>
      <c r="D82" s="170" t="s">
        <v>75</v>
      </c>
      <c r="E82" s="169" t="s">
        <v>182</v>
      </c>
      <c r="F82" s="316">
        <f ca="1">(VLOOKUP(A82,'Price setting'!E$384:I$401,COLUMN()-1,FALSE)+VLOOKUP(A79,'Price setting'!$E$89:$I$106,COLUMN()-1,FALSE))*+Input!$H$441</f>
        <v>35.710957747869948</v>
      </c>
      <c r="G82" s="317"/>
      <c r="H82" s="317"/>
      <c r="I82" s="317"/>
      <c r="J82" s="317"/>
      <c r="K82" s="317"/>
      <c r="L82" s="323"/>
    </row>
    <row r="83" spans="1:12" s="53" customFormat="1">
      <c r="A83" s="60" t="str">
        <f t="shared" si="2"/>
        <v>SVT</v>
      </c>
      <c r="B83" s="355" t="s">
        <v>198</v>
      </c>
      <c r="C83" s="59" t="s">
        <v>189</v>
      </c>
      <c r="D83" s="170" t="s">
        <v>75</v>
      </c>
      <c r="E83" s="169" t="s">
        <v>182</v>
      </c>
      <c r="F83" s="316">
        <f ca="1">VLOOKUP(A83,'Price setting'!E$89:I$106,COLUMN()-1,FALSE)*+Input!$H$441</f>
        <v>27.916819035280902</v>
      </c>
      <c r="G83" s="317"/>
      <c r="H83" s="317"/>
      <c r="I83" s="317"/>
      <c r="J83" s="317"/>
      <c r="K83" s="317"/>
      <c r="L83" s="323"/>
    </row>
    <row r="84" spans="1:12" s="53" customFormat="1">
      <c r="A84" s="60" t="str">
        <f t="shared" si="2"/>
        <v>SVT</v>
      </c>
      <c r="B84" s="356" t="s">
        <v>204</v>
      </c>
      <c r="C84" s="59" t="s">
        <v>203</v>
      </c>
      <c r="D84" s="168" t="s">
        <v>75</v>
      </c>
      <c r="E84" s="169" t="s">
        <v>182</v>
      </c>
      <c r="F84" s="316"/>
      <c r="G84" s="317"/>
      <c r="H84" s="317">
        <f ca="1">VLOOKUP($A84,'Price setting'!$E$213:$O$230,COLUMN()-1,FALSE)</f>
        <v>19.532958140882293</v>
      </c>
      <c r="I84" s="317">
        <f ca="1">VLOOKUP($A84,'Price setting'!$E$213:$O$230,COLUMN()-1,FALSE)</f>
        <v>20.20754150714788</v>
      </c>
      <c r="J84" s="317">
        <f ca="1">VLOOKUP($A84,'Price setting'!$E$213:$O$230,COLUMN()-1,FALSE)</f>
        <v>20.830027698148548</v>
      </c>
      <c r="K84" s="317">
        <f ca="1">VLOOKUP($A84,'Price setting'!$E$213:$O$230,COLUMN()-1,FALSE)</f>
        <v>21.081113241684431</v>
      </c>
      <c r="L84" s="323">
        <f ca="1">VLOOKUP($A84,'Price setting'!$E$213:$O$230,COLUMN()-1,FALSE)</f>
        <v>21.208872646561563</v>
      </c>
    </row>
    <row r="85" spans="1:12" s="53" customFormat="1">
      <c r="A85" s="60" t="str">
        <f t="shared" si="2"/>
        <v>SVT</v>
      </c>
      <c r="B85" s="355" t="s">
        <v>199</v>
      </c>
      <c r="C85" s="59" t="s">
        <v>190</v>
      </c>
      <c r="D85" s="170" t="s">
        <v>75</v>
      </c>
      <c r="E85" s="169" t="s">
        <v>182</v>
      </c>
      <c r="F85" s="316"/>
      <c r="G85" s="317"/>
      <c r="H85" s="317">
        <f ca="1">VLOOKUP($A84,'Price setting'!$E$213:$O$230,COLUMN()-1,FALSE)*+Input!$H$441</f>
        <v>25.392845583146983</v>
      </c>
      <c r="I85" s="317">
        <f ca="1">VLOOKUP($A84,'Price setting'!$E$213:$O$230,COLUMN()-1,FALSE)*+Input!$H$441</f>
        <v>26.269803959292243</v>
      </c>
      <c r="J85" s="317">
        <f ca="1">VLOOKUP($A84,'Price setting'!$E$213:$O$230,COLUMN()-1,FALSE)*+Input!$H$441</f>
        <v>27.079036007593114</v>
      </c>
      <c r="K85" s="317">
        <f ca="1">VLOOKUP($A84,'Price setting'!$E$213:$O$230,COLUMN()-1,FALSE)*+Input!$H$441</f>
        <v>27.40544721418976</v>
      </c>
      <c r="L85" s="323">
        <f ca="1">VLOOKUP($A84,'Price setting'!$E$213:$O$230,COLUMN()-1,FALSE)*+Input!$H$441</f>
        <v>27.571534440530034</v>
      </c>
    </row>
    <row r="86" spans="1:12" s="53" customFormat="1">
      <c r="A86" s="60" t="str">
        <f t="shared" si="2"/>
        <v>SVT</v>
      </c>
      <c r="B86" s="355" t="s">
        <v>200</v>
      </c>
      <c r="C86" s="59" t="s">
        <v>191</v>
      </c>
      <c r="D86" s="170" t="s">
        <v>75</v>
      </c>
      <c r="E86" s="169" t="s">
        <v>182</v>
      </c>
      <c r="F86" s="316"/>
      <c r="G86" s="317"/>
      <c r="H86" s="317">
        <f ca="1">VLOOKUP($A86,'Price setting'!$E$278:$O$295,COLUMN()-1,FALSE)+VLOOKUP($A84,'Price setting'!$E$213:$O$230,COLUMN()-1,FALSE)</f>
        <v>26.725206345787893</v>
      </c>
      <c r="I86" s="317">
        <f ca="1">VLOOKUP($A86,'Price setting'!$E$278:$O$295,COLUMN()-1,FALSE)+VLOOKUP($A84,'Price setting'!$E$213:$O$230,COLUMN()-1,FALSE)</f>
        <v>27.001197807550099</v>
      </c>
      <c r="J86" s="317">
        <f ca="1">VLOOKUP($A86,'Price setting'!$E$278:$O$295,COLUMN()-1,FALSE)+VLOOKUP($A84,'Price setting'!$E$213:$O$230,COLUMN()-1,FALSE)</f>
        <v>27.122316844280938</v>
      </c>
      <c r="K86" s="317">
        <f ca="1">VLOOKUP($A86,'Price setting'!$E$278:$O$295,COLUMN()-1,FALSE)+VLOOKUP($A84,'Price setting'!$E$213:$O$230,COLUMN()-1,FALSE)</f>
        <v>26.872035233546992</v>
      </c>
      <c r="L86" s="323">
        <f ca="1">VLOOKUP($A86,'Price setting'!$E$278:$O$295,COLUMN()-1,FALSE)+VLOOKUP($A84,'Price setting'!$E$213:$O$230,COLUMN()-1,FALSE)</f>
        <v>26.999794638424124</v>
      </c>
    </row>
    <row r="87" spans="1:12" s="53" customFormat="1">
      <c r="A87" s="60" t="str">
        <f t="shared" si="2"/>
        <v>SVT</v>
      </c>
      <c r="B87" s="355" t="s">
        <v>201</v>
      </c>
      <c r="C87" s="59" t="s">
        <v>192</v>
      </c>
      <c r="D87" s="170" t="s">
        <v>75</v>
      </c>
      <c r="E87" s="169" t="s">
        <v>182</v>
      </c>
      <c r="F87" s="316"/>
      <c r="G87" s="317"/>
      <c r="H87" s="317">
        <f ca="1">VLOOKUP($A87,'Price setting'!$E$343:$O$360,COLUMN()-1,FALSE)+VLOOKUP($A84,'Price setting'!$E$213:$O$230,COLUMN()-1,FALSE)</f>
        <v>20.189660438506547</v>
      </c>
      <c r="I87" s="317">
        <f ca="1">VLOOKUP($A87,'Price setting'!$E$343:$O$360,COLUMN()-1,FALSE)+VLOOKUP($A84,'Price setting'!$E$213:$O$230,COLUMN()-1,FALSE)</f>
        <v>20.856020252632945</v>
      </c>
      <c r="J87" s="317">
        <f ca="1">VLOOKUP($A87,'Price setting'!$E$343:$O$360,COLUMN()-1,FALSE)+VLOOKUP($A84,'Price setting'!$E$213:$O$230,COLUMN()-1,FALSE)</f>
        <v>21.47151711902249</v>
      </c>
      <c r="K87" s="317">
        <f ca="1">VLOOKUP($A87,'Price setting'!$E$343:$O$360,COLUMN()-1,FALSE)+VLOOKUP($A84,'Price setting'!$E$213:$O$230,COLUMN()-1,FALSE)</f>
        <v>21.715186745169319</v>
      </c>
      <c r="L87" s="323">
        <f ca="1">VLOOKUP($A87,'Price setting'!$E$343:$O$360,COLUMN()-1,FALSE)+VLOOKUP($A84,'Price setting'!$E$213:$O$230,COLUMN()-1,FALSE)</f>
        <v>21.835487444446404</v>
      </c>
    </row>
    <row r="88" spans="1:12" s="53" customFormat="1">
      <c r="A88" s="60" t="str">
        <f t="shared" si="2"/>
        <v>SVT</v>
      </c>
      <c r="B88" s="355" t="s">
        <v>202</v>
      </c>
      <c r="C88" s="59" t="s">
        <v>193</v>
      </c>
      <c r="D88" s="170" t="s">
        <v>75</v>
      </c>
      <c r="E88" s="169" t="s">
        <v>182</v>
      </c>
      <c r="F88" s="316"/>
      <c r="G88" s="317"/>
      <c r="H88" s="317">
        <f ca="1">(VLOOKUP($A88,'Price setting'!$E$408:$O$425,COLUMN()-1,FALSE)+VLOOKUP($A84,'Price setting'!$E$213:$O$230,COLUMN()-1,FALSE))*+Input!$H$441</f>
        <v>32.585082252394074</v>
      </c>
      <c r="I88" s="317">
        <f ca="1">(VLOOKUP($A88,'Price setting'!$E$408:$O$425,COLUMN()-1,FALSE)+VLOOKUP($A84,'Price setting'!$E$213:$O$230,COLUMN()-1,FALSE))*+Input!$H$441</f>
        <v>33.292538454364575</v>
      </c>
      <c r="J88" s="317">
        <f ca="1">(VLOOKUP($A88,'Price setting'!$E$408:$O$425,COLUMN()-1,FALSE)+VLOOKUP($A84,'Price setting'!$E$213:$O$230,COLUMN()-1,FALSE))*+Input!$H$441</f>
        <v>33.790288486402787</v>
      </c>
      <c r="K88" s="317">
        <f ca="1">(VLOOKUP($A88,'Price setting'!$E$408:$O$425,COLUMN()-1,FALSE)+VLOOKUP($A84,'Price setting'!$E$213:$O$230,COLUMN()-1,FALSE))*+Input!$H$441</f>
        <v>33.755737615072981</v>
      </c>
      <c r="L88" s="323">
        <f ca="1">(VLOOKUP($A88,'Price setting'!$E$408:$O$425,COLUMN()-1,FALSE)+VLOOKUP($A84,'Price setting'!$E$213:$O$230,COLUMN()-1,FALSE))*+Input!$H$441</f>
        <v>33.921824841413255</v>
      </c>
    </row>
    <row r="89" spans="1:12" s="53" customFormat="1">
      <c r="A89" s="60" t="str">
        <f t="shared" si="2"/>
        <v>SVT</v>
      </c>
      <c r="B89" s="355" t="s">
        <v>208</v>
      </c>
      <c r="C89" s="59" t="s">
        <v>205</v>
      </c>
      <c r="D89" s="168" t="s">
        <v>75</v>
      </c>
      <c r="E89" s="169" t="s">
        <v>182</v>
      </c>
      <c r="F89" s="262">
        <f ca="1">VLOOKUP($A89,'Price setting'!$E$49:$I$66,COLUMN()-1,FALSE)</f>
        <v>0.40669841312866389</v>
      </c>
      <c r="G89" s="263"/>
      <c r="H89" s="263"/>
      <c r="I89" s="263"/>
      <c r="J89" s="263"/>
      <c r="K89" s="263"/>
      <c r="L89" s="264"/>
    </row>
    <row r="90" spans="1:12" s="53" customFormat="1">
      <c r="A90" s="60" t="str">
        <f t="shared" si="2"/>
        <v>SVT</v>
      </c>
      <c r="B90" s="355" t="s">
        <v>206</v>
      </c>
      <c r="C90" s="59" t="s">
        <v>132</v>
      </c>
      <c r="D90" s="168" t="s">
        <v>74</v>
      </c>
      <c r="E90" s="169" t="s">
        <v>182</v>
      </c>
      <c r="F90" s="262">
        <f ca="1">'Used inputs'!I49</f>
        <v>94.754517377257102</v>
      </c>
      <c r="G90" s="263">
        <f>'Used inputs'!J49</f>
        <v>94.088749076778598</v>
      </c>
      <c r="H90" s="263">
        <f ca="1">'Used inputs'!K49</f>
        <v>100.88211611016187</v>
      </c>
      <c r="I90" s="263">
        <f ca="1">'Used inputs'!L49</f>
        <v>103.08514498771366</v>
      </c>
      <c r="J90" s="263">
        <f ca="1">'Used inputs'!M49</f>
        <v>105.27662688676583</v>
      </c>
      <c r="K90" s="263">
        <f ca="1">'Used inputs'!N49</f>
        <v>108.33695077809941</v>
      </c>
      <c r="L90" s="264">
        <f ca="1">'Used inputs'!O49</f>
        <v>111.70955532576066</v>
      </c>
    </row>
    <row r="91" spans="1:12" s="53" customFormat="1">
      <c r="A91" s="60" t="str">
        <f t="shared" si="2"/>
        <v>SVT</v>
      </c>
      <c r="B91" s="355" t="s">
        <v>207</v>
      </c>
      <c r="C91" s="59" t="s">
        <v>157</v>
      </c>
      <c r="D91" s="168" t="s">
        <v>74</v>
      </c>
      <c r="E91" s="169" t="s">
        <v>182</v>
      </c>
      <c r="F91" s="262">
        <f>'Used inputs'!I62</f>
        <v>0.77323768662024051</v>
      </c>
      <c r="G91" s="263">
        <f>'Used inputs'!J62</f>
        <v>4.0698273599602608</v>
      </c>
      <c r="H91" s="263">
        <f>'Used inputs'!K62</f>
        <v>0.80909953340377871</v>
      </c>
      <c r="I91" s="263">
        <f>'Used inputs'!L62</f>
        <v>0.80909953340377871</v>
      </c>
      <c r="J91" s="263">
        <f>'Used inputs'!M62</f>
        <v>0.80909953340377871</v>
      </c>
      <c r="K91" s="263">
        <f>'Used inputs'!N62</f>
        <v>0.80909953340377871</v>
      </c>
      <c r="L91" s="264">
        <f>'Used inputs'!O62</f>
        <v>0.80909953340377871</v>
      </c>
    </row>
    <row r="92" spans="1:12" s="53" customFormat="1">
      <c r="A92" s="60" t="s">
        <v>47</v>
      </c>
      <c r="B92" s="355" t="s">
        <v>162</v>
      </c>
      <c r="C92" s="59" t="s">
        <v>175</v>
      </c>
      <c r="D92" s="169" t="s">
        <v>74</v>
      </c>
      <c r="E92" s="169" t="s">
        <v>182</v>
      </c>
      <c r="F92" s="262">
        <f>VLOOKUP($A92,'Price setting'!$E$448:$O$466,COLUMN()-1,FALSE)</f>
        <v>0</v>
      </c>
      <c r="G92" s="263">
        <f>VLOOKUP($A92,'Price setting'!$E$448:$O$466,COLUMN()-1,FALSE)</f>
        <v>0</v>
      </c>
      <c r="H92" s="263">
        <f ca="1">VLOOKUP($A92,'Price setting'!$E$448:$O$466,COLUMN()-1,FALSE)</f>
        <v>28.105262265667054</v>
      </c>
      <c r="I92" s="263">
        <f ca="1">VLOOKUP($A92,'Price setting'!$E$448:$O$466,COLUMN()-1,FALSE)</f>
        <v>28.505262265667103</v>
      </c>
      <c r="J92" s="263">
        <f ca="1">VLOOKUP($A92,'Price setting'!$E$448:$O$466,COLUMN()-1,FALSE)</f>
        <v>28.83826226566709</v>
      </c>
      <c r="K92" s="263">
        <f ca="1">VLOOKUP($A92,'Price setting'!$E$448:$O$466,COLUMN()-1,FALSE)</f>
        <v>28.878227411875212</v>
      </c>
      <c r="L92" s="264">
        <f ca="1">VLOOKUP($A92,'Price setting'!$E$448:$O$466,COLUMN()-1,FALSE)</f>
        <v>29.282262265667047</v>
      </c>
    </row>
    <row r="93" spans="1:12" s="53" customFormat="1">
      <c r="A93" s="60" t="s">
        <v>47</v>
      </c>
      <c r="B93" s="355" t="s">
        <v>163</v>
      </c>
      <c r="C93" s="59" t="s">
        <v>118</v>
      </c>
      <c r="D93" s="168" t="s">
        <v>75</v>
      </c>
      <c r="E93" s="169" t="s">
        <v>182</v>
      </c>
      <c r="F93" s="316">
        <f>VLOOKUP($A93,'Price setting'!$E$213:$O$231,COLUMN()-1,FALSE)</f>
        <v>0</v>
      </c>
      <c r="G93" s="317">
        <f>VLOOKUP($A93,'Price setting'!$E$213:$O$231,COLUMN()-1,FALSE)</f>
        <v>0</v>
      </c>
      <c r="H93" s="317">
        <f ca="1">VLOOKUP($A93,'Price setting'!$E$213:$O$231,COLUMN()-1,FALSE)</f>
        <v>28.548536746120199</v>
      </c>
      <c r="I93" s="317">
        <f ca="1">VLOOKUP($A93,'Price setting'!$E$213:$O$231,COLUMN()-1,FALSE)</f>
        <v>28.675007593318483</v>
      </c>
      <c r="J93" s="317">
        <f ca="1">VLOOKUP($A93,'Price setting'!$E$213:$O$231,COLUMN()-1,FALSE)</f>
        <v>28.73195238667315</v>
      </c>
      <c r="K93" s="317">
        <f ca="1">VLOOKUP($A93,'Price setting'!$E$213:$O$231,COLUMN()-1,FALSE)</f>
        <v>28.4895392916685</v>
      </c>
      <c r="L93" s="323">
        <f ca="1">VLOOKUP($A93,'Price setting'!$E$213:$O$231,COLUMN()-1,FALSE)</f>
        <v>28.670897038120557</v>
      </c>
    </row>
    <row r="94" spans="1:12" s="53" customFormat="1">
      <c r="A94" s="60" t="s">
        <v>47</v>
      </c>
      <c r="B94" s="355" t="s">
        <v>164</v>
      </c>
      <c r="C94" s="59" t="s">
        <v>119</v>
      </c>
      <c r="D94" s="168" t="s">
        <v>75</v>
      </c>
      <c r="E94" s="169" t="s">
        <v>182</v>
      </c>
      <c r="F94" s="316">
        <f>VLOOKUP($A94,'Price setting'!$E$278:$O$296,COLUMN()-1,FALSE)+VLOOKUP($A93,'Price setting'!$E$213:$O$231,COLUMN()-1,FALSE)</f>
        <v>0</v>
      </c>
      <c r="G94" s="317">
        <f>VLOOKUP($A94,'Price setting'!$E$278:$O$296,COLUMN()-1,FALSE)+VLOOKUP($A93,'Price setting'!$E$213:$O$231,COLUMN()-1,FALSE)</f>
        <v>0</v>
      </c>
      <c r="H94" s="317">
        <f ca="1">VLOOKUP($A94,'Price setting'!$E$278:$O$296,COLUMN()-1,FALSE)+VLOOKUP($A93,'Price setting'!$E$213:$O$231,COLUMN()-1,FALSE)</f>
        <v>31.312785791796124</v>
      </c>
      <c r="I94" s="317">
        <f ca="1">VLOOKUP($A94,'Price setting'!$E$278:$O$296,COLUMN()-1,FALSE)+VLOOKUP($A93,'Price setting'!$E$213:$O$231,COLUMN()-1,FALSE)</f>
        <v>31.438653092973027</v>
      </c>
      <c r="J94" s="317">
        <f ca="1">VLOOKUP($A94,'Price setting'!$E$278:$O$296,COLUMN()-1,FALSE)+VLOOKUP($A93,'Price setting'!$E$213:$O$231,COLUMN()-1,FALSE)</f>
        <v>31.523320156880551</v>
      </c>
      <c r="K94" s="317">
        <f ca="1">VLOOKUP($A94,'Price setting'!$E$278:$O$296,COLUMN()-1,FALSE)+VLOOKUP($A93,'Price setting'!$E$213:$O$231,COLUMN()-1,FALSE)</f>
        <v>31.277857102407836</v>
      </c>
      <c r="L94" s="323">
        <f ca="1">VLOOKUP($A94,'Price setting'!$E$278:$O$296,COLUMN()-1,FALSE)+VLOOKUP($A93,'Price setting'!$E$213:$O$231,COLUMN()-1,FALSE)</f>
        <v>31.346021141816092</v>
      </c>
    </row>
    <row r="95" spans="1:12" s="53" customFormat="1">
      <c r="A95" s="60" t="s">
        <v>47</v>
      </c>
      <c r="B95" s="355" t="s">
        <v>165</v>
      </c>
      <c r="C95" s="59" t="s">
        <v>120</v>
      </c>
      <c r="D95" s="168" t="s">
        <v>75</v>
      </c>
      <c r="E95" s="169" t="s">
        <v>182</v>
      </c>
      <c r="F95" s="316">
        <f>VLOOKUP($A95,'Price setting'!$E$343:$O$361,COLUMN()-1,FALSE)+VLOOKUP($A93,'Price setting'!$E$213:$O$231,COLUMN()-1,FALSE)</f>
        <v>0</v>
      </c>
      <c r="G95" s="317">
        <f>VLOOKUP($A95,'Price setting'!$E$343:$O$361,COLUMN()-1,FALSE)+VLOOKUP($A93,'Price setting'!$E$213:$O$231,COLUMN()-1,FALSE)</f>
        <v>0</v>
      </c>
      <c r="H95" s="317">
        <f ca="1">VLOOKUP($A95,'Price setting'!$E$343:$O$361,COLUMN()-1,FALSE)+VLOOKUP($A93,'Price setting'!$E$213:$O$231,COLUMN()-1,FALSE)</f>
        <v>28.548536746120199</v>
      </c>
      <c r="I95" s="317">
        <f ca="1">VLOOKUP($A95,'Price setting'!$E$343:$O$361,COLUMN()-1,FALSE)+VLOOKUP($A93,'Price setting'!$E$213:$O$231,COLUMN()-1,FALSE)</f>
        <v>28.675007593318483</v>
      </c>
      <c r="J95" s="317">
        <f ca="1">VLOOKUP($A95,'Price setting'!$E$343:$O$361,COLUMN()-1,FALSE)+VLOOKUP($A93,'Price setting'!$E$213:$O$231,COLUMN()-1,FALSE)</f>
        <v>28.73195238667315</v>
      </c>
      <c r="K95" s="317">
        <f ca="1">VLOOKUP($A95,'Price setting'!$E$343:$O$361,COLUMN()-1,FALSE)+VLOOKUP($A93,'Price setting'!$E$213:$O$231,COLUMN()-1,FALSE)</f>
        <v>28.4895392916685</v>
      </c>
      <c r="L95" s="323">
        <f ca="1">VLOOKUP($A95,'Price setting'!$E$343:$O$361,COLUMN()-1,FALSE)+VLOOKUP($A93,'Price setting'!$E$213:$O$231,COLUMN()-1,FALSE)</f>
        <v>28.670897038120557</v>
      </c>
    </row>
    <row r="96" spans="1:12" s="53" customFormat="1">
      <c r="A96" s="60" t="s">
        <v>47</v>
      </c>
      <c r="B96" s="355" t="s">
        <v>166</v>
      </c>
      <c r="C96" s="59" t="s">
        <v>124</v>
      </c>
      <c r="D96" s="168" t="s">
        <v>75</v>
      </c>
      <c r="E96" s="169" t="s">
        <v>182</v>
      </c>
      <c r="F96" s="316">
        <f>VLOOKUP($A96,'Price setting'!$E$408:$O$426,COLUMN()-1,FALSE)+VLOOKUP($A93,'Price setting'!$E$213:$O$231,COLUMN()-1,FALSE)</f>
        <v>0</v>
      </c>
      <c r="G96" s="317">
        <f>VLOOKUP($A96,'Price setting'!$E$408:$O$426,COLUMN()-1,FALSE)+VLOOKUP($A93,'Price setting'!$E$213:$O$231,COLUMN()-1,FALSE)</f>
        <v>0</v>
      </c>
      <c r="H96" s="317">
        <f ca="1">VLOOKUP($A96,'Price setting'!$E$408:$O$426,COLUMN()-1,FALSE)+VLOOKUP($A93,'Price setting'!$E$213:$O$231,COLUMN()-1,FALSE)</f>
        <v>30.805240890076622</v>
      </c>
      <c r="I96" s="317">
        <f ca="1">VLOOKUP($A96,'Price setting'!$E$408:$O$426,COLUMN()-1,FALSE)+VLOOKUP($A93,'Price setting'!$E$213:$O$231,COLUMN()-1,FALSE)</f>
        <v>30.934387135280883</v>
      </c>
      <c r="J96" s="317">
        <f ca="1">VLOOKUP($A96,'Price setting'!$E$408:$O$426,COLUMN()-1,FALSE)+VLOOKUP($A93,'Price setting'!$E$213:$O$231,COLUMN()-1,FALSE)</f>
        <v>30.993515576441453</v>
      </c>
      <c r="K96" s="317">
        <f ca="1">VLOOKUP($A96,'Price setting'!$E$408:$O$426,COLUMN()-1,FALSE)+VLOOKUP($A93,'Price setting'!$E$213:$O$231,COLUMN()-1,FALSE)</f>
        <v>30.754238142443288</v>
      </c>
      <c r="L96" s="323">
        <f ca="1">VLOOKUP($A96,'Price setting'!$E$408:$O$426,COLUMN()-1,FALSE)+VLOOKUP($A93,'Price setting'!$E$213:$O$231,COLUMN()-1,FALSE)</f>
        <v>30.8928470667638</v>
      </c>
    </row>
    <row r="97" spans="1:12" s="53" customFormat="1">
      <c r="A97" s="60" t="s">
        <v>47</v>
      </c>
      <c r="B97" s="355" t="s">
        <v>167</v>
      </c>
      <c r="C97" s="59" t="s">
        <v>122</v>
      </c>
      <c r="D97" s="170" t="s">
        <v>88</v>
      </c>
      <c r="E97" s="169" t="s">
        <v>182</v>
      </c>
      <c r="F97" s="262">
        <f>INDEX(SWT,ROW(Input!B$23)-5,COLUMN()+1)*Input!$H$441</f>
        <v>178.50300000000001</v>
      </c>
      <c r="G97" s="263">
        <f>INDEX(SWT,ROW(Input!C$23)-5,COLUMN()+1)*Input!$H$441</f>
        <v>167.7364</v>
      </c>
      <c r="H97" s="263">
        <f>INDEX(SWT,ROW(Input!D$23)-5,COLUMN()+1)*Input!$H$441</f>
        <v>156.46279999999999</v>
      </c>
      <c r="I97" s="263">
        <f>INDEX(SWT,ROW(Input!E$23)-5,COLUMN()+1)*Input!$H$441</f>
        <v>146.4931</v>
      </c>
      <c r="J97" s="263">
        <f>INDEX(SWT,ROW(Input!F$23)-5,COLUMN()+1)*Input!$H$441</f>
        <v>137.6765</v>
      </c>
      <c r="K97" s="263">
        <f>INDEX(SWT,ROW(Input!G$23)-5,COLUMN()+1)*Input!$H$441</f>
        <v>129.87909999999999</v>
      </c>
      <c r="L97" s="264">
        <f>INDEX(SWT,ROW(Input!H$23)-5,COLUMN()+1)*Input!$H$441</f>
        <v>122.98650000000001</v>
      </c>
    </row>
    <row r="98" spans="1:12" s="53" customFormat="1">
      <c r="A98" s="60" t="s">
        <v>47</v>
      </c>
      <c r="B98" s="355" t="s">
        <v>168</v>
      </c>
      <c r="C98" s="59" t="s">
        <v>123</v>
      </c>
      <c r="D98" s="170" t="s">
        <v>88</v>
      </c>
      <c r="E98" s="169" t="s">
        <v>182</v>
      </c>
      <c r="F98" s="262">
        <f>+INDEX(SWT,ROW(Input!B$24)-5,COLUMN()+1)*Input!$H$441</f>
        <v>668.49120000000005</v>
      </c>
      <c r="G98" s="263">
        <f>+INDEX(SWT,ROW(Input!C$24)-5,COLUMN()+1)*Input!$H$441</f>
        <v>685.15590000000009</v>
      </c>
      <c r="H98" s="263">
        <f>+INDEX(SWT,ROW(Input!D$24)-5,COLUMN()+1)*Input!$H$441</f>
        <v>704.12420000000009</v>
      </c>
      <c r="I98" s="263">
        <f>+INDEX(SWT,ROW(Input!E$24)-5,COLUMN()+1)*Input!$H$441</f>
        <v>721.8796000000001</v>
      </c>
      <c r="J98" s="263">
        <f>+INDEX(SWT,ROW(Input!F$24)-5,COLUMN()+1)*Input!$H$441</f>
        <v>738.42729999999995</v>
      </c>
      <c r="K98" s="263">
        <f>+INDEX(SWT,ROW(Input!G$24)-5,COLUMN()+1)*Input!$H$441</f>
        <v>753.74260000000004</v>
      </c>
      <c r="L98" s="264">
        <f>+INDEX(SWT,ROW(Input!H$24)-5,COLUMN()+1)*Input!$H$441</f>
        <v>768.2441</v>
      </c>
    </row>
    <row r="99" spans="1:12" s="53" customFormat="1">
      <c r="A99" s="60" t="s">
        <v>47</v>
      </c>
      <c r="B99" s="355" t="s">
        <v>169</v>
      </c>
      <c r="C99" s="59" t="s">
        <v>139</v>
      </c>
      <c r="D99" s="170" t="s">
        <v>74</v>
      </c>
      <c r="E99" s="169" t="s">
        <v>182</v>
      </c>
      <c r="F99" s="262">
        <f>VLOOKUP($A99,'Price setting'!$E$488:$O$506,COLUMN()-1,FALSE)</f>
        <v>0</v>
      </c>
      <c r="G99" s="263">
        <f>VLOOKUP($A99,'Price setting'!$E$488:$O$506,COLUMN()-1,FALSE)</f>
        <v>0</v>
      </c>
      <c r="H99" s="263">
        <f ca="1">VLOOKUP($A99,'Price setting'!$E$488:$O$506,COLUMN()-1,FALSE)</f>
        <v>0.13600000000000045</v>
      </c>
      <c r="I99" s="263">
        <f ca="1">VLOOKUP($A99,'Price setting'!$E$488:$O$506,COLUMN()-1,FALSE)</f>
        <v>0.43399999999999972</v>
      </c>
      <c r="J99" s="263">
        <f ca="1">VLOOKUP($A99,'Price setting'!$E$488:$O$506,COLUMN()-1,FALSE)</f>
        <v>0.70099999999999962</v>
      </c>
      <c r="K99" s="263">
        <f ca="1">VLOOKUP($A99,'Price setting'!$E$488:$O$506,COLUMN()-1,FALSE)</f>
        <v>0.91066046637486986</v>
      </c>
      <c r="L99" s="264">
        <f ca="1">VLOOKUP($A99,'Price setting'!$E$488:$O$506,COLUMN()-1,FALSE)</f>
        <v>1.1159999999999961</v>
      </c>
    </row>
    <row r="100" spans="1:12" s="53" customFormat="1">
      <c r="A100" s="60" t="str">
        <f>+A99</f>
        <v>SWT</v>
      </c>
      <c r="B100" s="355" t="s">
        <v>170</v>
      </c>
      <c r="C100" s="59" t="s">
        <v>67</v>
      </c>
      <c r="D100" s="170" t="s">
        <v>171</v>
      </c>
      <c r="E100" s="169" t="s">
        <v>182</v>
      </c>
      <c r="F100" s="320">
        <f>+Input!$H$441</f>
        <v>1.3</v>
      </c>
      <c r="G100" s="321">
        <f>+Input!$H$441</f>
        <v>1.3</v>
      </c>
      <c r="H100" s="321">
        <f>+Input!$H$441</f>
        <v>1.3</v>
      </c>
      <c r="I100" s="321">
        <f>+Input!$H$441</f>
        <v>1.3</v>
      </c>
      <c r="J100" s="321">
        <f>+Input!$H$441</f>
        <v>1.3</v>
      </c>
      <c r="K100" s="321">
        <f>+Input!$H$441</f>
        <v>1.3</v>
      </c>
      <c r="L100" s="322">
        <f>+Input!$H$441</f>
        <v>1.3</v>
      </c>
    </row>
    <row r="101" spans="1:12" s="53" customFormat="1">
      <c r="A101" s="60" t="str">
        <f t="shared" ref="A101:A113" si="3">+A100</f>
        <v>SWT</v>
      </c>
      <c r="B101" s="355" t="s">
        <v>194</v>
      </c>
      <c r="C101" s="59" t="s">
        <v>185</v>
      </c>
      <c r="D101" s="170" t="s">
        <v>75</v>
      </c>
      <c r="E101" s="169" t="s">
        <v>182</v>
      </c>
      <c r="F101" s="316">
        <f ca="1">VLOOKUP(A101,'Price setting'!$E$89:$I$106,COLUMN()-1,FALSE)</f>
        <v>26.172448344771009</v>
      </c>
      <c r="G101" s="317"/>
      <c r="H101" s="317"/>
      <c r="I101" s="317"/>
      <c r="J101" s="317"/>
      <c r="K101" s="317"/>
      <c r="L101" s="323"/>
    </row>
    <row r="102" spans="1:12" s="53" customFormat="1">
      <c r="A102" s="60" t="str">
        <f t="shared" si="3"/>
        <v>SWT</v>
      </c>
      <c r="B102" s="355" t="s">
        <v>195</v>
      </c>
      <c r="C102" s="59" t="s">
        <v>186</v>
      </c>
      <c r="D102" s="170" t="s">
        <v>75</v>
      </c>
      <c r="E102" s="169" t="s">
        <v>182</v>
      </c>
      <c r="F102" s="316">
        <f ca="1">VLOOKUP(A102,'Price setting'!E$254:I$271,COLUMN()-1,FALSE)+VLOOKUP(A101,'Price setting'!$E$89:$I$106,COLUMN()-1,FALSE)</f>
        <v>29.130379983684243</v>
      </c>
      <c r="G102" s="317"/>
      <c r="H102" s="317"/>
      <c r="I102" s="317"/>
      <c r="J102" s="317"/>
      <c r="K102" s="317"/>
      <c r="L102" s="323"/>
    </row>
    <row r="103" spans="1:12" s="53" customFormat="1">
      <c r="A103" s="60" t="str">
        <f t="shared" si="3"/>
        <v>SWT</v>
      </c>
      <c r="B103" s="355" t="s">
        <v>196</v>
      </c>
      <c r="C103" s="59" t="s">
        <v>187</v>
      </c>
      <c r="D103" s="170" t="s">
        <v>75</v>
      </c>
      <c r="E103" s="169" t="s">
        <v>182</v>
      </c>
      <c r="F103" s="316">
        <f ca="1">VLOOKUP(A103,'Price setting'!E$319:I$336,COLUMN()-1,FALSE)+VLOOKUP(A101,'Price setting'!$E$89:$I$106,COLUMN()-1,FALSE)</f>
        <v>26.172448344771009</v>
      </c>
      <c r="G103" s="317"/>
      <c r="H103" s="317"/>
      <c r="I103" s="317"/>
      <c r="J103" s="317"/>
      <c r="K103" s="317"/>
      <c r="L103" s="323"/>
    </row>
    <row r="104" spans="1:12" s="53" customFormat="1">
      <c r="A104" s="60" t="str">
        <f t="shared" si="3"/>
        <v>SWT</v>
      </c>
      <c r="B104" s="355" t="s">
        <v>197</v>
      </c>
      <c r="C104" s="59" t="s">
        <v>188</v>
      </c>
      <c r="D104" s="170" t="s">
        <v>75</v>
      </c>
      <c r="E104" s="169" t="s">
        <v>182</v>
      </c>
      <c r="F104" s="316">
        <f ca="1">(VLOOKUP(A104,'Price setting'!E$384:I$401,COLUMN()-1,FALSE)+VLOOKUP(A101,'Price setting'!$E$89:$I$106,COLUMN()-1,FALSE))*+Input!$H$441</f>
        <v>37.085105714501822</v>
      </c>
      <c r="G104" s="317"/>
      <c r="H104" s="317"/>
      <c r="I104" s="317"/>
      <c r="J104" s="317"/>
      <c r="K104" s="317"/>
      <c r="L104" s="323"/>
    </row>
    <row r="105" spans="1:12" s="53" customFormat="1">
      <c r="A105" s="60" t="str">
        <f t="shared" si="3"/>
        <v>SWT</v>
      </c>
      <c r="B105" s="355" t="s">
        <v>198</v>
      </c>
      <c r="C105" s="59" t="s">
        <v>189</v>
      </c>
      <c r="D105" s="170" t="s">
        <v>75</v>
      </c>
      <c r="E105" s="169" t="s">
        <v>182</v>
      </c>
      <c r="F105" s="316">
        <f ca="1">VLOOKUP(A105,'Price setting'!E$89:I$106,COLUMN()-1,FALSE)*+Input!$H$441</f>
        <v>34.024182848202315</v>
      </c>
      <c r="G105" s="317"/>
      <c r="H105" s="317"/>
      <c r="I105" s="317"/>
      <c r="J105" s="317"/>
      <c r="K105" s="317"/>
      <c r="L105" s="323"/>
    </row>
    <row r="106" spans="1:12" s="53" customFormat="1">
      <c r="A106" s="60" t="str">
        <f t="shared" si="3"/>
        <v>SWT</v>
      </c>
      <c r="B106" s="356" t="s">
        <v>204</v>
      </c>
      <c r="C106" s="59" t="s">
        <v>203</v>
      </c>
      <c r="D106" s="168" t="s">
        <v>75</v>
      </c>
      <c r="E106" s="169" t="s">
        <v>182</v>
      </c>
      <c r="F106" s="316"/>
      <c r="G106" s="317"/>
      <c r="H106" s="317">
        <f ca="1">VLOOKUP($A106,'Price setting'!$E$213:$O$230,COLUMN()-1,FALSE)</f>
        <v>28.548536746120199</v>
      </c>
      <c r="I106" s="317">
        <f ca="1">VLOOKUP($A106,'Price setting'!$E$213:$O$230,COLUMN()-1,FALSE)</f>
        <v>28.675007593318483</v>
      </c>
      <c r="J106" s="317">
        <f ca="1">VLOOKUP($A106,'Price setting'!$E$213:$O$230,COLUMN()-1,FALSE)</f>
        <v>28.73195238667315</v>
      </c>
      <c r="K106" s="317">
        <f ca="1">VLOOKUP($A106,'Price setting'!$E$213:$O$230,COLUMN()-1,FALSE)</f>
        <v>28.4895392916685</v>
      </c>
      <c r="L106" s="323">
        <f ca="1">VLOOKUP($A106,'Price setting'!$E$213:$O$230,COLUMN()-1,FALSE)</f>
        <v>28.670897038120557</v>
      </c>
    </row>
    <row r="107" spans="1:12" s="53" customFormat="1">
      <c r="A107" s="60" t="str">
        <f t="shared" si="3"/>
        <v>SWT</v>
      </c>
      <c r="B107" s="355" t="s">
        <v>199</v>
      </c>
      <c r="C107" s="59" t="s">
        <v>190</v>
      </c>
      <c r="D107" s="170" t="s">
        <v>75</v>
      </c>
      <c r="E107" s="169" t="s">
        <v>182</v>
      </c>
      <c r="F107" s="316"/>
      <c r="G107" s="317"/>
      <c r="H107" s="317">
        <f ca="1">VLOOKUP($A106,'Price setting'!$E$213:$O$230,COLUMN()-1,FALSE)*+Input!$H$441</f>
        <v>37.113097769956262</v>
      </c>
      <c r="I107" s="317">
        <f ca="1">VLOOKUP($A106,'Price setting'!$E$213:$O$230,COLUMN()-1,FALSE)*+Input!$H$441</f>
        <v>37.277509871314031</v>
      </c>
      <c r="J107" s="317">
        <f ca="1">VLOOKUP($A106,'Price setting'!$E$213:$O$230,COLUMN()-1,FALSE)*+Input!$H$441</f>
        <v>37.351538102675093</v>
      </c>
      <c r="K107" s="317">
        <f ca="1">VLOOKUP($A106,'Price setting'!$E$213:$O$230,COLUMN()-1,FALSE)*+Input!$H$441</f>
        <v>37.036401079169053</v>
      </c>
      <c r="L107" s="323">
        <f ca="1">VLOOKUP($A106,'Price setting'!$E$213:$O$230,COLUMN()-1,FALSE)*+Input!$H$441</f>
        <v>37.272166149556725</v>
      </c>
    </row>
    <row r="108" spans="1:12" s="53" customFormat="1">
      <c r="A108" s="60" t="str">
        <f t="shared" si="3"/>
        <v>SWT</v>
      </c>
      <c r="B108" s="355" t="s">
        <v>200</v>
      </c>
      <c r="C108" s="59" t="s">
        <v>191</v>
      </c>
      <c r="D108" s="170" t="s">
        <v>75</v>
      </c>
      <c r="E108" s="169" t="s">
        <v>182</v>
      </c>
      <c r="F108" s="316"/>
      <c r="G108" s="317"/>
      <c r="H108" s="317">
        <f ca="1">VLOOKUP($A108,'Price setting'!$E$278:$O$295,COLUMN()-1,FALSE)+VLOOKUP($A106,'Price setting'!$E$213:$O$230,COLUMN()-1,FALSE)</f>
        <v>31.312785791796124</v>
      </c>
      <c r="I108" s="317">
        <f ca="1">VLOOKUP($A108,'Price setting'!$E$278:$O$295,COLUMN()-1,FALSE)+VLOOKUP($A106,'Price setting'!$E$213:$O$230,COLUMN()-1,FALSE)</f>
        <v>31.438653092973027</v>
      </c>
      <c r="J108" s="317">
        <f ca="1">VLOOKUP($A108,'Price setting'!$E$278:$O$295,COLUMN()-1,FALSE)+VLOOKUP($A106,'Price setting'!$E$213:$O$230,COLUMN()-1,FALSE)</f>
        <v>31.523320156880551</v>
      </c>
      <c r="K108" s="317">
        <f ca="1">VLOOKUP($A108,'Price setting'!$E$278:$O$295,COLUMN()-1,FALSE)+VLOOKUP($A106,'Price setting'!$E$213:$O$230,COLUMN()-1,FALSE)</f>
        <v>31.277857102407836</v>
      </c>
      <c r="L108" s="323">
        <f ca="1">VLOOKUP($A108,'Price setting'!$E$278:$O$295,COLUMN()-1,FALSE)+VLOOKUP($A106,'Price setting'!$E$213:$O$230,COLUMN()-1,FALSE)</f>
        <v>31.346021141816092</v>
      </c>
    </row>
    <row r="109" spans="1:12" s="53" customFormat="1">
      <c r="A109" s="60" t="str">
        <f t="shared" si="3"/>
        <v>SWT</v>
      </c>
      <c r="B109" s="355" t="s">
        <v>201</v>
      </c>
      <c r="C109" s="59" t="s">
        <v>192</v>
      </c>
      <c r="D109" s="170" t="s">
        <v>75</v>
      </c>
      <c r="E109" s="169" t="s">
        <v>182</v>
      </c>
      <c r="F109" s="316"/>
      <c r="G109" s="317"/>
      <c r="H109" s="317">
        <f ca="1">VLOOKUP($A109,'Price setting'!$E$343:$O$360,COLUMN()-1,FALSE)+VLOOKUP($A106,'Price setting'!$E$213:$O$230,COLUMN()-1,FALSE)</f>
        <v>28.548536746120199</v>
      </c>
      <c r="I109" s="317">
        <f ca="1">VLOOKUP($A109,'Price setting'!$E$343:$O$360,COLUMN()-1,FALSE)+VLOOKUP($A106,'Price setting'!$E$213:$O$230,COLUMN()-1,FALSE)</f>
        <v>28.675007593318483</v>
      </c>
      <c r="J109" s="317">
        <f ca="1">VLOOKUP($A109,'Price setting'!$E$343:$O$360,COLUMN()-1,FALSE)+VLOOKUP($A106,'Price setting'!$E$213:$O$230,COLUMN()-1,FALSE)</f>
        <v>28.73195238667315</v>
      </c>
      <c r="K109" s="317">
        <f ca="1">VLOOKUP($A109,'Price setting'!$E$343:$O$360,COLUMN()-1,FALSE)+VLOOKUP($A106,'Price setting'!$E$213:$O$230,COLUMN()-1,FALSE)</f>
        <v>28.4895392916685</v>
      </c>
      <c r="L109" s="323">
        <f ca="1">VLOOKUP($A109,'Price setting'!$E$343:$O$360,COLUMN()-1,FALSE)+VLOOKUP($A106,'Price setting'!$E$213:$O$230,COLUMN()-1,FALSE)</f>
        <v>28.670897038120557</v>
      </c>
    </row>
    <row r="110" spans="1:12" s="53" customFormat="1">
      <c r="A110" s="60" t="str">
        <f t="shared" si="3"/>
        <v>SWT</v>
      </c>
      <c r="B110" s="355" t="s">
        <v>202</v>
      </c>
      <c r="C110" s="59" t="s">
        <v>193</v>
      </c>
      <c r="D110" s="170" t="s">
        <v>75</v>
      </c>
      <c r="E110" s="169" t="s">
        <v>182</v>
      </c>
      <c r="F110" s="316"/>
      <c r="G110" s="317"/>
      <c r="H110" s="317">
        <f ca="1">(VLOOKUP($A110,'Price setting'!$E$408:$O$425,COLUMN()-1,FALSE)+VLOOKUP($A106,'Price setting'!$E$213:$O$230,COLUMN()-1,FALSE))*+Input!$H$441</f>
        <v>40.046813157099606</v>
      </c>
      <c r="I110" s="317">
        <f ca="1">(VLOOKUP($A110,'Price setting'!$E$408:$O$425,COLUMN()-1,FALSE)+VLOOKUP($A106,'Price setting'!$E$213:$O$230,COLUMN()-1,FALSE))*+Input!$H$441</f>
        <v>40.214703275865148</v>
      </c>
      <c r="J110" s="317">
        <f ca="1">(VLOOKUP($A110,'Price setting'!$E$408:$O$425,COLUMN()-1,FALSE)+VLOOKUP($A106,'Price setting'!$E$213:$O$230,COLUMN()-1,FALSE))*+Input!$H$441</f>
        <v>40.291570249373891</v>
      </c>
      <c r="K110" s="317">
        <f ca="1">(VLOOKUP($A110,'Price setting'!$E$408:$O$425,COLUMN()-1,FALSE)+VLOOKUP($A106,'Price setting'!$E$213:$O$230,COLUMN()-1,FALSE))*+Input!$H$441</f>
        <v>39.980509585176279</v>
      </c>
      <c r="L110" s="323">
        <f ca="1">(VLOOKUP($A110,'Price setting'!$E$408:$O$425,COLUMN()-1,FALSE)+VLOOKUP($A106,'Price setting'!$E$213:$O$230,COLUMN()-1,FALSE))*+Input!$H$441</f>
        <v>40.160701186792942</v>
      </c>
    </row>
    <row r="111" spans="1:12" s="53" customFormat="1">
      <c r="A111" s="60" t="str">
        <f t="shared" si="3"/>
        <v>SWT</v>
      </c>
      <c r="B111" s="355" t="s">
        <v>208</v>
      </c>
      <c r="C111" s="59" t="s">
        <v>205</v>
      </c>
      <c r="D111" s="168" t="s">
        <v>75</v>
      </c>
      <c r="E111" s="169" t="s">
        <v>182</v>
      </c>
      <c r="F111" s="262">
        <f ca="1">VLOOKUP($A111,'Price setting'!$E$49:$I$66,COLUMN()-1,FALSE)</f>
        <v>0</v>
      </c>
      <c r="G111" s="263"/>
      <c r="H111" s="263"/>
      <c r="I111" s="263"/>
      <c r="J111" s="263"/>
      <c r="K111" s="263"/>
      <c r="L111" s="264"/>
    </row>
    <row r="112" spans="1:12" s="53" customFormat="1">
      <c r="A112" s="60" t="str">
        <f t="shared" si="3"/>
        <v>SWT</v>
      </c>
      <c r="B112" s="355" t="s">
        <v>206</v>
      </c>
      <c r="C112" s="59" t="s">
        <v>132</v>
      </c>
      <c r="D112" s="168" t="s">
        <v>74</v>
      </c>
      <c r="E112" s="169" t="s">
        <v>182</v>
      </c>
      <c r="F112" s="262">
        <f ca="1">'Used inputs'!I64</f>
        <v>22.238565886720469</v>
      </c>
      <c r="G112" s="263">
        <f>'Used inputs'!J64</f>
        <v>28.770000000000039</v>
      </c>
      <c r="H112" s="263">
        <f ca="1">'Used inputs'!K64</f>
        <v>20.31399999999995</v>
      </c>
      <c r="I112" s="263">
        <f ca="1">'Used inputs'!L64</f>
        <v>20.415999999999993</v>
      </c>
      <c r="J112" s="263">
        <f ca="1">'Used inputs'!M64</f>
        <v>20.481999999999992</v>
      </c>
      <c r="K112" s="263">
        <f ca="1">'Used inputs'!N64</f>
        <v>20.507000000000009</v>
      </c>
      <c r="L112" s="264">
        <f ca="1">'Used inputs'!O64</f>
        <v>20.510999999999946</v>
      </c>
    </row>
    <row r="113" spans="1:12" s="53" customFormat="1">
      <c r="A113" s="60" t="str">
        <f t="shared" si="3"/>
        <v>SWT</v>
      </c>
      <c r="B113" s="355" t="s">
        <v>207</v>
      </c>
      <c r="C113" s="59" t="s">
        <v>157</v>
      </c>
      <c r="D113" s="168" t="s">
        <v>74</v>
      </c>
      <c r="E113" s="169" t="s">
        <v>182</v>
      </c>
      <c r="F113" s="262">
        <f>'Used inputs'!I77</f>
        <v>7.6782910663805728</v>
      </c>
      <c r="G113" s="263">
        <f>'Used inputs'!J77</f>
        <v>0</v>
      </c>
      <c r="H113" s="263">
        <f>'Used inputs'!K77</f>
        <v>7.6552622656671048</v>
      </c>
      <c r="I113" s="263">
        <f>'Used inputs'!L77</f>
        <v>7.6552622656671048</v>
      </c>
      <c r="J113" s="263">
        <f>'Used inputs'!M77</f>
        <v>7.6552622656671048</v>
      </c>
      <c r="K113" s="263">
        <f>'Used inputs'!N77</f>
        <v>7.6552622656671048</v>
      </c>
      <c r="L113" s="264">
        <f>'Used inputs'!O77</f>
        <v>7.6552622656671048</v>
      </c>
    </row>
    <row r="114" spans="1:12" s="53" customFormat="1">
      <c r="A114" s="60" t="s">
        <v>48</v>
      </c>
      <c r="B114" s="355" t="s">
        <v>162</v>
      </c>
      <c r="C114" s="59" t="s">
        <v>175</v>
      </c>
      <c r="D114" s="169" t="s">
        <v>74</v>
      </c>
      <c r="E114" s="169" t="s">
        <v>182</v>
      </c>
      <c r="F114" s="262">
        <f>VLOOKUP($A114,'Price setting'!$E$448:$O$466,COLUMN()-1,FALSE)</f>
        <v>0</v>
      </c>
      <c r="G114" s="263">
        <f>VLOOKUP($A114,'Price setting'!$E$448:$O$466,COLUMN()-1,FALSE)</f>
        <v>0</v>
      </c>
      <c r="H114" s="263">
        <f ca="1">VLOOKUP($A114,'Price setting'!$E$448:$O$466,COLUMN()-1,FALSE)</f>
        <v>58.506976711910809</v>
      </c>
      <c r="I114" s="263">
        <f ca="1">VLOOKUP($A114,'Price setting'!$E$448:$O$466,COLUMN()-1,FALSE)</f>
        <v>57.48368675332145</v>
      </c>
      <c r="J114" s="263">
        <f ca="1">VLOOKUP($A114,'Price setting'!$E$448:$O$466,COLUMN()-1,FALSE)</f>
        <v>53.310918510807667</v>
      </c>
      <c r="K114" s="263">
        <f ca="1">VLOOKUP($A114,'Price setting'!$E$448:$O$466,COLUMN()-1,FALSE)</f>
        <v>49.240950120087206</v>
      </c>
      <c r="L114" s="264">
        <f ca="1">VLOOKUP($A114,'Price setting'!$E$448:$O$466,COLUMN()-1,FALSE)</f>
        <v>50.51812093858716</v>
      </c>
    </row>
    <row r="115" spans="1:12" s="53" customFormat="1">
      <c r="A115" s="60" t="s">
        <v>48</v>
      </c>
      <c r="B115" s="355" t="s">
        <v>163</v>
      </c>
      <c r="C115" s="59" t="s">
        <v>118</v>
      </c>
      <c r="D115" s="168" t="s">
        <v>75</v>
      </c>
      <c r="E115" s="169" t="s">
        <v>182</v>
      </c>
      <c r="F115" s="316">
        <f>VLOOKUP($A115,'Price setting'!$E$213:$O$231,COLUMN()-1,FALSE)</f>
        <v>0</v>
      </c>
      <c r="G115" s="317">
        <f>VLOOKUP($A115,'Price setting'!$E$213:$O$231,COLUMN()-1,FALSE)</f>
        <v>0</v>
      </c>
      <c r="H115" s="317">
        <f ca="1">VLOOKUP($A115,'Price setting'!$E$213:$O$231,COLUMN()-1,FALSE)</f>
        <v>24.266513043456882</v>
      </c>
      <c r="I115" s="317">
        <f ca="1">VLOOKUP($A115,'Price setting'!$E$213:$O$231,COLUMN()-1,FALSE)</f>
        <v>23.594545444664334</v>
      </c>
      <c r="J115" s="317">
        <f ca="1">VLOOKUP($A115,'Price setting'!$E$213:$O$231,COLUMN()-1,FALSE)</f>
        <v>21.632036656278544</v>
      </c>
      <c r="K115" s="317">
        <f ca="1">VLOOKUP($A115,'Price setting'!$E$213:$O$231,COLUMN()-1,FALSE)</f>
        <v>19.630900345725003</v>
      </c>
      <c r="L115" s="323">
        <f ca="1">VLOOKUP($A115,'Price setting'!$E$213:$O$231,COLUMN()-1,FALSE)</f>
        <v>20.06961631399993</v>
      </c>
    </row>
    <row r="116" spans="1:12" s="53" customFormat="1">
      <c r="A116" s="60" t="s">
        <v>48</v>
      </c>
      <c r="B116" s="355" t="s">
        <v>164</v>
      </c>
      <c r="C116" s="59" t="s">
        <v>119</v>
      </c>
      <c r="D116" s="168" t="s">
        <v>75</v>
      </c>
      <c r="E116" s="169" t="s">
        <v>182</v>
      </c>
      <c r="F116" s="316">
        <f>VLOOKUP($A116,'Price setting'!$E$278:$O$296,COLUMN()-1,FALSE)+VLOOKUP($A115,'Price setting'!$E$213:$O$231,COLUMN()-1,FALSE)</f>
        <v>0</v>
      </c>
      <c r="G116" s="317">
        <f>VLOOKUP($A116,'Price setting'!$E$278:$O$296,COLUMN()-1,FALSE)+VLOOKUP($A115,'Price setting'!$E$213:$O$231,COLUMN()-1,FALSE)</f>
        <v>0</v>
      </c>
      <c r="H116" s="317">
        <f ca="1">VLOOKUP($A116,'Price setting'!$E$278:$O$296,COLUMN()-1,FALSE)+VLOOKUP($A115,'Price setting'!$E$213:$O$231,COLUMN()-1,FALSE)</f>
        <v>27.927985166258914</v>
      </c>
      <c r="I116" s="317">
        <f ca="1">VLOOKUP($A116,'Price setting'!$E$278:$O$296,COLUMN()-1,FALSE)+VLOOKUP($A115,'Price setting'!$E$213:$O$231,COLUMN()-1,FALSE)</f>
        <v>27.258920082772757</v>
      </c>
      <c r="J116" s="317">
        <f ca="1">VLOOKUP($A116,'Price setting'!$E$278:$O$296,COLUMN()-1,FALSE)+VLOOKUP($A115,'Price setting'!$E$213:$O$231,COLUMN()-1,FALSE)</f>
        <v>24.998631586669969</v>
      </c>
      <c r="K116" s="317">
        <f ca="1">VLOOKUP($A116,'Price setting'!$E$278:$O$296,COLUMN()-1,FALSE)+VLOOKUP($A115,'Price setting'!$E$213:$O$231,COLUMN()-1,FALSE)</f>
        <v>22.996032861627608</v>
      </c>
      <c r="L116" s="323">
        <f ca="1">VLOOKUP($A116,'Price setting'!$E$278:$O$296,COLUMN()-1,FALSE)+VLOOKUP($A115,'Price setting'!$E$213:$O$231,COLUMN()-1,FALSE)</f>
        <v>23.216459834866832</v>
      </c>
    </row>
    <row r="117" spans="1:12" s="53" customFormat="1">
      <c r="A117" s="60" t="s">
        <v>48</v>
      </c>
      <c r="B117" s="355" t="s">
        <v>165</v>
      </c>
      <c r="C117" s="59" t="s">
        <v>120</v>
      </c>
      <c r="D117" s="168" t="s">
        <v>75</v>
      </c>
      <c r="E117" s="169" t="s">
        <v>182</v>
      </c>
      <c r="F117" s="316">
        <f>VLOOKUP($A117,'Price setting'!$E$343:$O$361,COLUMN()-1,FALSE)+VLOOKUP($A115,'Price setting'!$E$213:$O$231,COLUMN()-1,FALSE)</f>
        <v>0</v>
      </c>
      <c r="G117" s="317">
        <f>VLOOKUP($A117,'Price setting'!$E$343:$O$361,COLUMN()-1,FALSE)+VLOOKUP($A115,'Price setting'!$E$213:$O$231,COLUMN()-1,FALSE)</f>
        <v>0</v>
      </c>
      <c r="H117" s="317">
        <f ca="1">VLOOKUP($A117,'Price setting'!$E$343:$O$361,COLUMN()-1,FALSE)+VLOOKUP($A115,'Price setting'!$E$213:$O$231,COLUMN()-1,FALSE)</f>
        <v>28.82460250957261</v>
      </c>
      <c r="I117" s="317">
        <f ca="1">VLOOKUP($A117,'Price setting'!$E$343:$O$361,COLUMN()-1,FALSE)+VLOOKUP($A115,'Price setting'!$E$213:$O$231,COLUMN()-1,FALSE)</f>
        <v>27.840453163852462</v>
      </c>
      <c r="J117" s="317">
        <f ca="1">VLOOKUP($A117,'Price setting'!$E$343:$O$361,COLUMN()-1,FALSE)+VLOOKUP($A115,'Price setting'!$E$213:$O$231,COLUMN()-1,FALSE)</f>
        <v>25.565762628539076</v>
      </c>
      <c r="K117" s="317">
        <f ca="1">VLOOKUP($A117,'Price setting'!$E$343:$O$361,COLUMN()-1,FALSE)+VLOOKUP($A115,'Price setting'!$E$213:$O$231,COLUMN()-1,FALSE)</f>
        <v>23.252444571057925</v>
      </c>
      <c r="L117" s="323">
        <f ca="1">VLOOKUP($A117,'Price setting'!$E$343:$O$361,COLUMN()-1,FALSE)+VLOOKUP($A115,'Price setting'!$E$213:$O$231,COLUMN()-1,FALSE)</f>
        <v>23.691160539332859</v>
      </c>
    </row>
    <row r="118" spans="1:12" s="53" customFormat="1">
      <c r="A118" s="60" t="s">
        <v>48</v>
      </c>
      <c r="B118" s="355" t="s">
        <v>166</v>
      </c>
      <c r="C118" s="59" t="s">
        <v>124</v>
      </c>
      <c r="D118" s="168" t="s">
        <v>75</v>
      </c>
      <c r="E118" s="169" t="s">
        <v>182</v>
      </c>
      <c r="F118" s="316">
        <f>VLOOKUP($A118,'Price setting'!$E$408:$O$426,COLUMN()-1,FALSE)+VLOOKUP($A115,'Price setting'!$E$213:$O$231,COLUMN()-1,FALSE)</f>
        <v>0</v>
      </c>
      <c r="G118" s="317">
        <f>VLOOKUP($A118,'Price setting'!$E$408:$O$426,COLUMN()-1,FALSE)+VLOOKUP($A115,'Price setting'!$E$213:$O$231,COLUMN()-1,FALSE)</f>
        <v>0</v>
      </c>
      <c r="H118" s="317">
        <f ca="1">VLOOKUP($A118,'Price setting'!$E$408:$O$426,COLUMN()-1,FALSE)+VLOOKUP($A115,'Price setting'!$E$213:$O$231,COLUMN()-1,FALSE)</f>
        <v>27.218589939716427</v>
      </c>
      <c r="I118" s="317">
        <f ca="1">VLOOKUP($A118,'Price setting'!$E$408:$O$426,COLUMN()-1,FALSE)+VLOOKUP($A115,'Price setting'!$E$213:$O$231,COLUMN()-1,FALSE)</f>
        <v>26.528330070700921</v>
      </c>
      <c r="J118" s="317">
        <f ca="1">VLOOKUP($A118,'Price setting'!$E$408:$O$426,COLUMN()-1,FALSE)+VLOOKUP($A115,'Price setting'!$E$213:$O$231,COLUMN()-1,FALSE)</f>
        <v>24.312972579783139</v>
      </c>
      <c r="K118" s="317">
        <f ca="1">VLOOKUP($A118,'Price setting'!$E$408:$O$426,COLUMN()-1,FALSE)+VLOOKUP($A115,'Price setting'!$E$213:$O$231,COLUMN()-1,FALSE)</f>
        <v>22.300080660224214</v>
      </c>
      <c r="L118" s="323">
        <f ca="1">VLOOKUP($A118,'Price setting'!$E$408:$O$426,COLUMN()-1,FALSE)+VLOOKUP($A115,'Price setting'!$E$213:$O$231,COLUMN()-1,FALSE)</f>
        <v>22.561040882070337</v>
      </c>
    </row>
    <row r="119" spans="1:12" s="53" customFormat="1">
      <c r="A119" s="60" t="s">
        <v>48</v>
      </c>
      <c r="B119" s="355" t="s">
        <v>167</v>
      </c>
      <c r="C119" s="59" t="s">
        <v>122</v>
      </c>
      <c r="D119" s="170" t="s">
        <v>88</v>
      </c>
      <c r="E119" s="169" t="s">
        <v>182</v>
      </c>
      <c r="F119" s="262">
        <f>INDEX(SRN,ROW(Input!B$23)-5,COLUMN()+1)*Input!$H$441</f>
        <v>337.76470000000006</v>
      </c>
      <c r="G119" s="263">
        <f>INDEX(SRN,ROW(Input!C$23)-5,COLUMN()+1)*Input!$H$441</f>
        <v>228.71909935887089</v>
      </c>
      <c r="H119" s="263">
        <f>INDEX(SRN,ROW(Input!D$23)-5,COLUMN()+1)*Input!$H$441</f>
        <v>94.28985696537147</v>
      </c>
      <c r="I119" s="263">
        <f>INDEX(SRN,ROW(Input!E$23)-5,COLUMN()+1)*Input!$H$441</f>
        <v>93.813410952989656</v>
      </c>
      <c r="J119" s="263">
        <f>INDEX(SRN,ROW(Input!F$23)-5,COLUMN()+1)*Input!$H$441</f>
        <v>93.33696494060797</v>
      </c>
      <c r="K119" s="263">
        <f>INDEX(SRN,ROW(Input!G$23)-5,COLUMN()+1)*Input!$H$441</f>
        <v>92.86051892822627</v>
      </c>
      <c r="L119" s="264">
        <f>INDEX(SRN,ROW(Input!H$23)-5,COLUMN()+1)*Input!$H$441</f>
        <v>92.384072915844584</v>
      </c>
    </row>
    <row r="120" spans="1:12" s="53" customFormat="1">
      <c r="A120" s="60" t="s">
        <v>48</v>
      </c>
      <c r="B120" s="355" t="s">
        <v>168</v>
      </c>
      <c r="C120" s="59" t="s">
        <v>123</v>
      </c>
      <c r="D120" s="170" t="s">
        <v>88</v>
      </c>
      <c r="E120" s="169" t="s">
        <v>182</v>
      </c>
      <c r="F120" s="262">
        <f>+INDEX(SRN,ROW(Input!B$24)-5,COLUMN()+1)*Input!$H$441</f>
        <v>851.87049999999999</v>
      </c>
      <c r="G120" s="263">
        <f>+INDEX(SRN,ROW(Input!C$24)-5,COLUMN()+1)*Input!$H$441</f>
        <v>968.84906977159869</v>
      </c>
      <c r="H120" s="263">
        <f>+INDEX(SRN,ROW(Input!D$24)-5,COLUMN()+1)*Input!$H$441</f>
        <v>1113.0300067728178</v>
      </c>
      <c r="I120" s="263">
        <f>+INDEX(SRN,ROW(Input!E$24)-5,COLUMN()+1)*Input!$H$441</f>
        <v>1122.8181454964604</v>
      </c>
      <c r="J120" s="263">
        <f>+INDEX(SRN,ROW(Input!F$24)-5,COLUMN()+1)*Input!$H$441</f>
        <v>1133.1508811998351</v>
      </c>
      <c r="K120" s="263">
        <f>+INDEX(SRN,ROW(Input!G$24)-5,COLUMN()+1)*Input!$H$441</f>
        <v>1142.9212893728345</v>
      </c>
      <c r="L120" s="264">
        <f>+INDEX(SRN,ROW(Input!H$24)-5,COLUMN()+1)*Input!$H$441</f>
        <v>1152.3327072771228</v>
      </c>
    </row>
    <row r="121" spans="1:12" s="53" customFormat="1">
      <c r="A121" s="60" t="s">
        <v>48</v>
      </c>
      <c r="B121" s="355" t="s">
        <v>169</v>
      </c>
      <c r="C121" s="59" t="s">
        <v>139</v>
      </c>
      <c r="D121" s="170" t="s">
        <v>74</v>
      </c>
      <c r="E121" s="169" t="s">
        <v>182</v>
      </c>
      <c r="F121" s="262">
        <f>VLOOKUP($A121,'Price setting'!$E$488:$O$506,COLUMN()-1,FALSE)</f>
        <v>0</v>
      </c>
      <c r="G121" s="263">
        <f>VLOOKUP($A121,'Price setting'!$E$488:$O$506,COLUMN()-1,FALSE)</f>
        <v>0</v>
      </c>
      <c r="H121" s="263">
        <f ca="1">VLOOKUP($A121,'Price setting'!$E$488:$O$506,COLUMN()-1,FALSE)</f>
        <v>0.27515545184855122</v>
      </c>
      <c r="I121" s="263">
        <f ca="1">VLOOKUP($A121,'Price setting'!$E$488:$O$506,COLUMN()-1,FALSE)</f>
        <v>0.79321297494845733</v>
      </c>
      <c r="J121" s="263">
        <f ca="1">VLOOKUP($A121,'Price setting'!$E$488:$O$506,COLUMN()-1,FALSE)</f>
        <v>1.2349151930274302</v>
      </c>
      <c r="K121" s="263">
        <f ca="1">VLOOKUP($A121,'Price setting'!$E$488:$O$506,COLUMN()-1,FALSE)</f>
        <v>1.7078952428443248</v>
      </c>
      <c r="L121" s="264">
        <f ca="1">VLOOKUP($A121,'Price setting'!$E$488:$O$506,COLUMN()-1,FALSE)</f>
        <v>2.2240087936172679</v>
      </c>
    </row>
    <row r="122" spans="1:12" s="53" customFormat="1">
      <c r="A122" s="60" t="str">
        <f>+A121</f>
        <v>SRN</v>
      </c>
      <c r="B122" s="355" t="s">
        <v>170</v>
      </c>
      <c r="C122" s="59" t="s">
        <v>67</v>
      </c>
      <c r="D122" s="170" t="s">
        <v>171</v>
      </c>
      <c r="E122" s="169" t="s">
        <v>182</v>
      </c>
      <c r="F122" s="320">
        <f>+Input!$H$441</f>
        <v>1.3</v>
      </c>
      <c r="G122" s="321">
        <f>+Input!$H$441</f>
        <v>1.3</v>
      </c>
      <c r="H122" s="321">
        <f>+Input!$H$441</f>
        <v>1.3</v>
      </c>
      <c r="I122" s="321">
        <f>+Input!$H$441</f>
        <v>1.3</v>
      </c>
      <c r="J122" s="321">
        <f>+Input!$H$441</f>
        <v>1.3</v>
      </c>
      <c r="K122" s="321">
        <f>+Input!$H$441</f>
        <v>1.3</v>
      </c>
      <c r="L122" s="322">
        <f>+Input!$H$441</f>
        <v>1.3</v>
      </c>
    </row>
    <row r="123" spans="1:12" s="53" customFormat="1">
      <c r="A123" s="60" t="str">
        <f t="shared" ref="A123:A135" si="4">+A122</f>
        <v>SRN</v>
      </c>
      <c r="B123" s="355" t="s">
        <v>194</v>
      </c>
      <c r="C123" s="59" t="s">
        <v>185</v>
      </c>
      <c r="D123" s="168" t="s">
        <v>75</v>
      </c>
      <c r="E123" s="169" t="s">
        <v>182</v>
      </c>
      <c r="F123" s="316">
        <f ca="1">VLOOKUP(A123,'Price setting'!$E$89:$I$106,COLUMN()-1,FALSE)</f>
        <v>31.143088098692534</v>
      </c>
      <c r="G123" s="317"/>
      <c r="H123" s="317"/>
      <c r="I123" s="317"/>
      <c r="J123" s="317"/>
      <c r="K123" s="317"/>
      <c r="L123" s="323"/>
    </row>
    <row r="124" spans="1:12" s="53" customFormat="1">
      <c r="A124" s="60" t="str">
        <f t="shared" si="4"/>
        <v>SRN</v>
      </c>
      <c r="B124" s="355" t="s">
        <v>195</v>
      </c>
      <c r="C124" s="59" t="s">
        <v>186</v>
      </c>
      <c r="D124" s="168" t="s">
        <v>75</v>
      </c>
      <c r="E124" s="169" t="s">
        <v>182</v>
      </c>
      <c r="F124" s="316">
        <f ca="1">VLOOKUP(A124,'Price setting'!E$254:I$271,COLUMN()-1,FALSE)+VLOOKUP(A123,'Price setting'!$E$89:$I$106,COLUMN()-1,FALSE)</f>
        <v>38.821111850754939</v>
      </c>
      <c r="G124" s="317"/>
      <c r="H124" s="317"/>
      <c r="I124" s="317"/>
      <c r="J124" s="317"/>
      <c r="K124" s="317"/>
      <c r="L124" s="323"/>
    </row>
    <row r="125" spans="1:12" s="53" customFormat="1">
      <c r="A125" s="60" t="str">
        <f t="shared" si="4"/>
        <v>SRN</v>
      </c>
      <c r="B125" s="355" t="s">
        <v>196</v>
      </c>
      <c r="C125" s="59" t="s">
        <v>187</v>
      </c>
      <c r="D125" s="168" t="s">
        <v>75</v>
      </c>
      <c r="E125" s="169" t="s">
        <v>182</v>
      </c>
      <c r="F125" s="316">
        <f ca="1">VLOOKUP(A125,'Price setting'!E$319:I$336,COLUMN()-1,FALSE)+VLOOKUP(A123,'Price setting'!$E$89:$I$106,COLUMN()-1,FALSE)</f>
        <v>36.013359311735861</v>
      </c>
      <c r="G125" s="317"/>
      <c r="H125" s="317"/>
      <c r="I125" s="317"/>
      <c r="J125" s="317"/>
      <c r="K125" s="317"/>
      <c r="L125" s="323"/>
    </row>
    <row r="126" spans="1:12" s="53" customFormat="1">
      <c r="A126" s="60" t="str">
        <f t="shared" si="4"/>
        <v>SRN</v>
      </c>
      <c r="B126" s="355" t="s">
        <v>197</v>
      </c>
      <c r="C126" s="59" t="s">
        <v>188</v>
      </c>
      <c r="D126" s="168" t="s">
        <v>75</v>
      </c>
      <c r="E126" s="169" t="s">
        <v>182</v>
      </c>
      <c r="F126" s="316">
        <f ca="1">(VLOOKUP(A126,'Price setting'!E$384:I$401,COLUMN()-1,FALSE)+VLOOKUP(A123,'Price setting'!$E$89:$I$106,COLUMN()-1,FALSE))*+Input!$H$441</f>
        <v>46.12067022164112</v>
      </c>
      <c r="G126" s="317"/>
      <c r="H126" s="317"/>
      <c r="I126" s="317"/>
      <c r="J126" s="317"/>
      <c r="K126" s="317"/>
      <c r="L126" s="323"/>
    </row>
    <row r="127" spans="1:12" s="53" customFormat="1">
      <c r="A127" s="60" t="str">
        <f t="shared" si="4"/>
        <v>SRN</v>
      </c>
      <c r="B127" s="355" t="s">
        <v>198</v>
      </c>
      <c r="C127" s="59" t="s">
        <v>189</v>
      </c>
      <c r="D127" s="168" t="s">
        <v>75</v>
      </c>
      <c r="E127" s="169" t="s">
        <v>182</v>
      </c>
      <c r="F127" s="316">
        <f ca="1">VLOOKUP(A127,'Price setting'!E$89:I$106,COLUMN()-1,FALSE)*+Input!$H$441</f>
        <v>40.486014528300295</v>
      </c>
      <c r="G127" s="317"/>
      <c r="H127" s="317"/>
      <c r="I127" s="317"/>
      <c r="J127" s="317"/>
      <c r="K127" s="317"/>
      <c r="L127" s="323"/>
    </row>
    <row r="128" spans="1:12" s="53" customFormat="1">
      <c r="A128" s="60" t="str">
        <f t="shared" si="4"/>
        <v>SRN</v>
      </c>
      <c r="B128" s="356" t="s">
        <v>204</v>
      </c>
      <c r="C128" s="59" t="s">
        <v>203</v>
      </c>
      <c r="D128" s="168" t="s">
        <v>75</v>
      </c>
      <c r="E128" s="169" t="s">
        <v>182</v>
      </c>
      <c r="F128" s="316"/>
      <c r="G128" s="317"/>
      <c r="H128" s="317">
        <f ca="1">VLOOKUP($A128,'Price setting'!$E$213:$O$230,COLUMN()-1,FALSE)</f>
        <v>24.266513043456882</v>
      </c>
      <c r="I128" s="317">
        <f ca="1">VLOOKUP($A128,'Price setting'!$E$213:$O$230,COLUMN()-1,FALSE)</f>
        <v>23.594545444664334</v>
      </c>
      <c r="J128" s="317">
        <f ca="1">VLOOKUP($A128,'Price setting'!$E$213:$O$230,COLUMN()-1,FALSE)</f>
        <v>21.632036656278544</v>
      </c>
      <c r="K128" s="317">
        <f ca="1">VLOOKUP($A128,'Price setting'!$E$213:$O$230,COLUMN()-1,FALSE)</f>
        <v>19.630900345725003</v>
      </c>
      <c r="L128" s="323">
        <f ca="1">VLOOKUP($A128,'Price setting'!$E$213:$O$230,COLUMN()-1,FALSE)</f>
        <v>20.06961631399993</v>
      </c>
    </row>
    <row r="129" spans="1:12" s="53" customFormat="1">
      <c r="A129" s="60" t="str">
        <f t="shared" si="4"/>
        <v>SRN</v>
      </c>
      <c r="B129" s="355" t="s">
        <v>199</v>
      </c>
      <c r="C129" s="59" t="s">
        <v>190</v>
      </c>
      <c r="D129" s="168" t="s">
        <v>75</v>
      </c>
      <c r="E129" s="169" t="s">
        <v>182</v>
      </c>
      <c r="F129" s="316"/>
      <c r="G129" s="317"/>
      <c r="H129" s="317">
        <f ca="1">VLOOKUP($A128,'Price setting'!$E$213:$O$230,COLUMN()-1,FALSE)*+Input!$H$441</f>
        <v>31.546466956493948</v>
      </c>
      <c r="I129" s="317">
        <f ca="1">VLOOKUP($A128,'Price setting'!$E$213:$O$230,COLUMN()-1,FALSE)*+Input!$H$441</f>
        <v>30.672909078063636</v>
      </c>
      <c r="J129" s="317">
        <f ca="1">VLOOKUP($A128,'Price setting'!$E$213:$O$230,COLUMN()-1,FALSE)*+Input!$H$441</f>
        <v>28.121647653162107</v>
      </c>
      <c r="K129" s="317">
        <f ca="1">VLOOKUP($A128,'Price setting'!$E$213:$O$230,COLUMN()-1,FALSE)*+Input!$H$441</f>
        <v>25.520170449442503</v>
      </c>
      <c r="L129" s="323">
        <f ca="1">VLOOKUP($A128,'Price setting'!$E$213:$O$230,COLUMN()-1,FALSE)*+Input!$H$441</f>
        <v>26.09050120819991</v>
      </c>
    </row>
    <row r="130" spans="1:12" s="53" customFormat="1">
      <c r="A130" s="60" t="str">
        <f t="shared" si="4"/>
        <v>SRN</v>
      </c>
      <c r="B130" s="355" t="s">
        <v>200</v>
      </c>
      <c r="C130" s="59" t="s">
        <v>191</v>
      </c>
      <c r="D130" s="168" t="s">
        <v>75</v>
      </c>
      <c r="E130" s="169" t="s">
        <v>182</v>
      </c>
      <c r="F130" s="316"/>
      <c r="G130" s="317"/>
      <c r="H130" s="317">
        <f ca="1">VLOOKUP($A130,'Price setting'!$E$278:$O$295,COLUMN()-1,FALSE)+VLOOKUP($A128,'Price setting'!$E$213:$O$230,COLUMN()-1,FALSE)</f>
        <v>27.927985166258914</v>
      </c>
      <c r="I130" s="317">
        <f ca="1">VLOOKUP($A130,'Price setting'!$E$278:$O$295,COLUMN()-1,FALSE)+VLOOKUP($A128,'Price setting'!$E$213:$O$230,COLUMN()-1,FALSE)</f>
        <v>27.258920082772757</v>
      </c>
      <c r="J130" s="317">
        <f ca="1">VLOOKUP($A130,'Price setting'!$E$278:$O$295,COLUMN()-1,FALSE)+VLOOKUP($A128,'Price setting'!$E$213:$O$230,COLUMN()-1,FALSE)</f>
        <v>24.998631586669969</v>
      </c>
      <c r="K130" s="317">
        <f ca="1">VLOOKUP($A130,'Price setting'!$E$278:$O$295,COLUMN()-1,FALSE)+VLOOKUP($A128,'Price setting'!$E$213:$O$230,COLUMN()-1,FALSE)</f>
        <v>22.996032861627608</v>
      </c>
      <c r="L130" s="323">
        <f ca="1">VLOOKUP($A130,'Price setting'!$E$278:$O$295,COLUMN()-1,FALSE)+VLOOKUP($A128,'Price setting'!$E$213:$O$230,COLUMN()-1,FALSE)</f>
        <v>23.216459834866832</v>
      </c>
    </row>
    <row r="131" spans="1:12" s="53" customFormat="1">
      <c r="A131" s="60" t="str">
        <f t="shared" si="4"/>
        <v>SRN</v>
      </c>
      <c r="B131" s="355" t="s">
        <v>201</v>
      </c>
      <c r="C131" s="59" t="s">
        <v>192</v>
      </c>
      <c r="D131" s="168" t="s">
        <v>75</v>
      </c>
      <c r="E131" s="169" t="s">
        <v>182</v>
      </c>
      <c r="F131" s="316"/>
      <c r="G131" s="317"/>
      <c r="H131" s="317">
        <f ca="1">VLOOKUP($A131,'Price setting'!$E$343:$O$360,COLUMN()-1,FALSE)+VLOOKUP($A128,'Price setting'!$E$213:$O$230,COLUMN()-1,FALSE)</f>
        <v>28.82460250957261</v>
      </c>
      <c r="I131" s="317">
        <f ca="1">VLOOKUP($A131,'Price setting'!$E$343:$O$360,COLUMN()-1,FALSE)+VLOOKUP($A128,'Price setting'!$E$213:$O$230,COLUMN()-1,FALSE)</f>
        <v>27.840453163852462</v>
      </c>
      <c r="J131" s="317">
        <f ca="1">VLOOKUP($A131,'Price setting'!$E$343:$O$360,COLUMN()-1,FALSE)+VLOOKUP($A128,'Price setting'!$E$213:$O$230,COLUMN()-1,FALSE)</f>
        <v>25.565762628539076</v>
      </c>
      <c r="K131" s="317">
        <f ca="1">VLOOKUP($A131,'Price setting'!$E$343:$O$360,COLUMN()-1,FALSE)+VLOOKUP($A128,'Price setting'!$E$213:$O$230,COLUMN()-1,FALSE)</f>
        <v>23.252444571057925</v>
      </c>
      <c r="L131" s="323">
        <f ca="1">VLOOKUP($A131,'Price setting'!$E$343:$O$360,COLUMN()-1,FALSE)+VLOOKUP($A128,'Price setting'!$E$213:$O$230,COLUMN()-1,FALSE)</f>
        <v>23.691160539332859</v>
      </c>
    </row>
    <row r="132" spans="1:12" s="53" customFormat="1">
      <c r="A132" s="60" t="str">
        <f t="shared" si="4"/>
        <v>SRN</v>
      </c>
      <c r="B132" s="355" t="s">
        <v>202</v>
      </c>
      <c r="C132" s="59" t="s">
        <v>193</v>
      </c>
      <c r="D132" s="168" t="s">
        <v>75</v>
      </c>
      <c r="E132" s="169" t="s">
        <v>182</v>
      </c>
      <c r="F132" s="316"/>
      <c r="G132" s="317"/>
      <c r="H132" s="317">
        <f ca="1">(VLOOKUP($A132,'Price setting'!$E$408:$O$425,COLUMN()-1,FALSE)+VLOOKUP($A128,'Price setting'!$E$213:$O$230,COLUMN()-1,FALSE))*+Input!$H$441</f>
        <v>35.384166921631355</v>
      </c>
      <c r="I132" s="317">
        <f ca="1">(VLOOKUP($A132,'Price setting'!$E$408:$O$425,COLUMN()-1,FALSE)+VLOOKUP($A128,'Price setting'!$E$213:$O$230,COLUMN()-1,FALSE))*+Input!$H$441</f>
        <v>34.486829091911197</v>
      </c>
      <c r="J132" s="317">
        <f ca="1">(VLOOKUP($A132,'Price setting'!$E$408:$O$425,COLUMN()-1,FALSE)+VLOOKUP($A128,'Price setting'!$E$213:$O$230,COLUMN()-1,FALSE))*+Input!$H$441</f>
        <v>31.60686435371808</v>
      </c>
      <c r="K132" s="317">
        <f ca="1">(VLOOKUP($A132,'Price setting'!$E$408:$O$425,COLUMN()-1,FALSE)+VLOOKUP($A128,'Price setting'!$E$213:$O$230,COLUMN()-1,FALSE))*+Input!$H$441</f>
        <v>28.990104858291481</v>
      </c>
      <c r="L132" s="323">
        <f ca="1">(VLOOKUP($A132,'Price setting'!$E$408:$O$425,COLUMN()-1,FALSE)+VLOOKUP($A128,'Price setting'!$E$213:$O$230,COLUMN()-1,FALSE))*+Input!$H$441</f>
        <v>29.329353146691439</v>
      </c>
    </row>
    <row r="133" spans="1:12" s="53" customFormat="1">
      <c r="A133" s="60" t="str">
        <f t="shared" si="4"/>
        <v>SRN</v>
      </c>
      <c r="B133" s="355" t="s">
        <v>208</v>
      </c>
      <c r="C133" s="59" t="s">
        <v>205</v>
      </c>
      <c r="D133" s="168" t="s">
        <v>75</v>
      </c>
      <c r="E133" s="169" t="s">
        <v>182</v>
      </c>
      <c r="F133" s="262">
        <f ca="1">VLOOKUP($A133,'Price setting'!$E$49:$I$66,COLUMN()-1,FALSE)</f>
        <v>0</v>
      </c>
      <c r="G133" s="263"/>
      <c r="H133" s="263"/>
      <c r="I133" s="263"/>
      <c r="J133" s="263"/>
      <c r="K133" s="263"/>
      <c r="L133" s="264"/>
    </row>
    <row r="134" spans="1:12" s="53" customFormat="1">
      <c r="A134" s="60" t="str">
        <f t="shared" si="4"/>
        <v>SRN</v>
      </c>
      <c r="B134" s="355" t="s">
        <v>206</v>
      </c>
      <c r="C134" s="59" t="s">
        <v>132</v>
      </c>
      <c r="D134" s="168" t="s">
        <v>74</v>
      </c>
      <c r="E134" s="169" t="s">
        <v>182</v>
      </c>
      <c r="F134" s="262">
        <f ca="1">'Used inputs'!I79</f>
        <v>61.94358378158033</v>
      </c>
      <c r="G134" s="263">
        <f>'Used inputs'!J79</f>
        <v>55.916472805336007</v>
      </c>
      <c r="H134" s="263">
        <f ca="1">'Used inputs'!K79</f>
        <v>57.447874142851468</v>
      </c>
      <c r="I134" s="263">
        <f ca="1">'Used inputs'!L79</f>
        <v>58.70988891354677</v>
      </c>
      <c r="J134" s="263">
        <f ca="1">'Used inputs'!M79</f>
        <v>58.045221275994606</v>
      </c>
      <c r="K134" s="263">
        <f ca="1">'Used inputs'!N79</f>
        <v>53.675693376875991</v>
      </c>
      <c r="L134" s="264">
        <f ca="1">'Used inputs'!O79</f>
        <v>53.758411777683975</v>
      </c>
    </row>
    <row r="135" spans="1:12" s="53" customFormat="1">
      <c r="A135" s="60" t="str">
        <f t="shared" si="4"/>
        <v>SRN</v>
      </c>
      <c r="B135" s="355" t="s">
        <v>207</v>
      </c>
      <c r="C135" s="59" t="s">
        <v>157</v>
      </c>
      <c r="D135" s="168" t="s">
        <v>74</v>
      </c>
      <c r="E135" s="169" t="s">
        <v>182</v>
      </c>
      <c r="F135" s="262">
        <f>'Used inputs'!I92</f>
        <v>1.3152790163822758</v>
      </c>
      <c r="G135" s="263">
        <f>'Used inputs'!J92</f>
        <v>4.6921740980681585</v>
      </c>
      <c r="H135" s="263">
        <f>'Used inputs'!K92</f>
        <v>0.77674518267177839</v>
      </c>
      <c r="I135" s="263">
        <f>'Used inputs'!L92</f>
        <v>0.77674518267177839</v>
      </c>
      <c r="J135" s="263">
        <f>'Used inputs'!M92</f>
        <v>0.77674518267177839</v>
      </c>
      <c r="K135" s="263">
        <f>'Used inputs'!N92</f>
        <v>0.77674518267177839</v>
      </c>
      <c r="L135" s="264">
        <f>'Used inputs'!O92</f>
        <v>0.77674518267177839</v>
      </c>
    </row>
    <row r="136" spans="1:12" s="53" customFormat="1">
      <c r="A136" s="60" t="s">
        <v>49</v>
      </c>
      <c r="B136" s="355" t="s">
        <v>162</v>
      </c>
      <c r="C136" s="59" t="s">
        <v>175</v>
      </c>
      <c r="D136" s="169" t="s">
        <v>74</v>
      </c>
      <c r="E136" s="169" t="s">
        <v>182</v>
      </c>
      <c r="F136" s="262">
        <f>VLOOKUP($A136,'Price setting'!$E$448:$O$466,COLUMN()-1,FALSE)</f>
        <v>0</v>
      </c>
      <c r="G136" s="263">
        <f>VLOOKUP($A136,'Price setting'!$E$448:$O$466,COLUMN()-1,FALSE)</f>
        <v>0</v>
      </c>
      <c r="H136" s="263">
        <f ca="1">VLOOKUP($A136,'Price setting'!$E$448:$O$466,COLUMN()-1,FALSE)</f>
        <v>149.27391074188338</v>
      </c>
      <c r="I136" s="263">
        <f ca="1">VLOOKUP($A136,'Price setting'!$E$448:$O$466,COLUMN()-1,FALSE)</f>
        <v>150.54493283612354</v>
      </c>
      <c r="J136" s="263">
        <f ca="1">VLOOKUP($A136,'Price setting'!$E$448:$O$466,COLUMN()-1,FALSE)</f>
        <v>153.93541196603474</v>
      </c>
      <c r="K136" s="263">
        <f ca="1">VLOOKUP($A136,'Price setting'!$E$448:$O$466,COLUMN()-1,FALSE)</f>
        <v>155.63692334206993</v>
      </c>
      <c r="L136" s="264">
        <f ca="1">VLOOKUP($A136,'Price setting'!$E$448:$O$466,COLUMN()-1,FALSE)</f>
        <v>160.04141298422405</v>
      </c>
    </row>
    <row r="137" spans="1:12" s="53" customFormat="1">
      <c r="A137" s="60" t="s">
        <v>49</v>
      </c>
      <c r="B137" s="355" t="s">
        <v>163</v>
      </c>
      <c r="C137" s="59" t="s">
        <v>118</v>
      </c>
      <c r="D137" s="168" t="s">
        <v>75</v>
      </c>
      <c r="E137" s="169" t="s">
        <v>182</v>
      </c>
      <c r="F137" s="316">
        <f>VLOOKUP($A137,'Price setting'!$E$213:$O$231,COLUMN()-1,FALSE)</f>
        <v>0</v>
      </c>
      <c r="G137" s="317">
        <f>VLOOKUP($A137,'Price setting'!$E$213:$O$231,COLUMN()-1,FALSE)</f>
        <v>0</v>
      </c>
      <c r="H137" s="317">
        <f ca="1">VLOOKUP($A137,'Price setting'!$E$213:$O$231,COLUMN()-1,FALSE)</f>
        <v>20.735627401299965</v>
      </c>
      <c r="I137" s="317">
        <f ca="1">VLOOKUP($A137,'Price setting'!$E$213:$O$231,COLUMN()-1,FALSE)</f>
        <v>20.747846346020747</v>
      </c>
      <c r="J137" s="317">
        <f ca="1">VLOOKUP($A137,'Price setting'!$E$213:$O$231,COLUMN()-1,FALSE)</f>
        <v>21.114471137511412</v>
      </c>
      <c r="K137" s="317">
        <f ca="1">VLOOKUP($A137,'Price setting'!$E$213:$O$231,COLUMN()-1,FALSE)</f>
        <v>21.306893995130356</v>
      </c>
      <c r="L137" s="323">
        <f ca="1">VLOOKUP($A137,'Price setting'!$E$213:$O$231,COLUMN()-1,FALSE)</f>
        <v>21.613590228716141</v>
      </c>
    </row>
    <row r="138" spans="1:12" s="53" customFormat="1">
      <c r="A138" s="60" t="s">
        <v>49</v>
      </c>
      <c r="B138" s="355" t="s">
        <v>164</v>
      </c>
      <c r="C138" s="59" t="s">
        <v>119</v>
      </c>
      <c r="D138" s="168" t="s">
        <v>75</v>
      </c>
      <c r="E138" s="169" t="s">
        <v>182</v>
      </c>
      <c r="F138" s="316">
        <f>VLOOKUP($A138,'Price setting'!$E$278:$O$296,COLUMN()-1,FALSE)+VLOOKUP($A137,'Price setting'!$E$213:$O$231,COLUMN()-1,FALSE)</f>
        <v>0</v>
      </c>
      <c r="G138" s="317">
        <f>VLOOKUP($A138,'Price setting'!$E$278:$O$296,COLUMN()-1,FALSE)+VLOOKUP($A137,'Price setting'!$E$213:$O$231,COLUMN()-1,FALSE)</f>
        <v>0</v>
      </c>
      <c r="H138" s="317">
        <f ca="1">VLOOKUP($A138,'Price setting'!$E$278:$O$296,COLUMN()-1,FALSE)+VLOOKUP($A137,'Price setting'!$E$213:$O$231,COLUMN()-1,FALSE)</f>
        <v>28.623863985844785</v>
      </c>
      <c r="I138" s="317">
        <f ca="1">VLOOKUP($A138,'Price setting'!$E$278:$O$296,COLUMN()-1,FALSE)+VLOOKUP($A137,'Price setting'!$E$213:$O$231,COLUMN()-1,FALSE)</f>
        <v>27.936978066338149</v>
      </c>
      <c r="J138" s="317">
        <f ca="1">VLOOKUP($A138,'Price setting'!$E$278:$O$296,COLUMN()-1,FALSE)+VLOOKUP($A137,'Price setting'!$E$213:$O$231,COLUMN()-1,FALSE)</f>
        <v>27.604497993601392</v>
      </c>
      <c r="K138" s="317">
        <f ca="1">VLOOKUP($A138,'Price setting'!$E$278:$O$296,COLUMN()-1,FALSE)+VLOOKUP($A137,'Price setting'!$E$213:$O$231,COLUMN()-1,FALSE)</f>
        <v>27.097815986992916</v>
      </c>
      <c r="L138" s="323">
        <f ca="1">VLOOKUP($A138,'Price setting'!$E$278:$O$296,COLUMN()-1,FALSE)+VLOOKUP($A137,'Price setting'!$E$213:$O$231,COLUMN()-1,FALSE)</f>
        <v>27.404512220578702</v>
      </c>
    </row>
    <row r="139" spans="1:12" s="53" customFormat="1">
      <c r="A139" s="60" t="s">
        <v>49</v>
      </c>
      <c r="B139" s="355" t="s">
        <v>165</v>
      </c>
      <c r="C139" s="59" t="s">
        <v>120</v>
      </c>
      <c r="D139" s="168" t="s">
        <v>75</v>
      </c>
      <c r="E139" s="169" t="s">
        <v>182</v>
      </c>
      <c r="F139" s="316">
        <f>VLOOKUP($A139,'Price setting'!$E$343:$O$361,COLUMN()-1,FALSE)+VLOOKUP($A137,'Price setting'!$E$213:$O$231,COLUMN()-1,FALSE)</f>
        <v>0</v>
      </c>
      <c r="G139" s="317">
        <f>VLOOKUP($A139,'Price setting'!$E$343:$O$361,COLUMN()-1,FALSE)+VLOOKUP($A137,'Price setting'!$E$213:$O$231,COLUMN()-1,FALSE)</f>
        <v>0</v>
      </c>
      <c r="H139" s="317">
        <f ca="1">VLOOKUP($A139,'Price setting'!$E$343:$O$361,COLUMN()-1,FALSE)+VLOOKUP($A137,'Price setting'!$E$213:$O$231,COLUMN()-1,FALSE)</f>
        <v>25.641954838770516</v>
      </c>
      <c r="I139" s="317">
        <f ca="1">VLOOKUP($A139,'Price setting'!$E$343:$O$361,COLUMN()-1,FALSE)+VLOOKUP($A137,'Price setting'!$E$213:$O$231,COLUMN()-1,FALSE)</f>
        <v>25.376736949243941</v>
      </c>
      <c r="J139" s="317">
        <f ca="1">VLOOKUP($A139,'Price setting'!$E$343:$O$361,COLUMN()-1,FALSE)+VLOOKUP($A137,'Price setting'!$E$213:$O$231,COLUMN()-1,FALSE)</f>
        <v>25.341946377961911</v>
      </c>
      <c r="K139" s="317">
        <f ca="1">VLOOKUP($A139,'Price setting'!$E$343:$O$361,COLUMN()-1,FALSE)+VLOOKUP($A137,'Price setting'!$E$213:$O$231,COLUMN()-1,FALSE)</f>
        <v>24.940743547257263</v>
      </c>
      <c r="L139" s="323">
        <f ca="1">VLOOKUP($A139,'Price setting'!$E$343:$O$361,COLUMN()-1,FALSE)+VLOOKUP($A137,'Price setting'!$E$213:$O$231,COLUMN()-1,FALSE)</f>
        <v>24.844924432083488</v>
      </c>
    </row>
    <row r="140" spans="1:12" s="53" customFormat="1">
      <c r="A140" s="60" t="s">
        <v>49</v>
      </c>
      <c r="B140" s="355" t="s">
        <v>166</v>
      </c>
      <c r="C140" s="59" t="s">
        <v>124</v>
      </c>
      <c r="D140" s="168" t="s">
        <v>75</v>
      </c>
      <c r="E140" s="169" t="s">
        <v>182</v>
      </c>
      <c r="F140" s="316">
        <f>VLOOKUP($A140,'Price setting'!$E$408:$O$426,COLUMN()-1,FALSE)+VLOOKUP($A137,'Price setting'!$E$213:$O$231,COLUMN()-1,FALSE)</f>
        <v>0</v>
      </c>
      <c r="G140" s="317">
        <f>VLOOKUP($A140,'Price setting'!$E$408:$O$426,COLUMN()-1,FALSE)+VLOOKUP($A137,'Price setting'!$E$213:$O$231,COLUMN()-1,FALSE)</f>
        <v>0</v>
      </c>
      <c r="H140" s="317">
        <f ca="1">VLOOKUP($A140,'Price setting'!$E$408:$O$426,COLUMN()-1,FALSE)+VLOOKUP($A137,'Price setting'!$E$213:$O$231,COLUMN()-1,FALSE)</f>
        <v>28.397343180356678</v>
      </c>
      <c r="I140" s="317">
        <f ca="1">VLOOKUP($A140,'Price setting'!$E$408:$O$426,COLUMN()-1,FALSE)+VLOOKUP($A137,'Price setting'!$E$213:$O$231,COLUMN()-1,FALSE)</f>
        <v>27.483936455361945</v>
      </c>
      <c r="J140" s="317">
        <f ca="1">VLOOKUP($A140,'Price setting'!$E$408:$O$426,COLUMN()-1,FALSE)+VLOOKUP($A137,'Price setting'!$E$213:$O$231,COLUMN()-1,FALSE)</f>
        <v>26.924935577137095</v>
      </c>
      <c r="K140" s="317">
        <f ca="1">VLOOKUP($A140,'Price setting'!$E$408:$O$426,COLUMN()-1,FALSE)+VLOOKUP($A137,'Price setting'!$E$213:$O$231,COLUMN()-1,FALSE)</f>
        <v>26.191732765040523</v>
      </c>
      <c r="L140" s="323">
        <f ca="1">VLOOKUP($A140,'Price setting'!$E$408:$O$426,COLUMN()-1,FALSE)+VLOOKUP($A137,'Price setting'!$E$213:$O$231,COLUMN()-1,FALSE)</f>
        <v>26.498428998626309</v>
      </c>
    </row>
    <row r="141" spans="1:12" s="53" customFormat="1">
      <c r="A141" s="60" t="s">
        <v>49</v>
      </c>
      <c r="B141" s="355" t="s">
        <v>167</v>
      </c>
      <c r="C141" s="59" t="s">
        <v>122</v>
      </c>
      <c r="D141" s="170" t="s">
        <v>88</v>
      </c>
      <c r="E141" s="169" t="s">
        <v>182</v>
      </c>
      <c r="F141" s="262">
        <f>INDEX(TMS,ROW(Input!B$23)-5,COLUMN()+1)*Input!$H$441</f>
        <v>2925.5018</v>
      </c>
      <c r="G141" s="263">
        <f>INDEX(TMS,ROW(Input!C$23)-5,COLUMN()+1)*Input!$H$441</f>
        <v>2891.5328</v>
      </c>
      <c r="H141" s="263">
        <f>INDEX(TMS,ROW(Input!D$23)-5,COLUMN()+1)*Input!$H$441</f>
        <v>2801.1139000000003</v>
      </c>
      <c r="I141" s="263">
        <f>INDEX(TMS,ROW(Input!E$23)-5,COLUMN()+1)*Input!$H$441</f>
        <v>2691.2626000000005</v>
      </c>
      <c r="J141" s="263">
        <f>INDEX(TMS,ROW(Input!F$23)-5,COLUMN()+1)*Input!$H$441</f>
        <v>2543.9634999999998</v>
      </c>
      <c r="K141" s="263">
        <f>INDEX(TMS,ROW(Input!G$23)-5,COLUMN()+1)*Input!$H$441</f>
        <v>2374.8946000000001</v>
      </c>
      <c r="L141" s="264">
        <f>INDEX(TMS,ROW(Input!H$23)-5,COLUMN()+1)*Input!$H$441</f>
        <v>2201.9243999999999</v>
      </c>
    </row>
    <row r="142" spans="1:12" s="53" customFormat="1">
      <c r="A142" s="60" t="s">
        <v>49</v>
      </c>
      <c r="B142" s="355" t="s">
        <v>168</v>
      </c>
      <c r="C142" s="59" t="s">
        <v>123</v>
      </c>
      <c r="D142" s="170" t="s">
        <v>88</v>
      </c>
      <c r="E142" s="169" t="s">
        <v>182</v>
      </c>
      <c r="F142" s="262">
        <f>+INDEX(TMS,ROW(Input!B$24)-5,COLUMN()+1)*Input!$H$441</f>
        <v>1419.8080000000002</v>
      </c>
      <c r="G142" s="263">
        <f>+INDEX(TMS,ROW(Input!C$24)-5,COLUMN()+1)*Input!$H$441</f>
        <v>1472.0809999999999</v>
      </c>
      <c r="H142" s="263">
        <f>+INDEX(TMS,ROW(Input!D$24)-5,COLUMN()+1)*Input!$H$441</f>
        <v>1635.2999</v>
      </c>
      <c r="I142" s="263">
        <f>+INDEX(TMS,ROW(Input!E$24)-5,COLUMN()+1)*Input!$H$441</f>
        <v>1790.2612000000001</v>
      </c>
      <c r="J142" s="263">
        <f>+INDEX(TMS,ROW(Input!F$24)-5,COLUMN()+1)*Input!$H$441</f>
        <v>1985.3821000000003</v>
      </c>
      <c r="K142" s="263">
        <f>+INDEX(TMS,ROW(Input!G$24)-5,COLUMN()+1)*Input!$H$441</f>
        <v>2202.5054999999998</v>
      </c>
      <c r="L142" s="264">
        <f>+INDEX(TMS,ROW(Input!H$24)-5,COLUMN()+1)*Input!$H$441</f>
        <v>2422.8555000000001</v>
      </c>
    </row>
    <row r="143" spans="1:12" s="53" customFormat="1">
      <c r="A143" s="60" t="s">
        <v>49</v>
      </c>
      <c r="B143" s="355" t="s">
        <v>169</v>
      </c>
      <c r="C143" s="59" t="s">
        <v>139</v>
      </c>
      <c r="D143" s="170" t="s">
        <v>74</v>
      </c>
      <c r="E143" s="169" t="s">
        <v>182</v>
      </c>
      <c r="F143" s="262">
        <f>VLOOKUP($A143,'Price setting'!$E$488:$O$506,COLUMN()-1,FALSE)</f>
        <v>0</v>
      </c>
      <c r="G143" s="263">
        <f>VLOOKUP($A143,'Price setting'!$E$488:$O$506,COLUMN()-1,FALSE)</f>
        <v>0</v>
      </c>
      <c r="H143" s="263">
        <f ca="1">VLOOKUP($A143,'Price setting'!$E$488:$O$506,COLUMN()-1,FALSE)</f>
        <v>0.72562487444767521</v>
      </c>
      <c r="I143" s="263">
        <f ca="1">VLOOKUP($A143,'Price setting'!$E$488:$O$506,COLUMN()-1,FALSE)</f>
        <v>2.6552265488195936</v>
      </c>
      <c r="J143" s="263">
        <f ca="1">VLOOKUP($A143,'Price setting'!$E$488:$O$506,COLUMN()-1,FALSE)</f>
        <v>5.4586062247627138</v>
      </c>
      <c r="K143" s="263">
        <f ca="1">VLOOKUP($A143,'Price setting'!$E$488:$O$506,COLUMN()-1,FALSE)</f>
        <v>8.0907290655784028</v>
      </c>
      <c r="L143" s="264">
        <f ca="1">VLOOKUP($A143,'Price setting'!$E$488:$O$506,COLUMN()-1,FALSE)</f>
        <v>10.033398669290458</v>
      </c>
    </row>
    <row r="144" spans="1:12" s="53" customFormat="1">
      <c r="A144" s="60" t="str">
        <f>+A143</f>
        <v>TMS</v>
      </c>
      <c r="B144" s="355" t="s">
        <v>170</v>
      </c>
      <c r="C144" s="59" t="s">
        <v>67</v>
      </c>
      <c r="D144" s="170" t="s">
        <v>171</v>
      </c>
      <c r="E144" s="169" t="s">
        <v>182</v>
      </c>
      <c r="F144" s="320">
        <f>+Input!$H$441</f>
        <v>1.3</v>
      </c>
      <c r="G144" s="321">
        <f>+Input!$H$441</f>
        <v>1.3</v>
      </c>
      <c r="H144" s="321">
        <f>+Input!$H$441</f>
        <v>1.3</v>
      </c>
      <c r="I144" s="321">
        <f>+Input!$H$441</f>
        <v>1.3</v>
      </c>
      <c r="J144" s="321">
        <f>+Input!$H$441</f>
        <v>1.3</v>
      </c>
      <c r="K144" s="321">
        <f>+Input!$H$441</f>
        <v>1.3</v>
      </c>
      <c r="L144" s="322">
        <f>+Input!$H$441</f>
        <v>1.3</v>
      </c>
    </row>
    <row r="145" spans="1:12" s="53" customFormat="1">
      <c r="A145" s="60" t="str">
        <f t="shared" ref="A145:A157" si="5">+A144</f>
        <v>TMS</v>
      </c>
      <c r="B145" s="355" t="s">
        <v>194</v>
      </c>
      <c r="C145" s="59" t="s">
        <v>185</v>
      </c>
      <c r="D145" s="168" t="s">
        <v>75</v>
      </c>
      <c r="E145" s="169" t="s">
        <v>182</v>
      </c>
      <c r="F145" s="316">
        <f ca="1">VLOOKUP(A145,'Price setting'!$E$89:$I$106,COLUMN()-1,FALSE)</f>
        <v>21.735919836764477</v>
      </c>
      <c r="G145" s="317"/>
      <c r="H145" s="317"/>
      <c r="I145" s="317"/>
      <c r="J145" s="317"/>
      <c r="K145" s="317"/>
      <c r="L145" s="323"/>
    </row>
    <row r="146" spans="1:12" s="53" customFormat="1">
      <c r="A146" s="60" t="str">
        <f t="shared" si="5"/>
        <v>TMS</v>
      </c>
      <c r="B146" s="355" t="s">
        <v>195</v>
      </c>
      <c r="C146" s="59" t="s">
        <v>186</v>
      </c>
      <c r="D146" s="168" t="s">
        <v>75</v>
      </c>
      <c r="E146" s="169" t="s">
        <v>182</v>
      </c>
      <c r="F146" s="316">
        <f ca="1">VLOOKUP(A146,'Price setting'!E$254:I$271,COLUMN()-1,FALSE)+VLOOKUP(A145,'Price setting'!$E$89:$I$106,COLUMN()-1,FALSE)</f>
        <v>30.323261285536717</v>
      </c>
      <c r="G146" s="317"/>
      <c r="H146" s="317"/>
      <c r="I146" s="317"/>
      <c r="J146" s="317"/>
      <c r="K146" s="317"/>
      <c r="L146" s="323"/>
    </row>
    <row r="147" spans="1:12" s="53" customFormat="1">
      <c r="A147" s="60" t="str">
        <f t="shared" si="5"/>
        <v>TMS</v>
      </c>
      <c r="B147" s="355" t="s">
        <v>196</v>
      </c>
      <c r="C147" s="59" t="s">
        <v>187</v>
      </c>
      <c r="D147" s="168" t="s">
        <v>75</v>
      </c>
      <c r="E147" s="169" t="s">
        <v>182</v>
      </c>
      <c r="F147" s="316">
        <f ca="1">VLOOKUP(A147,'Price setting'!E$319:I$336,COLUMN()-1,FALSE)+VLOOKUP(A145,'Price setting'!$E$89:$I$106,COLUMN()-1,FALSE)</f>
        <v>26.919684108482382</v>
      </c>
      <c r="G147" s="317"/>
      <c r="H147" s="317"/>
      <c r="I147" s="317"/>
      <c r="J147" s="317"/>
      <c r="K147" s="317"/>
      <c r="L147" s="323"/>
    </row>
    <row r="148" spans="1:12" s="53" customFormat="1">
      <c r="A148" s="60" t="str">
        <f t="shared" si="5"/>
        <v>TMS</v>
      </c>
      <c r="B148" s="355" t="s">
        <v>197</v>
      </c>
      <c r="C148" s="59" t="s">
        <v>188</v>
      </c>
      <c r="D148" s="168" t="s">
        <v>75</v>
      </c>
      <c r="E148" s="169" t="s">
        <v>182</v>
      </c>
      <c r="F148" s="316">
        <f ca="1">(VLOOKUP(A148,'Price setting'!E$384:I$401,COLUMN()-1,FALSE)+VLOOKUP(A145,'Price setting'!$E$89:$I$106,COLUMN()-1,FALSE))*+Input!$H$441</f>
        <v>39.42023967119772</v>
      </c>
      <c r="G148" s="317"/>
      <c r="H148" s="317"/>
      <c r="I148" s="317"/>
      <c r="J148" s="317"/>
      <c r="K148" s="317"/>
      <c r="L148" s="323"/>
    </row>
    <row r="149" spans="1:12" s="53" customFormat="1">
      <c r="A149" s="60" t="str">
        <f t="shared" si="5"/>
        <v>TMS</v>
      </c>
      <c r="B149" s="355" t="s">
        <v>198</v>
      </c>
      <c r="C149" s="59" t="s">
        <v>189</v>
      </c>
      <c r="D149" s="168" t="s">
        <v>75</v>
      </c>
      <c r="E149" s="169" t="s">
        <v>182</v>
      </c>
      <c r="F149" s="316">
        <f ca="1">VLOOKUP(A149,'Price setting'!E$89:I$106,COLUMN()-1,FALSE)*+Input!$H$441</f>
        <v>28.25669578779382</v>
      </c>
      <c r="G149" s="317"/>
      <c r="H149" s="317"/>
      <c r="I149" s="317"/>
      <c r="J149" s="317"/>
      <c r="K149" s="317"/>
      <c r="L149" s="323"/>
    </row>
    <row r="150" spans="1:12" s="53" customFormat="1">
      <c r="A150" s="60" t="str">
        <f t="shared" si="5"/>
        <v>TMS</v>
      </c>
      <c r="B150" s="356" t="s">
        <v>204</v>
      </c>
      <c r="C150" s="59" t="s">
        <v>203</v>
      </c>
      <c r="D150" s="168" t="s">
        <v>75</v>
      </c>
      <c r="E150" s="169" t="s">
        <v>182</v>
      </c>
      <c r="F150" s="316"/>
      <c r="G150" s="317"/>
      <c r="H150" s="317">
        <f ca="1">VLOOKUP($A150,'Price setting'!$E$213:$O$230,COLUMN()-1,FALSE)</f>
        <v>20.735627401299965</v>
      </c>
      <c r="I150" s="317">
        <f ca="1">VLOOKUP($A150,'Price setting'!$E$213:$O$230,COLUMN()-1,FALSE)</f>
        <v>20.747846346020747</v>
      </c>
      <c r="J150" s="317">
        <f ca="1">VLOOKUP($A150,'Price setting'!$E$213:$O$230,COLUMN()-1,FALSE)</f>
        <v>21.114471137511412</v>
      </c>
      <c r="K150" s="317">
        <f ca="1">VLOOKUP($A150,'Price setting'!$E$213:$O$230,COLUMN()-1,FALSE)</f>
        <v>21.306893995130356</v>
      </c>
      <c r="L150" s="323">
        <f ca="1">VLOOKUP($A150,'Price setting'!$E$213:$O$230,COLUMN()-1,FALSE)</f>
        <v>21.613590228716141</v>
      </c>
    </row>
    <row r="151" spans="1:12" s="53" customFormat="1">
      <c r="A151" s="60" t="str">
        <f t="shared" si="5"/>
        <v>TMS</v>
      </c>
      <c r="B151" s="355" t="s">
        <v>199</v>
      </c>
      <c r="C151" s="59" t="s">
        <v>190</v>
      </c>
      <c r="D151" s="168" t="s">
        <v>75</v>
      </c>
      <c r="E151" s="169" t="s">
        <v>182</v>
      </c>
      <c r="F151" s="316"/>
      <c r="G151" s="317"/>
      <c r="H151" s="317">
        <f ca="1">VLOOKUP($A150,'Price setting'!$E$213:$O$230,COLUMN()-1,FALSE)*+Input!$H$441</f>
        <v>26.956315621689956</v>
      </c>
      <c r="I151" s="317">
        <f ca="1">VLOOKUP($A150,'Price setting'!$E$213:$O$230,COLUMN()-1,FALSE)*+Input!$H$441</f>
        <v>26.972200249826972</v>
      </c>
      <c r="J151" s="317">
        <f ca="1">VLOOKUP($A150,'Price setting'!$E$213:$O$230,COLUMN()-1,FALSE)*+Input!$H$441</f>
        <v>27.448812478764836</v>
      </c>
      <c r="K151" s="317">
        <f ca="1">VLOOKUP($A150,'Price setting'!$E$213:$O$230,COLUMN()-1,FALSE)*+Input!$H$441</f>
        <v>27.698962193669463</v>
      </c>
      <c r="L151" s="323">
        <f ca="1">VLOOKUP($A150,'Price setting'!$E$213:$O$230,COLUMN()-1,FALSE)*+Input!$H$441</f>
        <v>28.097667297330986</v>
      </c>
    </row>
    <row r="152" spans="1:12" s="53" customFormat="1">
      <c r="A152" s="60" t="str">
        <f t="shared" si="5"/>
        <v>TMS</v>
      </c>
      <c r="B152" s="355" t="s">
        <v>200</v>
      </c>
      <c r="C152" s="59" t="s">
        <v>191</v>
      </c>
      <c r="D152" s="168" t="s">
        <v>75</v>
      </c>
      <c r="E152" s="169" t="s">
        <v>182</v>
      </c>
      <c r="F152" s="316"/>
      <c r="G152" s="317"/>
      <c r="H152" s="317">
        <f ca="1">VLOOKUP($A152,'Price setting'!$E$278:$O$295,COLUMN()-1,FALSE)+VLOOKUP($A150,'Price setting'!$E$213:$O$230,COLUMN()-1,FALSE)</f>
        <v>28.623863985844785</v>
      </c>
      <c r="I152" s="317">
        <f ca="1">VLOOKUP($A152,'Price setting'!$E$278:$O$295,COLUMN()-1,FALSE)+VLOOKUP($A150,'Price setting'!$E$213:$O$230,COLUMN()-1,FALSE)</f>
        <v>27.936978066338149</v>
      </c>
      <c r="J152" s="317">
        <f ca="1">VLOOKUP($A152,'Price setting'!$E$278:$O$295,COLUMN()-1,FALSE)+VLOOKUP($A150,'Price setting'!$E$213:$O$230,COLUMN()-1,FALSE)</f>
        <v>27.604497993601392</v>
      </c>
      <c r="K152" s="317">
        <f ca="1">VLOOKUP($A152,'Price setting'!$E$278:$O$295,COLUMN()-1,FALSE)+VLOOKUP($A150,'Price setting'!$E$213:$O$230,COLUMN()-1,FALSE)</f>
        <v>27.097815986992916</v>
      </c>
      <c r="L152" s="323">
        <f ca="1">VLOOKUP($A152,'Price setting'!$E$278:$O$295,COLUMN()-1,FALSE)+VLOOKUP($A150,'Price setting'!$E$213:$O$230,COLUMN()-1,FALSE)</f>
        <v>27.404512220578702</v>
      </c>
    </row>
    <row r="153" spans="1:12" s="53" customFormat="1">
      <c r="A153" s="60" t="str">
        <f t="shared" si="5"/>
        <v>TMS</v>
      </c>
      <c r="B153" s="355" t="s">
        <v>201</v>
      </c>
      <c r="C153" s="59" t="s">
        <v>192</v>
      </c>
      <c r="D153" s="168" t="s">
        <v>75</v>
      </c>
      <c r="E153" s="169" t="s">
        <v>182</v>
      </c>
      <c r="F153" s="316"/>
      <c r="G153" s="317"/>
      <c r="H153" s="317">
        <f ca="1">VLOOKUP($A153,'Price setting'!$E$343:$O$360,COLUMN()-1,FALSE)+VLOOKUP($A150,'Price setting'!$E$213:$O$230,COLUMN()-1,FALSE)</f>
        <v>25.641954838770516</v>
      </c>
      <c r="I153" s="317">
        <f ca="1">VLOOKUP($A153,'Price setting'!$E$343:$O$360,COLUMN()-1,FALSE)+VLOOKUP($A150,'Price setting'!$E$213:$O$230,COLUMN()-1,FALSE)</f>
        <v>25.376736949243941</v>
      </c>
      <c r="J153" s="317">
        <f ca="1">VLOOKUP($A153,'Price setting'!$E$343:$O$360,COLUMN()-1,FALSE)+VLOOKUP($A150,'Price setting'!$E$213:$O$230,COLUMN()-1,FALSE)</f>
        <v>25.341946377961911</v>
      </c>
      <c r="K153" s="317">
        <f ca="1">VLOOKUP($A153,'Price setting'!$E$343:$O$360,COLUMN()-1,FALSE)+VLOOKUP($A150,'Price setting'!$E$213:$O$230,COLUMN()-1,FALSE)</f>
        <v>24.940743547257263</v>
      </c>
      <c r="L153" s="323">
        <f ca="1">VLOOKUP($A153,'Price setting'!$E$343:$O$360,COLUMN()-1,FALSE)+VLOOKUP($A150,'Price setting'!$E$213:$O$230,COLUMN()-1,FALSE)</f>
        <v>24.844924432083488</v>
      </c>
    </row>
    <row r="154" spans="1:12" s="53" customFormat="1">
      <c r="A154" s="60" t="str">
        <f t="shared" si="5"/>
        <v>TMS</v>
      </c>
      <c r="B154" s="355" t="s">
        <v>202</v>
      </c>
      <c r="C154" s="59" t="s">
        <v>193</v>
      </c>
      <c r="D154" s="168" t="s">
        <v>75</v>
      </c>
      <c r="E154" s="169" t="s">
        <v>182</v>
      </c>
      <c r="F154" s="316"/>
      <c r="G154" s="317"/>
      <c r="H154" s="317">
        <f ca="1">(VLOOKUP($A154,'Price setting'!$E$408:$O$425,COLUMN()-1,FALSE)+VLOOKUP($A150,'Price setting'!$E$213:$O$230,COLUMN()-1,FALSE))*+Input!$H$441</f>
        <v>36.91654613446368</v>
      </c>
      <c r="I154" s="317">
        <f ca="1">(VLOOKUP($A154,'Price setting'!$E$408:$O$425,COLUMN()-1,FALSE)+VLOOKUP($A150,'Price setting'!$E$213:$O$230,COLUMN()-1,FALSE))*+Input!$H$441</f>
        <v>35.729117391970533</v>
      </c>
      <c r="J154" s="317">
        <f ca="1">(VLOOKUP($A154,'Price setting'!$E$408:$O$425,COLUMN()-1,FALSE)+VLOOKUP($A150,'Price setting'!$E$213:$O$230,COLUMN()-1,FALSE))*+Input!$H$441</f>
        <v>35.002416250278223</v>
      </c>
      <c r="K154" s="317">
        <f ca="1">(VLOOKUP($A154,'Price setting'!$E$408:$O$425,COLUMN()-1,FALSE)+VLOOKUP($A150,'Price setting'!$E$213:$O$230,COLUMN()-1,FALSE))*+Input!$H$441</f>
        <v>34.049252594552684</v>
      </c>
      <c r="L154" s="323">
        <f ca="1">(VLOOKUP($A154,'Price setting'!$E$408:$O$425,COLUMN()-1,FALSE)+VLOOKUP($A150,'Price setting'!$E$213:$O$230,COLUMN()-1,FALSE))*+Input!$H$441</f>
        <v>34.447957698214204</v>
      </c>
    </row>
    <row r="155" spans="1:12" s="53" customFormat="1">
      <c r="A155" s="60" t="str">
        <f t="shared" si="5"/>
        <v>TMS</v>
      </c>
      <c r="B155" s="355" t="s">
        <v>208</v>
      </c>
      <c r="C155" s="59" t="s">
        <v>205</v>
      </c>
      <c r="D155" s="168" t="s">
        <v>75</v>
      </c>
      <c r="E155" s="169" t="s">
        <v>182</v>
      </c>
      <c r="F155" s="262">
        <f ca="1">VLOOKUP($A155,'Price setting'!$E$49:$I$66,COLUMN()-1,FALSE)</f>
        <v>0.27588007791236174</v>
      </c>
      <c r="G155" s="263"/>
      <c r="H155" s="263"/>
      <c r="I155" s="263"/>
      <c r="J155" s="263"/>
      <c r="K155" s="263"/>
      <c r="L155" s="264"/>
    </row>
    <row r="156" spans="1:12" s="53" customFormat="1">
      <c r="A156" s="60" t="str">
        <f t="shared" si="5"/>
        <v>TMS</v>
      </c>
      <c r="B156" s="355" t="s">
        <v>206</v>
      </c>
      <c r="C156" s="59" t="s">
        <v>132</v>
      </c>
      <c r="D156" s="168" t="s">
        <v>74</v>
      </c>
      <c r="E156" s="169" t="s">
        <v>182</v>
      </c>
      <c r="F156" s="262">
        <f ca="1">'Used inputs'!I94</f>
        <v>147.95719591789685</v>
      </c>
      <c r="G156" s="263">
        <f>'Used inputs'!J94</f>
        <v>133.26809234522213</v>
      </c>
      <c r="H156" s="263">
        <f ca="1">'Used inputs'!K94</f>
        <v>150.43119919385472</v>
      </c>
      <c r="I156" s="263">
        <f ca="1">'Used inputs'!L94</f>
        <v>155.56020598544231</v>
      </c>
      <c r="J156" s="263">
        <f ca="1">'Used inputs'!M94</f>
        <v>155.87120639725376</v>
      </c>
      <c r="K156" s="263">
        <f ca="1">'Used inputs'!N94</f>
        <v>157.45720849736313</v>
      </c>
      <c r="L156" s="264">
        <f ca="1">'Used inputs'!O94</f>
        <v>153.12720276377453</v>
      </c>
    </row>
    <row r="157" spans="1:12" s="53" customFormat="1">
      <c r="A157" s="60" t="str">
        <f t="shared" si="5"/>
        <v>TMS</v>
      </c>
      <c r="B157" s="355" t="s">
        <v>207</v>
      </c>
      <c r="C157" s="59" t="s">
        <v>157</v>
      </c>
      <c r="D157" s="168" t="s">
        <v>74</v>
      </c>
      <c r="E157" s="169" t="s">
        <v>182</v>
      </c>
      <c r="F157" s="262">
        <f>'Used inputs'!I107</f>
        <v>1.6461564660604204</v>
      </c>
      <c r="G157" s="263">
        <f>'Used inputs'!J107</f>
        <v>22.752114249330734</v>
      </c>
      <c r="H157" s="263">
        <f>'Used inputs'!K107</f>
        <v>1.6742845552360341</v>
      </c>
      <c r="I157" s="263">
        <f>'Used inputs'!L107</f>
        <v>1.6742845552360341</v>
      </c>
      <c r="J157" s="263">
        <f>'Used inputs'!M107</f>
        <v>1.6742845552360341</v>
      </c>
      <c r="K157" s="263">
        <f>'Used inputs'!N107</f>
        <v>1.6742845552360341</v>
      </c>
      <c r="L157" s="264">
        <f>'Used inputs'!O107</f>
        <v>1.6742845552360341</v>
      </c>
    </row>
    <row r="158" spans="1:12" s="53" customFormat="1">
      <c r="A158" s="60" t="s">
        <v>50</v>
      </c>
      <c r="B158" s="355" t="s">
        <v>162</v>
      </c>
      <c r="C158" s="59" t="s">
        <v>175</v>
      </c>
      <c r="D158" s="169" t="s">
        <v>74</v>
      </c>
      <c r="E158" s="169" t="s">
        <v>182</v>
      </c>
      <c r="F158" s="262">
        <f>VLOOKUP($A158,'Price setting'!$E$448:$O$466,COLUMN()-1,FALSE)</f>
        <v>0</v>
      </c>
      <c r="G158" s="263">
        <f>VLOOKUP($A158,'Price setting'!$E$448:$O$466,COLUMN()-1,FALSE)</f>
        <v>0</v>
      </c>
      <c r="H158" s="263">
        <f ca="1">VLOOKUP($A158,'Price setting'!$E$448:$O$466,COLUMN()-1,FALSE)</f>
        <v>120.29221404369375</v>
      </c>
      <c r="I158" s="263">
        <f ca="1">VLOOKUP($A158,'Price setting'!$E$448:$O$466,COLUMN()-1,FALSE)</f>
        <v>115.37487067643964</v>
      </c>
      <c r="J158" s="263">
        <f ca="1">VLOOKUP($A158,'Price setting'!$E$448:$O$466,COLUMN()-1,FALSE)</f>
        <v>108.7895466700997</v>
      </c>
      <c r="K158" s="263">
        <f ca="1">VLOOKUP($A158,'Price setting'!$E$448:$O$466,COLUMN()-1,FALSE)</f>
        <v>103.39247221078831</v>
      </c>
      <c r="L158" s="264">
        <f ca="1">VLOOKUP($A158,'Price setting'!$E$448:$O$466,COLUMN()-1,FALSE)</f>
        <v>105.36942163260737</v>
      </c>
    </row>
    <row r="159" spans="1:12" s="53" customFormat="1">
      <c r="A159" s="60" t="s">
        <v>50</v>
      </c>
      <c r="B159" s="355" t="s">
        <v>163</v>
      </c>
      <c r="C159" s="59" t="s">
        <v>118</v>
      </c>
      <c r="D159" s="168" t="s">
        <v>75</v>
      </c>
      <c r="E159" s="169" t="s">
        <v>182</v>
      </c>
      <c r="F159" s="316">
        <f>VLOOKUP($A159,'Price setting'!$E$213:$O$231,COLUMN()-1,FALSE)</f>
        <v>0</v>
      </c>
      <c r="G159" s="317">
        <f>VLOOKUP($A159,'Price setting'!$E$213:$O$231,COLUMN()-1,FALSE)</f>
        <v>0</v>
      </c>
      <c r="H159" s="317">
        <f ca="1">VLOOKUP($A159,'Price setting'!$E$213:$O$231,COLUMN()-1,FALSE)</f>
        <v>29.854776521890596</v>
      </c>
      <c r="I159" s="317">
        <f ca="1">VLOOKUP($A159,'Price setting'!$E$213:$O$231,COLUMN()-1,FALSE)</f>
        <v>28.30893186884477</v>
      </c>
      <c r="J159" s="317">
        <f ca="1">VLOOKUP($A159,'Price setting'!$E$213:$O$231,COLUMN()-1,FALSE)</f>
        <v>26.539104411740741</v>
      </c>
      <c r="K159" s="317">
        <f ca="1">VLOOKUP($A159,'Price setting'!$E$213:$O$231,COLUMN()-1,FALSE)</f>
        <v>25.114029153459995</v>
      </c>
      <c r="L159" s="323">
        <f ca="1">VLOOKUP($A159,'Price setting'!$E$213:$O$231,COLUMN()-1,FALSE)</f>
        <v>25.555839322333448</v>
      </c>
    </row>
    <row r="160" spans="1:12" s="53" customFormat="1">
      <c r="A160" s="60" t="s">
        <v>50</v>
      </c>
      <c r="B160" s="355" t="s">
        <v>164</v>
      </c>
      <c r="C160" s="59" t="s">
        <v>119</v>
      </c>
      <c r="D160" s="168" t="s">
        <v>75</v>
      </c>
      <c r="E160" s="169" t="s">
        <v>182</v>
      </c>
      <c r="F160" s="316">
        <f>VLOOKUP($A160,'Price setting'!$E$278:$O$296,COLUMN()-1,FALSE)+VLOOKUP($A159,'Price setting'!$E$213:$O$231,COLUMN()-1,FALSE)</f>
        <v>0</v>
      </c>
      <c r="G160" s="317">
        <f>VLOOKUP($A160,'Price setting'!$E$278:$O$296,COLUMN()-1,FALSE)+VLOOKUP($A159,'Price setting'!$E$213:$O$231,COLUMN()-1,FALSE)</f>
        <v>0</v>
      </c>
      <c r="H160" s="317">
        <f ca="1">VLOOKUP($A160,'Price setting'!$E$278:$O$296,COLUMN()-1,FALSE)+VLOOKUP($A159,'Price setting'!$E$213:$O$231,COLUMN()-1,FALSE)</f>
        <v>35.64569851375316</v>
      </c>
      <c r="I160" s="317">
        <f ca="1">VLOOKUP($A160,'Price setting'!$E$278:$O$296,COLUMN()-1,FALSE)+VLOOKUP($A159,'Price setting'!$E$213:$O$231,COLUMN()-1,FALSE)</f>
        <v>34.099853860707334</v>
      </c>
      <c r="J160" s="317">
        <f ca="1">VLOOKUP($A160,'Price setting'!$E$278:$O$296,COLUMN()-1,FALSE)+VLOOKUP($A159,'Price setting'!$E$213:$O$231,COLUMN()-1,FALSE)</f>
        <v>32.262474241766519</v>
      </c>
      <c r="K160" s="317">
        <f ca="1">VLOOKUP($A160,'Price setting'!$E$278:$O$296,COLUMN()-1,FALSE)+VLOOKUP($A159,'Price setting'!$E$213:$O$231,COLUMN()-1,FALSE)</f>
        <v>30.213467348744018</v>
      </c>
      <c r="L160" s="323">
        <f ca="1">VLOOKUP($A160,'Price setting'!$E$278:$O$296,COLUMN()-1,FALSE)+VLOOKUP($A159,'Price setting'!$E$213:$O$231,COLUMN()-1,FALSE)</f>
        <v>30.246201625486385</v>
      </c>
    </row>
    <row r="161" spans="1:12" s="53" customFormat="1">
      <c r="A161" s="60" t="s">
        <v>50</v>
      </c>
      <c r="B161" s="355" t="s">
        <v>165</v>
      </c>
      <c r="C161" s="59" t="s">
        <v>120</v>
      </c>
      <c r="D161" s="168" t="s">
        <v>75</v>
      </c>
      <c r="E161" s="169" t="s">
        <v>182</v>
      </c>
      <c r="F161" s="316">
        <f>VLOOKUP($A161,'Price setting'!$E$343:$O$361,COLUMN()-1,FALSE)+VLOOKUP($A159,'Price setting'!$E$213:$O$231,COLUMN()-1,FALSE)</f>
        <v>0</v>
      </c>
      <c r="G161" s="317">
        <f>VLOOKUP($A161,'Price setting'!$E$343:$O$361,COLUMN()-1,FALSE)+VLOOKUP($A159,'Price setting'!$E$213:$O$231,COLUMN()-1,FALSE)</f>
        <v>0</v>
      </c>
      <c r="H161" s="317">
        <f ca="1">VLOOKUP($A161,'Price setting'!$E$343:$O$361,COLUMN()-1,FALSE)+VLOOKUP($A159,'Price setting'!$E$213:$O$231,COLUMN()-1,FALSE)</f>
        <v>33.841706827322461</v>
      </c>
      <c r="I161" s="317">
        <f ca="1">VLOOKUP($A161,'Price setting'!$E$343:$O$361,COLUMN()-1,FALSE)+VLOOKUP($A159,'Price setting'!$E$213:$O$231,COLUMN()-1,FALSE)</f>
        <v>32.243418822495833</v>
      </c>
      <c r="J161" s="317">
        <f ca="1">VLOOKUP($A161,'Price setting'!$E$343:$O$361,COLUMN()-1,FALSE)+VLOOKUP($A159,'Price setting'!$E$213:$O$231,COLUMN()-1,FALSE)</f>
        <v>30.381870363549993</v>
      </c>
      <c r="K161" s="317">
        <f ca="1">VLOOKUP($A161,'Price setting'!$E$343:$O$361,COLUMN()-1,FALSE)+VLOOKUP($A159,'Price setting'!$E$213:$O$231,COLUMN()-1,FALSE)</f>
        <v>28.86544878418815</v>
      </c>
      <c r="L161" s="323">
        <f ca="1">VLOOKUP($A161,'Price setting'!$E$343:$O$361,COLUMN()-1,FALSE)+VLOOKUP($A159,'Price setting'!$E$213:$O$231,COLUMN()-1,FALSE)</f>
        <v>29.403801334660191</v>
      </c>
    </row>
    <row r="162" spans="1:12" s="53" customFormat="1">
      <c r="A162" s="60" t="s">
        <v>50</v>
      </c>
      <c r="B162" s="355" t="s">
        <v>166</v>
      </c>
      <c r="C162" s="59" t="s">
        <v>124</v>
      </c>
      <c r="D162" s="168" t="s">
        <v>75</v>
      </c>
      <c r="E162" s="169" t="s">
        <v>182</v>
      </c>
      <c r="F162" s="316">
        <f>VLOOKUP($A162,'Price setting'!$E$408:$O$426,COLUMN()-1,FALSE)+VLOOKUP($A159,'Price setting'!$E$213:$O$231,COLUMN()-1,FALSE)</f>
        <v>0</v>
      </c>
      <c r="G162" s="317">
        <f>VLOOKUP($A162,'Price setting'!$E$408:$O$426,COLUMN()-1,FALSE)+VLOOKUP($A159,'Price setting'!$E$213:$O$231,COLUMN()-1,FALSE)</f>
        <v>0</v>
      </c>
      <c r="H162" s="317">
        <f ca="1">VLOOKUP($A162,'Price setting'!$E$408:$O$426,COLUMN()-1,FALSE)+VLOOKUP($A159,'Price setting'!$E$213:$O$231,COLUMN()-1,FALSE)</f>
        <v>34.73961529180076</v>
      </c>
      <c r="I162" s="317">
        <f ca="1">VLOOKUP($A162,'Price setting'!$E$408:$O$426,COLUMN()-1,FALSE)+VLOOKUP($A159,'Price setting'!$E$213:$O$231,COLUMN()-1,FALSE)</f>
        <v>33.193770638754934</v>
      </c>
      <c r="J162" s="317">
        <f ca="1">VLOOKUP($A162,'Price setting'!$E$408:$O$426,COLUMN()-1,FALSE)+VLOOKUP($A159,'Price setting'!$E$213:$O$231,COLUMN()-1,FALSE)</f>
        <v>30.944562635766179</v>
      </c>
      <c r="K162" s="317">
        <f ca="1">VLOOKUP($A162,'Price setting'!$E$408:$O$426,COLUMN()-1,FALSE)+VLOOKUP($A159,'Price setting'!$E$213:$O$231,COLUMN()-1,FALSE)</f>
        <v>29.044841029827214</v>
      </c>
      <c r="L162" s="323">
        <f ca="1">VLOOKUP($A162,'Price setting'!$E$408:$O$426,COLUMN()-1,FALSE)+VLOOKUP($A159,'Price setting'!$E$213:$O$231,COLUMN()-1,FALSE)</f>
        <v>29.171837656551332</v>
      </c>
    </row>
    <row r="163" spans="1:12" s="53" customFormat="1">
      <c r="A163" s="60" t="s">
        <v>50</v>
      </c>
      <c r="B163" s="355" t="s">
        <v>167</v>
      </c>
      <c r="C163" s="59" t="s">
        <v>122</v>
      </c>
      <c r="D163" s="170" t="s">
        <v>88</v>
      </c>
      <c r="E163" s="169" t="s">
        <v>182</v>
      </c>
      <c r="F163" s="262">
        <f>INDEX(NWT,ROW(Input!B$23)-5,COLUMN()+1)*Input!$H$441</f>
        <v>2331.4499000000001</v>
      </c>
      <c r="G163" s="263">
        <f>INDEX(NWT,ROW(Input!C$23)-5,COLUMN()+1)*Input!$H$441</f>
        <v>2257.9440000000004</v>
      </c>
      <c r="H163" s="263">
        <f>INDEX(NWT,ROW(Input!D$23)-5,COLUMN()+1)*Input!$H$441</f>
        <v>2181.6392000000001</v>
      </c>
      <c r="I163" s="263">
        <f>INDEX(NWT,ROW(Input!E$23)-5,COLUMN()+1)*Input!$H$441</f>
        <v>2101.8868000000002</v>
      </c>
      <c r="J163" s="263">
        <f>INDEX(NWT,ROW(Input!F$23)-5,COLUMN()+1)*Input!$H$441</f>
        <v>2025.5326000000002</v>
      </c>
      <c r="K163" s="263">
        <f>INDEX(NWT,ROW(Input!G$23)-5,COLUMN()+1)*Input!$H$441</f>
        <v>1957.5517</v>
      </c>
      <c r="L163" s="264">
        <f>INDEX(NWT,ROW(Input!H$23)-5,COLUMN()+1)*Input!$H$441</f>
        <v>1896.9262000000001</v>
      </c>
    </row>
    <row r="164" spans="1:12" s="53" customFormat="1">
      <c r="A164" s="60" t="s">
        <v>50</v>
      </c>
      <c r="B164" s="355" t="s">
        <v>168</v>
      </c>
      <c r="C164" s="59" t="s">
        <v>123</v>
      </c>
      <c r="D164" s="170" t="s">
        <v>88</v>
      </c>
      <c r="E164" s="169" t="s">
        <v>182</v>
      </c>
      <c r="F164" s="262">
        <f>+INDEX(NWT,ROW(Input!B$24)-5,COLUMN()+1)*Input!$H$441</f>
        <v>1308.8049000000001</v>
      </c>
      <c r="G164" s="263">
        <f>+INDEX(NWT,ROW(Input!C$24)-5,COLUMN()+1)*Input!$H$441</f>
        <v>1394.0966000000001</v>
      </c>
      <c r="H164" s="263">
        <f>+INDEX(NWT,ROW(Input!D$24)-5,COLUMN()+1)*Input!$H$441</f>
        <v>1484.6559</v>
      </c>
      <c r="I164" s="263">
        <f>+INDEX(NWT,ROW(Input!E$24)-5,COLUMN()+1)*Input!$H$441</f>
        <v>1580.2592000000002</v>
      </c>
      <c r="J164" s="263">
        <f>+INDEX(NWT,ROW(Input!F$24)-5,COLUMN()+1)*Input!$H$441</f>
        <v>1674.2661000000001</v>
      </c>
      <c r="K164" s="263">
        <f>+INDEX(NWT,ROW(Input!G$24)-5,COLUMN()+1)*Input!$H$441</f>
        <v>1761.9082000000001</v>
      </c>
      <c r="L164" s="264">
        <f>+INDEX(NWT,ROW(Input!H$24)-5,COLUMN()+1)*Input!$H$441</f>
        <v>1843.6314000000002</v>
      </c>
    </row>
    <row r="165" spans="1:12" s="53" customFormat="1">
      <c r="A165" s="60" t="s">
        <v>50</v>
      </c>
      <c r="B165" s="355" t="s">
        <v>169</v>
      </c>
      <c r="C165" s="59" t="s">
        <v>139</v>
      </c>
      <c r="D165" s="170" t="s">
        <v>74</v>
      </c>
      <c r="E165" s="169" t="s">
        <v>182</v>
      </c>
      <c r="F165" s="262">
        <f>VLOOKUP($A165,'Price setting'!$E$488:$O$506,COLUMN()-1,FALSE)</f>
        <v>0</v>
      </c>
      <c r="G165" s="263">
        <f>VLOOKUP($A165,'Price setting'!$E$488:$O$506,COLUMN()-1,FALSE)</f>
        <v>0</v>
      </c>
      <c r="H165" s="263">
        <f ca="1">VLOOKUP($A165,'Price setting'!$E$488:$O$506,COLUMN()-1,FALSE)</f>
        <v>1.0769001879612252</v>
      </c>
      <c r="I165" s="263">
        <f ca="1">VLOOKUP($A165,'Price setting'!$E$488:$O$506,COLUMN()-1,FALSE)</f>
        <v>2.257121208387094</v>
      </c>
      <c r="J165" s="263">
        <f ca="1">VLOOKUP($A165,'Price setting'!$E$488:$O$506,COLUMN()-1,FALSE)</f>
        <v>3.0320547025106035</v>
      </c>
      <c r="K165" s="263">
        <f ca="1">VLOOKUP($A165,'Price setting'!$E$488:$O$506,COLUMN()-1,FALSE)</f>
        <v>5.7436271246888042</v>
      </c>
      <c r="L165" s="264">
        <f ca="1">VLOOKUP($A165,'Price setting'!$E$488:$O$506,COLUMN()-1,FALSE)</f>
        <v>8.6067256620669266</v>
      </c>
    </row>
    <row r="166" spans="1:12" s="53" customFormat="1">
      <c r="A166" s="60" t="str">
        <f>+A165</f>
        <v>NWT</v>
      </c>
      <c r="B166" s="355" t="s">
        <v>170</v>
      </c>
      <c r="C166" s="59" t="s">
        <v>67</v>
      </c>
      <c r="D166" s="170" t="s">
        <v>171</v>
      </c>
      <c r="E166" s="169" t="s">
        <v>182</v>
      </c>
      <c r="F166" s="320">
        <f>+Input!$H$441</f>
        <v>1.3</v>
      </c>
      <c r="G166" s="321">
        <f>+Input!$H$441</f>
        <v>1.3</v>
      </c>
      <c r="H166" s="321">
        <f>+Input!$H$441</f>
        <v>1.3</v>
      </c>
      <c r="I166" s="321">
        <f>+Input!$H$441</f>
        <v>1.3</v>
      </c>
      <c r="J166" s="321">
        <f>+Input!$H$441</f>
        <v>1.3</v>
      </c>
      <c r="K166" s="321">
        <f>+Input!$H$441</f>
        <v>1.3</v>
      </c>
      <c r="L166" s="322">
        <f>+Input!$H$441</f>
        <v>1.3</v>
      </c>
    </row>
    <row r="167" spans="1:12" s="53" customFormat="1">
      <c r="A167" s="60" t="str">
        <f t="shared" ref="A167:A179" si="6">+A166</f>
        <v>NWT</v>
      </c>
      <c r="B167" s="355" t="s">
        <v>194</v>
      </c>
      <c r="C167" s="59" t="s">
        <v>185</v>
      </c>
      <c r="D167" s="168" t="s">
        <v>75</v>
      </c>
      <c r="E167" s="169" t="s">
        <v>182</v>
      </c>
      <c r="F167" s="316">
        <f ca="1">VLOOKUP(A167,'Price setting'!$E$89:$I$106,COLUMN()-1,FALSE)</f>
        <v>28.945668218930372</v>
      </c>
      <c r="G167" s="317"/>
      <c r="H167" s="317"/>
      <c r="I167" s="317"/>
      <c r="J167" s="317"/>
      <c r="K167" s="317"/>
      <c r="L167" s="323"/>
    </row>
    <row r="168" spans="1:12" s="53" customFormat="1">
      <c r="A168" s="60" t="str">
        <f t="shared" si="6"/>
        <v>NWT</v>
      </c>
      <c r="B168" s="355" t="s">
        <v>195</v>
      </c>
      <c r="C168" s="59" t="s">
        <v>186</v>
      </c>
      <c r="D168" s="168" t="s">
        <v>75</v>
      </c>
      <c r="E168" s="169" t="s">
        <v>182</v>
      </c>
      <c r="F168" s="316">
        <f ca="1">VLOOKUP(A168,'Price setting'!E$254:I$271,COLUMN()-1,FALSE)+VLOOKUP(A167,'Price setting'!$E$89:$I$106,COLUMN()-1,FALSE)</f>
        <v>33.86455633394548</v>
      </c>
      <c r="G168" s="317"/>
      <c r="H168" s="317"/>
      <c r="I168" s="317"/>
      <c r="J168" s="317"/>
      <c r="K168" s="317"/>
      <c r="L168" s="323"/>
    </row>
    <row r="169" spans="1:12" s="53" customFormat="1">
      <c r="A169" s="60" t="str">
        <f t="shared" si="6"/>
        <v>NWT</v>
      </c>
      <c r="B169" s="355" t="s">
        <v>196</v>
      </c>
      <c r="C169" s="59" t="s">
        <v>187</v>
      </c>
      <c r="D169" s="168" t="s">
        <v>75</v>
      </c>
      <c r="E169" s="169" t="s">
        <v>182</v>
      </c>
      <c r="F169" s="316">
        <f ca="1">VLOOKUP(A169,'Price setting'!E$319:I$336,COLUMN()-1,FALSE)+VLOOKUP(A167,'Price setting'!$E$89:$I$106,COLUMN()-1,FALSE)</f>
        <v>30.205131779215062</v>
      </c>
      <c r="G169" s="317"/>
      <c r="H169" s="317"/>
      <c r="I169" s="317"/>
      <c r="J169" s="317"/>
      <c r="K169" s="317"/>
      <c r="L169" s="323"/>
    </row>
    <row r="170" spans="1:12" s="53" customFormat="1">
      <c r="A170" s="60" t="str">
        <f t="shared" si="6"/>
        <v>NWT</v>
      </c>
      <c r="B170" s="355" t="s">
        <v>197</v>
      </c>
      <c r="C170" s="59" t="s">
        <v>188</v>
      </c>
      <c r="D170" s="168" t="s">
        <v>75</v>
      </c>
      <c r="E170" s="169" t="s">
        <v>182</v>
      </c>
      <c r="F170" s="316">
        <f ca="1">(VLOOKUP(A170,'Price setting'!E$384:I$401,COLUMN()-1,FALSE)+VLOOKUP(A167,'Price setting'!$E$89:$I$106,COLUMN()-1,FALSE))*+Input!$H$441</f>
        <v>42.935437752445281</v>
      </c>
      <c r="G170" s="317"/>
      <c r="H170" s="317"/>
      <c r="I170" s="317"/>
      <c r="J170" s="317"/>
      <c r="K170" s="317"/>
      <c r="L170" s="323"/>
    </row>
    <row r="171" spans="1:12" s="53" customFormat="1">
      <c r="A171" s="60" t="str">
        <f t="shared" si="6"/>
        <v>NWT</v>
      </c>
      <c r="B171" s="355" t="s">
        <v>198</v>
      </c>
      <c r="C171" s="59" t="s">
        <v>189</v>
      </c>
      <c r="D171" s="168" t="s">
        <v>75</v>
      </c>
      <c r="E171" s="169" t="s">
        <v>182</v>
      </c>
      <c r="F171" s="316">
        <f ca="1">VLOOKUP(A171,'Price setting'!E$89:I$106,COLUMN()-1,FALSE)*+Input!$H$441</f>
        <v>37.629368684609481</v>
      </c>
      <c r="G171" s="317"/>
      <c r="H171" s="317"/>
      <c r="I171" s="317"/>
      <c r="J171" s="317"/>
      <c r="K171" s="317"/>
      <c r="L171" s="323"/>
    </row>
    <row r="172" spans="1:12" s="53" customFormat="1">
      <c r="A172" s="60" t="str">
        <f t="shared" si="6"/>
        <v>NWT</v>
      </c>
      <c r="B172" s="356" t="s">
        <v>204</v>
      </c>
      <c r="C172" s="59" t="s">
        <v>203</v>
      </c>
      <c r="D172" s="168" t="s">
        <v>75</v>
      </c>
      <c r="E172" s="169" t="s">
        <v>182</v>
      </c>
      <c r="F172" s="316"/>
      <c r="G172" s="317"/>
      <c r="H172" s="317">
        <f ca="1">VLOOKUP($A172,'Price setting'!$E$213:$O$230,COLUMN()-1,FALSE)</f>
        <v>29.854776521890596</v>
      </c>
      <c r="I172" s="317">
        <f ca="1">VLOOKUP($A172,'Price setting'!$E$213:$O$230,COLUMN()-1,FALSE)</f>
        <v>28.30893186884477</v>
      </c>
      <c r="J172" s="317">
        <f ca="1">VLOOKUP($A172,'Price setting'!$E$213:$O$230,COLUMN()-1,FALSE)</f>
        <v>26.539104411740741</v>
      </c>
      <c r="K172" s="317">
        <f ca="1">VLOOKUP($A172,'Price setting'!$E$213:$O$230,COLUMN()-1,FALSE)</f>
        <v>25.114029153459995</v>
      </c>
      <c r="L172" s="323">
        <f ca="1">VLOOKUP($A172,'Price setting'!$E$213:$O$230,COLUMN()-1,FALSE)</f>
        <v>25.555839322333448</v>
      </c>
    </row>
    <row r="173" spans="1:12" s="53" customFormat="1">
      <c r="A173" s="60" t="str">
        <f t="shared" si="6"/>
        <v>NWT</v>
      </c>
      <c r="B173" s="355" t="s">
        <v>199</v>
      </c>
      <c r="C173" s="59" t="s">
        <v>190</v>
      </c>
      <c r="D173" s="168" t="s">
        <v>75</v>
      </c>
      <c r="E173" s="169" t="s">
        <v>182</v>
      </c>
      <c r="F173" s="316"/>
      <c r="G173" s="317"/>
      <c r="H173" s="317">
        <f ca="1">VLOOKUP($A172,'Price setting'!$E$213:$O$230,COLUMN()-1,FALSE)*+Input!$H$441</f>
        <v>38.811209478457776</v>
      </c>
      <c r="I173" s="317">
        <f ca="1">VLOOKUP($A172,'Price setting'!$E$213:$O$230,COLUMN()-1,FALSE)*+Input!$H$441</f>
        <v>36.801611429498202</v>
      </c>
      <c r="J173" s="317">
        <f ca="1">VLOOKUP($A172,'Price setting'!$E$213:$O$230,COLUMN()-1,FALSE)*+Input!$H$441</f>
        <v>34.500835735262967</v>
      </c>
      <c r="K173" s="317">
        <f ca="1">VLOOKUP($A172,'Price setting'!$E$213:$O$230,COLUMN()-1,FALSE)*+Input!$H$441</f>
        <v>32.648237899497992</v>
      </c>
      <c r="L173" s="323">
        <f ca="1">VLOOKUP($A172,'Price setting'!$E$213:$O$230,COLUMN()-1,FALSE)*+Input!$H$441</f>
        <v>33.222591119033481</v>
      </c>
    </row>
    <row r="174" spans="1:12" s="53" customFormat="1">
      <c r="A174" s="60" t="str">
        <f t="shared" si="6"/>
        <v>NWT</v>
      </c>
      <c r="B174" s="355" t="s">
        <v>200</v>
      </c>
      <c r="C174" s="59" t="s">
        <v>191</v>
      </c>
      <c r="D174" s="168" t="s">
        <v>75</v>
      </c>
      <c r="E174" s="169" t="s">
        <v>182</v>
      </c>
      <c r="F174" s="316"/>
      <c r="G174" s="317"/>
      <c r="H174" s="317">
        <f ca="1">VLOOKUP($A174,'Price setting'!$E$278:$O$295,COLUMN()-1,FALSE)+VLOOKUP($A172,'Price setting'!$E$213:$O$230,COLUMN()-1,FALSE)</f>
        <v>35.64569851375316</v>
      </c>
      <c r="I174" s="317">
        <f ca="1">VLOOKUP($A174,'Price setting'!$E$278:$O$295,COLUMN()-1,FALSE)+VLOOKUP($A172,'Price setting'!$E$213:$O$230,COLUMN()-1,FALSE)</f>
        <v>34.099853860707334</v>
      </c>
      <c r="J174" s="317">
        <f ca="1">VLOOKUP($A174,'Price setting'!$E$278:$O$295,COLUMN()-1,FALSE)+VLOOKUP($A172,'Price setting'!$E$213:$O$230,COLUMN()-1,FALSE)</f>
        <v>32.262474241766519</v>
      </c>
      <c r="K174" s="317">
        <f ca="1">VLOOKUP($A174,'Price setting'!$E$278:$O$295,COLUMN()-1,FALSE)+VLOOKUP($A172,'Price setting'!$E$213:$O$230,COLUMN()-1,FALSE)</f>
        <v>30.213467348744018</v>
      </c>
      <c r="L174" s="323">
        <f ca="1">VLOOKUP($A174,'Price setting'!$E$278:$O$295,COLUMN()-1,FALSE)+VLOOKUP($A172,'Price setting'!$E$213:$O$230,COLUMN()-1,FALSE)</f>
        <v>30.246201625486385</v>
      </c>
    </row>
    <row r="175" spans="1:12" s="53" customFormat="1">
      <c r="A175" s="60" t="str">
        <f t="shared" si="6"/>
        <v>NWT</v>
      </c>
      <c r="B175" s="355" t="s">
        <v>201</v>
      </c>
      <c r="C175" s="59" t="s">
        <v>192</v>
      </c>
      <c r="D175" s="168" t="s">
        <v>75</v>
      </c>
      <c r="E175" s="169" t="s">
        <v>182</v>
      </c>
      <c r="F175" s="316"/>
      <c r="G175" s="317"/>
      <c r="H175" s="317">
        <f ca="1">VLOOKUP($A175,'Price setting'!$E$343:$O$360,COLUMN()-1,FALSE)+VLOOKUP($A172,'Price setting'!$E$213:$O$230,COLUMN()-1,FALSE)</f>
        <v>33.841706827322461</v>
      </c>
      <c r="I175" s="317">
        <f ca="1">VLOOKUP($A175,'Price setting'!$E$343:$O$360,COLUMN()-1,FALSE)+VLOOKUP($A172,'Price setting'!$E$213:$O$230,COLUMN()-1,FALSE)</f>
        <v>32.243418822495833</v>
      </c>
      <c r="J175" s="317">
        <f ca="1">VLOOKUP($A175,'Price setting'!$E$343:$O$360,COLUMN()-1,FALSE)+VLOOKUP($A172,'Price setting'!$E$213:$O$230,COLUMN()-1,FALSE)</f>
        <v>30.381870363549993</v>
      </c>
      <c r="K175" s="317">
        <f ca="1">VLOOKUP($A175,'Price setting'!$E$343:$O$360,COLUMN()-1,FALSE)+VLOOKUP($A172,'Price setting'!$E$213:$O$230,COLUMN()-1,FALSE)</f>
        <v>28.86544878418815</v>
      </c>
      <c r="L175" s="323">
        <f ca="1">VLOOKUP($A175,'Price setting'!$E$343:$O$360,COLUMN()-1,FALSE)+VLOOKUP($A172,'Price setting'!$E$213:$O$230,COLUMN()-1,FALSE)</f>
        <v>29.403801334660191</v>
      </c>
    </row>
    <row r="176" spans="1:12" s="53" customFormat="1">
      <c r="A176" s="60" t="str">
        <f t="shared" si="6"/>
        <v>NWT</v>
      </c>
      <c r="B176" s="355" t="s">
        <v>202</v>
      </c>
      <c r="C176" s="59" t="s">
        <v>193</v>
      </c>
      <c r="D176" s="168" t="s">
        <v>75</v>
      </c>
      <c r="E176" s="169" t="s">
        <v>182</v>
      </c>
      <c r="F176" s="316"/>
      <c r="G176" s="317"/>
      <c r="H176" s="317">
        <f ca="1">(VLOOKUP($A176,'Price setting'!$E$408:$O$425,COLUMN()-1,FALSE)+VLOOKUP($A172,'Price setting'!$E$213:$O$230,COLUMN()-1,FALSE))*+Input!$H$441</f>
        <v>45.161499879340987</v>
      </c>
      <c r="I176" s="317">
        <f ca="1">(VLOOKUP($A176,'Price setting'!$E$408:$O$425,COLUMN()-1,FALSE)+VLOOKUP($A172,'Price setting'!$E$213:$O$230,COLUMN()-1,FALSE))*+Input!$H$441</f>
        <v>43.151901830381419</v>
      </c>
      <c r="J176" s="317">
        <f ca="1">(VLOOKUP($A176,'Price setting'!$E$408:$O$425,COLUMN()-1,FALSE)+VLOOKUP($A172,'Price setting'!$E$213:$O$230,COLUMN()-1,FALSE))*+Input!$H$441</f>
        <v>40.227931426496035</v>
      </c>
      <c r="K176" s="317">
        <f ca="1">(VLOOKUP($A176,'Price setting'!$E$408:$O$425,COLUMN()-1,FALSE)+VLOOKUP($A172,'Price setting'!$E$213:$O$230,COLUMN()-1,FALSE))*+Input!$H$441</f>
        <v>37.758293338775381</v>
      </c>
      <c r="L176" s="323">
        <f ca="1">(VLOOKUP($A176,'Price setting'!$E$408:$O$425,COLUMN()-1,FALSE)+VLOOKUP($A172,'Price setting'!$E$213:$O$230,COLUMN()-1,FALSE))*+Input!$H$441</f>
        <v>37.923388953516735</v>
      </c>
    </row>
    <row r="177" spans="1:12" s="53" customFormat="1">
      <c r="A177" s="60" t="str">
        <f t="shared" si="6"/>
        <v>NWT</v>
      </c>
      <c r="B177" s="355" t="s">
        <v>208</v>
      </c>
      <c r="C177" s="59" t="s">
        <v>205</v>
      </c>
      <c r="D177" s="168" t="s">
        <v>75</v>
      </c>
      <c r="E177" s="169" t="s">
        <v>182</v>
      </c>
      <c r="F177" s="262">
        <f ca="1">VLOOKUP($A177,'Price setting'!$E$49:$I$66,COLUMN()-1,FALSE)</f>
        <v>0.50976237183687023</v>
      </c>
      <c r="G177" s="263"/>
      <c r="H177" s="263"/>
      <c r="I177" s="263"/>
      <c r="J177" s="263"/>
      <c r="K177" s="263"/>
      <c r="L177" s="264"/>
    </row>
    <row r="178" spans="1:12" s="53" customFormat="1">
      <c r="A178" s="60" t="str">
        <f t="shared" si="6"/>
        <v>NWT</v>
      </c>
      <c r="B178" s="355" t="s">
        <v>206</v>
      </c>
      <c r="C178" s="59" t="s">
        <v>132</v>
      </c>
      <c r="D178" s="168" t="s">
        <v>74</v>
      </c>
      <c r="E178" s="169" t="s">
        <v>182</v>
      </c>
      <c r="F178" s="262">
        <f ca="1">'Used inputs'!I109</f>
        <v>98.814844019894181</v>
      </c>
      <c r="G178" s="263">
        <f>'Used inputs'!J109</f>
        <v>98.899036461398794</v>
      </c>
      <c r="H178" s="263">
        <f ca="1">'Used inputs'!K109</f>
        <v>101.42004208699682</v>
      </c>
      <c r="I178" s="263">
        <f ca="1">'Used inputs'!L109</f>
        <v>104.24687705707251</v>
      </c>
      <c r="J178" s="263">
        <f ca="1">'Used inputs'!M109</f>
        <v>105.9019377297992</v>
      </c>
      <c r="K178" s="263">
        <f ca="1">'Used inputs'!N109</f>
        <v>103.61351661468181</v>
      </c>
      <c r="L178" s="264">
        <f ca="1">'Used inputs'!O109</f>
        <v>104.02979871323124</v>
      </c>
    </row>
    <row r="179" spans="1:12" s="53" customFormat="1">
      <c r="A179" s="60" t="str">
        <f t="shared" si="6"/>
        <v>NWT</v>
      </c>
      <c r="B179" s="355" t="s">
        <v>207</v>
      </c>
      <c r="C179" s="59" t="s">
        <v>157</v>
      </c>
      <c r="D179" s="168" t="s">
        <v>74</v>
      </c>
      <c r="E179" s="169" t="s">
        <v>182</v>
      </c>
      <c r="F179" s="262">
        <f>'Used inputs'!I122</f>
        <v>19.96047148942958</v>
      </c>
      <c r="G179" s="263">
        <f>'Used inputs'!J122</f>
        <v>21.365775681752314</v>
      </c>
      <c r="H179" s="263">
        <f>'Used inputs'!K122</f>
        <v>21.263261769110137</v>
      </c>
      <c r="I179" s="263">
        <f>'Used inputs'!L122</f>
        <v>21.263261769110137</v>
      </c>
      <c r="J179" s="263">
        <f>'Used inputs'!M122</f>
        <v>21.263261769110137</v>
      </c>
      <c r="K179" s="263">
        <f>'Used inputs'!N122</f>
        <v>21.263261769110137</v>
      </c>
      <c r="L179" s="264">
        <f>'Used inputs'!O122</f>
        <v>21.263261769110137</v>
      </c>
    </row>
    <row r="180" spans="1:12" s="53" customFormat="1">
      <c r="A180" s="60" t="s">
        <v>51</v>
      </c>
      <c r="B180" s="355" t="s">
        <v>162</v>
      </c>
      <c r="C180" s="59" t="s">
        <v>175</v>
      </c>
      <c r="D180" s="169" t="s">
        <v>74</v>
      </c>
      <c r="E180" s="169" t="s">
        <v>182</v>
      </c>
      <c r="F180" s="262">
        <f>VLOOKUP($A180,'Price setting'!$E$448:$O$466,COLUMN()-1,FALSE)</f>
        <v>0</v>
      </c>
      <c r="G180" s="263">
        <f>VLOOKUP($A180,'Price setting'!$E$448:$O$466,COLUMN()-1,FALSE)</f>
        <v>0</v>
      </c>
      <c r="H180" s="263">
        <f ca="1">VLOOKUP($A180,'Price setting'!$E$448:$O$466,COLUMN()-1,FALSE)</f>
        <v>29.401890538933309</v>
      </c>
      <c r="I180" s="263">
        <f ca="1">VLOOKUP($A180,'Price setting'!$E$448:$O$466,COLUMN()-1,FALSE)</f>
        <v>30.426535909715533</v>
      </c>
      <c r="J180" s="263">
        <f ca="1">VLOOKUP($A180,'Price setting'!$E$448:$O$466,COLUMN()-1,FALSE)</f>
        <v>31.60795531344084</v>
      </c>
      <c r="K180" s="263">
        <f ca="1">VLOOKUP($A180,'Price setting'!$E$448:$O$466,COLUMN()-1,FALSE)</f>
        <v>32.635464309549022</v>
      </c>
      <c r="L180" s="264">
        <f ca="1">VLOOKUP($A180,'Price setting'!$E$448:$O$466,COLUMN()-1,FALSE)</f>
        <v>33.818081814128597</v>
      </c>
    </row>
    <row r="181" spans="1:12" s="53" customFormat="1">
      <c r="A181" s="60" t="s">
        <v>51</v>
      </c>
      <c r="B181" s="355" t="s">
        <v>163</v>
      </c>
      <c r="C181" s="59" t="s">
        <v>118</v>
      </c>
      <c r="D181" s="168" t="s">
        <v>75</v>
      </c>
      <c r="E181" s="169" t="s">
        <v>182</v>
      </c>
      <c r="F181" s="316">
        <f>VLOOKUP($A181,'Price setting'!$E$213:$O$231,COLUMN()-1,FALSE)</f>
        <v>0</v>
      </c>
      <c r="G181" s="317">
        <f>VLOOKUP($A181,'Price setting'!$E$213:$O$231,COLUMN()-1,FALSE)</f>
        <v>0</v>
      </c>
      <c r="H181" s="317">
        <f ca="1">VLOOKUP($A181,'Price setting'!$E$213:$O$231,COLUMN()-1,FALSE)</f>
        <v>19.576183166731937</v>
      </c>
      <c r="I181" s="317">
        <f ca="1">VLOOKUP($A181,'Price setting'!$E$213:$O$231,COLUMN()-1,FALSE)</f>
        <v>20.020489303953717</v>
      </c>
      <c r="J181" s="317">
        <f ca="1">VLOOKUP($A181,'Price setting'!$E$213:$O$231,COLUMN()-1,FALSE)</f>
        <v>20.604249886212031</v>
      </c>
      <c r="K181" s="317">
        <f ca="1">VLOOKUP($A181,'Price setting'!$E$213:$O$231,COLUMN()-1,FALSE)</f>
        <v>21.09838573485543</v>
      </c>
      <c r="L181" s="323">
        <f ca="1">VLOOKUP($A181,'Price setting'!$E$213:$O$231,COLUMN()-1,FALSE)</f>
        <v>21.593989148119011</v>
      </c>
    </row>
    <row r="182" spans="1:12" s="53" customFormat="1">
      <c r="A182" s="60" t="s">
        <v>51</v>
      </c>
      <c r="B182" s="355" t="s">
        <v>164</v>
      </c>
      <c r="C182" s="59" t="s">
        <v>119</v>
      </c>
      <c r="D182" s="168" t="s">
        <v>75</v>
      </c>
      <c r="E182" s="169" t="s">
        <v>182</v>
      </c>
      <c r="F182" s="316">
        <f>VLOOKUP($A182,'Price setting'!$E$278:$O$296,COLUMN()-1,FALSE)+VLOOKUP($A181,'Price setting'!$E$213:$O$231,COLUMN()-1,FALSE)</f>
        <v>0</v>
      </c>
      <c r="G182" s="317">
        <f>VLOOKUP($A182,'Price setting'!$E$278:$O$296,COLUMN()-1,FALSE)+VLOOKUP($A181,'Price setting'!$E$213:$O$231,COLUMN()-1,FALSE)</f>
        <v>0</v>
      </c>
      <c r="H182" s="317">
        <f ca="1">VLOOKUP($A182,'Price setting'!$E$278:$O$296,COLUMN()-1,FALSE)+VLOOKUP($A181,'Price setting'!$E$213:$O$231,COLUMN()-1,FALSE)</f>
        <v>24.452182881185223</v>
      </c>
      <c r="I182" s="317">
        <f ca="1">VLOOKUP($A182,'Price setting'!$E$278:$O$296,COLUMN()-1,FALSE)+VLOOKUP($A181,'Price setting'!$E$213:$O$231,COLUMN()-1,FALSE)</f>
        <v>24.896489018407003</v>
      </c>
      <c r="J182" s="317">
        <f ca="1">VLOOKUP($A182,'Price setting'!$E$278:$O$296,COLUMN()-1,FALSE)+VLOOKUP($A181,'Price setting'!$E$213:$O$231,COLUMN()-1,FALSE)</f>
        <v>25.480249600665317</v>
      </c>
      <c r="K182" s="317">
        <f ca="1">VLOOKUP($A182,'Price setting'!$E$278:$O$296,COLUMN()-1,FALSE)+VLOOKUP($A181,'Price setting'!$E$213:$O$231,COLUMN()-1,FALSE)</f>
        <v>25.974385449308713</v>
      </c>
      <c r="L182" s="323">
        <f ca="1">VLOOKUP($A182,'Price setting'!$E$278:$O$296,COLUMN()-1,FALSE)+VLOOKUP($A181,'Price setting'!$E$213:$O$231,COLUMN()-1,FALSE)</f>
        <v>26.469988862572293</v>
      </c>
    </row>
    <row r="183" spans="1:12" s="53" customFormat="1">
      <c r="A183" s="60" t="s">
        <v>51</v>
      </c>
      <c r="B183" s="355" t="s">
        <v>165</v>
      </c>
      <c r="C183" s="59" t="s">
        <v>120</v>
      </c>
      <c r="D183" s="168" t="s">
        <v>75</v>
      </c>
      <c r="E183" s="169" t="s">
        <v>182</v>
      </c>
      <c r="F183" s="316">
        <f>VLOOKUP($A183,'Price setting'!$E$343:$O$361,COLUMN()-1,FALSE)+VLOOKUP($A181,'Price setting'!$E$213:$O$231,COLUMN()-1,FALSE)</f>
        <v>0</v>
      </c>
      <c r="G183" s="317">
        <f>VLOOKUP($A183,'Price setting'!$E$343:$O$361,COLUMN()-1,FALSE)+VLOOKUP($A181,'Price setting'!$E$213:$O$231,COLUMN()-1,FALSE)</f>
        <v>0</v>
      </c>
      <c r="H183" s="317">
        <f ca="1">VLOOKUP($A183,'Price setting'!$E$343:$O$361,COLUMN()-1,FALSE)+VLOOKUP($A181,'Price setting'!$E$213:$O$231,COLUMN()-1,FALSE)</f>
        <v>24.250419366728206</v>
      </c>
      <c r="I183" s="317">
        <f ca="1">VLOOKUP($A183,'Price setting'!$E$343:$O$361,COLUMN()-1,FALSE)+VLOOKUP($A181,'Price setting'!$E$213:$O$231,COLUMN()-1,FALSE)</f>
        <v>24.494652415527391</v>
      </c>
      <c r="J183" s="317">
        <f ca="1">VLOOKUP($A183,'Price setting'!$E$343:$O$361,COLUMN()-1,FALSE)+VLOOKUP($A181,'Price setting'!$E$213:$O$231,COLUMN()-1,FALSE)</f>
        <v>24.878339909363106</v>
      </c>
      <c r="K183" s="317">
        <f ca="1">VLOOKUP($A183,'Price setting'!$E$343:$O$361,COLUMN()-1,FALSE)+VLOOKUP($A181,'Price setting'!$E$213:$O$231,COLUMN()-1,FALSE)</f>
        <v>25.17240266958391</v>
      </c>
      <c r="L183" s="323">
        <f ca="1">VLOOKUP($A183,'Price setting'!$E$343:$O$361,COLUMN()-1,FALSE)+VLOOKUP($A181,'Price setting'!$E$213:$O$231,COLUMN()-1,FALSE)</f>
        <v>25.668006082847491</v>
      </c>
    </row>
    <row r="184" spans="1:12" s="53" customFormat="1">
      <c r="A184" s="60" t="s">
        <v>51</v>
      </c>
      <c r="B184" s="355" t="s">
        <v>166</v>
      </c>
      <c r="C184" s="59" t="s">
        <v>124</v>
      </c>
      <c r="D184" s="168" t="s">
        <v>75</v>
      </c>
      <c r="E184" s="169" t="s">
        <v>182</v>
      </c>
      <c r="F184" s="316">
        <f>VLOOKUP($A184,'Price setting'!$E$408:$O$426,COLUMN()-1,FALSE)+VLOOKUP($A181,'Price setting'!$E$213:$O$231,COLUMN()-1,FALSE)</f>
        <v>0</v>
      </c>
      <c r="G184" s="317">
        <f>VLOOKUP($A184,'Price setting'!$E$408:$O$426,COLUMN()-1,FALSE)+VLOOKUP($A181,'Price setting'!$E$213:$O$231,COLUMN()-1,FALSE)</f>
        <v>0</v>
      </c>
      <c r="H184" s="317">
        <f ca="1">VLOOKUP($A184,'Price setting'!$E$408:$O$426,COLUMN()-1,FALSE)+VLOOKUP($A181,'Price setting'!$E$213:$O$231,COLUMN()-1,FALSE)</f>
        <v>24.988501742217611</v>
      </c>
      <c r="I184" s="317">
        <f ca="1">VLOOKUP($A184,'Price setting'!$E$408:$O$426,COLUMN()-1,FALSE)+VLOOKUP($A181,'Price setting'!$E$213:$O$231,COLUMN()-1,FALSE)</f>
        <v>25.256981277580891</v>
      </c>
      <c r="J184" s="317">
        <f ca="1">VLOOKUP($A184,'Price setting'!$E$408:$O$426,COLUMN()-1,FALSE)+VLOOKUP($A181,'Price setting'!$E$213:$O$231,COLUMN()-1,FALSE)</f>
        <v>25.664915257980702</v>
      </c>
      <c r="K184" s="317">
        <f ca="1">VLOOKUP($A184,'Price setting'!$E$408:$O$426,COLUMN()-1,FALSE)+VLOOKUP($A181,'Price setting'!$E$213:$O$231,COLUMN()-1,FALSE)</f>
        <v>25.983224504765598</v>
      </c>
      <c r="L184" s="323">
        <f ca="1">VLOOKUP($A184,'Price setting'!$E$408:$O$426,COLUMN()-1,FALSE)+VLOOKUP($A181,'Price setting'!$E$213:$O$231,COLUMN()-1,FALSE)</f>
        <v>26.478827918029179</v>
      </c>
    </row>
    <row r="185" spans="1:12" s="53" customFormat="1">
      <c r="A185" s="60" t="s">
        <v>51</v>
      </c>
      <c r="B185" s="355" t="s">
        <v>167</v>
      </c>
      <c r="C185" s="59" t="s">
        <v>122</v>
      </c>
      <c r="D185" s="170" t="s">
        <v>88</v>
      </c>
      <c r="E185" s="169" t="s">
        <v>182</v>
      </c>
      <c r="F185" s="262">
        <f>INDEX(WSX,ROW(Input!B$23)-5,COLUMN()+1)*Input!$H$441</f>
        <v>273.68509999999998</v>
      </c>
      <c r="G185" s="263">
        <f>INDEX(WSX,ROW(Input!C$23)-5,COLUMN()+1)*Input!$H$441</f>
        <v>260.83038219091361</v>
      </c>
      <c r="H185" s="263">
        <f>INDEX(WSX,ROW(Input!D$23)-5,COLUMN()+1)*Input!$H$441</f>
        <v>224.88310000000001</v>
      </c>
      <c r="I185" s="263">
        <f>INDEX(WSX,ROW(Input!E$23)-5,COLUMN()+1)*Input!$H$441</f>
        <v>193.29310000000001</v>
      </c>
      <c r="J185" s="263">
        <f>INDEX(WSX,ROW(Input!F$23)-5,COLUMN()+1)*Input!$H$441</f>
        <v>165.94110000000001</v>
      </c>
      <c r="K185" s="263">
        <f>INDEX(WSX,ROW(Input!G$23)-5,COLUMN()+1)*Input!$H$441</f>
        <v>142.23820000000001</v>
      </c>
      <c r="L185" s="264">
        <f>INDEX(WSX,ROW(Input!H$23)-5,COLUMN()+1)*Input!$H$441</f>
        <v>121.67870000000001</v>
      </c>
    </row>
    <row r="186" spans="1:12" s="53" customFormat="1">
      <c r="A186" s="60" t="s">
        <v>51</v>
      </c>
      <c r="B186" s="355" t="s">
        <v>168</v>
      </c>
      <c r="C186" s="59" t="s">
        <v>123</v>
      </c>
      <c r="D186" s="170" t="s">
        <v>88</v>
      </c>
      <c r="E186" s="169" t="s">
        <v>182</v>
      </c>
      <c r="F186" s="262">
        <f>+INDEX(WSX,ROW(Input!B$24)-5,COLUMN()+1)*Input!$H$441</f>
        <v>364.34320000000002</v>
      </c>
      <c r="G186" s="263">
        <f>+INDEX(WSX,ROW(Input!C$24)-5,COLUMN()+1)*Input!$H$441</f>
        <v>383.24291780908641</v>
      </c>
      <c r="H186" s="263">
        <f>+INDEX(WSX,ROW(Input!D$24)-5,COLUMN()+1)*Input!$H$441</f>
        <v>426.25700000000001</v>
      </c>
      <c r="I186" s="263">
        <f>+INDEX(WSX,ROW(Input!E$24)-5,COLUMN()+1)*Input!$H$441</f>
        <v>464.08700000000005</v>
      </c>
      <c r="J186" s="263">
        <f>+INDEX(WSX,ROW(Input!F$24)-5,COLUMN()+1)*Input!$H$441</f>
        <v>497.67899999999997</v>
      </c>
      <c r="K186" s="263">
        <f>+INDEX(WSX,ROW(Input!G$24)-5,COLUMN()+1)*Input!$H$441</f>
        <v>527.62189999999998</v>
      </c>
      <c r="L186" s="264">
        <f>+INDEX(WSX,ROW(Input!H$24)-5,COLUMN()+1)*Input!$H$441</f>
        <v>554.42140000000006</v>
      </c>
    </row>
    <row r="187" spans="1:12" s="53" customFormat="1">
      <c r="A187" s="60" t="s">
        <v>51</v>
      </c>
      <c r="B187" s="355" t="s">
        <v>169</v>
      </c>
      <c r="C187" s="59" t="s">
        <v>139</v>
      </c>
      <c r="D187" s="170" t="s">
        <v>74</v>
      </c>
      <c r="E187" s="169" t="s">
        <v>182</v>
      </c>
      <c r="F187" s="262">
        <f>VLOOKUP($A187,'Price setting'!$E$488:$O$506,COLUMN()-1,FALSE)</f>
        <v>0</v>
      </c>
      <c r="G187" s="263">
        <f>VLOOKUP($A187,'Price setting'!$E$488:$O$506,COLUMN()-1,FALSE)</f>
        <v>0</v>
      </c>
      <c r="H187" s="263">
        <f ca="1">VLOOKUP($A187,'Price setting'!$E$488:$O$506,COLUMN()-1,FALSE)</f>
        <v>0.49635807387573916</v>
      </c>
      <c r="I187" s="263">
        <f ca="1">VLOOKUP($A187,'Price setting'!$E$488:$O$506,COLUMN()-1,FALSE)</f>
        <v>0.47000210179617852</v>
      </c>
      <c r="J187" s="263">
        <f ca="1">VLOOKUP($A187,'Price setting'!$E$488:$O$506,COLUMN()-1,FALSE)</f>
        <v>0.59329664812194283</v>
      </c>
      <c r="K187" s="263">
        <f ca="1">VLOOKUP($A187,'Price setting'!$E$488:$O$506,COLUMN()-1,FALSE)</f>
        <v>0.57213809103597535</v>
      </c>
      <c r="L187" s="264">
        <f ca="1">VLOOKUP($A187,'Price setting'!$E$488:$O$506,COLUMN()-1,FALSE)</f>
        <v>0.52725936934663575</v>
      </c>
    </row>
    <row r="188" spans="1:12" s="53" customFormat="1">
      <c r="A188" s="60" t="str">
        <f>+A187</f>
        <v>WSX</v>
      </c>
      <c r="B188" s="355" t="s">
        <v>170</v>
      </c>
      <c r="C188" s="59" t="s">
        <v>67</v>
      </c>
      <c r="D188" s="170" t="s">
        <v>171</v>
      </c>
      <c r="E188" s="169" t="s">
        <v>182</v>
      </c>
      <c r="F188" s="320">
        <f>+Input!$H$441</f>
        <v>1.3</v>
      </c>
      <c r="G188" s="321">
        <f>+Input!$H$441</f>
        <v>1.3</v>
      </c>
      <c r="H188" s="321">
        <f>+Input!$H$441</f>
        <v>1.3</v>
      </c>
      <c r="I188" s="321">
        <f>+Input!$H$441</f>
        <v>1.3</v>
      </c>
      <c r="J188" s="321">
        <f>+Input!$H$441</f>
        <v>1.3</v>
      </c>
      <c r="K188" s="321">
        <f>+Input!$H$441</f>
        <v>1.3</v>
      </c>
      <c r="L188" s="322">
        <f>+Input!$H$441</f>
        <v>1.3</v>
      </c>
    </row>
    <row r="189" spans="1:12" s="53" customFormat="1">
      <c r="A189" s="60" t="str">
        <f t="shared" ref="A189:A201" si="7">+A188</f>
        <v>WSX</v>
      </c>
      <c r="B189" s="355" t="s">
        <v>194</v>
      </c>
      <c r="C189" s="59" t="s">
        <v>185</v>
      </c>
      <c r="D189" s="168" t="s">
        <v>75</v>
      </c>
      <c r="E189" s="169" t="s">
        <v>182</v>
      </c>
      <c r="F189" s="316">
        <f ca="1">VLOOKUP(A189,'Price setting'!$E$89:$I$106,COLUMN()-1,FALSE)</f>
        <v>19.063371633673388</v>
      </c>
      <c r="G189" s="317"/>
      <c r="H189" s="317"/>
      <c r="I189" s="317"/>
      <c r="J189" s="317"/>
      <c r="K189" s="317"/>
      <c r="L189" s="323"/>
    </row>
    <row r="190" spans="1:12" s="53" customFormat="1">
      <c r="A190" s="60" t="str">
        <f t="shared" si="7"/>
        <v>WSX</v>
      </c>
      <c r="B190" s="355" t="s">
        <v>195</v>
      </c>
      <c r="C190" s="59" t="s">
        <v>186</v>
      </c>
      <c r="D190" s="168" t="s">
        <v>75</v>
      </c>
      <c r="E190" s="169" t="s">
        <v>182</v>
      </c>
      <c r="F190" s="316">
        <f ca="1">VLOOKUP(A190,'Price setting'!E$254:I$271,COLUMN()-1,FALSE)+VLOOKUP(A189,'Price setting'!$E$89:$I$106,COLUMN()-1,FALSE)</f>
        <v>23.93937134812667</v>
      </c>
      <c r="G190" s="317"/>
      <c r="H190" s="317"/>
      <c r="I190" s="317"/>
      <c r="J190" s="317"/>
      <c r="K190" s="317"/>
      <c r="L190" s="323"/>
    </row>
    <row r="191" spans="1:12" s="53" customFormat="1">
      <c r="A191" s="60" t="str">
        <f t="shared" si="7"/>
        <v>WSX</v>
      </c>
      <c r="B191" s="355" t="s">
        <v>196</v>
      </c>
      <c r="C191" s="59" t="s">
        <v>187</v>
      </c>
      <c r="D191" s="168" t="s">
        <v>75</v>
      </c>
      <c r="E191" s="169" t="s">
        <v>182</v>
      </c>
      <c r="F191" s="316">
        <f ca="1">VLOOKUP(A191,'Price setting'!E$319:I$336,COLUMN()-1,FALSE)+VLOOKUP(A189,'Price setting'!$E$89:$I$106,COLUMN()-1,FALSE)</f>
        <v>23.937680922092255</v>
      </c>
      <c r="G191" s="317"/>
      <c r="H191" s="317"/>
      <c r="I191" s="317"/>
      <c r="J191" s="317"/>
      <c r="K191" s="317"/>
      <c r="L191" s="323"/>
    </row>
    <row r="192" spans="1:12" s="53" customFormat="1">
      <c r="A192" s="60" t="str">
        <f t="shared" si="7"/>
        <v>WSX</v>
      </c>
      <c r="B192" s="355" t="s">
        <v>197</v>
      </c>
      <c r="C192" s="59" t="s">
        <v>188</v>
      </c>
      <c r="D192" s="168" t="s">
        <v>75</v>
      </c>
      <c r="E192" s="169" t="s">
        <v>182</v>
      </c>
      <c r="F192" s="316">
        <f ca="1">(VLOOKUP(A192,'Price setting'!E$384:I$401,COLUMN()-1,FALSE)+VLOOKUP(A189,'Price setting'!$E$89:$I$106,COLUMN()-1,FALSE))*+Input!$H$441</f>
        <v>32.046971854322834</v>
      </c>
      <c r="G192" s="317"/>
      <c r="H192" s="317"/>
      <c r="I192" s="317"/>
      <c r="J192" s="317"/>
      <c r="K192" s="317"/>
      <c r="L192" s="323"/>
    </row>
    <row r="193" spans="1:12" s="53" customFormat="1">
      <c r="A193" s="60" t="str">
        <f t="shared" si="7"/>
        <v>WSX</v>
      </c>
      <c r="B193" s="355" t="s">
        <v>198</v>
      </c>
      <c r="C193" s="59" t="s">
        <v>189</v>
      </c>
      <c r="D193" s="168" t="s">
        <v>75</v>
      </c>
      <c r="E193" s="169" t="s">
        <v>182</v>
      </c>
      <c r="F193" s="316">
        <f ca="1">VLOOKUP(A193,'Price setting'!E$89:I$106,COLUMN()-1,FALSE)*+Input!$H$441</f>
        <v>24.782383123775404</v>
      </c>
      <c r="G193" s="317"/>
      <c r="H193" s="317"/>
      <c r="I193" s="317"/>
      <c r="J193" s="317"/>
      <c r="K193" s="317"/>
      <c r="L193" s="323"/>
    </row>
    <row r="194" spans="1:12" s="53" customFormat="1">
      <c r="A194" s="60" t="str">
        <f t="shared" si="7"/>
        <v>WSX</v>
      </c>
      <c r="B194" s="356" t="s">
        <v>204</v>
      </c>
      <c r="C194" s="59" t="s">
        <v>203</v>
      </c>
      <c r="D194" s="168" t="s">
        <v>75</v>
      </c>
      <c r="E194" s="169" t="s">
        <v>182</v>
      </c>
      <c r="F194" s="316"/>
      <c r="G194" s="317"/>
      <c r="H194" s="317">
        <f ca="1">VLOOKUP($A194,'Price setting'!$E$213:$O$230,COLUMN()-1,FALSE)</f>
        <v>19.576183166731937</v>
      </c>
      <c r="I194" s="317">
        <f ca="1">VLOOKUP($A194,'Price setting'!$E$213:$O$230,COLUMN()-1,FALSE)</f>
        <v>20.020489303953717</v>
      </c>
      <c r="J194" s="317">
        <f ca="1">VLOOKUP($A194,'Price setting'!$E$213:$O$230,COLUMN()-1,FALSE)</f>
        <v>20.604249886212031</v>
      </c>
      <c r="K194" s="317">
        <f ca="1">VLOOKUP($A194,'Price setting'!$E$213:$O$230,COLUMN()-1,FALSE)</f>
        <v>21.09838573485543</v>
      </c>
      <c r="L194" s="323">
        <f ca="1">VLOOKUP($A194,'Price setting'!$E$213:$O$230,COLUMN()-1,FALSE)</f>
        <v>21.593989148119011</v>
      </c>
    </row>
    <row r="195" spans="1:12" s="53" customFormat="1" ht="12" customHeight="1">
      <c r="A195" s="60" t="str">
        <f t="shared" si="7"/>
        <v>WSX</v>
      </c>
      <c r="B195" s="355" t="s">
        <v>199</v>
      </c>
      <c r="C195" s="59" t="s">
        <v>190</v>
      </c>
      <c r="D195" s="168" t="s">
        <v>75</v>
      </c>
      <c r="E195" s="169" t="s">
        <v>182</v>
      </c>
      <c r="F195" s="316"/>
      <c r="G195" s="317"/>
      <c r="H195" s="317">
        <f ca="1">VLOOKUP($A194,'Price setting'!$E$213:$O$230,COLUMN()-1,FALSE)*+Input!$H$441</f>
        <v>25.44903811675152</v>
      </c>
      <c r="I195" s="317">
        <f ca="1">VLOOKUP($A194,'Price setting'!$E$213:$O$230,COLUMN()-1,FALSE)*+Input!$H$441</f>
        <v>26.026636095139832</v>
      </c>
      <c r="J195" s="317">
        <f ca="1">VLOOKUP($A194,'Price setting'!$E$213:$O$230,COLUMN()-1,FALSE)*+Input!$H$441</f>
        <v>26.785524852075643</v>
      </c>
      <c r="K195" s="317">
        <f ca="1">VLOOKUP($A194,'Price setting'!$E$213:$O$230,COLUMN()-1,FALSE)*+Input!$H$441</f>
        <v>27.42790145531206</v>
      </c>
      <c r="L195" s="323">
        <f ca="1">VLOOKUP($A194,'Price setting'!$E$213:$O$230,COLUMN()-1,FALSE)*+Input!$H$441</f>
        <v>28.072185892554714</v>
      </c>
    </row>
    <row r="196" spans="1:12" s="53" customFormat="1" ht="12" customHeight="1">
      <c r="A196" s="60" t="str">
        <f t="shared" si="7"/>
        <v>WSX</v>
      </c>
      <c r="B196" s="355" t="s">
        <v>200</v>
      </c>
      <c r="C196" s="59" t="s">
        <v>191</v>
      </c>
      <c r="D196" s="168" t="s">
        <v>75</v>
      </c>
      <c r="E196" s="169" t="s">
        <v>182</v>
      </c>
      <c r="F196" s="316"/>
      <c r="G196" s="317"/>
      <c r="H196" s="317">
        <f ca="1">VLOOKUP($A196,'Price setting'!$E$278:$O$295,COLUMN()-1,FALSE)+VLOOKUP($A194,'Price setting'!$E$213:$O$230,COLUMN()-1,FALSE)</f>
        <v>24.452182881185223</v>
      </c>
      <c r="I196" s="317">
        <f ca="1">VLOOKUP($A196,'Price setting'!$E$278:$O$295,COLUMN()-1,FALSE)+VLOOKUP($A194,'Price setting'!$E$213:$O$230,COLUMN()-1,FALSE)</f>
        <v>24.896489018407003</v>
      </c>
      <c r="J196" s="317">
        <f ca="1">VLOOKUP($A196,'Price setting'!$E$278:$O$295,COLUMN()-1,FALSE)+VLOOKUP($A194,'Price setting'!$E$213:$O$230,COLUMN()-1,FALSE)</f>
        <v>25.480249600665317</v>
      </c>
      <c r="K196" s="317">
        <f ca="1">VLOOKUP($A196,'Price setting'!$E$278:$O$295,COLUMN()-1,FALSE)+VLOOKUP($A194,'Price setting'!$E$213:$O$230,COLUMN()-1,FALSE)</f>
        <v>25.974385449308713</v>
      </c>
      <c r="L196" s="323">
        <f ca="1">VLOOKUP($A196,'Price setting'!$E$278:$O$295,COLUMN()-1,FALSE)+VLOOKUP($A194,'Price setting'!$E$213:$O$230,COLUMN()-1,FALSE)</f>
        <v>26.469988862572293</v>
      </c>
    </row>
    <row r="197" spans="1:12" s="53" customFormat="1" ht="12" customHeight="1">
      <c r="A197" s="60" t="str">
        <f t="shared" si="7"/>
        <v>WSX</v>
      </c>
      <c r="B197" s="355" t="s">
        <v>201</v>
      </c>
      <c r="C197" s="59" t="s">
        <v>192</v>
      </c>
      <c r="D197" s="168" t="s">
        <v>75</v>
      </c>
      <c r="E197" s="169" t="s">
        <v>182</v>
      </c>
      <c r="F197" s="316"/>
      <c r="G197" s="317"/>
      <c r="H197" s="317">
        <f ca="1">VLOOKUP($A197,'Price setting'!$E$343:$O$360,COLUMN()-1,FALSE)+VLOOKUP($A194,'Price setting'!$E$213:$O$230,COLUMN()-1,FALSE)</f>
        <v>24.250419366728206</v>
      </c>
      <c r="I197" s="317">
        <f ca="1">VLOOKUP($A197,'Price setting'!$E$343:$O$360,COLUMN()-1,FALSE)+VLOOKUP($A194,'Price setting'!$E$213:$O$230,COLUMN()-1,FALSE)</f>
        <v>24.494652415527391</v>
      </c>
      <c r="J197" s="317">
        <f ca="1">VLOOKUP($A197,'Price setting'!$E$343:$O$360,COLUMN()-1,FALSE)+VLOOKUP($A194,'Price setting'!$E$213:$O$230,COLUMN()-1,FALSE)</f>
        <v>24.878339909363106</v>
      </c>
      <c r="K197" s="317">
        <f ca="1">VLOOKUP($A197,'Price setting'!$E$343:$O$360,COLUMN()-1,FALSE)+VLOOKUP($A194,'Price setting'!$E$213:$O$230,COLUMN()-1,FALSE)</f>
        <v>25.17240266958391</v>
      </c>
      <c r="L197" s="323">
        <f ca="1">VLOOKUP($A197,'Price setting'!$E$343:$O$360,COLUMN()-1,FALSE)+VLOOKUP($A194,'Price setting'!$E$213:$O$230,COLUMN()-1,FALSE)</f>
        <v>25.668006082847491</v>
      </c>
    </row>
    <row r="198" spans="1:12" s="53" customFormat="1" ht="12" customHeight="1">
      <c r="A198" s="60" t="str">
        <f t="shared" si="7"/>
        <v>WSX</v>
      </c>
      <c r="B198" s="355" t="s">
        <v>202</v>
      </c>
      <c r="C198" s="59" t="s">
        <v>193</v>
      </c>
      <c r="D198" s="168" t="s">
        <v>75</v>
      </c>
      <c r="E198" s="169" t="s">
        <v>182</v>
      </c>
      <c r="F198" s="316"/>
      <c r="G198" s="317"/>
      <c r="H198" s="317">
        <f ca="1">(VLOOKUP($A198,'Price setting'!$E$408:$O$425,COLUMN()-1,FALSE)+VLOOKUP($A194,'Price setting'!$E$213:$O$230,COLUMN()-1,FALSE))*+Input!$H$441</f>
        <v>32.485052264882896</v>
      </c>
      <c r="I198" s="317">
        <f ca="1">(VLOOKUP($A198,'Price setting'!$E$408:$O$425,COLUMN()-1,FALSE)+VLOOKUP($A194,'Price setting'!$E$213:$O$230,COLUMN()-1,FALSE))*+Input!$H$441</f>
        <v>32.834075660855163</v>
      </c>
      <c r="J198" s="317">
        <f ca="1">(VLOOKUP($A198,'Price setting'!$E$408:$O$425,COLUMN()-1,FALSE)+VLOOKUP($A194,'Price setting'!$E$213:$O$230,COLUMN()-1,FALSE))*+Input!$H$441</f>
        <v>33.364389835374915</v>
      </c>
      <c r="K198" s="317">
        <f ca="1">(VLOOKUP($A198,'Price setting'!$E$408:$O$425,COLUMN()-1,FALSE)+VLOOKUP($A194,'Price setting'!$E$213:$O$230,COLUMN()-1,FALSE))*+Input!$H$441</f>
        <v>33.778191856195278</v>
      </c>
      <c r="L198" s="323">
        <f ca="1">(VLOOKUP($A198,'Price setting'!$E$408:$O$425,COLUMN()-1,FALSE)+VLOOKUP($A194,'Price setting'!$E$213:$O$230,COLUMN()-1,FALSE))*+Input!$H$441</f>
        <v>34.422476293437931</v>
      </c>
    </row>
    <row r="199" spans="1:12" s="53" customFormat="1" ht="12" customHeight="1">
      <c r="A199" s="60" t="str">
        <f t="shared" si="7"/>
        <v>WSX</v>
      </c>
      <c r="B199" s="355" t="s">
        <v>208</v>
      </c>
      <c r="C199" s="59" t="s">
        <v>205</v>
      </c>
      <c r="D199" s="168" t="s">
        <v>75</v>
      </c>
      <c r="E199" s="169" t="s">
        <v>182</v>
      </c>
      <c r="F199" s="262">
        <f ca="1">VLOOKUP($A199,'Price setting'!$E$49:$I$66,COLUMN()-1,FALSE)</f>
        <v>0.48186732647182223</v>
      </c>
      <c r="G199" s="263"/>
      <c r="H199" s="263"/>
      <c r="I199" s="263"/>
      <c r="J199" s="263"/>
      <c r="K199" s="263"/>
      <c r="L199" s="264"/>
    </row>
    <row r="200" spans="1:12" s="53" customFormat="1" ht="12" customHeight="1">
      <c r="A200" s="60" t="str">
        <f t="shared" si="7"/>
        <v>WSX</v>
      </c>
      <c r="B200" s="355" t="s">
        <v>206</v>
      </c>
      <c r="C200" s="59" t="s">
        <v>132</v>
      </c>
      <c r="D200" s="168" t="s">
        <v>74</v>
      </c>
      <c r="E200" s="169" t="s">
        <v>182</v>
      </c>
      <c r="F200" s="262">
        <f ca="1">'Used inputs'!I124</f>
        <v>26.500035090088808</v>
      </c>
      <c r="G200" s="263">
        <f>'Used inputs'!J124</f>
        <v>26.923035650206145</v>
      </c>
      <c r="H200" s="263">
        <f ca="1">'Used inputs'!K124</f>
        <v>27.518036438077957</v>
      </c>
      <c r="I200" s="263">
        <f ca="1">'Used inputs'!L124</f>
        <v>28.111037223301437</v>
      </c>
      <c r="J200" s="263">
        <f ca="1">'Used inputs'!M124</f>
        <v>28.688037987338415</v>
      </c>
      <c r="K200" s="263">
        <f ca="1">'Used inputs'!N124</f>
        <v>29.237038714299143</v>
      </c>
      <c r="L200" s="264">
        <f ca="1">'Used inputs'!O124</f>
        <v>29.760039406831837</v>
      </c>
    </row>
    <row r="201" spans="1:12" s="53" customFormat="1" ht="12" customHeight="1">
      <c r="A201" s="60" t="str">
        <f t="shared" si="7"/>
        <v>WSX</v>
      </c>
      <c r="B201" s="355" t="s">
        <v>207</v>
      </c>
      <c r="C201" s="59" t="s">
        <v>157</v>
      </c>
      <c r="D201" s="168" t="s">
        <v>74</v>
      </c>
      <c r="E201" s="169" t="s">
        <v>182</v>
      </c>
      <c r="F201" s="262">
        <f>'Used inputs'!I137</f>
        <v>0.45115259675464298</v>
      </c>
      <c r="G201" s="263">
        <f>'Used inputs'!J137</f>
        <v>0.5390007137191658</v>
      </c>
      <c r="H201" s="263">
        <f>'Used inputs'!K137</f>
        <v>1.5238729350550329</v>
      </c>
      <c r="I201" s="263">
        <f>'Used inputs'!L137</f>
        <v>2.1448729350550333</v>
      </c>
      <c r="J201" s="263">
        <f>'Used inputs'!M137</f>
        <v>2.8088729350550325</v>
      </c>
      <c r="K201" s="263">
        <f>'Used inputs'!N137</f>
        <v>3.514872935055033</v>
      </c>
      <c r="L201" s="264">
        <f>'Used inputs'!O137</f>
        <v>4.2618729350550328</v>
      </c>
    </row>
    <row r="202" spans="1:12" s="53" customFormat="1">
      <c r="A202" s="60" t="s">
        <v>52</v>
      </c>
      <c r="B202" s="355" t="s">
        <v>162</v>
      </c>
      <c r="C202" s="59" t="s">
        <v>175</v>
      </c>
      <c r="D202" s="169" t="s">
        <v>74</v>
      </c>
      <c r="E202" s="169" t="s">
        <v>182</v>
      </c>
      <c r="F202" s="262">
        <f>VLOOKUP($A202,'Price setting'!$E$448:$O$466,COLUMN()-1,FALSE)</f>
        <v>0</v>
      </c>
      <c r="G202" s="263">
        <f>VLOOKUP($A202,'Price setting'!$E$448:$O$466,COLUMN()-1,FALSE)</f>
        <v>0</v>
      </c>
      <c r="H202" s="263">
        <f ca="1">VLOOKUP($A202,'Price setting'!$E$448:$O$466,COLUMN()-1,FALSE)</f>
        <v>51.773516277613879</v>
      </c>
      <c r="I202" s="263">
        <f ca="1">VLOOKUP($A202,'Price setting'!$E$448:$O$466,COLUMN()-1,FALSE)</f>
        <v>53.243877186477626</v>
      </c>
      <c r="J202" s="263">
        <f ca="1">VLOOKUP($A202,'Price setting'!$E$448:$O$466,COLUMN()-1,FALSE)</f>
        <v>54.916822106802741</v>
      </c>
      <c r="K202" s="263">
        <f ca="1">VLOOKUP($A202,'Price setting'!$E$448:$O$466,COLUMN()-1,FALSE)</f>
        <v>56.716900341790591</v>
      </c>
      <c r="L202" s="264">
        <f ca="1">VLOOKUP($A202,'Price setting'!$E$448:$O$466,COLUMN()-1,FALSE)</f>
        <v>58.595779342575653</v>
      </c>
    </row>
    <row r="203" spans="1:12" s="53" customFormat="1">
      <c r="A203" s="60" t="s">
        <v>52</v>
      </c>
      <c r="B203" s="355" t="s">
        <v>163</v>
      </c>
      <c r="C203" s="59" t="s">
        <v>118</v>
      </c>
      <c r="D203" s="168" t="s">
        <v>75</v>
      </c>
      <c r="E203" s="169" t="s">
        <v>182</v>
      </c>
      <c r="F203" s="316">
        <f>VLOOKUP($A203,'Price setting'!$E$213:$O$231,COLUMN()-1,FALSE)</f>
        <v>0</v>
      </c>
      <c r="G203" s="317">
        <f>VLOOKUP($A203,'Price setting'!$E$213:$O$231,COLUMN()-1,FALSE)</f>
        <v>0</v>
      </c>
      <c r="H203" s="317">
        <f ca="1">VLOOKUP($A203,'Price setting'!$E$213:$O$231,COLUMN()-1,FALSE)</f>
        <v>16.920410990440981</v>
      </c>
      <c r="I203" s="317">
        <f ca="1">VLOOKUP($A203,'Price setting'!$E$213:$O$231,COLUMN()-1,FALSE)</f>
        <v>17.211425919571642</v>
      </c>
      <c r="J203" s="317">
        <f ca="1">VLOOKUP($A203,'Price setting'!$E$213:$O$231,COLUMN()-1,FALSE)</f>
        <v>17.513819995984726</v>
      </c>
      <c r="K203" s="317">
        <f ca="1">VLOOKUP($A203,'Price setting'!$E$213:$O$231,COLUMN()-1,FALSE)</f>
        <v>17.817850088260617</v>
      </c>
      <c r="L203" s="323">
        <f ca="1">VLOOKUP($A203,'Price setting'!$E$213:$O$231,COLUMN()-1,FALSE)</f>
        <v>18.111275961428369</v>
      </c>
    </row>
    <row r="204" spans="1:12" s="53" customFormat="1">
      <c r="A204" s="60" t="s">
        <v>52</v>
      </c>
      <c r="B204" s="355" t="s">
        <v>164</v>
      </c>
      <c r="C204" s="59" t="s">
        <v>119</v>
      </c>
      <c r="D204" s="168" t="s">
        <v>75</v>
      </c>
      <c r="E204" s="169" t="s">
        <v>182</v>
      </c>
      <c r="F204" s="316">
        <f>VLOOKUP($A204,'Price setting'!$E$278:$O$296,COLUMN()-1,FALSE)+VLOOKUP($A203,'Price setting'!$E$213:$O$231,COLUMN()-1,FALSE)</f>
        <v>0</v>
      </c>
      <c r="G204" s="317">
        <f>VLOOKUP($A204,'Price setting'!$E$278:$O$296,COLUMN()-1,FALSE)+VLOOKUP($A203,'Price setting'!$E$213:$O$231,COLUMN()-1,FALSE)</f>
        <v>0</v>
      </c>
      <c r="H204" s="317">
        <f ca="1">VLOOKUP($A204,'Price setting'!$E$278:$O$296,COLUMN()-1,FALSE)+VLOOKUP($A203,'Price setting'!$E$213:$O$231,COLUMN()-1,FALSE)</f>
        <v>21.740818810577117</v>
      </c>
      <c r="I204" s="317">
        <f ca="1">VLOOKUP($A204,'Price setting'!$E$278:$O$296,COLUMN()-1,FALSE)+VLOOKUP($A203,'Price setting'!$E$213:$O$231,COLUMN()-1,FALSE)</f>
        <v>22.019577572991906</v>
      </c>
      <c r="J204" s="317">
        <f ca="1">VLOOKUP($A204,'Price setting'!$E$278:$O$296,COLUMN()-1,FALSE)+VLOOKUP($A203,'Price setting'!$E$213:$O$231,COLUMN()-1,FALSE)</f>
        <v>22.331291848089499</v>
      </c>
      <c r="K204" s="317">
        <f ca="1">VLOOKUP($A204,'Price setting'!$E$278:$O$296,COLUMN()-1,FALSE)+VLOOKUP($A203,'Price setting'!$E$213:$O$231,COLUMN()-1,FALSE)</f>
        <v>22.65923961329807</v>
      </c>
      <c r="L204" s="323">
        <f ca="1">VLOOKUP($A204,'Price setting'!$E$278:$O$296,COLUMN()-1,FALSE)+VLOOKUP($A203,'Price setting'!$E$213:$O$231,COLUMN()-1,FALSE)</f>
        <v>23.015791357309723</v>
      </c>
    </row>
    <row r="205" spans="1:12" s="53" customFormat="1">
      <c r="A205" s="60" t="s">
        <v>52</v>
      </c>
      <c r="B205" s="355" t="s">
        <v>165</v>
      </c>
      <c r="C205" s="59" t="s">
        <v>120</v>
      </c>
      <c r="D205" s="168" t="s">
        <v>75</v>
      </c>
      <c r="E205" s="169" t="s">
        <v>182</v>
      </c>
      <c r="F205" s="316">
        <f>VLOOKUP($A205,'Price setting'!$E$343:$O$361,COLUMN()-1,FALSE)+VLOOKUP($A203,'Price setting'!$E$213:$O$231,COLUMN()-1,FALSE)</f>
        <v>0</v>
      </c>
      <c r="G205" s="317">
        <f>VLOOKUP($A205,'Price setting'!$E$343:$O$361,COLUMN()-1,FALSE)+VLOOKUP($A203,'Price setting'!$E$213:$O$231,COLUMN()-1,FALSE)</f>
        <v>0</v>
      </c>
      <c r="H205" s="317">
        <f ca="1">VLOOKUP($A205,'Price setting'!$E$343:$O$361,COLUMN()-1,FALSE)+VLOOKUP($A203,'Price setting'!$E$213:$O$231,COLUMN()-1,FALSE)</f>
        <v>22.147153931545379</v>
      </c>
      <c r="I205" s="317">
        <f ca="1">VLOOKUP($A205,'Price setting'!$E$343:$O$361,COLUMN()-1,FALSE)+VLOOKUP($A203,'Price setting'!$E$213:$O$231,COLUMN()-1,FALSE)</f>
        <v>22.173799188453806</v>
      </c>
      <c r="J205" s="317">
        <f ca="1">VLOOKUP($A205,'Price setting'!$E$343:$O$361,COLUMN()-1,FALSE)+VLOOKUP($A203,'Price setting'!$E$213:$O$231,COLUMN()-1,FALSE)</f>
        <v>22.032015097790048</v>
      </c>
      <c r="K205" s="317">
        <f ca="1">VLOOKUP($A205,'Price setting'!$E$343:$O$361,COLUMN()-1,FALSE)+VLOOKUP($A203,'Price setting'!$E$213:$O$231,COLUMN()-1,FALSE)</f>
        <v>21.891867022989096</v>
      </c>
      <c r="L205" s="323">
        <f ca="1">VLOOKUP($A205,'Price setting'!$E$343:$O$361,COLUMN()-1,FALSE)+VLOOKUP($A203,'Price setting'!$E$213:$O$231,COLUMN()-1,FALSE)</f>
        <v>22.185292896156849</v>
      </c>
    </row>
    <row r="206" spans="1:12" s="53" customFormat="1">
      <c r="A206" s="60" t="s">
        <v>52</v>
      </c>
      <c r="B206" s="355" t="s">
        <v>166</v>
      </c>
      <c r="C206" s="59" t="s">
        <v>124</v>
      </c>
      <c r="D206" s="168" t="s">
        <v>75</v>
      </c>
      <c r="E206" s="169" t="s">
        <v>182</v>
      </c>
      <c r="F206" s="316">
        <f>VLOOKUP($A206,'Price setting'!$E$408:$O$426,COLUMN()-1,FALSE)+VLOOKUP($A203,'Price setting'!$E$213:$O$231,COLUMN()-1,FALSE)</f>
        <v>0</v>
      </c>
      <c r="G206" s="317">
        <f>VLOOKUP($A206,'Price setting'!$E$408:$O$426,COLUMN()-1,FALSE)+VLOOKUP($A203,'Price setting'!$E$213:$O$231,COLUMN()-1,FALSE)</f>
        <v>0</v>
      </c>
      <c r="H206" s="317">
        <f ca="1">VLOOKUP($A206,'Price setting'!$E$408:$O$426,COLUMN()-1,FALSE)+VLOOKUP($A203,'Price setting'!$E$213:$O$231,COLUMN()-1,FALSE)</f>
        <v>21.331994659816608</v>
      </c>
      <c r="I206" s="317">
        <f ca="1">VLOOKUP($A206,'Price setting'!$E$408:$O$426,COLUMN()-1,FALSE)+VLOOKUP($A203,'Price setting'!$E$213:$O$231,COLUMN()-1,FALSE)</f>
        <v>21.637446926249254</v>
      </c>
      <c r="J206" s="317">
        <f ca="1">VLOOKUP($A206,'Price setting'!$E$408:$O$426,COLUMN()-1,FALSE)+VLOOKUP($A203,'Price setting'!$E$213:$O$231,COLUMN()-1,FALSE)</f>
        <v>21.963762214772906</v>
      </c>
      <c r="K206" s="317">
        <f ca="1">VLOOKUP($A206,'Price setting'!$E$408:$O$426,COLUMN()-1,FALSE)+VLOOKUP($A203,'Price setting'!$E$213:$O$231,COLUMN()-1,FALSE)</f>
        <v>22.319545567696878</v>
      </c>
      <c r="L206" s="323">
        <f ca="1">VLOOKUP($A206,'Price setting'!$E$408:$O$426,COLUMN()-1,FALSE)+VLOOKUP($A203,'Price setting'!$E$213:$O$231,COLUMN()-1,FALSE)</f>
        <v>22.67778275418237</v>
      </c>
    </row>
    <row r="207" spans="1:12" s="53" customFormat="1">
      <c r="A207" s="60" t="s">
        <v>52</v>
      </c>
      <c r="B207" s="355" t="s">
        <v>167</v>
      </c>
      <c r="C207" s="59" t="s">
        <v>122</v>
      </c>
      <c r="D207" s="170" t="s">
        <v>88</v>
      </c>
      <c r="E207" s="169" t="s">
        <v>182</v>
      </c>
      <c r="F207" s="262">
        <f>INDEX(YKY,ROW(Input!B$23)-5,COLUMN()+1)*Input!$H$441</f>
        <v>1327.7173</v>
      </c>
      <c r="G207" s="263">
        <f>INDEX(YKY,ROW(Input!C$23)-5,COLUMN()+1)*Input!$H$441</f>
        <v>1283.1403</v>
      </c>
      <c r="H207" s="263">
        <f>INDEX(YKY,ROW(Input!D$23)-5,COLUMN()+1)*Input!$H$441</f>
        <v>1229.9573</v>
      </c>
      <c r="I207" s="263">
        <f>INDEX(YKY,ROW(Input!E$23)-5,COLUMN()+1)*Input!$H$441</f>
        <v>1180.8263999999999</v>
      </c>
      <c r="J207" s="263">
        <f>INDEX(YKY,ROW(Input!F$23)-5,COLUMN()+1)*Input!$H$441</f>
        <v>1126.7828</v>
      </c>
      <c r="K207" s="263">
        <f>INDEX(YKY,ROW(Input!G$23)-5,COLUMN()+1)*Input!$H$441</f>
        <v>1075.1962000000001</v>
      </c>
      <c r="L207" s="264">
        <f>INDEX(YKY,ROW(Input!H$23)-5,COLUMN()+1)*Input!$H$441</f>
        <v>1028.5223000000001</v>
      </c>
    </row>
    <row r="208" spans="1:12" s="53" customFormat="1">
      <c r="A208" s="60" t="s">
        <v>52</v>
      </c>
      <c r="B208" s="355" t="s">
        <v>168</v>
      </c>
      <c r="C208" s="59" t="s">
        <v>123</v>
      </c>
      <c r="D208" s="170" t="s">
        <v>88</v>
      </c>
      <c r="E208" s="169" t="s">
        <v>182</v>
      </c>
      <c r="F208" s="262">
        <f>+INDEX(YKY,ROW(Input!B$24)-5,COLUMN()+1)*Input!$H$441</f>
        <v>1131.2470000000001</v>
      </c>
      <c r="G208" s="263">
        <f>+INDEX(YKY,ROW(Input!C$24)-5,COLUMN()+1)*Input!$H$441</f>
        <v>1189.6897999999999</v>
      </c>
      <c r="H208" s="263">
        <f>+INDEX(YKY,ROW(Input!D$24)-5,COLUMN()+1)*Input!$H$441</f>
        <v>1256.0795000000001</v>
      </c>
      <c r="I208" s="263">
        <f>+INDEX(YKY,ROW(Input!E$24)-5,COLUMN()+1)*Input!$H$441</f>
        <v>1324.9768999999999</v>
      </c>
      <c r="J208" s="263">
        <f>+INDEX(YKY,ROW(Input!F$24)-5,COLUMN()+1)*Input!$H$441</f>
        <v>1404.3925999999999</v>
      </c>
      <c r="K208" s="263">
        <f>+INDEX(YKY,ROW(Input!G$24)-5,COLUMN()+1)*Input!$H$441</f>
        <v>1484.4557</v>
      </c>
      <c r="L208" s="264">
        <f>+INDEX(YKY,ROW(Input!H$24)-5,COLUMN()+1)*Input!$H$441</f>
        <v>1561.9539</v>
      </c>
    </row>
    <row r="209" spans="1:12" s="53" customFormat="1">
      <c r="A209" s="60" t="s">
        <v>52</v>
      </c>
      <c r="B209" s="355" t="s">
        <v>169</v>
      </c>
      <c r="C209" s="59" t="s">
        <v>139</v>
      </c>
      <c r="D209" s="170" t="s">
        <v>74</v>
      </c>
      <c r="E209" s="169" t="s">
        <v>182</v>
      </c>
      <c r="F209" s="262">
        <f>VLOOKUP($A209,'Price setting'!$E$488:$O$506,COLUMN()-1,FALSE)</f>
        <v>0</v>
      </c>
      <c r="G209" s="263">
        <f>VLOOKUP($A209,'Price setting'!$E$488:$O$506,COLUMN()-1,FALSE)</f>
        <v>0</v>
      </c>
      <c r="H209" s="263">
        <f ca="1">VLOOKUP($A209,'Price setting'!$E$488:$O$506,COLUMN()-1,FALSE)</f>
        <v>7.0584323309140176E-2</v>
      </c>
      <c r="I209" s="263">
        <f ca="1">VLOOKUP($A209,'Price setting'!$E$488:$O$506,COLUMN()-1,FALSE)</f>
        <v>0.21970019974084554</v>
      </c>
      <c r="J209" s="263">
        <f ca="1">VLOOKUP($A209,'Price setting'!$E$488:$O$506,COLUMN()-1,FALSE)</f>
        <v>0.38233389383346805</v>
      </c>
      <c r="K209" s="263">
        <f ca="1">VLOOKUP($A209,'Price setting'!$E$488:$O$506,COLUMN()-1,FALSE)</f>
        <v>0.54621082122793074</v>
      </c>
      <c r="L209" s="264">
        <f ca="1">VLOOKUP($A209,'Price setting'!$E$488:$O$506,COLUMN()-1,FALSE)</f>
        <v>0.7042939108270676</v>
      </c>
    </row>
    <row r="210" spans="1:12" s="53" customFormat="1">
      <c r="A210" s="60" t="str">
        <f>+A209</f>
        <v>YKY</v>
      </c>
      <c r="B210" s="355" t="s">
        <v>170</v>
      </c>
      <c r="C210" s="59" t="s">
        <v>67</v>
      </c>
      <c r="D210" s="170" t="s">
        <v>171</v>
      </c>
      <c r="E210" s="169" t="s">
        <v>182</v>
      </c>
      <c r="F210" s="320">
        <f>+Input!$H$441</f>
        <v>1.3</v>
      </c>
      <c r="G210" s="321">
        <f>+Input!$H$441</f>
        <v>1.3</v>
      </c>
      <c r="H210" s="321">
        <f>+Input!$H$441</f>
        <v>1.3</v>
      </c>
      <c r="I210" s="321">
        <f>+Input!$H$441</f>
        <v>1.3</v>
      </c>
      <c r="J210" s="321">
        <f>+Input!$H$441</f>
        <v>1.3</v>
      </c>
      <c r="K210" s="321">
        <f>+Input!$H$441</f>
        <v>1.3</v>
      </c>
      <c r="L210" s="322">
        <f>+Input!$H$441</f>
        <v>1.3</v>
      </c>
    </row>
    <row r="211" spans="1:12" s="53" customFormat="1">
      <c r="A211" s="60" t="str">
        <f t="shared" ref="A211:A223" si="8">+A210</f>
        <v>YKY</v>
      </c>
      <c r="B211" s="355" t="s">
        <v>194</v>
      </c>
      <c r="C211" s="59" t="s">
        <v>185</v>
      </c>
      <c r="D211" s="168" t="s">
        <v>75</v>
      </c>
      <c r="E211" s="169" t="s">
        <v>182</v>
      </c>
      <c r="F211" s="316">
        <f ca="1">VLOOKUP(A211,'Price setting'!$E$89:$I$106,COLUMN()-1,FALSE)</f>
        <v>18.207570466011109</v>
      </c>
      <c r="G211" s="317"/>
      <c r="H211" s="317"/>
      <c r="I211" s="317"/>
      <c r="J211" s="317"/>
      <c r="K211" s="317"/>
      <c r="L211" s="323"/>
    </row>
    <row r="212" spans="1:12" s="53" customFormat="1">
      <c r="A212" s="60" t="str">
        <f t="shared" si="8"/>
        <v>YKY</v>
      </c>
      <c r="B212" s="355" t="s">
        <v>195</v>
      </c>
      <c r="C212" s="59" t="s">
        <v>186</v>
      </c>
      <c r="D212" s="168" t="s">
        <v>75</v>
      </c>
      <c r="E212" s="169" t="s">
        <v>182</v>
      </c>
      <c r="F212" s="316">
        <f ca="1">VLOOKUP(A212,'Price setting'!E$254:I$271,COLUMN()-1,FALSE)+VLOOKUP(A211,'Price setting'!$E$89:$I$106,COLUMN()-1,FALSE)</f>
        <v>23.591714232097619</v>
      </c>
      <c r="G212" s="317"/>
      <c r="H212" s="317"/>
      <c r="I212" s="317"/>
      <c r="J212" s="317"/>
      <c r="K212" s="317"/>
      <c r="L212" s="323"/>
    </row>
    <row r="213" spans="1:12" s="53" customFormat="1">
      <c r="A213" s="60" t="str">
        <f t="shared" si="8"/>
        <v>YKY</v>
      </c>
      <c r="B213" s="355" t="s">
        <v>196</v>
      </c>
      <c r="C213" s="59" t="s">
        <v>187</v>
      </c>
      <c r="D213" s="168" t="s">
        <v>75</v>
      </c>
      <c r="E213" s="169" t="s">
        <v>182</v>
      </c>
      <c r="F213" s="316">
        <f ca="1">VLOOKUP(A213,'Price setting'!E$319:I$336,COLUMN()-1,FALSE)+VLOOKUP(A211,'Price setting'!$E$89:$I$106,COLUMN()-1,FALSE)</f>
        <v>24.058300069046958</v>
      </c>
      <c r="G213" s="317"/>
      <c r="H213" s="317"/>
      <c r="I213" s="317"/>
      <c r="J213" s="317"/>
      <c r="K213" s="317"/>
      <c r="L213" s="323"/>
    </row>
    <row r="214" spans="1:12" s="53" customFormat="1">
      <c r="A214" s="60" t="str">
        <f t="shared" si="8"/>
        <v>YKY</v>
      </c>
      <c r="B214" s="355" t="s">
        <v>197</v>
      </c>
      <c r="C214" s="59" t="s">
        <v>188</v>
      </c>
      <c r="D214" s="168" t="s">
        <v>75</v>
      </c>
      <c r="E214" s="169" t="s">
        <v>182</v>
      </c>
      <c r="F214" s="316">
        <f ca="1">(VLOOKUP(A214,'Price setting'!E$384:I$401,COLUMN()-1,FALSE)+VLOOKUP(A211,'Price setting'!$E$89:$I$106,COLUMN()-1,FALSE))*+Input!$H$441</f>
        <v>29.82365078192732</v>
      </c>
      <c r="G214" s="317"/>
      <c r="H214" s="317"/>
      <c r="I214" s="317"/>
      <c r="J214" s="317"/>
      <c r="K214" s="317"/>
      <c r="L214" s="323"/>
    </row>
    <row r="215" spans="1:12" s="53" customFormat="1">
      <c r="A215" s="60" t="str">
        <f t="shared" si="8"/>
        <v>YKY</v>
      </c>
      <c r="B215" s="355" t="s">
        <v>198</v>
      </c>
      <c r="C215" s="59" t="s">
        <v>189</v>
      </c>
      <c r="D215" s="168" t="s">
        <v>75</v>
      </c>
      <c r="E215" s="169" t="s">
        <v>182</v>
      </c>
      <c r="F215" s="316">
        <f ca="1">VLOOKUP(A215,'Price setting'!E$89:I$106,COLUMN()-1,FALSE)*+Input!$H$441</f>
        <v>23.669841605814444</v>
      </c>
      <c r="G215" s="317"/>
      <c r="H215" s="317"/>
      <c r="I215" s="317"/>
      <c r="J215" s="317"/>
      <c r="K215" s="317"/>
      <c r="L215" s="323"/>
    </row>
    <row r="216" spans="1:12" s="53" customFormat="1">
      <c r="A216" s="60" t="str">
        <f t="shared" si="8"/>
        <v>YKY</v>
      </c>
      <c r="B216" s="356" t="s">
        <v>204</v>
      </c>
      <c r="C216" s="59" t="s">
        <v>203</v>
      </c>
      <c r="D216" s="168" t="s">
        <v>75</v>
      </c>
      <c r="E216" s="169" t="s">
        <v>182</v>
      </c>
      <c r="F216" s="316"/>
      <c r="G216" s="317"/>
      <c r="H216" s="317">
        <f ca="1">VLOOKUP($A216,'Price setting'!$E$213:$O$230,COLUMN()-1,FALSE)</f>
        <v>16.920410990440981</v>
      </c>
      <c r="I216" s="317">
        <f ca="1">VLOOKUP($A216,'Price setting'!$E$213:$O$230,COLUMN()-1,FALSE)</f>
        <v>17.211425919571642</v>
      </c>
      <c r="J216" s="317">
        <f ca="1">VLOOKUP($A216,'Price setting'!$E$213:$O$230,COLUMN()-1,FALSE)</f>
        <v>17.513819995984726</v>
      </c>
      <c r="K216" s="317">
        <f ca="1">VLOOKUP($A216,'Price setting'!$E$213:$O$230,COLUMN()-1,FALSE)</f>
        <v>17.817850088260617</v>
      </c>
      <c r="L216" s="323">
        <f ca="1">VLOOKUP($A216,'Price setting'!$E$213:$O$230,COLUMN()-1,FALSE)</f>
        <v>18.111275961428369</v>
      </c>
    </row>
    <row r="217" spans="1:12" s="53" customFormat="1">
      <c r="A217" s="60" t="str">
        <f t="shared" si="8"/>
        <v>YKY</v>
      </c>
      <c r="B217" s="355" t="s">
        <v>199</v>
      </c>
      <c r="C217" s="59" t="s">
        <v>190</v>
      </c>
      <c r="D217" s="168" t="s">
        <v>75</v>
      </c>
      <c r="E217" s="169" t="s">
        <v>182</v>
      </c>
      <c r="F217" s="316"/>
      <c r="G217" s="317"/>
      <c r="H217" s="317">
        <f ca="1">VLOOKUP($A216,'Price setting'!$E$213:$O$230,COLUMN()-1,FALSE)*+Input!$H$441</f>
        <v>21.996534287573276</v>
      </c>
      <c r="I217" s="317">
        <f ca="1">VLOOKUP($A216,'Price setting'!$E$213:$O$230,COLUMN()-1,FALSE)*+Input!$H$441</f>
        <v>22.374853695443136</v>
      </c>
      <c r="J217" s="317">
        <f ca="1">VLOOKUP($A216,'Price setting'!$E$213:$O$230,COLUMN()-1,FALSE)*+Input!$H$441</f>
        <v>22.767965994780145</v>
      </c>
      <c r="K217" s="317">
        <f ca="1">VLOOKUP($A216,'Price setting'!$E$213:$O$230,COLUMN()-1,FALSE)*+Input!$H$441</f>
        <v>23.163205114738801</v>
      </c>
      <c r="L217" s="323">
        <f ca="1">VLOOKUP($A216,'Price setting'!$E$213:$O$230,COLUMN()-1,FALSE)*+Input!$H$441</f>
        <v>23.544658749856879</v>
      </c>
    </row>
    <row r="218" spans="1:12" s="53" customFormat="1">
      <c r="A218" s="60" t="str">
        <f t="shared" si="8"/>
        <v>YKY</v>
      </c>
      <c r="B218" s="355" t="s">
        <v>200</v>
      </c>
      <c r="C218" s="59" t="s">
        <v>191</v>
      </c>
      <c r="D218" s="168" t="s">
        <v>75</v>
      </c>
      <c r="E218" s="169" t="s">
        <v>182</v>
      </c>
      <c r="F218" s="316"/>
      <c r="G218" s="317"/>
      <c r="H218" s="317">
        <f ca="1">VLOOKUP($A218,'Price setting'!$E$278:$O$295,COLUMN()-1,FALSE)+VLOOKUP($A216,'Price setting'!$E$213:$O$230,COLUMN()-1,FALSE)</f>
        <v>21.740818810577117</v>
      </c>
      <c r="I218" s="317">
        <f ca="1">VLOOKUP($A218,'Price setting'!$E$278:$O$295,COLUMN()-1,FALSE)+VLOOKUP($A216,'Price setting'!$E$213:$O$230,COLUMN()-1,FALSE)</f>
        <v>22.019577572991906</v>
      </c>
      <c r="J218" s="317">
        <f ca="1">VLOOKUP($A218,'Price setting'!$E$278:$O$295,COLUMN()-1,FALSE)+VLOOKUP($A216,'Price setting'!$E$213:$O$230,COLUMN()-1,FALSE)</f>
        <v>22.331291848089499</v>
      </c>
      <c r="K218" s="317">
        <f ca="1">VLOOKUP($A218,'Price setting'!$E$278:$O$295,COLUMN()-1,FALSE)+VLOOKUP($A216,'Price setting'!$E$213:$O$230,COLUMN()-1,FALSE)</f>
        <v>22.65923961329807</v>
      </c>
      <c r="L218" s="323">
        <f ca="1">VLOOKUP($A218,'Price setting'!$E$278:$O$295,COLUMN()-1,FALSE)+VLOOKUP($A216,'Price setting'!$E$213:$O$230,COLUMN()-1,FALSE)</f>
        <v>23.015791357309723</v>
      </c>
    </row>
    <row r="219" spans="1:12" s="53" customFormat="1">
      <c r="A219" s="60" t="str">
        <f t="shared" si="8"/>
        <v>YKY</v>
      </c>
      <c r="B219" s="355" t="s">
        <v>201</v>
      </c>
      <c r="C219" s="59" t="s">
        <v>192</v>
      </c>
      <c r="D219" s="168" t="s">
        <v>75</v>
      </c>
      <c r="E219" s="169" t="s">
        <v>182</v>
      </c>
      <c r="F219" s="316"/>
      <c r="G219" s="317"/>
      <c r="H219" s="317">
        <f ca="1">VLOOKUP($A219,'Price setting'!$E$343:$O$360,COLUMN()-1,FALSE)+VLOOKUP($A216,'Price setting'!$E$213:$O$230,COLUMN()-1,FALSE)</f>
        <v>22.147153931545379</v>
      </c>
      <c r="I219" s="317">
        <f ca="1">VLOOKUP($A219,'Price setting'!$E$343:$O$360,COLUMN()-1,FALSE)+VLOOKUP($A216,'Price setting'!$E$213:$O$230,COLUMN()-1,FALSE)</f>
        <v>22.173799188453806</v>
      </c>
      <c r="J219" s="317">
        <f ca="1">VLOOKUP($A219,'Price setting'!$E$343:$O$360,COLUMN()-1,FALSE)+VLOOKUP($A216,'Price setting'!$E$213:$O$230,COLUMN()-1,FALSE)</f>
        <v>22.032015097790048</v>
      </c>
      <c r="K219" s="317">
        <f ca="1">VLOOKUP($A219,'Price setting'!$E$343:$O$360,COLUMN()-1,FALSE)+VLOOKUP($A216,'Price setting'!$E$213:$O$230,COLUMN()-1,FALSE)</f>
        <v>21.891867022989096</v>
      </c>
      <c r="L219" s="323">
        <f ca="1">VLOOKUP($A219,'Price setting'!$E$343:$O$360,COLUMN()-1,FALSE)+VLOOKUP($A216,'Price setting'!$E$213:$O$230,COLUMN()-1,FALSE)</f>
        <v>22.185292896156849</v>
      </c>
    </row>
    <row r="220" spans="1:12" s="53" customFormat="1">
      <c r="A220" s="60" t="str">
        <f t="shared" si="8"/>
        <v>YKY</v>
      </c>
      <c r="B220" s="355" t="s">
        <v>202</v>
      </c>
      <c r="C220" s="59" t="s">
        <v>193</v>
      </c>
      <c r="D220" s="168" t="s">
        <v>75</v>
      </c>
      <c r="E220" s="169" t="s">
        <v>182</v>
      </c>
      <c r="F220" s="316"/>
      <c r="G220" s="317"/>
      <c r="H220" s="317">
        <f ca="1">(VLOOKUP($A220,'Price setting'!$E$408:$O$425,COLUMN()-1,FALSE)+VLOOKUP($A216,'Price setting'!$E$213:$O$230,COLUMN()-1,FALSE))*+Input!$H$441</f>
        <v>27.731593057761593</v>
      </c>
      <c r="I220" s="317">
        <f ca="1">(VLOOKUP($A220,'Price setting'!$E$408:$O$425,COLUMN()-1,FALSE)+VLOOKUP($A216,'Price setting'!$E$213:$O$230,COLUMN()-1,FALSE))*+Input!$H$441</f>
        <v>28.128681004124029</v>
      </c>
      <c r="J220" s="317">
        <f ca="1">(VLOOKUP($A220,'Price setting'!$E$408:$O$425,COLUMN()-1,FALSE)+VLOOKUP($A216,'Price setting'!$E$213:$O$230,COLUMN()-1,FALSE))*+Input!$H$441</f>
        <v>28.552890879204778</v>
      </c>
      <c r="K220" s="317">
        <f ca="1">(VLOOKUP($A220,'Price setting'!$E$408:$O$425,COLUMN()-1,FALSE)+VLOOKUP($A216,'Price setting'!$E$213:$O$230,COLUMN()-1,FALSE))*+Input!$H$441</f>
        <v>29.01540923800594</v>
      </c>
      <c r="L220" s="323">
        <f ca="1">(VLOOKUP($A220,'Price setting'!$E$408:$O$425,COLUMN()-1,FALSE)+VLOOKUP($A216,'Price setting'!$E$213:$O$230,COLUMN()-1,FALSE))*+Input!$H$441</f>
        <v>29.481117580437083</v>
      </c>
    </row>
    <row r="221" spans="1:12" s="53" customFormat="1">
      <c r="A221" s="60" t="str">
        <f t="shared" si="8"/>
        <v>YKY</v>
      </c>
      <c r="B221" s="355" t="s">
        <v>208</v>
      </c>
      <c r="C221" s="59" t="s">
        <v>205</v>
      </c>
      <c r="D221" s="168" t="s">
        <v>75</v>
      </c>
      <c r="E221" s="169" t="s">
        <v>182</v>
      </c>
      <c r="F221" s="262">
        <f ca="1">VLOOKUP($A221,'Price setting'!$E$49:$I$66,COLUMN()-1,FALSE)</f>
        <v>0</v>
      </c>
      <c r="G221" s="263"/>
      <c r="H221" s="263"/>
      <c r="I221" s="263"/>
      <c r="J221" s="263"/>
      <c r="K221" s="263"/>
      <c r="L221" s="264"/>
    </row>
    <row r="222" spans="1:12" s="53" customFormat="1">
      <c r="A222" s="60" t="str">
        <f t="shared" si="8"/>
        <v>YKY</v>
      </c>
      <c r="B222" s="355" t="s">
        <v>206</v>
      </c>
      <c r="C222" s="59" t="s">
        <v>132</v>
      </c>
      <c r="D222" s="168" t="s">
        <v>74</v>
      </c>
      <c r="E222" s="169" t="s">
        <v>182</v>
      </c>
      <c r="F222" s="262">
        <f ca="1">'Used inputs'!I139</f>
        <v>48.732924056400336</v>
      </c>
      <c r="G222" s="263">
        <f>'Used inputs'!J139</f>
        <v>48.93993649587442</v>
      </c>
      <c r="H222" s="263">
        <f ca="1">'Used inputs'!K139</f>
        <v>48.913922244020377</v>
      </c>
      <c r="I222" s="263">
        <f ca="1">'Used inputs'!L139</f>
        <v>49.311734956059055</v>
      </c>
      <c r="J222" s="263">
        <f ca="1">'Used inputs'!M139</f>
        <v>49.868753011469551</v>
      </c>
      <c r="K222" s="263">
        <f ca="1">'Used inputs'!N139</f>
        <v>50.509161053252413</v>
      </c>
      <c r="L222" s="264">
        <f ca="1">'Used inputs'!O139</f>
        <v>51.167467402717818</v>
      </c>
    </row>
    <row r="223" spans="1:12" s="53" customFormat="1">
      <c r="A223" s="60" t="str">
        <f t="shared" si="8"/>
        <v>YKY</v>
      </c>
      <c r="B223" s="355" t="s">
        <v>207</v>
      </c>
      <c r="C223" s="59" t="s">
        <v>157</v>
      </c>
      <c r="D223" s="168" t="s">
        <v>74</v>
      </c>
      <c r="E223" s="169" t="s">
        <v>182</v>
      </c>
      <c r="F223" s="262">
        <f>'Used inputs'!I152</f>
        <v>0.97843424951466229</v>
      </c>
      <c r="G223" s="263">
        <f>'Used inputs'!J152</f>
        <v>0.95579959810633164</v>
      </c>
      <c r="H223" s="263">
        <f>'Used inputs'!K152</f>
        <v>2.7890097102843634</v>
      </c>
      <c r="I223" s="263">
        <f>'Used inputs'!L152</f>
        <v>3.7250097102843633</v>
      </c>
      <c r="J223" s="263">
        <f>'Used inputs'!M152</f>
        <v>4.7030097102843635</v>
      </c>
      <c r="K223" s="263">
        <f>'Used inputs'!N152</f>
        <v>5.7270097102843645</v>
      </c>
      <c r="L223" s="264">
        <f>'Used inputs'!O152</f>
        <v>6.7950097102843641</v>
      </c>
    </row>
    <row r="224" spans="1:12">
      <c r="A224" s="60" t="s">
        <v>53</v>
      </c>
      <c r="B224" s="355" t="s">
        <v>162</v>
      </c>
      <c r="C224" s="59" t="s">
        <v>175</v>
      </c>
      <c r="D224" s="169" t="s">
        <v>74</v>
      </c>
      <c r="E224" s="169" t="s">
        <v>182</v>
      </c>
      <c r="F224" s="262">
        <f>VLOOKUP($A224,'Price setting'!$E$448:$O$466,COLUMN()-1,FALSE)</f>
        <v>0</v>
      </c>
      <c r="G224" s="263">
        <f>VLOOKUP($A224,'Price setting'!$E$448:$O$466,COLUMN()-1,FALSE)</f>
        <v>0</v>
      </c>
      <c r="H224" s="263">
        <f ca="1">VLOOKUP($A224,'Price setting'!$E$448:$O$466,COLUMN()-1,FALSE)</f>
        <v>26.475074447779704</v>
      </c>
      <c r="I224" s="263">
        <f ca="1">VLOOKUP($A224,'Price setting'!$E$448:$O$466,COLUMN()-1,FALSE)</f>
        <v>26.392290805440886</v>
      </c>
      <c r="J224" s="263">
        <f ca="1">VLOOKUP($A224,'Price setting'!$E$448:$O$466,COLUMN()-1,FALSE)</f>
        <v>26.249996507232837</v>
      </c>
      <c r="K224" s="263">
        <f ca="1">VLOOKUP($A224,'Price setting'!$E$448:$O$466,COLUMN()-1,FALSE)</f>
        <v>26.007951525860435</v>
      </c>
      <c r="L224" s="264">
        <f ca="1">VLOOKUP($A224,'Price setting'!$E$448:$O$466,COLUMN()-1,FALSE)</f>
        <v>26.374537454855908</v>
      </c>
    </row>
    <row r="225" spans="1:12">
      <c r="A225" s="60" t="s">
        <v>53</v>
      </c>
      <c r="B225" s="355" t="s">
        <v>163</v>
      </c>
      <c r="C225" s="59" t="s">
        <v>118</v>
      </c>
      <c r="D225" s="168" t="s">
        <v>75</v>
      </c>
      <c r="E225" s="169" t="s">
        <v>182</v>
      </c>
      <c r="F225" s="316">
        <f>VLOOKUP($A225,'Price setting'!$E$213:$O$231,COLUMN()-1,FALSE)</f>
        <v>0</v>
      </c>
      <c r="G225" s="317">
        <f>VLOOKUP($A225,'Price setting'!$E$213:$O$231,COLUMN()-1,FALSE)</f>
        <v>0</v>
      </c>
      <c r="H225" s="317">
        <f ca="1">VLOOKUP($A225,'Price setting'!$E$213:$O$231,COLUMN()-1,FALSE)</f>
        <v>15.524307402404016</v>
      </c>
      <c r="I225" s="317">
        <f ca="1">VLOOKUP($A225,'Price setting'!$E$213:$O$231,COLUMN()-1,FALSE)</f>
        <v>15.299049081007851</v>
      </c>
      <c r="J225" s="317">
        <f ca="1">VLOOKUP($A225,'Price setting'!$E$213:$O$231,COLUMN()-1,FALSE)</f>
        <v>15.065393096959511</v>
      </c>
      <c r="K225" s="317">
        <f ca="1">VLOOKUP($A225,'Price setting'!$E$213:$O$231,COLUMN()-1,FALSE)</f>
        <v>14.843616329615967</v>
      </c>
      <c r="L225" s="323">
        <f ca="1">VLOOKUP($A225,'Price setting'!$E$213:$O$231,COLUMN()-1,FALSE)</f>
        <v>14.742128211932606</v>
      </c>
    </row>
    <row r="226" spans="1:12">
      <c r="A226" s="60" t="s">
        <v>53</v>
      </c>
      <c r="B226" s="355" t="s">
        <v>164</v>
      </c>
      <c r="C226" s="59" t="s">
        <v>119</v>
      </c>
      <c r="D226" s="168" t="s">
        <v>75</v>
      </c>
      <c r="E226" s="169" t="s">
        <v>182</v>
      </c>
      <c r="F226" s="316">
        <f>VLOOKUP($A226,'Price setting'!$E$278:$O$296,COLUMN()-1,FALSE)+VLOOKUP($A225,'Price setting'!$E$213:$O$231,COLUMN()-1,FALSE)</f>
        <v>0</v>
      </c>
      <c r="G226" s="317">
        <f>VLOOKUP($A226,'Price setting'!$E$278:$O$296,COLUMN()-1,FALSE)+VLOOKUP($A225,'Price setting'!$E$213:$O$231,COLUMN()-1,FALSE)</f>
        <v>0</v>
      </c>
      <c r="H226" s="317">
        <f ca="1">VLOOKUP($A226,'Price setting'!$E$278:$O$296,COLUMN()-1,FALSE)+VLOOKUP($A225,'Price setting'!$E$213:$O$231,COLUMN()-1,FALSE)</f>
        <v>23.11313664315794</v>
      </c>
      <c r="I226" s="317">
        <f ca="1">VLOOKUP($A226,'Price setting'!$E$278:$O$296,COLUMN()-1,FALSE)+VLOOKUP($A225,'Price setting'!$E$213:$O$231,COLUMN()-1,FALSE)</f>
        <v>22.288575905464654</v>
      </c>
      <c r="J226" s="317">
        <f ca="1">VLOOKUP($A226,'Price setting'!$E$278:$O$296,COLUMN()-1,FALSE)+VLOOKUP($A225,'Price setting'!$E$213:$O$231,COLUMN()-1,FALSE)</f>
        <v>21.455617505119193</v>
      </c>
      <c r="K226" s="317">
        <f ca="1">VLOOKUP($A226,'Price setting'!$E$278:$O$296,COLUMN()-1,FALSE)+VLOOKUP($A225,'Price setting'!$E$213:$O$231,COLUMN()-1,FALSE)</f>
        <v>20.63453832147853</v>
      </c>
      <c r="L226" s="323">
        <f ca="1">VLOOKUP($A226,'Price setting'!$E$278:$O$296,COLUMN()-1,FALSE)+VLOOKUP($A225,'Price setting'!$E$213:$O$231,COLUMN()-1,FALSE)</f>
        <v>20.533050203795167</v>
      </c>
    </row>
    <row r="227" spans="1:12">
      <c r="A227" s="60" t="s">
        <v>53</v>
      </c>
      <c r="B227" s="355" t="s">
        <v>165</v>
      </c>
      <c r="C227" s="59" t="s">
        <v>120</v>
      </c>
      <c r="D227" s="168" t="s">
        <v>75</v>
      </c>
      <c r="E227" s="169" t="s">
        <v>182</v>
      </c>
      <c r="F227" s="316">
        <f>VLOOKUP($A227,'Price setting'!$E$343:$O$361,COLUMN()-1,FALSE)+VLOOKUP($A225,'Price setting'!$E$213:$O$231,COLUMN()-1,FALSE)</f>
        <v>0</v>
      </c>
      <c r="G227" s="317">
        <f>VLOOKUP($A227,'Price setting'!$E$343:$O$361,COLUMN()-1,FALSE)+VLOOKUP($A225,'Price setting'!$E$213:$O$231,COLUMN()-1,FALSE)</f>
        <v>0</v>
      </c>
      <c r="H227" s="317">
        <f ca="1">VLOOKUP($A227,'Price setting'!$E$343:$O$361,COLUMN()-1,FALSE)+VLOOKUP($A225,'Price setting'!$E$213:$O$231,COLUMN()-1,FALSE)</f>
        <v>15.524307402404016</v>
      </c>
      <c r="I227" s="317">
        <f ca="1">VLOOKUP($A227,'Price setting'!$E$343:$O$361,COLUMN()-1,FALSE)+VLOOKUP($A225,'Price setting'!$E$213:$O$231,COLUMN()-1,FALSE)</f>
        <v>15.299049081007851</v>
      </c>
      <c r="J227" s="317">
        <f ca="1">VLOOKUP($A227,'Price setting'!$E$343:$O$361,COLUMN()-1,FALSE)+VLOOKUP($A225,'Price setting'!$E$213:$O$231,COLUMN()-1,FALSE)</f>
        <v>15.065393096959511</v>
      </c>
      <c r="K227" s="317">
        <f ca="1">VLOOKUP($A227,'Price setting'!$E$343:$O$361,COLUMN()-1,FALSE)+VLOOKUP($A225,'Price setting'!$E$213:$O$231,COLUMN()-1,FALSE)</f>
        <v>14.843616329615967</v>
      </c>
      <c r="L227" s="323">
        <f ca="1">VLOOKUP($A227,'Price setting'!$E$343:$O$361,COLUMN()-1,FALSE)+VLOOKUP($A225,'Price setting'!$E$213:$O$231,COLUMN()-1,FALSE)</f>
        <v>14.742128211932606</v>
      </c>
    </row>
    <row r="228" spans="1:12">
      <c r="A228" s="60" t="s">
        <v>53</v>
      </c>
      <c r="B228" s="355" t="s">
        <v>166</v>
      </c>
      <c r="C228" s="59" t="s">
        <v>124</v>
      </c>
      <c r="D228" s="168" t="s">
        <v>75</v>
      </c>
      <c r="E228" s="169" t="s">
        <v>182</v>
      </c>
      <c r="F228" s="316">
        <f>VLOOKUP($A228,'Price setting'!$E$408:$O$426,COLUMN()-1,FALSE)+VLOOKUP($A225,'Price setting'!$E$213:$O$231,COLUMN()-1,FALSE)</f>
        <v>0</v>
      </c>
      <c r="G228" s="317">
        <f>VLOOKUP($A228,'Price setting'!$E$408:$O$426,COLUMN()-1,FALSE)+VLOOKUP($A225,'Price setting'!$E$213:$O$231,COLUMN()-1,FALSE)</f>
        <v>0</v>
      </c>
      <c r="H228" s="317">
        <f ca="1">VLOOKUP($A228,'Price setting'!$E$408:$O$426,COLUMN()-1,FALSE)+VLOOKUP($A225,'Price setting'!$E$213:$O$231,COLUMN()-1,FALSE)</f>
        <v>15.524307402404016</v>
      </c>
      <c r="I228" s="317">
        <f ca="1">VLOOKUP($A228,'Price setting'!$E$408:$O$426,COLUMN()-1,FALSE)+VLOOKUP($A225,'Price setting'!$E$213:$O$231,COLUMN()-1,FALSE)</f>
        <v>15.299049081007851</v>
      </c>
      <c r="J228" s="317">
        <f ca="1">VLOOKUP($A228,'Price setting'!$E$408:$O$426,COLUMN()-1,FALSE)+VLOOKUP($A225,'Price setting'!$E$213:$O$231,COLUMN()-1,FALSE)</f>
        <v>15.065393096959511</v>
      </c>
      <c r="K228" s="317">
        <f ca="1">VLOOKUP($A228,'Price setting'!$E$408:$O$426,COLUMN()-1,FALSE)+VLOOKUP($A225,'Price setting'!$E$213:$O$231,COLUMN()-1,FALSE)</f>
        <v>14.843616329615967</v>
      </c>
      <c r="L228" s="323">
        <f ca="1">VLOOKUP($A228,'Price setting'!$E$408:$O$426,COLUMN()-1,FALSE)+VLOOKUP($A225,'Price setting'!$E$213:$O$231,COLUMN()-1,FALSE)</f>
        <v>14.742128211932606</v>
      </c>
    </row>
    <row r="229" spans="1:12">
      <c r="A229" s="60" t="s">
        <v>53</v>
      </c>
      <c r="B229" s="355" t="s">
        <v>167</v>
      </c>
      <c r="C229" s="59" t="s">
        <v>122</v>
      </c>
      <c r="D229" s="170" t="s">
        <v>88</v>
      </c>
      <c r="E229" s="169" t="s">
        <v>182</v>
      </c>
      <c r="F229" s="262">
        <f>INDEX(AFW,ROW(Input!B$23)-5,COLUMN()+1)*Input!$H$441</f>
        <v>0</v>
      </c>
      <c r="G229" s="263">
        <f>INDEX(AFW,ROW(Input!C$23)-5,COLUMN()+1)*Input!$H$441</f>
        <v>0</v>
      </c>
      <c r="H229" s="263">
        <f>INDEX(AFW,ROW(Input!D$23)-5,COLUMN()+1)*Input!$H$441</f>
        <v>0</v>
      </c>
      <c r="I229" s="263">
        <f>INDEX(AFW,ROW(Input!E$23)-5,COLUMN()+1)*Input!$H$441</f>
        <v>0</v>
      </c>
      <c r="J229" s="263">
        <f>INDEX(AFW,ROW(Input!F$23)-5,COLUMN()+1)*Input!$H$441</f>
        <v>0</v>
      </c>
      <c r="K229" s="263">
        <f>INDEX(AFW,ROW(Input!G$23)-5,COLUMN()+1)*Input!$H$441</f>
        <v>0</v>
      </c>
      <c r="L229" s="264">
        <f>INDEX(AFW,ROW(Input!H$23)-5,COLUMN()+1)*Input!$H$441</f>
        <v>0</v>
      </c>
    </row>
    <row r="230" spans="1:12">
      <c r="A230" s="60" t="s">
        <v>53</v>
      </c>
      <c r="B230" s="355" t="s">
        <v>168</v>
      </c>
      <c r="C230" s="59" t="s">
        <v>123</v>
      </c>
      <c r="D230" s="170" t="s">
        <v>88</v>
      </c>
      <c r="E230" s="169" t="s">
        <v>182</v>
      </c>
      <c r="F230" s="262">
        <f>+INDEX(AFW,ROW(Input!B$24)-5,COLUMN()+1)*Input!$H$441</f>
        <v>0</v>
      </c>
      <c r="G230" s="263">
        <f>+INDEX(AFW,ROW(Input!C$24)-5,COLUMN()+1)*Input!$H$441</f>
        <v>0</v>
      </c>
      <c r="H230" s="263">
        <f>+INDEX(AFW,ROW(Input!D$24)-5,COLUMN()+1)*Input!$H$441</f>
        <v>0</v>
      </c>
      <c r="I230" s="263">
        <f>+INDEX(AFW,ROW(Input!E$24)-5,COLUMN()+1)*Input!$H$441</f>
        <v>0</v>
      </c>
      <c r="J230" s="263">
        <f>+INDEX(AFW,ROW(Input!F$24)-5,COLUMN()+1)*Input!$H$441</f>
        <v>0</v>
      </c>
      <c r="K230" s="263">
        <f>+INDEX(AFW,ROW(Input!G$24)-5,COLUMN()+1)*Input!$H$441</f>
        <v>0</v>
      </c>
      <c r="L230" s="264">
        <f>+INDEX(AFW,ROW(Input!H$24)-5,COLUMN()+1)*Input!$H$441</f>
        <v>0</v>
      </c>
    </row>
    <row r="231" spans="1:12">
      <c r="A231" s="60" t="s">
        <v>53</v>
      </c>
      <c r="B231" s="355" t="s">
        <v>169</v>
      </c>
      <c r="C231" s="59" t="s">
        <v>139</v>
      </c>
      <c r="D231" s="170" t="s">
        <v>74</v>
      </c>
      <c r="E231" s="169" t="s">
        <v>182</v>
      </c>
      <c r="F231" s="262">
        <f>VLOOKUP($A231,'Price setting'!$E$488:$O$506,COLUMN()-1,FALSE)</f>
        <v>0</v>
      </c>
      <c r="G231" s="263">
        <f>VLOOKUP($A231,'Price setting'!$E$488:$O$506,COLUMN()-1,FALSE)</f>
        <v>0</v>
      </c>
      <c r="H231" s="263">
        <f ca="1">VLOOKUP($A231,'Price setting'!$E$488:$O$506,COLUMN()-1,FALSE)</f>
        <v>0.23192383326211125</v>
      </c>
      <c r="I231" s="263">
        <f ca="1">VLOOKUP($A231,'Price setting'!$E$488:$O$506,COLUMN()-1,FALSE)</f>
        <v>0.45377993665203736</v>
      </c>
      <c r="J231" s="263">
        <f ca="1">VLOOKUP($A231,'Price setting'!$E$488:$O$506,COLUMN()-1,FALSE)</f>
        <v>0.66464300287633349</v>
      </c>
      <c r="K231" s="263">
        <f ca="1">VLOOKUP($A231,'Price setting'!$E$488:$O$506,COLUMN()-1,FALSE)</f>
        <v>0.86376989098191526</v>
      </c>
      <c r="L231" s="264">
        <f ca="1">VLOOKUP($A231,'Price setting'!$E$488:$O$506,COLUMN()-1,FALSE)</f>
        <v>1.076837708562985</v>
      </c>
    </row>
    <row r="232" spans="1:12">
      <c r="A232" s="60" t="str">
        <f>+A231</f>
        <v>AFW</v>
      </c>
      <c r="B232" s="355" t="s">
        <v>170</v>
      </c>
      <c r="C232" s="59" t="s">
        <v>67</v>
      </c>
      <c r="D232" s="170" t="s">
        <v>171</v>
      </c>
      <c r="E232" s="169" t="s">
        <v>182</v>
      </c>
      <c r="F232" s="320">
        <f>+Input!$H$441</f>
        <v>1.3</v>
      </c>
      <c r="G232" s="321">
        <f>+Input!$H$441</f>
        <v>1.3</v>
      </c>
      <c r="H232" s="321">
        <f>+Input!$H$441</f>
        <v>1.3</v>
      </c>
      <c r="I232" s="321">
        <f>+Input!$H$441</f>
        <v>1.3</v>
      </c>
      <c r="J232" s="321">
        <f>+Input!$H$441</f>
        <v>1.3</v>
      </c>
      <c r="K232" s="321">
        <f>+Input!$H$441</f>
        <v>1.3</v>
      </c>
      <c r="L232" s="322">
        <f>+Input!$H$441</f>
        <v>1.3</v>
      </c>
    </row>
    <row r="233" spans="1:12">
      <c r="A233" s="60" t="str">
        <f t="shared" ref="A233:A245" si="9">+A232</f>
        <v>AFW</v>
      </c>
      <c r="B233" s="355" t="s">
        <v>194</v>
      </c>
      <c r="C233" s="59" t="s">
        <v>185</v>
      </c>
      <c r="D233" s="168" t="s">
        <v>75</v>
      </c>
      <c r="E233" s="169" t="s">
        <v>182</v>
      </c>
      <c r="F233" s="316">
        <f ca="1">VLOOKUP(A233,'Price setting'!$E$89:$I$106,COLUMN()-1,FALSE)</f>
        <v>15.982236522173521</v>
      </c>
      <c r="G233" s="317"/>
      <c r="H233" s="317"/>
      <c r="I233" s="317"/>
      <c r="J233" s="317"/>
      <c r="K233" s="317"/>
      <c r="L233" s="323"/>
    </row>
    <row r="234" spans="1:12">
      <c r="A234" s="60" t="str">
        <f t="shared" si="9"/>
        <v>AFW</v>
      </c>
      <c r="B234" s="355" t="s">
        <v>195</v>
      </c>
      <c r="C234" s="59" t="s">
        <v>186</v>
      </c>
      <c r="D234" s="168" t="s">
        <v>75</v>
      </c>
      <c r="E234" s="169" t="s">
        <v>182</v>
      </c>
      <c r="F234" s="316">
        <f ca="1">VLOOKUP(A234,'Price setting'!E$254:I$271,COLUMN()-1,FALSE)+VLOOKUP(A233,'Price setting'!$E$89:$I$106,COLUMN()-1,FALSE)</f>
        <v>24.170368179224564</v>
      </c>
      <c r="G234" s="317"/>
      <c r="H234" s="317"/>
      <c r="I234" s="317"/>
      <c r="J234" s="317"/>
      <c r="K234" s="317"/>
      <c r="L234" s="323"/>
    </row>
    <row r="235" spans="1:12">
      <c r="A235" s="60" t="str">
        <f t="shared" si="9"/>
        <v>AFW</v>
      </c>
      <c r="B235" s="355" t="s">
        <v>196</v>
      </c>
      <c r="C235" s="59" t="s">
        <v>187</v>
      </c>
      <c r="D235" s="168" t="s">
        <v>75</v>
      </c>
      <c r="E235" s="169" t="s">
        <v>182</v>
      </c>
      <c r="F235" s="316">
        <f ca="1">VLOOKUP(A235,'Price setting'!E$319:I$336,COLUMN()-1,FALSE)+VLOOKUP(A233,'Price setting'!$E$89:$I$106,COLUMN()-1,FALSE)</f>
        <v>15.982236522173521</v>
      </c>
      <c r="G235" s="317"/>
      <c r="H235" s="317"/>
      <c r="I235" s="317"/>
      <c r="J235" s="317"/>
      <c r="K235" s="317"/>
      <c r="L235" s="323"/>
    </row>
    <row r="236" spans="1:12">
      <c r="A236" s="60" t="str">
        <f t="shared" si="9"/>
        <v>AFW</v>
      </c>
      <c r="B236" s="355" t="s">
        <v>197</v>
      </c>
      <c r="C236" s="59" t="s">
        <v>188</v>
      </c>
      <c r="D236" s="168" t="s">
        <v>75</v>
      </c>
      <c r="E236" s="169" t="s">
        <v>182</v>
      </c>
      <c r="F236" s="316">
        <f ca="1">(VLOOKUP(A236,'Price setting'!E$384:I$401,COLUMN()-1,FALSE)+VLOOKUP(A233,'Price setting'!$E$89:$I$106,COLUMN()-1,FALSE))*+Input!$H$441</f>
        <v>20.776907478825578</v>
      </c>
      <c r="G236" s="317"/>
      <c r="H236" s="317"/>
      <c r="I236" s="317"/>
      <c r="J236" s="317"/>
      <c r="K236" s="317"/>
      <c r="L236" s="323"/>
    </row>
    <row r="237" spans="1:12">
      <c r="A237" s="60" t="str">
        <f t="shared" si="9"/>
        <v>AFW</v>
      </c>
      <c r="B237" s="355" t="s">
        <v>198</v>
      </c>
      <c r="C237" s="59" t="s">
        <v>189</v>
      </c>
      <c r="D237" s="168" t="s">
        <v>75</v>
      </c>
      <c r="E237" s="169" t="s">
        <v>182</v>
      </c>
      <c r="F237" s="316">
        <f ca="1">VLOOKUP(A237,'Price setting'!E$89:I$106,COLUMN()-1,FALSE)*+Input!$H$441</f>
        <v>20.776907478825578</v>
      </c>
      <c r="G237" s="317"/>
      <c r="H237" s="317"/>
      <c r="I237" s="317"/>
      <c r="J237" s="317"/>
      <c r="K237" s="317"/>
      <c r="L237" s="323"/>
    </row>
    <row r="238" spans="1:12" s="53" customFormat="1">
      <c r="A238" s="60" t="str">
        <f t="shared" si="9"/>
        <v>AFW</v>
      </c>
      <c r="B238" s="356" t="s">
        <v>204</v>
      </c>
      <c r="C238" s="59" t="s">
        <v>203</v>
      </c>
      <c r="D238" s="168" t="s">
        <v>75</v>
      </c>
      <c r="E238" s="169" t="s">
        <v>182</v>
      </c>
      <c r="F238" s="316"/>
      <c r="G238" s="317"/>
      <c r="H238" s="317">
        <f ca="1">VLOOKUP($A238,'Price setting'!$E$213:$O$230,COLUMN()-1,FALSE)</f>
        <v>15.524307402404016</v>
      </c>
      <c r="I238" s="317">
        <f ca="1">VLOOKUP($A238,'Price setting'!$E$213:$O$230,COLUMN()-1,FALSE)</f>
        <v>15.299049081007851</v>
      </c>
      <c r="J238" s="317">
        <f ca="1">VLOOKUP($A238,'Price setting'!$E$213:$O$230,COLUMN()-1,FALSE)</f>
        <v>15.065393096959511</v>
      </c>
      <c r="K238" s="317">
        <f ca="1">VLOOKUP($A238,'Price setting'!$E$213:$O$230,COLUMN()-1,FALSE)</f>
        <v>14.843616329615967</v>
      </c>
      <c r="L238" s="323">
        <f ca="1">VLOOKUP($A238,'Price setting'!$E$213:$O$230,COLUMN()-1,FALSE)</f>
        <v>14.742128211932606</v>
      </c>
    </row>
    <row r="239" spans="1:12">
      <c r="A239" s="60" t="str">
        <f t="shared" si="9"/>
        <v>AFW</v>
      </c>
      <c r="B239" s="355" t="s">
        <v>199</v>
      </c>
      <c r="C239" s="59" t="s">
        <v>190</v>
      </c>
      <c r="D239" s="168" t="s">
        <v>75</v>
      </c>
      <c r="E239" s="169" t="s">
        <v>182</v>
      </c>
      <c r="F239" s="316"/>
      <c r="G239" s="317"/>
      <c r="H239" s="317">
        <f ca="1">VLOOKUP($A238,'Price setting'!$E$213:$O$230,COLUMN()-1,FALSE)*+Input!$H$441</f>
        <v>20.181599623125223</v>
      </c>
      <c r="I239" s="317">
        <f ca="1">VLOOKUP($A238,'Price setting'!$E$213:$O$230,COLUMN()-1,FALSE)*+Input!$H$441</f>
        <v>19.888763805310209</v>
      </c>
      <c r="J239" s="317">
        <f ca="1">VLOOKUP($A238,'Price setting'!$E$213:$O$230,COLUMN()-1,FALSE)*+Input!$H$441</f>
        <v>19.585011026047365</v>
      </c>
      <c r="K239" s="317">
        <f ca="1">VLOOKUP($A238,'Price setting'!$E$213:$O$230,COLUMN()-1,FALSE)*+Input!$H$441</f>
        <v>19.296701228500758</v>
      </c>
      <c r="L239" s="323">
        <f ca="1">VLOOKUP($A238,'Price setting'!$E$213:$O$230,COLUMN()-1,FALSE)*+Input!$H$441</f>
        <v>19.164766675512389</v>
      </c>
    </row>
    <row r="240" spans="1:12">
      <c r="A240" s="60" t="str">
        <f t="shared" si="9"/>
        <v>AFW</v>
      </c>
      <c r="B240" s="355" t="s">
        <v>200</v>
      </c>
      <c r="C240" s="59" t="s">
        <v>191</v>
      </c>
      <c r="D240" s="168" t="s">
        <v>75</v>
      </c>
      <c r="E240" s="169" t="s">
        <v>182</v>
      </c>
      <c r="F240" s="316"/>
      <c r="G240" s="317"/>
      <c r="H240" s="317">
        <f ca="1">VLOOKUP($A240,'Price setting'!$E$278:$O$295,COLUMN()-1,FALSE)+VLOOKUP($A238,'Price setting'!$E$213:$O$230,COLUMN()-1,FALSE)</f>
        <v>23.11313664315794</v>
      </c>
      <c r="I240" s="317">
        <f ca="1">VLOOKUP($A240,'Price setting'!$E$278:$O$295,COLUMN()-1,FALSE)+VLOOKUP($A238,'Price setting'!$E$213:$O$230,COLUMN()-1,FALSE)</f>
        <v>22.288575905464654</v>
      </c>
      <c r="J240" s="317">
        <f ca="1">VLOOKUP($A240,'Price setting'!$E$278:$O$295,COLUMN()-1,FALSE)+VLOOKUP($A238,'Price setting'!$E$213:$O$230,COLUMN()-1,FALSE)</f>
        <v>21.455617505119193</v>
      </c>
      <c r="K240" s="317">
        <f ca="1">VLOOKUP($A240,'Price setting'!$E$278:$O$295,COLUMN()-1,FALSE)+VLOOKUP($A238,'Price setting'!$E$213:$O$230,COLUMN()-1,FALSE)</f>
        <v>20.63453832147853</v>
      </c>
      <c r="L240" s="323">
        <f ca="1">VLOOKUP($A240,'Price setting'!$E$278:$O$295,COLUMN()-1,FALSE)+VLOOKUP($A238,'Price setting'!$E$213:$O$230,COLUMN()-1,FALSE)</f>
        <v>20.533050203795167</v>
      </c>
    </row>
    <row r="241" spans="1:12">
      <c r="A241" s="60" t="str">
        <f t="shared" si="9"/>
        <v>AFW</v>
      </c>
      <c r="B241" s="355" t="s">
        <v>201</v>
      </c>
      <c r="C241" s="59" t="s">
        <v>192</v>
      </c>
      <c r="D241" s="168" t="s">
        <v>75</v>
      </c>
      <c r="E241" s="169" t="s">
        <v>182</v>
      </c>
      <c r="F241" s="316"/>
      <c r="G241" s="317"/>
      <c r="H241" s="317">
        <f ca="1">VLOOKUP($A241,'Price setting'!$E$343:$O$360,COLUMN()-1,FALSE)+VLOOKUP($A238,'Price setting'!$E$213:$O$230,COLUMN()-1,FALSE)</f>
        <v>15.524307402404016</v>
      </c>
      <c r="I241" s="317">
        <f ca="1">VLOOKUP($A241,'Price setting'!$E$343:$O$360,COLUMN()-1,FALSE)+VLOOKUP($A238,'Price setting'!$E$213:$O$230,COLUMN()-1,FALSE)</f>
        <v>15.299049081007851</v>
      </c>
      <c r="J241" s="317">
        <f ca="1">VLOOKUP($A241,'Price setting'!$E$343:$O$360,COLUMN()-1,FALSE)+VLOOKUP($A238,'Price setting'!$E$213:$O$230,COLUMN()-1,FALSE)</f>
        <v>15.065393096959511</v>
      </c>
      <c r="K241" s="317">
        <f ca="1">VLOOKUP($A241,'Price setting'!$E$343:$O$360,COLUMN()-1,FALSE)+VLOOKUP($A238,'Price setting'!$E$213:$O$230,COLUMN()-1,FALSE)</f>
        <v>14.843616329615967</v>
      </c>
      <c r="L241" s="323">
        <f ca="1">VLOOKUP($A241,'Price setting'!$E$343:$O$360,COLUMN()-1,FALSE)+VLOOKUP($A238,'Price setting'!$E$213:$O$230,COLUMN()-1,FALSE)</f>
        <v>14.742128211932606</v>
      </c>
    </row>
    <row r="242" spans="1:12">
      <c r="A242" s="60" t="str">
        <f t="shared" si="9"/>
        <v>AFW</v>
      </c>
      <c r="B242" s="355" t="s">
        <v>202</v>
      </c>
      <c r="C242" s="59" t="s">
        <v>193</v>
      </c>
      <c r="D242" s="168" t="s">
        <v>75</v>
      </c>
      <c r="E242" s="169" t="s">
        <v>182</v>
      </c>
      <c r="F242" s="316"/>
      <c r="G242" s="317"/>
      <c r="H242" s="317">
        <f ca="1">(VLOOKUP($A242,'Price setting'!$E$408:$O$425,COLUMN()-1,FALSE)+VLOOKUP($A238,'Price setting'!$E$213:$O$230,COLUMN()-1,FALSE))*+Input!$H$441</f>
        <v>20.181599623125223</v>
      </c>
      <c r="I242" s="317">
        <f ca="1">(VLOOKUP($A242,'Price setting'!$E$408:$O$425,COLUMN()-1,FALSE)+VLOOKUP($A238,'Price setting'!$E$213:$O$230,COLUMN()-1,FALSE))*+Input!$H$441</f>
        <v>19.888763805310209</v>
      </c>
      <c r="J242" s="317">
        <f ca="1">(VLOOKUP($A242,'Price setting'!$E$408:$O$425,COLUMN()-1,FALSE)+VLOOKUP($A238,'Price setting'!$E$213:$O$230,COLUMN()-1,FALSE))*+Input!$H$441</f>
        <v>19.585011026047365</v>
      </c>
      <c r="K242" s="317">
        <f ca="1">(VLOOKUP($A242,'Price setting'!$E$408:$O$425,COLUMN()-1,FALSE)+VLOOKUP($A238,'Price setting'!$E$213:$O$230,COLUMN()-1,FALSE))*+Input!$H$441</f>
        <v>19.296701228500758</v>
      </c>
      <c r="L242" s="323">
        <f ca="1">(VLOOKUP($A242,'Price setting'!$E$408:$O$425,COLUMN()-1,FALSE)+VLOOKUP($A238,'Price setting'!$E$213:$O$230,COLUMN()-1,FALSE))*+Input!$H$441</f>
        <v>19.164766675512389</v>
      </c>
    </row>
    <row r="243" spans="1:12">
      <c r="A243" s="60" t="str">
        <f t="shared" si="9"/>
        <v>AFW</v>
      </c>
      <c r="B243" s="355" t="s">
        <v>208</v>
      </c>
      <c r="C243" s="59" t="s">
        <v>205</v>
      </c>
      <c r="D243" s="168" t="s">
        <v>75</v>
      </c>
      <c r="E243" s="169" t="s">
        <v>182</v>
      </c>
      <c r="F243" s="262">
        <f ca="1">VLOOKUP($A243,'Price setting'!$E$49:$I$66,COLUMN()-1,FALSE)</f>
        <v>0</v>
      </c>
      <c r="G243" s="263"/>
      <c r="H243" s="263"/>
      <c r="I243" s="263"/>
      <c r="J243" s="263"/>
      <c r="K243" s="263"/>
      <c r="L243" s="264"/>
    </row>
    <row r="244" spans="1:12">
      <c r="A244" s="60" t="str">
        <f t="shared" si="9"/>
        <v>AFW</v>
      </c>
      <c r="B244" s="355" t="s">
        <v>206</v>
      </c>
      <c r="C244" s="59" t="s">
        <v>132</v>
      </c>
      <c r="D244" s="168" t="s">
        <v>74</v>
      </c>
      <c r="E244" s="169" t="s">
        <v>182</v>
      </c>
      <c r="F244" s="262">
        <f ca="1">'Used inputs'!I154</f>
        <v>26.468181195592294</v>
      </c>
      <c r="G244" s="263">
        <f>'Used inputs'!J154</f>
        <v>26.733039464752135</v>
      </c>
      <c r="H244" s="263">
        <f ca="1">'Used inputs'!K154</f>
        <v>26.423385417530223</v>
      </c>
      <c r="I244" s="263">
        <f ca="1">'Used inputs'!L154</f>
        <v>26.344466058252397</v>
      </c>
      <c r="J244" s="263">
        <f ca="1">'Used inputs'!M154</f>
        <v>26.257163182696079</v>
      </c>
      <c r="K244" s="263">
        <f ca="1">'Used inputs'!N154</f>
        <v>26.11580659206567</v>
      </c>
      <c r="L244" s="264">
        <f ca="1">'Used inputs'!O154</f>
        <v>26.008070672951824</v>
      </c>
    </row>
    <row r="245" spans="1:12">
      <c r="A245" s="60" t="str">
        <f t="shared" si="9"/>
        <v>AFW</v>
      </c>
      <c r="B245" s="355" t="s">
        <v>207</v>
      </c>
      <c r="C245" s="59" t="s">
        <v>157</v>
      </c>
      <c r="D245" s="168" t="s">
        <v>74</v>
      </c>
      <c r="E245" s="169" t="s">
        <v>182</v>
      </c>
      <c r="F245" s="262">
        <f>'Used inputs'!I167</f>
        <v>0.1395734913660979</v>
      </c>
      <c r="G245" s="263">
        <f>'Used inputs'!J167</f>
        <v>0.1395734913660979</v>
      </c>
      <c r="H245" s="263">
        <f>'Used inputs'!K167</f>
        <v>0.12001563764024484</v>
      </c>
      <c r="I245" s="263">
        <f>'Used inputs'!L167</f>
        <v>0.12001563764024484</v>
      </c>
      <c r="J245" s="263">
        <f>'Used inputs'!M167</f>
        <v>0.12001563764024484</v>
      </c>
      <c r="K245" s="263">
        <f>'Used inputs'!N167</f>
        <v>0.12001563764024484</v>
      </c>
      <c r="L245" s="264">
        <f>'Used inputs'!O167</f>
        <v>0.12001563764024484</v>
      </c>
    </row>
    <row r="246" spans="1:12">
      <c r="A246" s="60" t="s">
        <v>54</v>
      </c>
      <c r="B246" s="355" t="s">
        <v>162</v>
      </c>
      <c r="C246" s="59" t="s">
        <v>175</v>
      </c>
      <c r="D246" s="169" t="s">
        <v>74</v>
      </c>
      <c r="E246" s="169" t="s">
        <v>182</v>
      </c>
      <c r="F246" s="262">
        <f>VLOOKUP($A246,'Price setting'!$E$448:$O$466,COLUMN()-1,FALSE)</f>
        <v>0</v>
      </c>
      <c r="G246" s="263">
        <f>VLOOKUP($A246,'Price setting'!$E$448:$O$466,COLUMN()-1,FALSE)</f>
        <v>0</v>
      </c>
      <c r="H246" s="263">
        <f ca="1">VLOOKUP($A246,'Price setting'!$E$448:$O$466,COLUMN()-1,FALSE)</f>
        <v>9.5856814954396761</v>
      </c>
      <c r="I246" s="263">
        <f ca="1">VLOOKUP($A246,'Price setting'!$E$448:$O$466,COLUMN()-1,FALSE)</f>
        <v>10.054459891616021</v>
      </c>
      <c r="J246" s="263">
        <f ca="1">VLOOKUP($A246,'Price setting'!$E$448:$O$466,COLUMN()-1,FALSE)</f>
        <v>10.514556763213719</v>
      </c>
      <c r="K246" s="263">
        <f ca="1">VLOOKUP($A246,'Price setting'!$E$448:$O$466,COLUMN()-1,FALSE)</f>
        <v>10.968285668791907</v>
      </c>
      <c r="L246" s="264">
        <f ca="1">VLOOKUP($A246,'Price setting'!$E$448:$O$466,COLUMN()-1,FALSE)</f>
        <v>11.563227443664548</v>
      </c>
    </row>
    <row r="247" spans="1:12">
      <c r="A247" s="60" t="s">
        <v>54</v>
      </c>
      <c r="B247" s="355" t="s">
        <v>163</v>
      </c>
      <c r="C247" s="59" t="s">
        <v>118</v>
      </c>
      <c r="D247" s="168" t="s">
        <v>75</v>
      </c>
      <c r="E247" s="169" t="s">
        <v>182</v>
      </c>
      <c r="F247" s="316">
        <f>VLOOKUP($A247,'Price setting'!$E$213:$O$231,COLUMN()-1,FALSE)</f>
        <v>0</v>
      </c>
      <c r="G247" s="317">
        <f>VLOOKUP($A247,'Price setting'!$E$213:$O$231,COLUMN()-1,FALSE)</f>
        <v>0</v>
      </c>
      <c r="H247" s="317">
        <f ca="1">VLOOKUP($A247,'Price setting'!$E$213:$O$231,COLUMN()-1,FALSE)</f>
        <v>16.360960579726299</v>
      </c>
      <c r="I247" s="317">
        <f ca="1">VLOOKUP($A247,'Price setting'!$E$213:$O$231,COLUMN()-1,FALSE)</f>
        <v>17.015344295858444</v>
      </c>
      <c r="J247" s="317">
        <f ca="1">VLOOKUP($A247,'Price setting'!$E$213:$O$231,COLUMN()-1,FALSE)</f>
        <v>17.699193606060053</v>
      </c>
      <c r="K247" s="317">
        <f ca="1">VLOOKUP($A247,'Price setting'!$E$213:$O$231,COLUMN()-1,FALSE)</f>
        <v>18.415145058023018</v>
      </c>
      <c r="L247" s="323">
        <f ca="1">VLOOKUP($A247,'Price setting'!$E$213:$O$231,COLUMN()-1,FALSE)</f>
        <v>19.161863339698254</v>
      </c>
    </row>
    <row r="248" spans="1:12">
      <c r="A248" s="60" t="s">
        <v>54</v>
      </c>
      <c r="B248" s="355" t="s">
        <v>164</v>
      </c>
      <c r="C248" s="59" t="s">
        <v>119</v>
      </c>
      <c r="D248" s="168" t="s">
        <v>75</v>
      </c>
      <c r="E248" s="169" t="s">
        <v>182</v>
      </c>
      <c r="F248" s="316">
        <f>VLOOKUP($A248,'Price setting'!$E$278:$O$296,COLUMN()-1,FALSE)+VLOOKUP($A247,'Price setting'!$E$213:$O$231,COLUMN()-1,FALSE)</f>
        <v>0</v>
      </c>
      <c r="G248" s="317">
        <f>VLOOKUP($A248,'Price setting'!$E$278:$O$296,COLUMN()-1,FALSE)+VLOOKUP($A247,'Price setting'!$E$213:$O$231,COLUMN()-1,FALSE)</f>
        <v>0</v>
      </c>
      <c r="H248" s="317">
        <f ca="1">VLOOKUP($A248,'Price setting'!$E$278:$O$296,COLUMN()-1,FALSE)+VLOOKUP($A247,'Price setting'!$E$213:$O$231,COLUMN()-1,FALSE)</f>
        <v>23.484369599761454</v>
      </c>
      <c r="I248" s="317">
        <f ca="1">VLOOKUP($A248,'Price setting'!$E$278:$O$296,COLUMN()-1,FALSE)+VLOOKUP($A247,'Price setting'!$E$213:$O$231,COLUMN()-1,FALSE)</f>
        <v>23.694590973169401</v>
      </c>
      <c r="J248" s="317">
        <f ca="1">VLOOKUP($A248,'Price setting'!$E$278:$O$296,COLUMN()-1,FALSE)+VLOOKUP($A247,'Price setting'!$E$213:$O$231,COLUMN()-1,FALSE)</f>
        <v>23.934277940646812</v>
      </c>
      <c r="K248" s="317">
        <f ca="1">VLOOKUP($A248,'Price setting'!$E$278:$O$296,COLUMN()-1,FALSE)+VLOOKUP($A247,'Price setting'!$E$213:$O$231,COLUMN()-1,FALSE)</f>
        <v>24.206067049885579</v>
      </c>
      <c r="L248" s="323">
        <f ca="1">VLOOKUP($A248,'Price setting'!$E$278:$O$296,COLUMN()-1,FALSE)+VLOOKUP($A247,'Price setting'!$E$213:$O$231,COLUMN()-1,FALSE)</f>
        <v>24.952785331560815</v>
      </c>
    </row>
    <row r="249" spans="1:12">
      <c r="A249" s="60" t="s">
        <v>54</v>
      </c>
      <c r="B249" s="355" t="s">
        <v>165</v>
      </c>
      <c r="C249" s="59" t="s">
        <v>120</v>
      </c>
      <c r="D249" s="168" t="s">
        <v>75</v>
      </c>
      <c r="E249" s="169" t="s">
        <v>182</v>
      </c>
      <c r="F249" s="316">
        <f>VLOOKUP($A249,'Price setting'!$E$343:$O$361,COLUMN()-1,FALSE)+VLOOKUP($A247,'Price setting'!$E$213:$O$231,COLUMN()-1,FALSE)</f>
        <v>0</v>
      </c>
      <c r="G249" s="317">
        <f>VLOOKUP($A249,'Price setting'!$E$343:$O$361,COLUMN()-1,FALSE)+VLOOKUP($A247,'Price setting'!$E$213:$O$231,COLUMN()-1,FALSE)</f>
        <v>0</v>
      </c>
      <c r="H249" s="317">
        <f ca="1">VLOOKUP($A249,'Price setting'!$E$343:$O$361,COLUMN()-1,FALSE)+VLOOKUP($A247,'Price setting'!$E$213:$O$231,COLUMN()-1,FALSE)</f>
        <v>16.360960579726299</v>
      </c>
      <c r="I249" s="317">
        <f ca="1">VLOOKUP($A249,'Price setting'!$E$343:$O$361,COLUMN()-1,FALSE)+VLOOKUP($A247,'Price setting'!$E$213:$O$231,COLUMN()-1,FALSE)</f>
        <v>17.015344295858444</v>
      </c>
      <c r="J249" s="317">
        <f ca="1">VLOOKUP($A249,'Price setting'!$E$343:$O$361,COLUMN()-1,FALSE)+VLOOKUP($A247,'Price setting'!$E$213:$O$231,COLUMN()-1,FALSE)</f>
        <v>17.699193606060053</v>
      </c>
      <c r="K249" s="317">
        <f ca="1">VLOOKUP($A249,'Price setting'!$E$343:$O$361,COLUMN()-1,FALSE)+VLOOKUP($A247,'Price setting'!$E$213:$O$231,COLUMN()-1,FALSE)</f>
        <v>18.415145058023018</v>
      </c>
      <c r="L249" s="323">
        <f ca="1">VLOOKUP($A249,'Price setting'!$E$343:$O$361,COLUMN()-1,FALSE)+VLOOKUP($A247,'Price setting'!$E$213:$O$231,COLUMN()-1,FALSE)</f>
        <v>19.161863339698254</v>
      </c>
    </row>
    <row r="250" spans="1:12">
      <c r="A250" s="60" t="s">
        <v>54</v>
      </c>
      <c r="B250" s="355" t="s">
        <v>166</v>
      </c>
      <c r="C250" s="59" t="s">
        <v>124</v>
      </c>
      <c r="D250" s="168" t="s">
        <v>75</v>
      </c>
      <c r="E250" s="169" t="s">
        <v>182</v>
      </c>
      <c r="F250" s="316">
        <f>VLOOKUP($A250,'Price setting'!$E$408:$O$426,COLUMN()-1,FALSE)+VLOOKUP($A247,'Price setting'!$E$213:$O$231,COLUMN()-1,FALSE)</f>
        <v>0</v>
      </c>
      <c r="G250" s="317">
        <f>VLOOKUP($A250,'Price setting'!$E$408:$O$426,COLUMN()-1,FALSE)+VLOOKUP($A247,'Price setting'!$E$213:$O$231,COLUMN()-1,FALSE)</f>
        <v>0</v>
      </c>
      <c r="H250" s="317">
        <f ca="1">VLOOKUP($A250,'Price setting'!$E$408:$O$426,COLUMN()-1,FALSE)+VLOOKUP($A247,'Price setting'!$E$213:$O$231,COLUMN()-1,FALSE)</f>
        <v>16.360960579726299</v>
      </c>
      <c r="I250" s="317">
        <f ca="1">VLOOKUP($A250,'Price setting'!$E$408:$O$426,COLUMN()-1,FALSE)+VLOOKUP($A247,'Price setting'!$E$213:$O$231,COLUMN()-1,FALSE)</f>
        <v>17.015344295858444</v>
      </c>
      <c r="J250" s="317">
        <f ca="1">VLOOKUP($A250,'Price setting'!$E$408:$O$426,COLUMN()-1,FALSE)+VLOOKUP($A247,'Price setting'!$E$213:$O$231,COLUMN()-1,FALSE)</f>
        <v>17.699193606060053</v>
      </c>
      <c r="K250" s="317">
        <f ca="1">VLOOKUP($A250,'Price setting'!$E$408:$O$426,COLUMN()-1,FALSE)+VLOOKUP($A247,'Price setting'!$E$213:$O$231,COLUMN()-1,FALSE)</f>
        <v>18.415145058023018</v>
      </c>
      <c r="L250" s="323">
        <f ca="1">VLOOKUP($A250,'Price setting'!$E$408:$O$426,COLUMN()-1,FALSE)+VLOOKUP($A247,'Price setting'!$E$213:$O$231,COLUMN()-1,FALSE)</f>
        <v>19.161863339698254</v>
      </c>
    </row>
    <row r="251" spans="1:12">
      <c r="A251" s="60" t="s">
        <v>54</v>
      </c>
      <c r="B251" s="355" t="s">
        <v>167</v>
      </c>
      <c r="C251" s="59" t="s">
        <v>122</v>
      </c>
      <c r="D251" s="170" t="s">
        <v>88</v>
      </c>
      <c r="E251" s="169" t="s">
        <v>182</v>
      </c>
      <c r="F251" s="262">
        <f>INDEX(BRL,ROW(Input!B$23)-5,COLUMN()+1)*Input!$H$441</f>
        <v>0</v>
      </c>
      <c r="G251" s="263">
        <f>INDEX(BRL,ROW(Input!C$23)-5,COLUMN()+1)*Input!$H$441</f>
        <v>0</v>
      </c>
      <c r="H251" s="263">
        <f>INDEX(BRL,ROW(Input!D$23)-5,COLUMN()+1)*Input!$H$441</f>
        <v>0</v>
      </c>
      <c r="I251" s="263">
        <f>INDEX(BRL,ROW(Input!E$23)-5,COLUMN()+1)*Input!$H$441</f>
        <v>0</v>
      </c>
      <c r="J251" s="263">
        <f>INDEX(BRL,ROW(Input!F$23)-5,COLUMN()+1)*Input!$H$441</f>
        <v>0</v>
      </c>
      <c r="K251" s="263">
        <f>INDEX(BRL,ROW(Input!G$23)-5,COLUMN()+1)*Input!$H$441</f>
        <v>0</v>
      </c>
      <c r="L251" s="264">
        <f>INDEX(BRL,ROW(Input!H$23)-5,COLUMN()+1)*Input!$H$441</f>
        <v>0</v>
      </c>
    </row>
    <row r="252" spans="1:12">
      <c r="A252" s="60" t="s">
        <v>54</v>
      </c>
      <c r="B252" s="355" t="s">
        <v>168</v>
      </c>
      <c r="C252" s="59" t="s">
        <v>123</v>
      </c>
      <c r="D252" s="170" t="s">
        <v>88</v>
      </c>
      <c r="E252" s="169" t="s">
        <v>182</v>
      </c>
      <c r="F252" s="262">
        <f>+INDEX(BRL,ROW(Input!B$24)-5,COLUMN()+1)*Input!$H$441</f>
        <v>0</v>
      </c>
      <c r="G252" s="263">
        <f>+INDEX(BRL,ROW(Input!C$24)-5,COLUMN()+1)*Input!$H$441</f>
        <v>0</v>
      </c>
      <c r="H252" s="263">
        <f>+INDEX(BRL,ROW(Input!D$24)-5,COLUMN()+1)*Input!$H$441</f>
        <v>0</v>
      </c>
      <c r="I252" s="263">
        <f>+INDEX(BRL,ROW(Input!E$24)-5,COLUMN()+1)*Input!$H$441</f>
        <v>0</v>
      </c>
      <c r="J252" s="263">
        <f>+INDEX(BRL,ROW(Input!F$24)-5,COLUMN()+1)*Input!$H$441</f>
        <v>0</v>
      </c>
      <c r="K252" s="263">
        <f>+INDEX(BRL,ROW(Input!G$24)-5,COLUMN()+1)*Input!$H$441</f>
        <v>0</v>
      </c>
      <c r="L252" s="264">
        <f>+INDEX(BRL,ROW(Input!H$24)-5,COLUMN()+1)*Input!$H$441</f>
        <v>0</v>
      </c>
    </row>
    <row r="253" spans="1:12">
      <c r="A253" s="60" t="s">
        <v>54</v>
      </c>
      <c r="B253" s="355" t="s">
        <v>169</v>
      </c>
      <c r="C253" s="59" t="s">
        <v>139</v>
      </c>
      <c r="D253" s="170" t="s">
        <v>74</v>
      </c>
      <c r="E253" s="169" t="s">
        <v>182</v>
      </c>
      <c r="F253" s="262">
        <f>VLOOKUP($A253,'Price setting'!$E$488:$O$506,COLUMN()-1,FALSE)</f>
        <v>0</v>
      </c>
      <c r="G253" s="263">
        <f>VLOOKUP($A253,'Price setting'!$E$488:$O$506,COLUMN()-1,FALSE)</f>
        <v>0</v>
      </c>
      <c r="H253" s="263">
        <f ca="1">VLOOKUP($A253,'Price setting'!$E$488:$O$506,COLUMN()-1,FALSE)</f>
        <v>9.7290099318025694E-2</v>
      </c>
      <c r="I253" s="263">
        <f ca="1">VLOOKUP($A253,'Price setting'!$E$488:$O$506,COLUMN()-1,FALSE)</f>
        <v>0.29395182163047079</v>
      </c>
      <c r="J253" s="263">
        <f ca="1">VLOOKUP($A253,'Price setting'!$E$488:$O$506,COLUMN()-1,FALSE)</f>
        <v>0.49290808202042813</v>
      </c>
      <c r="K253" s="263">
        <f ca="1">VLOOKUP($A253,'Price setting'!$E$488:$O$506,COLUMN()-1,FALSE)</f>
        <v>0.69343641370138698</v>
      </c>
      <c r="L253" s="264">
        <f ca="1">VLOOKUP($A253,'Price setting'!$E$488:$O$506,COLUMN()-1,FALSE)</f>
        <v>0.90705041009063914</v>
      </c>
    </row>
    <row r="254" spans="1:12">
      <c r="A254" s="60" t="str">
        <f>+A253</f>
        <v>BRL</v>
      </c>
      <c r="B254" s="355" t="s">
        <v>170</v>
      </c>
      <c r="C254" s="59" t="s">
        <v>67</v>
      </c>
      <c r="D254" s="170" t="s">
        <v>171</v>
      </c>
      <c r="E254" s="169" t="s">
        <v>182</v>
      </c>
      <c r="F254" s="320">
        <f>+Input!$H$441</f>
        <v>1.3</v>
      </c>
      <c r="G254" s="321">
        <f>+Input!$H$441</f>
        <v>1.3</v>
      </c>
      <c r="H254" s="321">
        <f>+Input!$H$441</f>
        <v>1.3</v>
      </c>
      <c r="I254" s="321">
        <f>+Input!$H$441</f>
        <v>1.3</v>
      </c>
      <c r="J254" s="321">
        <f>+Input!$H$441</f>
        <v>1.3</v>
      </c>
      <c r="K254" s="321">
        <f>+Input!$H$441</f>
        <v>1.3</v>
      </c>
      <c r="L254" s="322">
        <f>+Input!$H$441</f>
        <v>1.3</v>
      </c>
    </row>
    <row r="255" spans="1:12">
      <c r="A255" s="60" t="str">
        <f t="shared" ref="A255:A267" si="10">+A254</f>
        <v>BRL</v>
      </c>
      <c r="B255" s="355" t="s">
        <v>194</v>
      </c>
      <c r="C255" s="59" t="s">
        <v>185</v>
      </c>
      <c r="D255" s="168" t="s">
        <v>75</v>
      </c>
      <c r="E255" s="169" t="s">
        <v>182</v>
      </c>
      <c r="F255" s="316">
        <f ca="1">VLOOKUP(A255,'Price setting'!$E$89:$I$106,COLUMN()-1,FALSE)</f>
        <v>16.48773988180065</v>
      </c>
      <c r="G255" s="317"/>
      <c r="H255" s="317"/>
      <c r="I255" s="317"/>
      <c r="J255" s="317"/>
      <c r="K255" s="317"/>
      <c r="L255" s="323"/>
    </row>
    <row r="256" spans="1:12">
      <c r="A256" s="60" t="str">
        <f t="shared" si="10"/>
        <v>BRL</v>
      </c>
      <c r="B256" s="355" t="s">
        <v>195</v>
      </c>
      <c r="C256" s="59" t="s">
        <v>186</v>
      </c>
      <c r="D256" s="168" t="s">
        <v>75</v>
      </c>
      <c r="E256" s="169" t="s">
        <v>182</v>
      </c>
      <c r="F256" s="316">
        <f ca="1">VLOOKUP(A256,'Price setting'!E$254:I$271,COLUMN()-1,FALSE)+VLOOKUP(A255,'Price setting'!$E$89:$I$106,COLUMN()-1,FALSE)</f>
        <v>24.055311244560002</v>
      </c>
      <c r="G256" s="317"/>
      <c r="H256" s="317"/>
      <c r="I256" s="317"/>
      <c r="J256" s="317"/>
      <c r="K256" s="317"/>
      <c r="L256" s="323"/>
    </row>
    <row r="257" spans="1:12">
      <c r="A257" s="60" t="str">
        <f t="shared" si="10"/>
        <v>BRL</v>
      </c>
      <c r="B257" s="355" t="s">
        <v>196</v>
      </c>
      <c r="C257" s="59" t="s">
        <v>187</v>
      </c>
      <c r="D257" s="168" t="s">
        <v>75</v>
      </c>
      <c r="E257" s="169" t="s">
        <v>182</v>
      </c>
      <c r="F257" s="316">
        <f ca="1">VLOOKUP(A257,'Price setting'!E$319:I$336,COLUMN()-1,FALSE)+VLOOKUP(A255,'Price setting'!$E$89:$I$106,COLUMN()-1,FALSE)</f>
        <v>16.48773988180065</v>
      </c>
      <c r="G257" s="317"/>
      <c r="H257" s="317"/>
      <c r="I257" s="317"/>
      <c r="J257" s="317"/>
      <c r="K257" s="317"/>
      <c r="L257" s="323"/>
    </row>
    <row r="258" spans="1:12">
      <c r="A258" s="60" t="str">
        <f t="shared" si="10"/>
        <v>BRL</v>
      </c>
      <c r="B258" s="355" t="s">
        <v>197</v>
      </c>
      <c r="C258" s="59" t="s">
        <v>188</v>
      </c>
      <c r="D258" s="168" t="s">
        <v>75</v>
      </c>
      <c r="E258" s="169" t="s">
        <v>182</v>
      </c>
      <c r="F258" s="316">
        <f ca="1">(VLOOKUP(A258,'Price setting'!E$384:I$401,COLUMN()-1,FALSE)+VLOOKUP(A255,'Price setting'!$E$89:$I$106,COLUMN()-1,FALSE))*+Input!$H$441</f>
        <v>21.434061846340846</v>
      </c>
      <c r="G258" s="317"/>
      <c r="H258" s="317"/>
      <c r="I258" s="317"/>
      <c r="J258" s="317"/>
      <c r="K258" s="317"/>
      <c r="L258" s="323"/>
    </row>
    <row r="259" spans="1:12">
      <c r="A259" s="60" t="str">
        <f t="shared" si="10"/>
        <v>BRL</v>
      </c>
      <c r="B259" s="355" t="s">
        <v>198</v>
      </c>
      <c r="C259" s="59" t="s">
        <v>189</v>
      </c>
      <c r="D259" s="168" t="s">
        <v>75</v>
      </c>
      <c r="E259" s="169" t="s">
        <v>182</v>
      </c>
      <c r="F259" s="316">
        <f ca="1">VLOOKUP(A259,'Price setting'!E$89:I$106,COLUMN()-1,FALSE)*+Input!$H$441</f>
        <v>21.434061846340846</v>
      </c>
      <c r="G259" s="317"/>
      <c r="H259" s="317"/>
      <c r="I259" s="317"/>
      <c r="J259" s="317"/>
      <c r="K259" s="317"/>
      <c r="L259" s="323"/>
    </row>
    <row r="260" spans="1:12" s="53" customFormat="1">
      <c r="A260" s="60" t="str">
        <f t="shared" si="10"/>
        <v>BRL</v>
      </c>
      <c r="B260" s="356" t="s">
        <v>204</v>
      </c>
      <c r="C260" s="59" t="s">
        <v>203</v>
      </c>
      <c r="D260" s="168" t="s">
        <v>75</v>
      </c>
      <c r="E260" s="169" t="s">
        <v>182</v>
      </c>
      <c r="F260" s="316"/>
      <c r="G260" s="317"/>
      <c r="H260" s="317">
        <f ca="1">VLOOKUP($A260,'Price setting'!$E$213:$O$230,COLUMN()-1,FALSE)</f>
        <v>16.360960579726299</v>
      </c>
      <c r="I260" s="317">
        <f ca="1">VLOOKUP($A260,'Price setting'!$E$213:$O$230,COLUMN()-1,FALSE)</f>
        <v>17.015344295858444</v>
      </c>
      <c r="J260" s="317">
        <f ca="1">VLOOKUP($A260,'Price setting'!$E$213:$O$230,COLUMN()-1,FALSE)</f>
        <v>17.699193606060053</v>
      </c>
      <c r="K260" s="317">
        <f ca="1">VLOOKUP($A260,'Price setting'!$E$213:$O$230,COLUMN()-1,FALSE)</f>
        <v>18.415145058023018</v>
      </c>
      <c r="L260" s="323">
        <f ca="1">VLOOKUP($A260,'Price setting'!$E$213:$O$230,COLUMN()-1,FALSE)</f>
        <v>19.161863339698254</v>
      </c>
    </row>
    <row r="261" spans="1:12">
      <c r="A261" s="60" t="str">
        <f t="shared" si="10"/>
        <v>BRL</v>
      </c>
      <c r="B261" s="355" t="s">
        <v>199</v>
      </c>
      <c r="C261" s="59" t="s">
        <v>190</v>
      </c>
      <c r="D261" s="168" t="s">
        <v>75</v>
      </c>
      <c r="E261" s="169" t="s">
        <v>182</v>
      </c>
      <c r="F261" s="316"/>
      <c r="G261" s="317"/>
      <c r="H261" s="317">
        <f ca="1">VLOOKUP($A260,'Price setting'!$E$213:$O$230,COLUMN()-1,FALSE)*+Input!$H$441</f>
        <v>21.269248753644192</v>
      </c>
      <c r="I261" s="317">
        <f ca="1">VLOOKUP($A260,'Price setting'!$E$213:$O$230,COLUMN()-1,FALSE)*+Input!$H$441</f>
        <v>22.119947584615979</v>
      </c>
      <c r="J261" s="317">
        <f ca="1">VLOOKUP($A260,'Price setting'!$E$213:$O$230,COLUMN()-1,FALSE)*+Input!$H$441</f>
        <v>23.008951687878071</v>
      </c>
      <c r="K261" s="317">
        <f ca="1">VLOOKUP($A260,'Price setting'!$E$213:$O$230,COLUMN()-1,FALSE)*+Input!$H$441</f>
        <v>23.939688575429926</v>
      </c>
      <c r="L261" s="323">
        <f ca="1">VLOOKUP($A260,'Price setting'!$E$213:$O$230,COLUMN()-1,FALSE)*+Input!$H$441</f>
        <v>24.910422341607731</v>
      </c>
    </row>
    <row r="262" spans="1:12">
      <c r="A262" s="60" t="str">
        <f t="shared" si="10"/>
        <v>BRL</v>
      </c>
      <c r="B262" s="355" t="s">
        <v>200</v>
      </c>
      <c r="C262" s="59" t="s">
        <v>191</v>
      </c>
      <c r="D262" s="168" t="s">
        <v>75</v>
      </c>
      <c r="E262" s="169" t="s">
        <v>182</v>
      </c>
      <c r="F262" s="316"/>
      <c r="G262" s="317"/>
      <c r="H262" s="317">
        <f ca="1">VLOOKUP($A262,'Price setting'!$E$278:$O$295,COLUMN()-1,FALSE)+VLOOKUP($A260,'Price setting'!$E$213:$O$230,COLUMN()-1,FALSE)</f>
        <v>23.484369599761454</v>
      </c>
      <c r="I262" s="317">
        <f ca="1">VLOOKUP($A262,'Price setting'!$E$278:$O$295,COLUMN()-1,FALSE)+VLOOKUP($A260,'Price setting'!$E$213:$O$230,COLUMN()-1,FALSE)</f>
        <v>23.694590973169401</v>
      </c>
      <c r="J262" s="317">
        <f ca="1">VLOOKUP($A262,'Price setting'!$E$278:$O$295,COLUMN()-1,FALSE)+VLOOKUP($A260,'Price setting'!$E$213:$O$230,COLUMN()-1,FALSE)</f>
        <v>23.934277940646812</v>
      </c>
      <c r="K262" s="317">
        <f ca="1">VLOOKUP($A262,'Price setting'!$E$278:$O$295,COLUMN()-1,FALSE)+VLOOKUP($A260,'Price setting'!$E$213:$O$230,COLUMN()-1,FALSE)</f>
        <v>24.206067049885579</v>
      </c>
      <c r="L262" s="323">
        <f ca="1">VLOOKUP($A262,'Price setting'!$E$278:$O$295,COLUMN()-1,FALSE)+VLOOKUP($A260,'Price setting'!$E$213:$O$230,COLUMN()-1,FALSE)</f>
        <v>24.952785331560815</v>
      </c>
    </row>
    <row r="263" spans="1:12">
      <c r="A263" s="60" t="str">
        <f t="shared" si="10"/>
        <v>BRL</v>
      </c>
      <c r="B263" s="355" t="s">
        <v>201</v>
      </c>
      <c r="C263" s="59" t="s">
        <v>192</v>
      </c>
      <c r="D263" s="168" t="s">
        <v>75</v>
      </c>
      <c r="E263" s="169" t="s">
        <v>182</v>
      </c>
      <c r="F263" s="316"/>
      <c r="G263" s="317"/>
      <c r="H263" s="317">
        <f ca="1">VLOOKUP($A263,'Price setting'!$E$343:$O$360,COLUMN()-1,FALSE)+VLOOKUP($A260,'Price setting'!$E$213:$O$230,COLUMN()-1,FALSE)</f>
        <v>16.360960579726299</v>
      </c>
      <c r="I263" s="317">
        <f ca="1">VLOOKUP($A263,'Price setting'!$E$343:$O$360,COLUMN()-1,FALSE)+VLOOKUP($A260,'Price setting'!$E$213:$O$230,COLUMN()-1,FALSE)</f>
        <v>17.015344295858444</v>
      </c>
      <c r="J263" s="317">
        <f ca="1">VLOOKUP($A263,'Price setting'!$E$343:$O$360,COLUMN()-1,FALSE)+VLOOKUP($A260,'Price setting'!$E$213:$O$230,COLUMN()-1,FALSE)</f>
        <v>17.699193606060053</v>
      </c>
      <c r="K263" s="317">
        <f ca="1">VLOOKUP($A263,'Price setting'!$E$343:$O$360,COLUMN()-1,FALSE)+VLOOKUP($A260,'Price setting'!$E$213:$O$230,COLUMN()-1,FALSE)</f>
        <v>18.415145058023018</v>
      </c>
      <c r="L263" s="323">
        <f ca="1">VLOOKUP($A263,'Price setting'!$E$343:$O$360,COLUMN()-1,FALSE)+VLOOKUP($A260,'Price setting'!$E$213:$O$230,COLUMN()-1,FALSE)</f>
        <v>19.161863339698254</v>
      </c>
    </row>
    <row r="264" spans="1:12">
      <c r="A264" s="60" t="str">
        <f t="shared" si="10"/>
        <v>BRL</v>
      </c>
      <c r="B264" s="355" t="s">
        <v>202</v>
      </c>
      <c r="C264" s="59" t="s">
        <v>193</v>
      </c>
      <c r="D264" s="168" t="s">
        <v>75</v>
      </c>
      <c r="E264" s="169" t="s">
        <v>182</v>
      </c>
      <c r="F264" s="316"/>
      <c r="G264" s="317"/>
      <c r="H264" s="317">
        <f ca="1">(VLOOKUP($A264,'Price setting'!$E$408:$O$425,COLUMN()-1,FALSE)+VLOOKUP($A260,'Price setting'!$E$213:$O$230,COLUMN()-1,FALSE))*+Input!$H$441</f>
        <v>21.269248753644192</v>
      </c>
      <c r="I264" s="317">
        <f ca="1">(VLOOKUP($A264,'Price setting'!$E$408:$O$425,COLUMN()-1,FALSE)+VLOOKUP($A260,'Price setting'!$E$213:$O$230,COLUMN()-1,FALSE))*+Input!$H$441</f>
        <v>22.119947584615979</v>
      </c>
      <c r="J264" s="317">
        <f ca="1">(VLOOKUP($A264,'Price setting'!$E$408:$O$425,COLUMN()-1,FALSE)+VLOOKUP($A260,'Price setting'!$E$213:$O$230,COLUMN()-1,FALSE))*+Input!$H$441</f>
        <v>23.008951687878071</v>
      </c>
      <c r="K264" s="317">
        <f ca="1">(VLOOKUP($A264,'Price setting'!$E$408:$O$425,COLUMN()-1,FALSE)+VLOOKUP($A260,'Price setting'!$E$213:$O$230,COLUMN()-1,FALSE))*+Input!$H$441</f>
        <v>23.939688575429926</v>
      </c>
      <c r="L264" s="323">
        <f ca="1">(VLOOKUP($A264,'Price setting'!$E$408:$O$425,COLUMN()-1,FALSE)+VLOOKUP($A260,'Price setting'!$E$213:$O$230,COLUMN()-1,FALSE))*+Input!$H$441</f>
        <v>24.910422341607731</v>
      </c>
    </row>
    <row r="265" spans="1:12">
      <c r="A265" s="60" t="str">
        <f t="shared" si="10"/>
        <v>BRL</v>
      </c>
      <c r="B265" s="355" t="s">
        <v>208</v>
      </c>
      <c r="C265" s="59" t="s">
        <v>205</v>
      </c>
      <c r="D265" s="168" t="s">
        <v>75</v>
      </c>
      <c r="E265" s="169" t="s">
        <v>182</v>
      </c>
      <c r="F265" s="262">
        <f ca="1">VLOOKUP($A265,'Price setting'!$E$49:$I$66,COLUMN()-1,FALSE)</f>
        <v>0.36795105723845112</v>
      </c>
      <c r="G265" s="263"/>
      <c r="H265" s="263"/>
      <c r="I265" s="263"/>
      <c r="J265" s="263"/>
      <c r="K265" s="263"/>
      <c r="L265" s="264"/>
    </row>
    <row r="266" spans="1:12">
      <c r="A266" s="60" t="str">
        <f t="shared" si="10"/>
        <v>BRL</v>
      </c>
      <c r="B266" s="355" t="s">
        <v>206</v>
      </c>
      <c r="C266" s="59" t="s">
        <v>132</v>
      </c>
      <c r="D266" s="168" t="s">
        <v>74</v>
      </c>
      <c r="E266" s="169" t="s">
        <v>182</v>
      </c>
      <c r="F266" s="262">
        <f ca="1">'Used inputs'!I169</f>
        <v>8.5756592827682798</v>
      </c>
      <c r="G266" s="263">
        <f>'Used inputs'!J169</f>
        <v>8.7356873670377073</v>
      </c>
      <c r="H266" s="263">
        <f ca="1">'Used inputs'!K169</f>
        <v>8.9461905253797678</v>
      </c>
      <c r="I266" s="263">
        <f ca="1">'Used inputs'!L169</f>
        <v>9.1477358732706886</v>
      </c>
      <c r="J266" s="263">
        <f ca="1">'Used inputs'!M169</f>
        <v>9.3388226816469881</v>
      </c>
      <c r="K266" s="263">
        <f ca="1">'Used inputs'!N169</f>
        <v>9.5204670940674596</v>
      </c>
      <c r="L266" s="264">
        <f ca="1">'Used inputs'!O169</f>
        <v>9.6927089191770381</v>
      </c>
    </row>
    <row r="267" spans="1:12">
      <c r="A267" s="60" t="str">
        <f t="shared" si="10"/>
        <v>BRL</v>
      </c>
      <c r="B267" s="355" t="s">
        <v>207</v>
      </c>
      <c r="C267" s="59" t="s">
        <v>157</v>
      </c>
      <c r="D267" s="168" t="s">
        <v>74</v>
      </c>
      <c r="E267" s="169" t="s">
        <v>182</v>
      </c>
      <c r="F267" s="262">
        <f>'Used inputs'!I182</f>
        <v>0.97843424951466229</v>
      </c>
      <c r="G267" s="263">
        <f>'Used inputs'!J182</f>
        <v>0.48180368510640226</v>
      </c>
      <c r="H267" s="263">
        <f>'Used inputs'!K182</f>
        <v>0.6463998207151761</v>
      </c>
      <c r="I267" s="263">
        <f>'Used inputs'!L182</f>
        <v>0.83853379717082932</v>
      </c>
      <c r="J267" s="263">
        <f>'Used inputs'!M182</f>
        <v>1.0451276737228996</v>
      </c>
      <c r="K267" s="263">
        <f>'Used inputs'!N182</f>
        <v>1.2660575941593641</v>
      </c>
      <c r="L267" s="264">
        <f>'Used inputs'!O182</f>
        <v>1.5010982331417249</v>
      </c>
    </row>
    <row r="268" spans="1:12">
      <c r="A268" s="60" t="s">
        <v>66</v>
      </c>
      <c r="B268" s="355" t="s">
        <v>162</v>
      </c>
      <c r="C268" s="59" t="s">
        <v>175</v>
      </c>
      <c r="D268" s="169" t="s">
        <v>74</v>
      </c>
      <c r="E268" s="169" t="s">
        <v>182</v>
      </c>
      <c r="F268" s="262">
        <f>VLOOKUP($A268,'Price setting'!$E$448:$O$466,COLUMN()-1,FALSE)</f>
        <v>0</v>
      </c>
      <c r="G268" s="263">
        <f>VLOOKUP($A268,'Price setting'!$E$448:$O$466,COLUMN()-1,FALSE)</f>
        <v>0</v>
      </c>
      <c r="H268" s="263">
        <f ca="1">VLOOKUP($A268,'Price setting'!$E$448:$O$466,COLUMN()-1,FALSE)</f>
        <v>13.906445228695809</v>
      </c>
      <c r="I268" s="263">
        <f ca="1">VLOOKUP($A268,'Price setting'!$E$448:$O$466,COLUMN()-1,FALSE)</f>
        <v>14.172319409430177</v>
      </c>
      <c r="J268" s="263">
        <f ca="1">VLOOKUP($A268,'Price setting'!$E$448:$O$466,COLUMN()-1,FALSE)</f>
        <v>14.681235485238476</v>
      </c>
      <c r="K268" s="263">
        <f ca="1">VLOOKUP($A268,'Price setting'!$E$448:$O$466,COLUMN()-1,FALSE)</f>
        <v>15.511407516512822</v>
      </c>
      <c r="L268" s="264">
        <f ca="1">VLOOKUP($A268,'Price setting'!$E$448:$O$466,COLUMN()-1,FALSE)</f>
        <v>15.834536663396054</v>
      </c>
    </row>
    <row r="269" spans="1:12">
      <c r="A269" s="60" t="s">
        <v>66</v>
      </c>
      <c r="B269" s="355" t="s">
        <v>163</v>
      </c>
      <c r="C269" s="59" t="s">
        <v>118</v>
      </c>
      <c r="D269" s="168" t="s">
        <v>75</v>
      </c>
      <c r="E269" s="169" t="s">
        <v>182</v>
      </c>
      <c r="F269" s="316">
        <f>VLOOKUP($A269,'Price setting'!$E$213:$O$231,COLUMN()-1,FALSE)</f>
        <v>0</v>
      </c>
      <c r="G269" s="317">
        <f>VLOOKUP($A269,'Price setting'!$E$213:$O$231,COLUMN()-1,FALSE)</f>
        <v>0</v>
      </c>
      <c r="H269" s="317">
        <f ca="1">VLOOKUP($A269,'Price setting'!$E$213:$O$231,COLUMN()-1,FALSE)</f>
        <v>18.925662827167361</v>
      </c>
      <c r="I269" s="317">
        <f ca="1">VLOOKUP($A269,'Price setting'!$E$213:$O$231,COLUMN()-1,FALSE)</f>
        <v>19.118883996092649</v>
      </c>
      <c r="J269" s="317">
        <f ca="1">VLOOKUP($A269,'Price setting'!$E$213:$O$231,COLUMN()-1,FALSE)</f>
        <v>19.670714855000266</v>
      </c>
      <c r="K269" s="317">
        <f ca="1">VLOOKUP($A269,'Price setting'!$E$213:$O$231,COLUMN()-1,FALSE)</f>
        <v>20.692638099430511</v>
      </c>
      <c r="L269" s="323">
        <f ca="1">VLOOKUP($A269,'Price setting'!$E$213:$O$231,COLUMN()-1,FALSE)</f>
        <v>20.941767957299199</v>
      </c>
    </row>
    <row r="270" spans="1:12">
      <c r="A270" s="60" t="s">
        <v>66</v>
      </c>
      <c r="B270" s="355" t="s">
        <v>164</v>
      </c>
      <c r="C270" s="59" t="s">
        <v>119</v>
      </c>
      <c r="D270" s="168" t="s">
        <v>75</v>
      </c>
      <c r="E270" s="169" t="s">
        <v>182</v>
      </c>
      <c r="F270" s="316">
        <f>VLOOKUP($A270,'Price setting'!$E$278:$O$296,COLUMN()-1,FALSE)+VLOOKUP($A269,'Price setting'!$E$213:$O$231,COLUMN()-1,FALSE)</f>
        <v>0</v>
      </c>
      <c r="G270" s="317">
        <f>VLOOKUP($A270,'Price setting'!$E$278:$O$296,COLUMN()-1,FALSE)+VLOOKUP($A269,'Price setting'!$E$213:$O$231,COLUMN()-1,FALSE)</f>
        <v>0</v>
      </c>
      <c r="H270" s="317">
        <f ca="1">VLOOKUP($A270,'Price setting'!$E$278:$O$296,COLUMN()-1,FALSE)+VLOOKUP($A269,'Price setting'!$E$213:$O$231,COLUMN()-1,FALSE)</f>
        <v>24.519724629972561</v>
      </c>
      <c r="I270" s="317">
        <f ca="1">VLOOKUP($A270,'Price setting'!$E$278:$O$296,COLUMN()-1,FALSE)+VLOOKUP($A269,'Price setting'!$E$213:$O$231,COLUMN()-1,FALSE)</f>
        <v>24.714386003297662</v>
      </c>
      <c r="J270" s="317">
        <f ca="1">VLOOKUP($A270,'Price setting'!$E$278:$O$296,COLUMN()-1,FALSE)+VLOOKUP($A269,'Price setting'!$E$213:$O$231,COLUMN()-1,FALSE)</f>
        <v>25.267438913121129</v>
      </c>
      <c r="K270" s="317">
        <f ca="1">VLOOKUP($A270,'Price setting'!$E$278:$O$296,COLUMN()-1,FALSE)+VLOOKUP($A269,'Price setting'!$E$213:$O$231,COLUMN()-1,FALSE)</f>
        <v>26.290256023815779</v>
      </c>
      <c r="L270" s="323">
        <f ca="1">VLOOKUP($A270,'Price setting'!$E$278:$O$296,COLUMN()-1,FALSE)+VLOOKUP($A269,'Price setting'!$E$213:$O$231,COLUMN()-1,FALSE)</f>
        <v>26.540089467717806</v>
      </c>
    </row>
    <row r="271" spans="1:12">
      <c r="A271" s="60" t="s">
        <v>66</v>
      </c>
      <c r="B271" s="355" t="s">
        <v>165</v>
      </c>
      <c r="C271" s="59" t="s">
        <v>120</v>
      </c>
      <c r="D271" s="168" t="s">
        <v>75</v>
      </c>
      <c r="E271" s="169" t="s">
        <v>182</v>
      </c>
      <c r="F271" s="316">
        <f>VLOOKUP($A271,'Price setting'!$E$343:$O$361,COLUMN()-1,FALSE)+VLOOKUP($A269,'Price setting'!$E$213:$O$231,COLUMN()-1,FALSE)</f>
        <v>0</v>
      </c>
      <c r="G271" s="317">
        <f>VLOOKUP($A271,'Price setting'!$E$343:$O$361,COLUMN()-1,FALSE)+VLOOKUP($A269,'Price setting'!$E$213:$O$231,COLUMN()-1,FALSE)</f>
        <v>0</v>
      </c>
      <c r="H271" s="317">
        <f ca="1">VLOOKUP($A271,'Price setting'!$E$343:$O$361,COLUMN()-1,FALSE)+VLOOKUP($A269,'Price setting'!$E$213:$O$231,COLUMN()-1,FALSE)</f>
        <v>18.925662827167361</v>
      </c>
      <c r="I271" s="317">
        <f ca="1">VLOOKUP($A271,'Price setting'!$E$343:$O$361,COLUMN()-1,FALSE)+VLOOKUP($A269,'Price setting'!$E$213:$O$231,COLUMN()-1,FALSE)</f>
        <v>19.118883996092649</v>
      </c>
      <c r="J271" s="317">
        <f ca="1">VLOOKUP($A271,'Price setting'!$E$343:$O$361,COLUMN()-1,FALSE)+VLOOKUP($A269,'Price setting'!$E$213:$O$231,COLUMN()-1,FALSE)</f>
        <v>19.670714855000266</v>
      </c>
      <c r="K271" s="317">
        <f ca="1">VLOOKUP($A271,'Price setting'!$E$343:$O$361,COLUMN()-1,FALSE)+VLOOKUP($A269,'Price setting'!$E$213:$O$231,COLUMN()-1,FALSE)</f>
        <v>20.692638099430511</v>
      </c>
      <c r="L271" s="323">
        <f ca="1">VLOOKUP($A271,'Price setting'!$E$343:$O$361,COLUMN()-1,FALSE)+VLOOKUP($A269,'Price setting'!$E$213:$O$231,COLUMN()-1,FALSE)</f>
        <v>20.941767957299199</v>
      </c>
    </row>
    <row r="272" spans="1:12">
      <c r="A272" s="60" t="s">
        <v>66</v>
      </c>
      <c r="B272" s="355" t="s">
        <v>166</v>
      </c>
      <c r="C272" s="59" t="s">
        <v>124</v>
      </c>
      <c r="D272" s="168" t="s">
        <v>75</v>
      </c>
      <c r="E272" s="169" t="s">
        <v>182</v>
      </c>
      <c r="F272" s="316">
        <f>VLOOKUP($A272,'Price setting'!$E$408:$O$426,COLUMN()-1,FALSE)+VLOOKUP($A269,'Price setting'!$E$213:$O$231,COLUMN()-1,FALSE)</f>
        <v>0</v>
      </c>
      <c r="G272" s="317">
        <f>VLOOKUP($A272,'Price setting'!$E$408:$O$426,COLUMN()-1,FALSE)+VLOOKUP($A269,'Price setting'!$E$213:$O$231,COLUMN()-1,FALSE)</f>
        <v>0</v>
      </c>
      <c r="H272" s="317">
        <f ca="1">VLOOKUP($A272,'Price setting'!$E$408:$O$426,COLUMN()-1,FALSE)+VLOOKUP($A269,'Price setting'!$E$213:$O$231,COLUMN()-1,FALSE)</f>
        <v>18.925662827167361</v>
      </c>
      <c r="I272" s="317">
        <f ca="1">VLOOKUP($A272,'Price setting'!$E$408:$O$426,COLUMN()-1,FALSE)+VLOOKUP($A269,'Price setting'!$E$213:$O$231,COLUMN()-1,FALSE)</f>
        <v>19.118883996092649</v>
      </c>
      <c r="J272" s="317">
        <f ca="1">VLOOKUP($A272,'Price setting'!$E$408:$O$426,COLUMN()-1,FALSE)+VLOOKUP($A269,'Price setting'!$E$213:$O$231,COLUMN()-1,FALSE)</f>
        <v>19.670714855000266</v>
      </c>
      <c r="K272" s="317">
        <f ca="1">VLOOKUP($A272,'Price setting'!$E$408:$O$426,COLUMN()-1,FALSE)+VLOOKUP($A269,'Price setting'!$E$213:$O$231,COLUMN()-1,FALSE)</f>
        <v>20.692638099430511</v>
      </c>
      <c r="L272" s="323">
        <f ca="1">VLOOKUP($A272,'Price setting'!$E$408:$O$426,COLUMN()-1,FALSE)+VLOOKUP($A269,'Price setting'!$E$213:$O$231,COLUMN()-1,FALSE)</f>
        <v>20.941767957299199</v>
      </c>
    </row>
    <row r="273" spans="1:12">
      <c r="A273" s="60" t="s">
        <v>66</v>
      </c>
      <c r="B273" s="355" t="s">
        <v>167</v>
      </c>
      <c r="C273" s="59" t="s">
        <v>122</v>
      </c>
      <c r="D273" s="170" t="s">
        <v>88</v>
      </c>
      <c r="E273" s="169" t="s">
        <v>182</v>
      </c>
      <c r="F273" s="262">
        <f>INDEX(SSC,ROW(Input!B$23)-5,COLUMN()+1)*Input!$H$441</f>
        <v>0</v>
      </c>
      <c r="G273" s="263">
        <f>INDEX(SSC,ROW(Input!C$23)-5,COLUMN()+1)*Input!$H$441</f>
        <v>0</v>
      </c>
      <c r="H273" s="263">
        <f>INDEX(SSC,ROW(Input!D$23)-5,COLUMN()+1)*Input!$H$441</f>
        <v>0</v>
      </c>
      <c r="I273" s="263">
        <f>INDEX(SSC,ROW(Input!E$23)-5,COLUMN()+1)*Input!$H$441</f>
        <v>0</v>
      </c>
      <c r="J273" s="263">
        <f>INDEX(SSC,ROW(Input!F$23)-5,COLUMN()+1)*Input!$H$441</f>
        <v>0</v>
      </c>
      <c r="K273" s="263">
        <f>INDEX(SSC,ROW(Input!G$23)-5,COLUMN()+1)*Input!$H$441</f>
        <v>0</v>
      </c>
      <c r="L273" s="264">
        <f>INDEX(SSC,ROW(Input!H$23)-5,COLUMN()+1)*Input!$H$441</f>
        <v>0</v>
      </c>
    </row>
    <row r="274" spans="1:12">
      <c r="A274" s="60" t="s">
        <v>66</v>
      </c>
      <c r="B274" s="355" t="s">
        <v>168</v>
      </c>
      <c r="C274" s="59" t="s">
        <v>123</v>
      </c>
      <c r="D274" s="170" t="s">
        <v>88</v>
      </c>
      <c r="E274" s="169" t="s">
        <v>182</v>
      </c>
      <c r="F274" s="262">
        <f>+INDEX(SSC,ROW(Input!B$24)-5,COLUMN()+1)*Input!$H$441</f>
        <v>0</v>
      </c>
      <c r="G274" s="263">
        <f>+INDEX(SSC,ROW(Input!C$24)-5,COLUMN()+1)*Input!$H$441</f>
        <v>0</v>
      </c>
      <c r="H274" s="263">
        <f>+INDEX(SSC,ROW(Input!D$24)-5,COLUMN()+1)*Input!$H$441</f>
        <v>0</v>
      </c>
      <c r="I274" s="263">
        <f>+INDEX(SSC,ROW(Input!E$24)-5,COLUMN()+1)*Input!$H$441</f>
        <v>0</v>
      </c>
      <c r="J274" s="263">
        <f>+INDEX(SSC,ROW(Input!F$24)-5,COLUMN()+1)*Input!$H$441</f>
        <v>0</v>
      </c>
      <c r="K274" s="263">
        <f>+INDEX(SSC,ROW(Input!G$24)-5,COLUMN()+1)*Input!$H$441</f>
        <v>0</v>
      </c>
      <c r="L274" s="264">
        <f>+INDEX(SSC,ROW(Input!H$24)-5,COLUMN()+1)*Input!$H$441</f>
        <v>0</v>
      </c>
    </row>
    <row r="275" spans="1:12">
      <c r="A275" s="60" t="s">
        <v>66</v>
      </c>
      <c r="B275" s="355" t="s">
        <v>169</v>
      </c>
      <c r="C275" s="59" t="s">
        <v>139</v>
      </c>
      <c r="D275" s="170" t="s">
        <v>74</v>
      </c>
      <c r="E275" s="169" t="s">
        <v>182</v>
      </c>
      <c r="F275" s="262">
        <f>VLOOKUP($A275,'Price setting'!$E$488:$O$506,COLUMN()-1,FALSE)</f>
        <v>0</v>
      </c>
      <c r="G275" s="263">
        <f>VLOOKUP($A275,'Price setting'!$E$488:$O$506,COLUMN()-1,FALSE)</f>
        <v>0</v>
      </c>
      <c r="H275" s="263">
        <f ca="1">VLOOKUP($A275,'Price setting'!$E$488:$O$506,COLUMN()-1,FALSE)</f>
        <v>0.20640147867952005</v>
      </c>
      <c r="I275" s="263">
        <f ca="1">VLOOKUP($A275,'Price setting'!$E$488:$O$506,COLUMN()-1,FALSE)</f>
        <v>0.40500223564403426</v>
      </c>
      <c r="J275" s="263">
        <f ca="1">VLOOKUP($A275,'Price setting'!$E$488:$O$506,COLUMN()-1,FALSE)</f>
        <v>0.62154746780035008</v>
      </c>
      <c r="K275" s="263">
        <f ca="1">VLOOKUP($A275,'Price setting'!$E$488:$O$506,COLUMN()-1,FALSE)</f>
        <v>0.84107221700378243</v>
      </c>
      <c r="L275" s="264">
        <f ca="1">VLOOKUP($A275,'Price setting'!$E$488:$O$506,COLUMN()-1,FALSE)</f>
        <v>0.9821440632926044</v>
      </c>
    </row>
    <row r="276" spans="1:12">
      <c r="A276" s="60" t="str">
        <f>+A275</f>
        <v>SSC</v>
      </c>
      <c r="B276" s="355" t="s">
        <v>170</v>
      </c>
      <c r="C276" s="59" t="s">
        <v>67</v>
      </c>
      <c r="D276" s="170" t="s">
        <v>171</v>
      </c>
      <c r="E276" s="169" t="s">
        <v>182</v>
      </c>
      <c r="F276" s="320">
        <f>+Input!$H$441</f>
        <v>1.3</v>
      </c>
      <c r="G276" s="321">
        <f>+Input!$H$441</f>
        <v>1.3</v>
      </c>
      <c r="H276" s="321">
        <f>+Input!$H$441</f>
        <v>1.3</v>
      </c>
      <c r="I276" s="321">
        <f>+Input!$H$441</f>
        <v>1.3</v>
      </c>
      <c r="J276" s="321">
        <f>+Input!$H$441</f>
        <v>1.3</v>
      </c>
      <c r="K276" s="321">
        <f>+Input!$H$441</f>
        <v>1.3</v>
      </c>
      <c r="L276" s="322">
        <f>+Input!$H$441</f>
        <v>1.3</v>
      </c>
    </row>
    <row r="277" spans="1:12">
      <c r="A277" s="60" t="str">
        <f t="shared" ref="A277:A289" si="11">+A276</f>
        <v>SSC</v>
      </c>
      <c r="B277" s="355" t="s">
        <v>194</v>
      </c>
      <c r="C277" s="59" t="s">
        <v>185</v>
      </c>
      <c r="D277" s="168" t="s">
        <v>75</v>
      </c>
      <c r="E277" s="169" t="s">
        <v>182</v>
      </c>
      <c r="F277" s="316">
        <f ca="1">VLOOKUP(A277,'Price setting'!$E$89:$I$106,COLUMN()-1,FALSE)</f>
        <v>22.457304912371423</v>
      </c>
      <c r="G277" s="317"/>
      <c r="H277" s="317"/>
      <c r="I277" s="317"/>
      <c r="J277" s="317"/>
      <c r="K277" s="317"/>
      <c r="L277" s="323"/>
    </row>
    <row r="278" spans="1:12">
      <c r="A278" s="60" t="str">
        <f t="shared" si="11"/>
        <v>SSC</v>
      </c>
      <c r="B278" s="355" t="s">
        <v>195</v>
      </c>
      <c r="C278" s="59" t="s">
        <v>186</v>
      </c>
      <c r="D278" s="168" t="s">
        <v>75</v>
      </c>
      <c r="E278" s="169" t="s">
        <v>182</v>
      </c>
      <c r="F278" s="316">
        <f ca="1">VLOOKUP(A278,'Price setting'!E$254:I$271,COLUMN()-1,FALSE)+VLOOKUP(A277,'Price setting'!$E$89:$I$106,COLUMN()-1,FALSE)</f>
        <v>27.510941610067132</v>
      </c>
      <c r="G278" s="317"/>
      <c r="H278" s="317"/>
      <c r="I278" s="317"/>
      <c r="J278" s="317"/>
      <c r="K278" s="317"/>
      <c r="L278" s="323"/>
    </row>
    <row r="279" spans="1:12">
      <c r="A279" s="60" t="str">
        <f t="shared" si="11"/>
        <v>SSC</v>
      </c>
      <c r="B279" s="355" t="s">
        <v>196</v>
      </c>
      <c r="C279" s="59" t="s">
        <v>187</v>
      </c>
      <c r="D279" s="168" t="s">
        <v>75</v>
      </c>
      <c r="E279" s="169" t="s">
        <v>182</v>
      </c>
      <c r="F279" s="316">
        <f ca="1">VLOOKUP(A279,'Price setting'!E$319:I$336,COLUMN()-1,FALSE)+VLOOKUP(A277,'Price setting'!$E$89:$I$106,COLUMN()-1,FALSE)</f>
        <v>22.457304912371423</v>
      </c>
      <c r="G279" s="317"/>
      <c r="H279" s="317"/>
      <c r="I279" s="317"/>
      <c r="J279" s="317"/>
      <c r="K279" s="317"/>
      <c r="L279" s="323"/>
    </row>
    <row r="280" spans="1:12">
      <c r="A280" s="60" t="str">
        <f t="shared" si="11"/>
        <v>SSC</v>
      </c>
      <c r="B280" s="355" t="s">
        <v>197</v>
      </c>
      <c r="C280" s="59" t="s">
        <v>188</v>
      </c>
      <c r="D280" s="168" t="s">
        <v>75</v>
      </c>
      <c r="E280" s="169" t="s">
        <v>182</v>
      </c>
      <c r="F280" s="316">
        <f ca="1">(VLOOKUP(A280,'Price setting'!E$384:I$401,COLUMN()-1,FALSE)+VLOOKUP(A277,'Price setting'!$E$89:$I$106,COLUMN()-1,FALSE))*+Input!$H$441</f>
        <v>29.19449638608285</v>
      </c>
      <c r="G280" s="317"/>
      <c r="H280" s="317"/>
      <c r="I280" s="317"/>
      <c r="J280" s="317"/>
      <c r="K280" s="317"/>
      <c r="L280" s="323"/>
    </row>
    <row r="281" spans="1:12">
      <c r="A281" s="60" t="str">
        <f t="shared" si="11"/>
        <v>SSC</v>
      </c>
      <c r="B281" s="355" t="s">
        <v>198</v>
      </c>
      <c r="C281" s="59" t="s">
        <v>189</v>
      </c>
      <c r="D281" s="168" t="s">
        <v>75</v>
      </c>
      <c r="E281" s="169" t="s">
        <v>182</v>
      </c>
      <c r="F281" s="316">
        <f ca="1">VLOOKUP(A281,'Price setting'!E$89:I$106,COLUMN()-1,FALSE)*+Input!$H$441</f>
        <v>29.19449638608285</v>
      </c>
      <c r="G281" s="317"/>
      <c r="H281" s="317"/>
      <c r="I281" s="317"/>
      <c r="J281" s="317"/>
      <c r="K281" s="317"/>
      <c r="L281" s="323"/>
    </row>
    <row r="282" spans="1:12" s="53" customFormat="1">
      <c r="A282" s="60" t="str">
        <f t="shared" si="11"/>
        <v>SSC</v>
      </c>
      <c r="B282" s="356" t="s">
        <v>204</v>
      </c>
      <c r="C282" s="59" t="s">
        <v>203</v>
      </c>
      <c r="D282" s="168" t="s">
        <v>75</v>
      </c>
      <c r="E282" s="169" t="s">
        <v>182</v>
      </c>
      <c r="F282" s="316"/>
      <c r="G282" s="317"/>
      <c r="H282" s="317">
        <f ca="1">VLOOKUP($A282,'Price setting'!$E$213:$O$230,COLUMN()-1,FALSE)</f>
        <v>18.925662827167361</v>
      </c>
      <c r="I282" s="317">
        <f ca="1">VLOOKUP($A282,'Price setting'!$E$213:$O$230,COLUMN()-1,FALSE)</f>
        <v>19.118883996092649</v>
      </c>
      <c r="J282" s="317">
        <f ca="1">VLOOKUP($A282,'Price setting'!$E$213:$O$230,COLUMN()-1,FALSE)</f>
        <v>19.670714855000266</v>
      </c>
      <c r="K282" s="317">
        <f ca="1">VLOOKUP($A282,'Price setting'!$E$213:$O$230,COLUMN()-1,FALSE)</f>
        <v>20.692638099430511</v>
      </c>
      <c r="L282" s="323">
        <f ca="1">VLOOKUP($A282,'Price setting'!$E$213:$O$230,COLUMN()-1,FALSE)</f>
        <v>20.941767957299199</v>
      </c>
    </row>
    <row r="283" spans="1:12">
      <c r="A283" s="60" t="str">
        <f t="shared" si="11"/>
        <v>SSC</v>
      </c>
      <c r="B283" s="355" t="s">
        <v>199</v>
      </c>
      <c r="C283" s="59" t="s">
        <v>190</v>
      </c>
      <c r="D283" s="168" t="s">
        <v>75</v>
      </c>
      <c r="E283" s="169" t="s">
        <v>182</v>
      </c>
      <c r="F283" s="316"/>
      <c r="G283" s="317"/>
      <c r="H283" s="317">
        <f ca="1">VLOOKUP($A282,'Price setting'!$E$213:$O$230,COLUMN()-1,FALSE)*+Input!$H$441</f>
        <v>24.603361675317572</v>
      </c>
      <c r="I283" s="317">
        <f ca="1">VLOOKUP($A282,'Price setting'!$E$213:$O$230,COLUMN()-1,FALSE)*+Input!$H$441</f>
        <v>24.854549194920445</v>
      </c>
      <c r="J283" s="317">
        <f ca="1">VLOOKUP($A282,'Price setting'!$E$213:$O$230,COLUMN()-1,FALSE)*+Input!$H$441</f>
        <v>25.571929311500348</v>
      </c>
      <c r="K283" s="317">
        <f ca="1">VLOOKUP($A282,'Price setting'!$E$213:$O$230,COLUMN()-1,FALSE)*+Input!$H$441</f>
        <v>26.900429529259664</v>
      </c>
      <c r="L283" s="323">
        <f ca="1">VLOOKUP($A282,'Price setting'!$E$213:$O$230,COLUMN()-1,FALSE)*+Input!$H$441</f>
        <v>27.224298344488957</v>
      </c>
    </row>
    <row r="284" spans="1:12">
      <c r="A284" s="60" t="str">
        <f t="shared" si="11"/>
        <v>SSC</v>
      </c>
      <c r="B284" s="355" t="s">
        <v>200</v>
      </c>
      <c r="C284" s="59" t="s">
        <v>191</v>
      </c>
      <c r="D284" s="168" t="s">
        <v>75</v>
      </c>
      <c r="E284" s="169" t="s">
        <v>182</v>
      </c>
      <c r="F284" s="316"/>
      <c r="G284" s="317"/>
      <c r="H284" s="317">
        <f ca="1">VLOOKUP($A284,'Price setting'!$E$278:$O$295,COLUMN()-1,FALSE)+VLOOKUP($A282,'Price setting'!$E$213:$O$230,COLUMN()-1,FALSE)</f>
        <v>24.519724629972561</v>
      </c>
      <c r="I284" s="317">
        <f ca="1">VLOOKUP($A284,'Price setting'!$E$278:$O$295,COLUMN()-1,FALSE)+VLOOKUP($A282,'Price setting'!$E$213:$O$230,COLUMN()-1,FALSE)</f>
        <v>24.714386003297662</v>
      </c>
      <c r="J284" s="317">
        <f ca="1">VLOOKUP($A284,'Price setting'!$E$278:$O$295,COLUMN()-1,FALSE)+VLOOKUP($A282,'Price setting'!$E$213:$O$230,COLUMN()-1,FALSE)</f>
        <v>25.267438913121129</v>
      </c>
      <c r="K284" s="317">
        <f ca="1">VLOOKUP($A284,'Price setting'!$E$278:$O$295,COLUMN()-1,FALSE)+VLOOKUP($A282,'Price setting'!$E$213:$O$230,COLUMN()-1,FALSE)</f>
        <v>26.290256023815779</v>
      </c>
      <c r="L284" s="323">
        <f ca="1">VLOOKUP($A284,'Price setting'!$E$278:$O$295,COLUMN()-1,FALSE)+VLOOKUP($A282,'Price setting'!$E$213:$O$230,COLUMN()-1,FALSE)</f>
        <v>26.540089467717806</v>
      </c>
    </row>
    <row r="285" spans="1:12">
      <c r="A285" s="60" t="str">
        <f t="shared" si="11"/>
        <v>SSC</v>
      </c>
      <c r="B285" s="355" t="s">
        <v>201</v>
      </c>
      <c r="C285" s="59" t="s">
        <v>192</v>
      </c>
      <c r="D285" s="168" t="s">
        <v>75</v>
      </c>
      <c r="E285" s="169" t="s">
        <v>182</v>
      </c>
      <c r="F285" s="316"/>
      <c r="G285" s="317"/>
      <c r="H285" s="317">
        <f ca="1">VLOOKUP($A285,'Price setting'!$E$343:$O$360,COLUMN()-1,FALSE)+VLOOKUP($A282,'Price setting'!$E$213:$O$230,COLUMN()-1,FALSE)</f>
        <v>18.925662827167361</v>
      </c>
      <c r="I285" s="317">
        <f ca="1">VLOOKUP($A285,'Price setting'!$E$343:$O$360,COLUMN()-1,FALSE)+VLOOKUP($A282,'Price setting'!$E$213:$O$230,COLUMN()-1,FALSE)</f>
        <v>19.118883996092649</v>
      </c>
      <c r="J285" s="317">
        <f ca="1">VLOOKUP($A285,'Price setting'!$E$343:$O$360,COLUMN()-1,FALSE)+VLOOKUP($A282,'Price setting'!$E$213:$O$230,COLUMN()-1,FALSE)</f>
        <v>19.670714855000266</v>
      </c>
      <c r="K285" s="317">
        <f ca="1">VLOOKUP($A285,'Price setting'!$E$343:$O$360,COLUMN()-1,FALSE)+VLOOKUP($A282,'Price setting'!$E$213:$O$230,COLUMN()-1,FALSE)</f>
        <v>20.692638099430511</v>
      </c>
      <c r="L285" s="323">
        <f ca="1">VLOOKUP($A285,'Price setting'!$E$343:$O$360,COLUMN()-1,FALSE)+VLOOKUP($A282,'Price setting'!$E$213:$O$230,COLUMN()-1,FALSE)</f>
        <v>20.941767957299199</v>
      </c>
    </row>
    <row r="286" spans="1:12">
      <c r="A286" s="60" t="str">
        <f t="shared" si="11"/>
        <v>SSC</v>
      </c>
      <c r="B286" s="355" t="s">
        <v>202</v>
      </c>
      <c r="C286" s="59" t="s">
        <v>193</v>
      </c>
      <c r="D286" s="168" t="s">
        <v>75</v>
      </c>
      <c r="E286" s="169" t="s">
        <v>182</v>
      </c>
      <c r="F286" s="316"/>
      <c r="G286" s="317"/>
      <c r="H286" s="317">
        <f ca="1">(VLOOKUP($A286,'Price setting'!$E$408:$O$425,COLUMN()-1,FALSE)+VLOOKUP($A282,'Price setting'!$E$213:$O$230,COLUMN()-1,FALSE))*+Input!$H$441</f>
        <v>24.603361675317572</v>
      </c>
      <c r="I286" s="317">
        <f ca="1">(VLOOKUP($A286,'Price setting'!$E$408:$O$425,COLUMN()-1,FALSE)+VLOOKUP($A282,'Price setting'!$E$213:$O$230,COLUMN()-1,FALSE))*+Input!$H$441</f>
        <v>24.854549194920445</v>
      </c>
      <c r="J286" s="317">
        <f ca="1">(VLOOKUP($A286,'Price setting'!$E$408:$O$425,COLUMN()-1,FALSE)+VLOOKUP($A282,'Price setting'!$E$213:$O$230,COLUMN()-1,FALSE))*+Input!$H$441</f>
        <v>25.571929311500348</v>
      </c>
      <c r="K286" s="317">
        <f ca="1">(VLOOKUP($A286,'Price setting'!$E$408:$O$425,COLUMN()-1,FALSE)+VLOOKUP($A282,'Price setting'!$E$213:$O$230,COLUMN()-1,FALSE))*+Input!$H$441</f>
        <v>26.900429529259664</v>
      </c>
      <c r="L286" s="323">
        <f ca="1">(VLOOKUP($A286,'Price setting'!$E$408:$O$425,COLUMN()-1,FALSE)+VLOOKUP($A282,'Price setting'!$E$213:$O$230,COLUMN()-1,FALSE))*+Input!$H$441</f>
        <v>27.224298344488957</v>
      </c>
    </row>
    <row r="287" spans="1:12">
      <c r="A287" s="60" t="str">
        <f t="shared" si="11"/>
        <v>SSC</v>
      </c>
      <c r="B287" s="355" t="s">
        <v>208</v>
      </c>
      <c r="C287" s="59" t="s">
        <v>205</v>
      </c>
      <c r="D287" s="168" t="s">
        <v>75</v>
      </c>
      <c r="E287" s="169" t="s">
        <v>182</v>
      </c>
      <c r="F287" s="262">
        <f ca="1">VLOOKUP($A287,'Price setting'!$E$49:$I$66,COLUMN()-1,FALSE)</f>
        <v>0.53109261843789102</v>
      </c>
      <c r="G287" s="263"/>
      <c r="H287" s="263"/>
      <c r="I287" s="263"/>
      <c r="J287" s="263"/>
      <c r="K287" s="263"/>
      <c r="L287" s="264"/>
    </row>
    <row r="288" spans="1:12">
      <c r="A288" s="60" t="str">
        <f t="shared" si="11"/>
        <v>SSC</v>
      </c>
      <c r="B288" s="355" t="s">
        <v>206</v>
      </c>
      <c r="C288" s="59" t="s">
        <v>132</v>
      </c>
      <c r="D288" s="168" t="s">
        <v>74</v>
      </c>
      <c r="E288" s="169" t="s">
        <v>182</v>
      </c>
      <c r="F288" s="262">
        <f ca="1">'Used inputs'!I184</f>
        <v>13.722970409762651</v>
      </c>
      <c r="G288" s="263">
        <f>'Used inputs'!J184</f>
        <v>12.964774199921823</v>
      </c>
      <c r="H288" s="263">
        <f ca="1">'Used inputs'!K184</f>
        <v>13.993608596781998</v>
      </c>
      <c r="I288" s="263">
        <f ca="1">'Used inputs'!L184</f>
        <v>14.131472684983999</v>
      </c>
      <c r="J288" s="263">
        <f ca="1">'Used inputs'!M184</f>
        <v>14.271751031220774</v>
      </c>
      <c r="K288" s="263">
        <f ca="1">'Used inputs'!N184</f>
        <v>14.413518209729252</v>
      </c>
      <c r="L288" s="264">
        <f ca="1">'Used inputs'!O184</f>
        <v>14.556273384917079</v>
      </c>
    </row>
    <row r="289" spans="1:12">
      <c r="A289" s="60" t="str">
        <f t="shared" si="11"/>
        <v>SSC</v>
      </c>
      <c r="B289" s="355" t="s">
        <v>207</v>
      </c>
      <c r="C289" s="59" t="s">
        <v>157</v>
      </c>
      <c r="D289" s="168" t="s">
        <v>74</v>
      </c>
      <c r="E289" s="169" t="s">
        <v>182</v>
      </c>
      <c r="F289" s="262">
        <f>'Used inputs'!I197</f>
        <v>0.40257510854015643</v>
      </c>
      <c r="G289" s="263">
        <f>'Used inputs'!J197</f>
        <v>1.2174413167768778</v>
      </c>
      <c r="H289" s="263">
        <f>'Used inputs'!K197</f>
        <v>0.29611921518637185</v>
      </c>
      <c r="I289" s="263">
        <f>'Used inputs'!L197</f>
        <v>0.29611921518637185</v>
      </c>
      <c r="J289" s="263">
        <f>'Used inputs'!M197</f>
        <v>0.29611921518637185</v>
      </c>
      <c r="K289" s="263">
        <f>'Used inputs'!N197</f>
        <v>0.29611921518637185</v>
      </c>
      <c r="L289" s="264">
        <f>'Used inputs'!O197</f>
        <v>0.29611921518637185</v>
      </c>
    </row>
    <row r="290" spans="1:12">
      <c r="A290" s="60" t="s">
        <v>55</v>
      </c>
      <c r="B290" s="355" t="s">
        <v>162</v>
      </c>
      <c r="C290" s="59" t="s">
        <v>175</v>
      </c>
      <c r="D290" s="169" t="s">
        <v>74</v>
      </c>
      <c r="E290" s="169" t="s">
        <v>182</v>
      </c>
      <c r="F290" s="262">
        <f>VLOOKUP($A290,'Price setting'!$E$448:$O$466,COLUMN()-1,FALSE)</f>
        <v>0</v>
      </c>
      <c r="G290" s="263">
        <f>VLOOKUP($A290,'Price setting'!$E$448:$O$466,COLUMN()-1,FALSE)</f>
        <v>0</v>
      </c>
      <c r="H290" s="263">
        <f ca="1">VLOOKUP($A290,'Price setting'!$E$448:$O$466,COLUMN()-1,FALSE)</f>
        <v>2.7216690878172898</v>
      </c>
      <c r="I290" s="263">
        <f ca="1">VLOOKUP($A290,'Price setting'!$E$448:$O$466,COLUMN()-1,FALSE)</f>
        <v>2.7515056737646351</v>
      </c>
      <c r="J290" s="263">
        <f ca="1">VLOOKUP($A290,'Price setting'!$E$448:$O$466,COLUMN()-1,FALSE)</f>
        <v>2.7766315048484347</v>
      </c>
      <c r="K290" s="263">
        <f ca="1">VLOOKUP($A290,'Price setting'!$E$448:$O$466,COLUMN()-1,FALSE)</f>
        <v>2.8009599388989055</v>
      </c>
      <c r="L290" s="264">
        <f ca="1">VLOOKUP($A290,'Price setting'!$E$448:$O$466,COLUMN()-1,FALSE)</f>
        <v>2.8294283352020151</v>
      </c>
    </row>
    <row r="291" spans="1:12">
      <c r="A291" s="60" t="s">
        <v>55</v>
      </c>
      <c r="B291" s="355" t="s">
        <v>163</v>
      </c>
      <c r="C291" s="59" t="s">
        <v>118</v>
      </c>
      <c r="D291" s="168" t="s">
        <v>75</v>
      </c>
      <c r="E291" s="169" t="s">
        <v>182</v>
      </c>
      <c r="F291" s="316">
        <f>VLOOKUP($A291,'Price setting'!$E$213:$O$231,COLUMN()-1,FALSE)</f>
        <v>0</v>
      </c>
      <c r="G291" s="317">
        <f>VLOOKUP($A291,'Price setting'!$E$213:$O$231,COLUMN()-1,FALSE)</f>
        <v>0</v>
      </c>
      <c r="H291" s="317">
        <f ca="1">VLOOKUP($A291,'Price setting'!$E$213:$O$231,COLUMN()-1,FALSE)</f>
        <v>21.426787053594879</v>
      </c>
      <c r="I291" s="317">
        <f ca="1">VLOOKUP($A291,'Price setting'!$E$213:$O$231,COLUMN()-1,FALSE)</f>
        <v>21.437742250156031</v>
      </c>
      <c r="J291" s="317">
        <f ca="1">VLOOKUP($A291,'Price setting'!$E$213:$O$231,COLUMN()-1,FALSE)</f>
        <v>21.410108586266308</v>
      </c>
      <c r="K291" s="317">
        <f ca="1">VLOOKUP($A291,'Price setting'!$E$213:$O$231,COLUMN()-1,FALSE)</f>
        <v>21.37626107326491</v>
      </c>
      <c r="L291" s="323">
        <f ca="1">VLOOKUP($A291,'Price setting'!$E$213:$O$231,COLUMN()-1,FALSE)</f>
        <v>21.376971264147361</v>
      </c>
    </row>
    <row r="292" spans="1:12">
      <c r="A292" s="60" t="s">
        <v>55</v>
      </c>
      <c r="B292" s="355" t="s">
        <v>164</v>
      </c>
      <c r="C292" s="59" t="s">
        <v>119</v>
      </c>
      <c r="D292" s="168" t="s">
        <v>75</v>
      </c>
      <c r="E292" s="169" t="s">
        <v>182</v>
      </c>
      <c r="F292" s="316">
        <f>VLOOKUP($A292,'Price setting'!$E$278:$O$296,COLUMN()-1,FALSE)+VLOOKUP($A291,'Price setting'!$E$213:$O$231,COLUMN()-1,FALSE)</f>
        <v>0</v>
      </c>
      <c r="G292" s="317">
        <f>VLOOKUP($A292,'Price setting'!$E$278:$O$296,COLUMN()-1,FALSE)+VLOOKUP($A291,'Price setting'!$E$213:$O$231,COLUMN()-1,FALSE)</f>
        <v>0</v>
      </c>
      <c r="H292" s="317">
        <f ca="1">VLOOKUP($A292,'Price setting'!$E$278:$O$296,COLUMN()-1,FALSE)+VLOOKUP($A291,'Price setting'!$E$213:$O$231,COLUMN()-1,FALSE)</f>
        <v>24.430653967898184</v>
      </c>
      <c r="I292" s="317">
        <f ca="1">VLOOKUP($A292,'Price setting'!$E$278:$O$296,COLUMN()-1,FALSE)+VLOOKUP($A291,'Price setting'!$E$213:$O$231,COLUMN()-1,FALSE)</f>
        <v>24.454314761119193</v>
      </c>
      <c r="J292" s="317">
        <f ca="1">VLOOKUP($A292,'Price setting'!$E$278:$O$296,COLUMN()-1,FALSE)+VLOOKUP($A291,'Price setting'!$E$213:$O$231,COLUMN()-1,FALSE)</f>
        <v>24.438751075633483</v>
      </c>
      <c r="K292" s="317">
        <f ca="1">VLOOKUP($A292,'Price setting'!$E$278:$O$296,COLUMN()-1,FALSE)+VLOOKUP($A291,'Price setting'!$E$213:$O$231,COLUMN()-1,FALSE)</f>
        <v>24.418124988260121</v>
      </c>
      <c r="L292" s="323">
        <f ca="1">VLOOKUP($A292,'Price setting'!$E$278:$O$296,COLUMN()-1,FALSE)+VLOOKUP($A291,'Price setting'!$E$213:$O$231,COLUMN()-1,FALSE)</f>
        <v>24.432986111160403</v>
      </c>
    </row>
    <row r="293" spans="1:12">
      <c r="A293" s="60" t="s">
        <v>55</v>
      </c>
      <c r="B293" s="355" t="s">
        <v>165</v>
      </c>
      <c r="C293" s="59" t="s">
        <v>120</v>
      </c>
      <c r="D293" s="168" t="s">
        <v>75</v>
      </c>
      <c r="E293" s="169" t="s">
        <v>182</v>
      </c>
      <c r="F293" s="316">
        <f>VLOOKUP($A293,'Price setting'!$E$343:$O$361,COLUMN()-1,FALSE)+VLOOKUP($A291,'Price setting'!$E$213:$O$231,COLUMN()-1,FALSE)</f>
        <v>0</v>
      </c>
      <c r="G293" s="317">
        <f>VLOOKUP($A293,'Price setting'!$E$343:$O$361,COLUMN()-1,FALSE)+VLOOKUP($A291,'Price setting'!$E$213:$O$231,COLUMN()-1,FALSE)</f>
        <v>0</v>
      </c>
      <c r="H293" s="317">
        <f ca="1">VLOOKUP($A293,'Price setting'!$E$343:$O$361,COLUMN()-1,FALSE)+VLOOKUP($A291,'Price setting'!$E$213:$O$231,COLUMN()-1,FALSE)</f>
        <v>21.426787053594879</v>
      </c>
      <c r="I293" s="317">
        <f ca="1">VLOOKUP($A293,'Price setting'!$E$343:$O$361,COLUMN()-1,FALSE)+VLOOKUP($A291,'Price setting'!$E$213:$O$231,COLUMN()-1,FALSE)</f>
        <v>21.437742250156031</v>
      </c>
      <c r="J293" s="317">
        <f ca="1">VLOOKUP($A293,'Price setting'!$E$343:$O$361,COLUMN()-1,FALSE)+VLOOKUP($A291,'Price setting'!$E$213:$O$231,COLUMN()-1,FALSE)</f>
        <v>21.410108586266308</v>
      </c>
      <c r="K293" s="317">
        <f ca="1">VLOOKUP($A293,'Price setting'!$E$343:$O$361,COLUMN()-1,FALSE)+VLOOKUP($A291,'Price setting'!$E$213:$O$231,COLUMN()-1,FALSE)</f>
        <v>21.37626107326491</v>
      </c>
      <c r="L293" s="323">
        <f ca="1">VLOOKUP($A293,'Price setting'!$E$343:$O$361,COLUMN()-1,FALSE)+VLOOKUP($A291,'Price setting'!$E$213:$O$231,COLUMN()-1,FALSE)</f>
        <v>21.376971264147361</v>
      </c>
    </row>
    <row r="294" spans="1:12">
      <c r="A294" s="60" t="s">
        <v>55</v>
      </c>
      <c r="B294" s="355" t="s">
        <v>166</v>
      </c>
      <c r="C294" s="59" t="s">
        <v>124</v>
      </c>
      <c r="D294" s="168" t="s">
        <v>75</v>
      </c>
      <c r="E294" s="169" t="s">
        <v>182</v>
      </c>
      <c r="F294" s="316">
        <f>VLOOKUP($A294,'Price setting'!$E$408:$O$426,COLUMN()-1,FALSE)+VLOOKUP($A291,'Price setting'!$E$213:$O$231,COLUMN()-1,FALSE)</f>
        <v>0</v>
      </c>
      <c r="G294" s="317">
        <f>VLOOKUP($A294,'Price setting'!$E$408:$O$426,COLUMN()-1,FALSE)+VLOOKUP($A291,'Price setting'!$E$213:$O$231,COLUMN()-1,FALSE)</f>
        <v>0</v>
      </c>
      <c r="H294" s="317">
        <f ca="1">VLOOKUP($A294,'Price setting'!$E$408:$O$426,COLUMN()-1,FALSE)+VLOOKUP($A291,'Price setting'!$E$213:$O$231,COLUMN()-1,FALSE)</f>
        <v>21.426787053594879</v>
      </c>
      <c r="I294" s="317">
        <f ca="1">VLOOKUP($A294,'Price setting'!$E$408:$O$426,COLUMN()-1,FALSE)+VLOOKUP($A291,'Price setting'!$E$213:$O$231,COLUMN()-1,FALSE)</f>
        <v>21.437742250156031</v>
      </c>
      <c r="J294" s="317">
        <f ca="1">VLOOKUP($A294,'Price setting'!$E$408:$O$426,COLUMN()-1,FALSE)+VLOOKUP($A291,'Price setting'!$E$213:$O$231,COLUMN()-1,FALSE)</f>
        <v>21.410108586266308</v>
      </c>
      <c r="K294" s="317">
        <f ca="1">VLOOKUP($A294,'Price setting'!$E$408:$O$426,COLUMN()-1,FALSE)+VLOOKUP($A291,'Price setting'!$E$213:$O$231,COLUMN()-1,FALSE)</f>
        <v>21.37626107326491</v>
      </c>
      <c r="L294" s="323">
        <f ca="1">VLOOKUP($A294,'Price setting'!$E$408:$O$426,COLUMN()-1,FALSE)+VLOOKUP($A291,'Price setting'!$E$213:$O$231,COLUMN()-1,FALSE)</f>
        <v>21.376971264147361</v>
      </c>
    </row>
    <row r="295" spans="1:12">
      <c r="A295" s="60" t="s">
        <v>55</v>
      </c>
      <c r="B295" s="355" t="s">
        <v>167</v>
      </c>
      <c r="C295" s="59" t="s">
        <v>122</v>
      </c>
      <c r="D295" s="170" t="s">
        <v>88</v>
      </c>
      <c r="E295" s="169" t="s">
        <v>182</v>
      </c>
      <c r="F295" s="262">
        <f>INDEX(DVW,ROW(Input!B$23)-5,COLUMN()+1)*Input!$H$441</f>
        <v>0</v>
      </c>
      <c r="G295" s="263">
        <f>INDEX(DVW,ROW(Input!C$23)-5,COLUMN()+1)*Input!$H$441</f>
        <v>0</v>
      </c>
      <c r="H295" s="263">
        <f>INDEX(DVW,ROW(Input!D$23)-5,COLUMN()+1)*Input!$H$441</f>
        <v>0</v>
      </c>
      <c r="I295" s="263">
        <f>INDEX(DVW,ROW(Input!E$23)-5,COLUMN()+1)*Input!$H$441</f>
        <v>0</v>
      </c>
      <c r="J295" s="263">
        <f>INDEX(DVW,ROW(Input!F$23)-5,COLUMN()+1)*Input!$H$441</f>
        <v>0</v>
      </c>
      <c r="K295" s="263">
        <f>INDEX(DVW,ROW(Input!G$23)-5,COLUMN()+1)*Input!$H$441</f>
        <v>0</v>
      </c>
      <c r="L295" s="264">
        <f>INDEX(DVW,ROW(Input!H$23)-5,COLUMN()+1)*Input!$H$441</f>
        <v>0</v>
      </c>
    </row>
    <row r="296" spans="1:12">
      <c r="A296" s="60" t="s">
        <v>55</v>
      </c>
      <c r="B296" s="355" t="s">
        <v>168</v>
      </c>
      <c r="C296" s="59" t="s">
        <v>123</v>
      </c>
      <c r="D296" s="170" t="s">
        <v>88</v>
      </c>
      <c r="E296" s="169" t="s">
        <v>182</v>
      </c>
      <c r="F296" s="262">
        <f>+INDEX(DVW,ROW(Input!B$24)-5,COLUMN()+1)*Input!$H$441</f>
        <v>0</v>
      </c>
      <c r="G296" s="263">
        <f>+INDEX(DVW,ROW(Input!C$24)-5,COLUMN()+1)*Input!$H$441</f>
        <v>0</v>
      </c>
      <c r="H296" s="263">
        <f>+INDEX(DVW,ROW(Input!D$24)-5,COLUMN()+1)*Input!$H$441</f>
        <v>0</v>
      </c>
      <c r="I296" s="263">
        <f>+INDEX(DVW,ROW(Input!E$24)-5,COLUMN()+1)*Input!$H$441</f>
        <v>0</v>
      </c>
      <c r="J296" s="263">
        <f>+INDEX(DVW,ROW(Input!F$24)-5,COLUMN()+1)*Input!$H$441</f>
        <v>0</v>
      </c>
      <c r="K296" s="263">
        <f>+INDEX(DVW,ROW(Input!G$24)-5,COLUMN()+1)*Input!$H$441</f>
        <v>0</v>
      </c>
      <c r="L296" s="264">
        <f>+INDEX(DVW,ROW(Input!H$24)-5,COLUMN()+1)*Input!$H$441</f>
        <v>0</v>
      </c>
    </row>
    <row r="297" spans="1:12">
      <c r="A297" s="60" t="s">
        <v>55</v>
      </c>
      <c r="B297" s="355" t="s">
        <v>169</v>
      </c>
      <c r="C297" s="59" t="s">
        <v>139</v>
      </c>
      <c r="D297" s="170" t="s">
        <v>74</v>
      </c>
      <c r="E297" s="169" t="s">
        <v>182</v>
      </c>
      <c r="F297" s="262">
        <f>VLOOKUP($A297,'Price setting'!$E$488:$O$506,COLUMN()-1,FALSE)</f>
        <v>0</v>
      </c>
      <c r="G297" s="263">
        <f>VLOOKUP($A297,'Price setting'!$E$488:$O$506,COLUMN()-1,FALSE)</f>
        <v>0</v>
      </c>
      <c r="H297" s="263">
        <f ca="1">VLOOKUP($A297,'Price setting'!$E$488:$O$506,COLUMN()-1,FALSE)</f>
        <v>3.4980824903783944E-2</v>
      </c>
      <c r="I297" s="263">
        <f ca="1">VLOOKUP($A297,'Price setting'!$E$488:$O$506,COLUMN()-1,FALSE)</f>
        <v>6.5846258642416833E-2</v>
      </c>
      <c r="J297" s="263">
        <f ca="1">VLOOKUP($A297,'Price setting'!$E$488:$O$506,COLUMN()-1,FALSE)</f>
        <v>8.459260874423967E-2</v>
      </c>
      <c r="K297" s="263">
        <f ca="1">VLOOKUP($A297,'Price setting'!$E$488:$O$506,COLUMN()-1,FALSE)</f>
        <v>9.8087265952177968E-2</v>
      </c>
      <c r="L297" s="264">
        <f ca="1">VLOOKUP($A297,'Price setting'!$E$488:$O$506,COLUMN()-1,FALSE)</f>
        <v>0.11271167931659776</v>
      </c>
    </row>
    <row r="298" spans="1:12">
      <c r="A298" s="60" t="str">
        <f>+A297</f>
        <v>DVW</v>
      </c>
      <c r="B298" s="355" t="s">
        <v>170</v>
      </c>
      <c r="C298" s="59" t="s">
        <v>67</v>
      </c>
      <c r="D298" s="170" t="s">
        <v>171</v>
      </c>
      <c r="E298" s="169" t="s">
        <v>182</v>
      </c>
      <c r="F298" s="320">
        <f>+Input!$H$441</f>
        <v>1.3</v>
      </c>
      <c r="G298" s="321">
        <f>+Input!$H$441</f>
        <v>1.3</v>
      </c>
      <c r="H298" s="321">
        <f>+Input!$H$441</f>
        <v>1.3</v>
      </c>
      <c r="I298" s="321">
        <f>+Input!$H$441</f>
        <v>1.3</v>
      </c>
      <c r="J298" s="321">
        <f>+Input!$H$441</f>
        <v>1.3</v>
      </c>
      <c r="K298" s="321">
        <f>+Input!$H$441</f>
        <v>1.3</v>
      </c>
      <c r="L298" s="322">
        <f>+Input!$H$441</f>
        <v>1.3</v>
      </c>
    </row>
    <row r="299" spans="1:12">
      <c r="A299" s="60" t="str">
        <f t="shared" ref="A299:A311" si="12">+A298</f>
        <v>DVW</v>
      </c>
      <c r="B299" s="355" t="s">
        <v>194</v>
      </c>
      <c r="C299" s="59" t="s">
        <v>185</v>
      </c>
      <c r="D299" s="168" t="s">
        <v>75</v>
      </c>
      <c r="E299" s="169" t="s">
        <v>182</v>
      </c>
      <c r="F299" s="316">
        <f ca="1">VLOOKUP(A299,'Price setting'!$E$89:$I$106,COLUMN()-1,FALSE)</f>
        <v>21.605703293472612</v>
      </c>
      <c r="G299" s="317"/>
      <c r="H299" s="317"/>
      <c r="I299" s="317"/>
      <c r="J299" s="317"/>
      <c r="K299" s="317"/>
      <c r="L299" s="323"/>
    </row>
    <row r="300" spans="1:12">
      <c r="A300" s="60" t="str">
        <f t="shared" si="12"/>
        <v>DVW</v>
      </c>
      <c r="B300" s="355" t="s">
        <v>195</v>
      </c>
      <c r="C300" s="59" t="s">
        <v>186</v>
      </c>
      <c r="D300" s="168" t="s">
        <v>75</v>
      </c>
      <c r="E300" s="169" t="s">
        <v>182</v>
      </c>
      <c r="F300" s="316">
        <f ca="1">VLOOKUP(A300,'Price setting'!E$254:I$271,COLUMN()-1,FALSE)+VLOOKUP(A299,'Price setting'!$E$89:$I$106,COLUMN()-1,FALSE)</f>
        <v>24.615697273404393</v>
      </c>
      <c r="G300" s="317"/>
      <c r="H300" s="317"/>
      <c r="I300" s="317"/>
      <c r="J300" s="317"/>
      <c r="K300" s="317"/>
      <c r="L300" s="323"/>
    </row>
    <row r="301" spans="1:12">
      <c r="A301" s="60" t="str">
        <f t="shared" si="12"/>
        <v>DVW</v>
      </c>
      <c r="B301" s="355" t="s">
        <v>196</v>
      </c>
      <c r="C301" s="59" t="s">
        <v>187</v>
      </c>
      <c r="D301" s="168" t="s">
        <v>75</v>
      </c>
      <c r="E301" s="169" t="s">
        <v>182</v>
      </c>
      <c r="F301" s="316">
        <f ca="1">VLOOKUP(A301,'Price setting'!E$319:I$336,COLUMN()-1,FALSE)+VLOOKUP(A299,'Price setting'!$E$89:$I$106,COLUMN()-1,FALSE)</f>
        <v>21.605703293472612</v>
      </c>
      <c r="G301" s="317"/>
      <c r="H301" s="317"/>
      <c r="I301" s="317"/>
      <c r="J301" s="317"/>
      <c r="K301" s="317"/>
      <c r="L301" s="323"/>
    </row>
    <row r="302" spans="1:12">
      <c r="A302" s="60" t="str">
        <f t="shared" si="12"/>
        <v>DVW</v>
      </c>
      <c r="B302" s="355" t="s">
        <v>197</v>
      </c>
      <c r="C302" s="59" t="s">
        <v>188</v>
      </c>
      <c r="D302" s="168" t="s">
        <v>75</v>
      </c>
      <c r="E302" s="169" t="s">
        <v>182</v>
      </c>
      <c r="F302" s="316">
        <f ca="1">(VLOOKUP(A302,'Price setting'!E$384:I$401,COLUMN()-1,FALSE)+VLOOKUP(A299,'Price setting'!$E$89:$I$106,COLUMN()-1,FALSE))*+Input!$H$441</f>
        <v>28.087414281514395</v>
      </c>
      <c r="G302" s="317"/>
      <c r="H302" s="317"/>
      <c r="I302" s="317"/>
      <c r="J302" s="317"/>
      <c r="K302" s="317"/>
      <c r="L302" s="323"/>
    </row>
    <row r="303" spans="1:12">
      <c r="A303" s="60" t="str">
        <f t="shared" si="12"/>
        <v>DVW</v>
      </c>
      <c r="B303" s="355" t="s">
        <v>198</v>
      </c>
      <c r="C303" s="59" t="s">
        <v>189</v>
      </c>
      <c r="D303" s="168" t="s">
        <v>75</v>
      </c>
      <c r="E303" s="169" t="s">
        <v>182</v>
      </c>
      <c r="F303" s="316">
        <f ca="1">VLOOKUP(A303,'Price setting'!E$89:I$106,COLUMN()-1,FALSE)*+Input!$H$441</f>
        <v>28.087414281514395</v>
      </c>
      <c r="G303" s="317"/>
      <c r="H303" s="317"/>
      <c r="I303" s="317"/>
      <c r="J303" s="317"/>
      <c r="K303" s="317"/>
      <c r="L303" s="323"/>
    </row>
    <row r="304" spans="1:12" s="53" customFormat="1">
      <c r="A304" s="60" t="str">
        <f t="shared" si="12"/>
        <v>DVW</v>
      </c>
      <c r="B304" s="356" t="s">
        <v>204</v>
      </c>
      <c r="C304" s="59" t="s">
        <v>203</v>
      </c>
      <c r="D304" s="168" t="s">
        <v>75</v>
      </c>
      <c r="E304" s="169" t="s">
        <v>182</v>
      </c>
      <c r="F304" s="316"/>
      <c r="G304" s="317"/>
      <c r="H304" s="317">
        <f ca="1">VLOOKUP($A304,'Price setting'!$E$213:$O$230,COLUMN()-1,FALSE)</f>
        <v>21.426787053594879</v>
      </c>
      <c r="I304" s="317">
        <f ca="1">VLOOKUP($A304,'Price setting'!$E$213:$O$230,COLUMN()-1,FALSE)</f>
        <v>21.437742250156031</v>
      </c>
      <c r="J304" s="317">
        <f ca="1">VLOOKUP($A304,'Price setting'!$E$213:$O$230,COLUMN()-1,FALSE)</f>
        <v>21.410108586266308</v>
      </c>
      <c r="K304" s="317">
        <f ca="1">VLOOKUP($A304,'Price setting'!$E$213:$O$230,COLUMN()-1,FALSE)</f>
        <v>21.37626107326491</v>
      </c>
      <c r="L304" s="323">
        <f ca="1">VLOOKUP($A304,'Price setting'!$E$213:$O$230,COLUMN()-1,FALSE)</f>
        <v>21.376971264147361</v>
      </c>
    </row>
    <row r="305" spans="1:12">
      <c r="A305" s="60" t="str">
        <f t="shared" si="12"/>
        <v>DVW</v>
      </c>
      <c r="B305" s="355" t="s">
        <v>199</v>
      </c>
      <c r="C305" s="59" t="s">
        <v>190</v>
      </c>
      <c r="D305" s="168" t="s">
        <v>75</v>
      </c>
      <c r="E305" s="169" t="s">
        <v>182</v>
      </c>
      <c r="F305" s="316"/>
      <c r="G305" s="317"/>
      <c r="H305" s="317">
        <f ca="1">VLOOKUP($A304,'Price setting'!$E$213:$O$230,COLUMN()-1,FALSE)*+Input!$H$441</f>
        <v>27.854823169673342</v>
      </c>
      <c r="I305" s="317">
        <f ca="1">VLOOKUP($A304,'Price setting'!$E$213:$O$230,COLUMN()-1,FALSE)*+Input!$H$441</f>
        <v>27.869064925202842</v>
      </c>
      <c r="J305" s="317">
        <f ca="1">VLOOKUP($A304,'Price setting'!$E$213:$O$230,COLUMN()-1,FALSE)*+Input!$H$441</f>
        <v>27.833141162146202</v>
      </c>
      <c r="K305" s="317">
        <f ca="1">VLOOKUP($A304,'Price setting'!$E$213:$O$230,COLUMN()-1,FALSE)*+Input!$H$441</f>
        <v>27.789139395244383</v>
      </c>
      <c r="L305" s="323">
        <f ca="1">VLOOKUP($A304,'Price setting'!$E$213:$O$230,COLUMN()-1,FALSE)*+Input!$H$441</f>
        <v>27.790062643391572</v>
      </c>
    </row>
    <row r="306" spans="1:12">
      <c r="A306" s="60" t="str">
        <f t="shared" si="12"/>
        <v>DVW</v>
      </c>
      <c r="B306" s="355" t="s">
        <v>200</v>
      </c>
      <c r="C306" s="59" t="s">
        <v>191</v>
      </c>
      <c r="D306" s="168" t="s">
        <v>75</v>
      </c>
      <c r="E306" s="169" t="s">
        <v>182</v>
      </c>
      <c r="F306" s="316"/>
      <c r="G306" s="317"/>
      <c r="H306" s="317">
        <f ca="1">VLOOKUP($A306,'Price setting'!$E$278:$O$295,COLUMN()-1,FALSE)+VLOOKUP($A304,'Price setting'!$E$213:$O$230,COLUMN()-1,FALSE)</f>
        <v>24.430653967898184</v>
      </c>
      <c r="I306" s="317">
        <f ca="1">VLOOKUP($A306,'Price setting'!$E$278:$O$295,COLUMN()-1,FALSE)+VLOOKUP($A304,'Price setting'!$E$213:$O$230,COLUMN()-1,FALSE)</f>
        <v>24.454314761119193</v>
      </c>
      <c r="J306" s="317">
        <f ca="1">VLOOKUP($A306,'Price setting'!$E$278:$O$295,COLUMN()-1,FALSE)+VLOOKUP($A304,'Price setting'!$E$213:$O$230,COLUMN()-1,FALSE)</f>
        <v>24.438751075633483</v>
      </c>
      <c r="K306" s="317">
        <f ca="1">VLOOKUP($A306,'Price setting'!$E$278:$O$295,COLUMN()-1,FALSE)+VLOOKUP($A304,'Price setting'!$E$213:$O$230,COLUMN()-1,FALSE)</f>
        <v>24.418124988260121</v>
      </c>
      <c r="L306" s="323">
        <f ca="1">VLOOKUP($A306,'Price setting'!$E$278:$O$295,COLUMN()-1,FALSE)+VLOOKUP($A304,'Price setting'!$E$213:$O$230,COLUMN()-1,FALSE)</f>
        <v>24.432986111160403</v>
      </c>
    </row>
    <row r="307" spans="1:12">
      <c r="A307" s="60" t="str">
        <f t="shared" si="12"/>
        <v>DVW</v>
      </c>
      <c r="B307" s="355" t="s">
        <v>201</v>
      </c>
      <c r="C307" s="59" t="s">
        <v>192</v>
      </c>
      <c r="D307" s="168" t="s">
        <v>75</v>
      </c>
      <c r="E307" s="169" t="s">
        <v>182</v>
      </c>
      <c r="F307" s="316"/>
      <c r="G307" s="317"/>
      <c r="H307" s="317">
        <f ca="1">VLOOKUP($A307,'Price setting'!$E$343:$O$360,COLUMN()-1,FALSE)+VLOOKUP($A304,'Price setting'!$E$213:$O$230,COLUMN()-1,FALSE)</f>
        <v>21.426787053594879</v>
      </c>
      <c r="I307" s="317">
        <f ca="1">VLOOKUP($A307,'Price setting'!$E$343:$O$360,COLUMN()-1,FALSE)+VLOOKUP($A304,'Price setting'!$E$213:$O$230,COLUMN()-1,FALSE)</f>
        <v>21.437742250156031</v>
      </c>
      <c r="J307" s="317">
        <f ca="1">VLOOKUP($A307,'Price setting'!$E$343:$O$360,COLUMN()-1,FALSE)+VLOOKUP($A304,'Price setting'!$E$213:$O$230,COLUMN()-1,FALSE)</f>
        <v>21.410108586266308</v>
      </c>
      <c r="K307" s="317">
        <f ca="1">VLOOKUP($A307,'Price setting'!$E$343:$O$360,COLUMN()-1,FALSE)+VLOOKUP($A304,'Price setting'!$E$213:$O$230,COLUMN()-1,FALSE)</f>
        <v>21.37626107326491</v>
      </c>
      <c r="L307" s="323">
        <f ca="1">VLOOKUP($A307,'Price setting'!$E$343:$O$360,COLUMN()-1,FALSE)+VLOOKUP($A304,'Price setting'!$E$213:$O$230,COLUMN()-1,FALSE)</f>
        <v>21.376971264147361</v>
      </c>
    </row>
    <row r="308" spans="1:12">
      <c r="A308" s="60" t="str">
        <f t="shared" si="12"/>
        <v>DVW</v>
      </c>
      <c r="B308" s="355" t="s">
        <v>202</v>
      </c>
      <c r="C308" s="59" t="s">
        <v>193</v>
      </c>
      <c r="D308" s="168" t="s">
        <v>75</v>
      </c>
      <c r="E308" s="169" t="s">
        <v>182</v>
      </c>
      <c r="F308" s="316"/>
      <c r="G308" s="317"/>
      <c r="H308" s="317">
        <f ca="1">(VLOOKUP($A308,'Price setting'!$E$408:$O$425,COLUMN()-1,FALSE)+VLOOKUP($A304,'Price setting'!$E$213:$O$230,COLUMN()-1,FALSE))*+Input!$H$441</f>
        <v>27.854823169673342</v>
      </c>
      <c r="I308" s="317">
        <f ca="1">(VLOOKUP($A308,'Price setting'!$E$408:$O$425,COLUMN()-1,FALSE)+VLOOKUP($A304,'Price setting'!$E$213:$O$230,COLUMN()-1,FALSE))*+Input!$H$441</f>
        <v>27.869064925202842</v>
      </c>
      <c r="J308" s="317">
        <f ca="1">(VLOOKUP($A308,'Price setting'!$E$408:$O$425,COLUMN()-1,FALSE)+VLOOKUP($A304,'Price setting'!$E$213:$O$230,COLUMN()-1,FALSE))*+Input!$H$441</f>
        <v>27.833141162146202</v>
      </c>
      <c r="K308" s="317">
        <f ca="1">(VLOOKUP($A308,'Price setting'!$E$408:$O$425,COLUMN()-1,FALSE)+VLOOKUP($A304,'Price setting'!$E$213:$O$230,COLUMN()-1,FALSE))*+Input!$H$441</f>
        <v>27.789139395244383</v>
      </c>
      <c r="L308" s="323">
        <f ca="1">(VLOOKUP($A308,'Price setting'!$E$408:$O$425,COLUMN()-1,FALSE)+VLOOKUP($A304,'Price setting'!$E$213:$O$230,COLUMN()-1,FALSE))*+Input!$H$441</f>
        <v>27.790062643391572</v>
      </c>
    </row>
    <row r="309" spans="1:12">
      <c r="A309" s="60" t="str">
        <f t="shared" si="12"/>
        <v>DVW</v>
      </c>
      <c r="B309" s="355" t="s">
        <v>208</v>
      </c>
      <c r="C309" s="59" t="s">
        <v>205</v>
      </c>
      <c r="D309" s="168" t="s">
        <v>75</v>
      </c>
      <c r="E309" s="169" t="s">
        <v>182</v>
      </c>
      <c r="F309" s="262">
        <f ca="1">VLOOKUP($A309,'Price setting'!$E$49:$I$66,COLUMN()-1,FALSE)</f>
        <v>0.14495652946354529</v>
      </c>
      <c r="G309" s="263"/>
      <c r="H309" s="263"/>
      <c r="I309" s="263"/>
      <c r="J309" s="263"/>
      <c r="K309" s="263"/>
      <c r="L309" s="264"/>
    </row>
    <row r="310" spans="1:12">
      <c r="A310" s="60" t="str">
        <f t="shared" si="12"/>
        <v>DVW</v>
      </c>
      <c r="B310" s="355" t="s">
        <v>206</v>
      </c>
      <c r="C310" s="59" t="s">
        <v>132</v>
      </c>
      <c r="D310" s="168" t="s">
        <v>74</v>
      </c>
      <c r="E310" s="169" t="s">
        <v>182</v>
      </c>
      <c r="F310" s="262">
        <f ca="1">'Used inputs'!I199</f>
        <v>2.5782925649671333</v>
      </c>
      <c r="G310" s="263">
        <f>'Used inputs'!J199</f>
        <v>2.5422828922720617</v>
      </c>
      <c r="H310" s="263">
        <f ca="1">'Used inputs'!K199</f>
        <v>2.6482542147747017</v>
      </c>
      <c r="I310" s="263">
        <f ca="1">'Used inputs'!L199</f>
        <v>2.647225366983414</v>
      </c>
      <c r="J310" s="263">
        <f ca="1">'Used inputs'!M199</f>
        <v>2.6791196485133342</v>
      </c>
      <c r="K310" s="263">
        <f ca="1">'Used inputs'!N199</f>
        <v>2.6832350396784852</v>
      </c>
      <c r="L310" s="264">
        <f ca="1">'Used inputs'!O199</f>
        <v>2.689408126426212</v>
      </c>
    </row>
    <row r="311" spans="1:12">
      <c r="A311" s="60" t="str">
        <f t="shared" si="12"/>
        <v>DVW</v>
      </c>
      <c r="B311" s="355" t="s">
        <v>207</v>
      </c>
      <c r="C311" s="59" t="s">
        <v>157</v>
      </c>
      <c r="D311" s="168" t="s">
        <v>74</v>
      </c>
      <c r="E311" s="169" t="s">
        <v>182</v>
      </c>
      <c r="F311" s="262">
        <f>'Used inputs'!I212</f>
        <v>4.1153911651510507E-2</v>
      </c>
      <c r="G311" s="263">
        <f>'Used inputs'!J212</f>
        <v>0.13580790844998469</v>
      </c>
      <c r="H311" s="263">
        <f>'Used inputs'!K212</f>
        <v>3.84340481388038E-2</v>
      </c>
      <c r="I311" s="263">
        <f>'Used inputs'!L212</f>
        <v>3.84340481388038E-2</v>
      </c>
      <c r="J311" s="263">
        <f>'Used inputs'!M212</f>
        <v>3.84340481388038E-2</v>
      </c>
      <c r="K311" s="263">
        <f>'Used inputs'!N212</f>
        <v>3.84340481388038E-2</v>
      </c>
      <c r="L311" s="264">
        <f>'Used inputs'!O212</f>
        <v>3.84340481388038E-2</v>
      </c>
    </row>
    <row r="312" spans="1:12">
      <c r="A312" s="60" t="s">
        <v>56</v>
      </c>
      <c r="B312" s="355" t="s">
        <v>162</v>
      </c>
      <c r="C312" s="59" t="s">
        <v>175</v>
      </c>
      <c r="D312" s="169" t="s">
        <v>74</v>
      </c>
      <c r="E312" s="169" t="s">
        <v>182</v>
      </c>
      <c r="F312" s="262">
        <f>VLOOKUP($A312,'Price setting'!$E$448:$O$466,COLUMN()-1,FALSE)</f>
        <v>0</v>
      </c>
      <c r="G312" s="263">
        <f>VLOOKUP($A312,'Price setting'!$E$448:$O$466,COLUMN()-1,FALSE)</f>
        <v>0</v>
      </c>
      <c r="H312" s="263">
        <f ca="1">VLOOKUP($A312,'Price setting'!$E$448:$O$466,COLUMN()-1,FALSE)</f>
        <v>4.237093184837029</v>
      </c>
      <c r="I312" s="263">
        <f ca="1">VLOOKUP($A312,'Price setting'!$E$448:$O$466,COLUMN()-1,FALSE)</f>
        <v>4.3123336398624028</v>
      </c>
      <c r="J312" s="263">
        <f ca="1">VLOOKUP($A312,'Price setting'!$E$448:$O$466,COLUMN()-1,FALSE)</f>
        <v>4.3875740948877766</v>
      </c>
      <c r="K312" s="263">
        <f ca="1">VLOOKUP($A312,'Price setting'!$E$448:$O$466,COLUMN()-1,FALSE)</f>
        <v>4.4679299410783013</v>
      </c>
      <c r="L312" s="264">
        <f ca="1">VLOOKUP($A312,'Price setting'!$E$448:$O$466,COLUMN()-1,FALSE)</f>
        <v>4.546228091686249</v>
      </c>
    </row>
    <row r="313" spans="1:12">
      <c r="A313" s="60" t="s">
        <v>56</v>
      </c>
      <c r="B313" s="355" t="s">
        <v>163</v>
      </c>
      <c r="C313" s="59" t="s">
        <v>118</v>
      </c>
      <c r="D313" s="168" t="s">
        <v>75</v>
      </c>
      <c r="E313" s="169" t="s">
        <v>182</v>
      </c>
      <c r="F313" s="316">
        <f>VLOOKUP($A313,'Price setting'!$E$213:$O$231,COLUMN()-1,FALSE)</f>
        <v>0</v>
      </c>
      <c r="G313" s="317">
        <f>VLOOKUP($A313,'Price setting'!$E$213:$O$231,COLUMN()-1,FALSE)</f>
        <v>0</v>
      </c>
      <c r="H313" s="317">
        <f ca="1">VLOOKUP($A313,'Price setting'!$E$213:$O$231,COLUMN()-1,FALSE)</f>
        <v>13.50120242642045</v>
      </c>
      <c r="I313" s="317">
        <f ca="1">VLOOKUP($A313,'Price setting'!$E$213:$O$231,COLUMN()-1,FALSE)</f>
        <v>13.550059083974048</v>
      </c>
      <c r="J313" s="317">
        <f ca="1">VLOOKUP($A313,'Price setting'!$E$213:$O$231,COLUMN()-1,FALSE)</f>
        <v>13.58180138228199</v>
      </c>
      <c r="K313" s="317">
        <f ca="1">VLOOKUP($A313,'Price setting'!$E$213:$O$231,COLUMN()-1,FALSE)</f>
        <v>13.597313445913137</v>
      </c>
      <c r="L313" s="323">
        <f ca="1">VLOOKUP($A313,'Price setting'!$E$213:$O$231,COLUMN()-1,FALSE)</f>
        <v>13.61203164017804</v>
      </c>
    </row>
    <row r="314" spans="1:12">
      <c r="A314" s="60" t="s">
        <v>56</v>
      </c>
      <c r="B314" s="355" t="s">
        <v>164</v>
      </c>
      <c r="C314" s="59" t="s">
        <v>119</v>
      </c>
      <c r="D314" s="168" t="s">
        <v>75</v>
      </c>
      <c r="E314" s="169" t="s">
        <v>182</v>
      </c>
      <c r="F314" s="316">
        <f>VLOOKUP($A314,'Price setting'!$E$278:$O$296,COLUMN()-1,FALSE)+VLOOKUP($A313,'Price setting'!$E$213:$O$231,COLUMN()-1,FALSE)</f>
        <v>0</v>
      </c>
      <c r="G314" s="317">
        <f>VLOOKUP($A314,'Price setting'!$E$278:$O$296,COLUMN()-1,FALSE)+VLOOKUP($A313,'Price setting'!$E$213:$O$231,COLUMN()-1,FALSE)</f>
        <v>0</v>
      </c>
      <c r="H314" s="317">
        <f ca="1">VLOOKUP($A314,'Price setting'!$E$278:$O$296,COLUMN()-1,FALSE)+VLOOKUP($A313,'Price setting'!$E$213:$O$231,COLUMN()-1,FALSE)</f>
        <v>17.812213724417091</v>
      </c>
      <c r="I314" s="317">
        <f ca="1">VLOOKUP($A314,'Price setting'!$E$278:$O$296,COLUMN()-1,FALSE)+VLOOKUP($A313,'Price setting'!$E$213:$O$231,COLUMN()-1,FALSE)</f>
        <v>17.872800897187158</v>
      </c>
      <c r="J314" s="317">
        <f ca="1">VLOOKUP($A314,'Price setting'!$E$278:$O$296,COLUMN()-1,FALSE)+VLOOKUP($A313,'Price setting'!$E$213:$O$231,COLUMN()-1,FALSE)</f>
        <v>17.898418298410459</v>
      </c>
      <c r="K314" s="317">
        <f ca="1">VLOOKUP($A314,'Price setting'!$E$278:$O$296,COLUMN()-1,FALSE)+VLOOKUP($A313,'Price setting'!$E$213:$O$231,COLUMN()-1,FALSE)</f>
        <v>17.918148859311401</v>
      </c>
      <c r="L314" s="323">
        <f ca="1">VLOOKUP($A314,'Price setting'!$E$278:$O$296,COLUMN()-1,FALSE)+VLOOKUP($A313,'Price setting'!$E$213:$O$231,COLUMN()-1,FALSE)</f>
        <v>17.929743753182223</v>
      </c>
    </row>
    <row r="315" spans="1:12">
      <c r="A315" s="60" t="s">
        <v>56</v>
      </c>
      <c r="B315" s="355" t="s">
        <v>165</v>
      </c>
      <c r="C315" s="59" t="s">
        <v>120</v>
      </c>
      <c r="D315" s="168" t="s">
        <v>75</v>
      </c>
      <c r="E315" s="169" t="s">
        <v>182</v>
      </c>
      <c r="F315" s="316">
        <f>VLOOKUP($A315,'Price setting'!$E$343:$O$361,COLUMN()-1,FALSE)+VLOOKUP($A313,'Price setting'!$E$213:$O$231,COLUMN()-1,FALSE)</f>
        <v>0</v>
      </c>
      <c r="G315" s="317">
        <f>VLOOKUP($A315,'Price setting'!$E$343:$O$361,COLUMN()-1,FALSE)+VLOOKUP($A313,'Price setting'!$E$213:$O$231,COLUMN()-1,FALSE)</f>
        <v>0</v>
      </c>
      <c r="H315" s="317">
        <f ca="1">VLOOKUP($A315,'Price setting'!$E$343:$O$361,COLUMN()-1,FALSE)+VLOOKUP($A313,'Price setting'!$E$213:$O$231,COLUMN()-1,FALSE)</f>
        <v>13.50120242642045</v>
      </c>
      <c r="I315" s="317">
        <f ca="1">VLOOKUP($A315,'Price setting'!$E$343:$O$361,COLUMN()-1,FALSE)+VLOOKUP($A313,'Price setting'!$E$213:$O$231,COLUMN()-1,FALSE)</f>
        <v>13.550059083974048</v>
      </c>
      <c r="J315" s="317">
        <f ca="1">VLOOKUP($A315,'Price setting'!$E$343:$O$361,COLUMN()-1,FALSE)+VLOOKUP($A313,'Price setting'!$E$213:$O$231,COLUMN()-1,FALSE)</f>
        <v>13.58180138228199</v>
      </c>
      <c r="K315" s="317">
        <f ca="1">VLOOKUP($A315,'Price setting'!$E$343:$O$361,COLUMN()-1,FALSE)+VLOOKUP($A313,'Price setting'!$E$213:$O$231,COLUMN()-1,FALSE)</f>
        <v>13.597313445913137</v>
      </c>
      <c r="L315" s="323">
        <f ca="1">VLOOKUP($A315,'Price setting'!$E$343:$O$361,COLUMN()-1,FALSE)+VLOOKUP($A313,'Price setting'!$E$213:$O$231,COLUMN()-1,FALSE)</f>
        <v>13.61203164017804</v>
      </c>
    </row>
    <row r="316" spans="1:12">
      <c r="A316" s="60" t="s">
        <v>56</v>
      </c>
      <c r="B316" s="355" t="s">
        <v>166</v>
      </c>
      <c r="C316" s="59" t="s">
        <v>124</v>
      </c>
      <c r="D316" s="168" t="s">
        <v>75</v>
      </c>
      <c r="E316" s="169" t="s">
        <v>182</v>
      </c>
      <c r="F316" s="316">
        <f>VLOOKUP($A316,'Price setting'!$E$408:$O$426,COLUMN()-1,FALSE)+VLOOKUP($A313,'Price setting'!$E$213:$O$231,COLUMN()-1,FALSE)</f>
        <v>0</v>
      </c>
      <c r="G316" s="317">
        <f>VLOOKUP($A316,'Price setting'!$E$408:$O$426,COLUMN()-1,FALSE)+VLOOKUP($A313,'Price setting'!$E$213:$O$231,COLUMN()-1,FALSE)</f>
        <v>0</v>
      </c>
      <c r="H316" s="317">
        <f ca="1">VLOOKUP($A316,'Price setting'!$E$408:$O$426,COLUMN()-1,FALSE)+VLOOKUP($A313,'Price setting'!$E$213:$O$231,COLUMN()-1,FALSE)</f>
        <v>13.50120242642045</v>
      </c>
      <c r="I316" s="317">
        <f ca="1">VLOOKUP($A316,'Price setting'!$E$408:$O$426,COLUMN()-1,FALSE)+VLOOKUP($A313,'Price setting'!$E$213:$O$231,COLUMN()-1,FALSE)</f>
        <v>13.550059083974048</v>
      </c>
      <c r="J316" s="317">
        <f ca="1">VLOOKUP($A316,'Price setting'!$E$408:$O$426,COLUMN()-1,FALSE)+VLOOKUP($A313,'Price setting'!$E$213:$O$231,COLUMN()-1,FALSE)</f>
        <v>13.58180138228199</v>
      </c>
      <c r="K316" s="317">
        <f ca="1">VLOOKUP($A316,'Price setting'!$E$408:$O$426,COLUMN()-1,FALSE)+VLOOKUP($A313,'Price setting'!$E$213:$O$231,COLUMN()-1,FALSE)</f>
        <v>13.597313445913137</v>
      </c>
      <c r="L316" s="323">
        <f ca="1">VLOOKUP($A316,'Price setting'!$E$408:$O$426,COLUMN()-1,FALSE)+VLOOKUP($A313,'Price setting'!$E$213:$O$231,COLUMN()-1,FALSE)</f>
        <v>13.61203164017804</v>
      </c>
    </row>
    <row r="317" spans="1:12">
      <c r="A317" s="60" t="s">
        <v>56</v>
      </c>
      <c r="B317" s="355" t="s">
        <v>167</v>
      </c>
      <c r="C317" s="59" t="s">
        <v>122</v>
      </c>
      <c r="D317" s="170" t="s">
        <v>88</v>
      </c>
      <c r="E317" s="169" t="s">
        <v>182</v>
      </c>
      <c r="F317" s="262">
        <f>INDEX(PRT,ROW(Input!B$23)-5,COLUMN()+1)*Input!$H$441</f>
        <v>0</v>
      </c>
      <c r="G317" s="263">
        <f>INDEX(PRT,ROW(Input!C$23)-5,COLUMN()+1)*Input!$H$441</f>
        <v>0</v>
      </c>
      <c r="H317" s="263">
        <f>INDEX(PRT,ROW(Input!D$23)-5,COLUMN()+1)*Input!$H$441</f>
        <v>0</v>
      </c>
      <c r="I317" s="263">
        <f>INDEX(PRT,ROW(Input!E$23)-5,COLUMN()+1)*Input!$H$441</f>
        <v>0</v>
      </c>
      <c r="J317" s="263">
        <f>INDEX(PRT,ROW(Input!F$23)-5,COLUMN()+1)*Input!$H$441</f>
        <v>0</v>
      </c>
      <c r="K317" s="263">
        <f>INDEX(PRT,ROW(Input!G$23)-5,COLUMN()+1)*Input!$H$441</f>
        <v>0</v>
      </c>
      <c r="L317" s="264">
        <f>INDEX(PRT,ROW(Input!H$23)-5,COLUMN()+1)*Input!$H$441</f>
        <v>0</v>
      </c>
    </row>
    <row r="318" spans="1:12">
      <c r="A318" s="60" t="s">
        <v>56</v>
      </c>
      <c r="B318" s="355" t="s">
        <v>168</v>
      </c>
      <c r="C318" s="59" t="s">
        <v>123</v>
      </c>
      <c r="D318" s="170" t="s">
        <v>88</v>
      </c>
      <c r="E318" s="169" t="s">
        <v>182</v>
      </c>
      <c r="F318" s="262">
        <f>+INDEX(PRT,ROW(Input!B$24)-5,COLUMN()+1)*Input!$H$441</f>
        <v>0</v>
      </c>
      <c r="G318" s="263">
        <f>+INDEX(PRT,ROW(Input!C$24)-5,COLUMN()+1)*Input!$H$441</f>
        <v>0</v>
      </c>
      <c r="H318" s="263">
        <f>+INDEX(PRT,ROW(Input!D$24)-5,COLUMN()+1)*Input!$H$441</f>
        <v>0</v>
      </c>
      <c r="I318" s="263">
        <f>+INDEX(PRT,ROW(Input!E$24)-5,COLUMN()+1)*Input!$H$441</f>
        <v>0</v>
      </c>
      <c r="J318" s="263">
        <f>+INDEX(PRT,ROW(Input!F$24)-5,COLUMN()+1)*Input!$H$441</f>
        <v>0</v>
      </c>
      <c r="K318" s="263">
        <f>+INDEX(PRT,ROW(Input!G$24)-5,COLUMN()+1)*Input!$H$441</f>
        <v>0</v>
      </c>
      <c r="L318" s="264">
        <f>+INDEX(PRT,ROW(Input!H$24)-5,COLUMN()+1)*Input!$H$441</f>
        <v>0</v>
      </c>
    </row>
    <row r="319" spans="1:12">
      <c r="A319" s="60" t="s">
        <v>56</v>
      </c>
      <c r="B319" s="355" t="s">
        <v>169</v>
      </c>
      <c r="C319" s="59" t="s">
        <v>139</v>
      </c>
      <c r="D319" s="170" t="s">
        <v>74</v>
      </c>
      <c r="E319" s="169" t="s">
        <v>182</v>
      </c>
      <c r="F319" s="262">
        <f>VLOOKUP($A319,'Price setting'!$E$488:$O$506,COLUMN()-1,FALSE)</f>
        <v>0</v>
      </c>
      <c r="G319" s="263">
        <f>VLOOKUP($A319,'Price setting'!$E$488:$O$506,COLUMN()-1,FALSE)</f>
        <v>0</v>
      </c>
      <c r="H319" s="263">
        <f ca="1">VLOOKUP($A319,'Price setting'!$E$488:$O$506,COLUMN()-1,FALSE)</f>
        <v>1.2346173495453153E-2</v>
      </c>
      <c r="I319" s="263">
        <f ca="1">VLOOKUP($A319,'Price setting'!$E$488:$O$506,COLUMN()-1,FALSE)</f>
        <v>2.4692346990906305E-2</v>
      </c>
      <c r="J319" s="263">
        <f ca="1">VLOOKUP($A319,'Price setting'!$E$488:$O$506,COLUMN()-1,FALSE)</f>
        <v>3.7038520486359465E-2</v>
      </c>
      <c r="K319" s="263">
        <f ca="1">VLOOKUP($A319,'Price setting'!$E$488:$O$506,COLUMN()-1,FALSE)</f>
        <v>5.0413541773100368E-2</v>
      </c>
      <c r="L319" s="264">
        <f ca="1">VLOOKUP($A319,'Price setting'!$E$488:$O$506,COLUMN()-1,FALSE)</f>
        <v>6.2759715268553493E-2</v>
      </c>
    </row>
    <row r="320" spans="1:12">
      <c r="A320" s="60" t="str">
        <f>+A319</f>
        <v>PRT</v>
      </c>
      <c r="B320" s="355" t="s">
        <v>170</v>
      </c>
      <c r="C320" s="59" t="s">
        <v>67</v>
      </c>
      <c r="D320" s="170" t="s">
        <v>171</v>
      </c>
      <c r="E320" s="169" t="s">
        <v>182</v>
      </c>
      <c r="F320" s="320">
        <f>+Input!$H$441</f>
        <v>1.3</v>
      </c>
      <c r="G320" s="321">
        <f>+Input!$H$441</f>
        <v>1.3</v>
      </c>
      <c r="H320" s="321">
        <f>+Input!$H$441</f>
        <v>1.3</v>
      </c>
      <c r="I320" s="321">
        <f>+Input!$H$441</f>
        <v>1.3</v>
      </c>
      <c r="J320" s="321">
        <f>+Input!$H$441</f>
        <v>1.3</v>
      </c>
      <c r="K320" s="321">
        <f>+Input!$H$441</f>
        <v>1.3</v>
      </c>
      <c r="L320" s="322">
        <f>+Input!$H$441</f>
        <v>1.3</v>
      </c>
    </row>
    <row r="321" spans="1:12">
      <c r="A321" s="60" t="str">
        <f t="shared" ref="A321:A333" si="13">+A320</f>
        <v>PRT</v>
      </c>
      <c r="B321" s="355" t="s">
        <v>194</v>
      </c>
      <c r="C321" s="59" t="s">
        <v>185</v>
      </c>
      <c r="D321" s="168" t="s">
        <v>75</v>
      </c>
      <c r="E321" s="169" t="s">
        <v>182</v>
      </c>
      <c r="F321" s="316">
        <f ca="1">VLOOKUP(A321,'Price setting'!$E$89:$I$106,COLUMN()-1,FALSE)</f>
        <v>13.961230018213664</v>
      </c>
      <c r="G321" s="317"/>
      <c r="H321" s="317"/>
      <c r="I321" s="317"/>
      <c r="J321" s="317"/>
      <c r="K321" s="317"/>
      <c r="L321" s="323"/>
    </row>
    <row r="322" spans="1:12">
      <c r="A322" s="60" t="str">
        <f t="shared" si="13"/>
        <v>PRT</v>
      </c>
      <c r="B322" s="355" t="s">
        <v>195</v>
      </c>
      <c r="C322" s="59" t="s">
        <v>186</v>
      </c>
      <c r="D322" s="168" t="s">
        <v>75</v>
      </c>
      <c r="E322" s="169" t="s">
        <v>182</v>
      </c>
      <c r="F322" s="316">
        <f ca="1">VLOOKUP(A322,'Price setting'!E$254:I$271,COLUMN()-1,FALSE)+VLOOKUP(A321,'Price setting'!$E$89:$I$106,COLUMN()-1,FALSE)</f>
        <v>18.2784634518536</v>
      </c>
      <c r="G322" s="317"/>
      <c r="H322" s="317"/>
      <c r="I322" s="317"/>
      <c r="J322" s="317"/>
      <c r="K322" s="317"/>
      <c r="L322" s="323"/>
    </row>
    <row r="323" spans="1:12">
      <c r="A323" s="60" t="str">
        <f t="shared" si="13"/>
        <v>PRT</v>
      </c>
      <c r="B323" s="355" t="s">
        <v>196</v>
      </c>
      <c r="C323" s="59" t="s">
        <v>187</v>
      </c>
      <c r="D323" s="168" t="s">
        <v>75</v>
      </c>
      <c r="E323" s="169" t="s">
        <v>182</v>
      </c>
      <c r="F323" s="316">
        <f ca="1">VLOOKUP(A323,'Price setting'!E$319:I$336,COLUMN()-1,FALSE)+VLOOKUP(A321,'Price setting'!$E$89:$I$106,COLUMN()-1,FALSE)</f>
        <v>13.961230018213664</v>
      </c>
      <c r="G323" s="317"/>
      <c r="H323" s="317"/>
      <c r="I323" s="317"/>
      <c r="J323" s="317"/>
      <c r="K323" s="317"/>
      <c r="L323" s="323"/>
    </row>
    <row r="324" spans="1:12">
      <c r="A324" s="60" t="str">
        <f t="shared" si="13"/>
        <v>PRT</v>
      </c>
      <c r="B324" s="355" t="s">
        <v>197</v>
      </c>
      <c r="C324" s="59" t="s">
        <v>188</v>
      </c>
      <c r="D324" s="168" t="s">
        <v>75</v>
      </c>
      <c r="E324" s="169" t="s">
        <v>182</v>
      </c>
      <c r="F324" s="316">
        <f ca="1">(VLOOKUP(A324,'Price setting'!E$384:I$401,COLUMN()-1,FALSE)+VLOOKUP(A321,'Price setting'!$E$89:$I$106,COLUMN()-1,FALSE))*+Input!$H$441</f>
        <v>18.149599023677762</v>
      </c>
      <c r="G324" s="317"/>
      <c r="H324" s="317"/>
      <c r="I324" s="317"/>
      <c r="J324" s="317"/>
      <c r="K324" s="317"/>
      <c r="L324" s="323"/>
    </row>
    <row r="325" spans="1:12">
      <c r="A325" s="60" t="str">
        <f t="shared" si="13"/>
        <v>PRT</v>
      </c>
      <c r="B325" s="355" t="s">
        <v>198</v>
      </c>
      <c r="C325" s="59" t="s">
        <v>189</v>
      </c>
      <c r="D325" s="168" t="s">
        <v>75</v>
      </c>
      <c r="E325" s="169" t="s">
        <v>182</v>
      </c>
      <c r="F325" s="316">
        <f ca="1">VLOOKUP(A325,'Price setting'!E$89:I$106,COLUMN()-1,FALSE)*+Input!$H$441</f>
        <v>18.149599023677762</v>
      </c>
      <c r="G325" s="317"/>
      <c r="H325" s="317"/>
      <c r="I325" s="317"/>
      <c r="J325" s="317"/>
      <c r="K325" s="317"/>
      <c r="L325" s="323"/>
    </row>
    <row r="326" spans="1:12" s="53" customFormat="1">
      <c r="A326" s="60" t="str">
        <f t="shared" si="13"/>
        <v>PRT</v>
      </c>
      <c r="B326" s="356" t="s">
        <v>204</v>
      </c>
      <c r="C326" s="59" t="s">
        <v>203</v>
      </c>
      <c r="D326" s="168" t="s">
        <v>75</v>
      </c>
      <c r="E326" s="169" t="s">
        <v>182</v>
      </c>
      <c r="F326" s="316"/>
      <c r="G326" s="317"/>
      <c r="H326" s="317">
        <f ca="1">VLOOKUP($A326,'Price setting'!$E$213:$O$230,COLUMN()-1,FALSE)</f>
        <v>13.50120242642045</v>
      </c>
      <c r="I326" s="317">
        <f ca="1">VLOOKUP($A326,'Price setting'!$E$213:$O$230,COLUMN()-1,FALSE)</f>
        <v>13.550059083974048</v>
      </c>
      <c r="J326" s="317">
        <f ca="1">VLOOKUP($A326,'Price setting'!$E$213:$O$230,COLUMN()-1,FALSE)</f>
        <v>13.58180138228199</v>
      </c>
      <c r="K326" s="317">
        <f ca="1">VLOOKUP($A326,'Price setting'!$E$213:$O$230,COLUMN()-1,FALSE)</f>
        <v>13.597313445913137</v>
      </c>
      <c r="L326" s="323">
        <f ca="1">VLOOKUP($A326,'Price setting'!$E$213:$O$230,COLUMN()-1,FALSE)</f>
        <v>13.61203164017804</v>
      </c>
    </row>
    <row r="327" spans="1:12">
      <c r="A327" s="60" t="str">
        <f t="shared" si="13"/>
        <v>PRT</v>
      </c>
      <c r="B327" s="355" t="s">
        <v>199</v>
      </c>
      <c r="C327" s="59" t="s">
        <v>190</v>
      </c>
      <c r="D327" s="168" t="s">
        <v>75</v>
      </c>
      <c r="E327" s="169" t="s">
        <v>182</v>
      </c>
      <c r="F327" s="316"/>
      <c r="G327" s="317"/>
      <c r="H327" s="317">
        <f ca="1">VLOOKUP($A326,'Price setting'!$E$213:$O$230,COLUMN()-1,FALSE)*+Input!$H$441</f>
        <v>17.551563154346585</v>
      </c>
      <c r="I327" s="317">
        <f ca="1">VLOOKUP($A326,'Price setting'!$E$213:$O$230,COLUMN()-1,FALSE)*+Input!$H$441</f>
        <v>17.615076809166265</v>
      </c>
      <c r="J327" s="317">
        <f ca="1">VLOOKUP($A326,'Price setting'!$E$213:$O$230,COLUMN()-1,FALSE)*+Input!$H$441</f>
        <v>17.656341796966586</v>
      </c>
      <c r="K327" s="317">
        <f ca="1">VLOOKUP($A326,'Price setting'!$E$213:$O$230,COLUMN()-1,FALSE)*+Input!$H$441</f>
        <v>17.676507479687078</v>
      </c>
      <c r="L327" s="323">
        <f ca="1">VLOOKUP($A326,'Price setting'!$E$213:$O$230,COLUMN()-1,FALSE)*+Input!$H$441</f>
        <v>17.695641132231454</v>
      </c>
    </row>
    <row r="328" spans="1:12">
      <c r="A328" s="60" t="str">
        <f t="shared" si="13"/>
        <v>PRT</v>
      </c>
      <c r="B328" s="355" t="s">
        <v>200</v>
      </c>
      <c r="C328" s="59" t="s">
        <v>191</v>
      </c>
      <c r="D328" s="168" t="s">
        <v>75</v>
      </c>
      <c r="E328" s="169" t="s">
        <v>182</v>
      </c>
      <c r="F328" s="316"/>
      <c r="G328" s="317"/>
      <c r="H328" s="317">
        <f ca="1">VLOOKUP($A328,'Price setting'!$E$278:$O$295,COLUMN()-1,FALSE)+VLOOKUP($A326,'Price setting'!$E$213:$O$230,COLUMN()-1,FALSE)</f>
        <v>17.812213724417091</v>
      </c>
      <c r="I328" s="317">
        <f ca="1">VLOOKUP($A328,'Price setting'!$E$278:$O$295,COLUMN()-1,FALSE)+VLOOKUP($A326,'Price setting'!$E$213:$O$230,COLUMN()-1,FALSE)</f>
        <v>17.872800897187158</v>
      </c>
      <c r="J328" s="317">
        <f ca="1">VLOOKUP($A328,'Price setting'!$E$278:$O$295,COLUMN()-1,FALSE)+VLOOKUP($A326,'Price setting'!$E$213:$O$230,COLUMN()-1,FALSE)</f>
        <v>17.898418298410459</v>
      </c>
      <c r="K328" s="317">
        <f ca="1">VLOOKUP($A328,'Price setting'!$E$278:$O$295,COLUMN()-1,FALSE)+VLOOKUP($A326,'Price setting'!$E$213:$O$230,COLUMN()-1,FALSE)</f>
        <v>17.918148859311401</v>
      </c>
      <c r="L328" s="323">
        <f ca="1">VLOOKUP($A328,'Price setting'!$E$278:$O$295,COLUMN()-1,FALSE)+VLOOKUP($A326,'Price setting'!$E$213:$O$230,COLUMN()-1,FALSE)</f>
        <v>17.929743753182223</v>
      </c>
    </row>
    <row r="329" spans="1:12">
      <c r="A329" s="60" t="str">
        <f t="shared" si="13"/>
        <v>PRT</v>
      </c>
      <c r="B329" s="355" t="s">
        <v>201</v>
      </c>
      <c r="C329" s="59" t="s">
        <v>192</v>
      </c>
      <c r="D329" s="168" t="s">
        <v>75</v>
      </c>
      <c r="E329" s="169" t="s">
        <v>182</v>
      </c>
      <c r="F329" s="316"/>
      <c r="G329" s="317"/>
      <c r="H329" s="317">
        <f ca="1">VLOOKUP($A329,'Price setting'!$E$343:$O$360,COLUMN()-1,FALSE)+VLOOKUP($A326,'Price setting'!$E$213:$O$230,COLUMN()-1,FALSE)</f>
        <v>13.50120242642045</v>
      </c>
      <c r="I329" s="317">
        <f ca="1">VLOOKUP($A329,'Price setting'!$E$343:$O$360,COLUMN()-1,FALSE)+VLOOKUP($A326,'Price setting'!$E$213:$O$230,COLUMN()-1,FALSE)</f>
        <v>13.550059083974048</v>
      </c>
      <c r="J329" s="317">
        <f ca="1">VLOOKUP($A329,'Price setting'!$E$343:$O$360,COLUMN()-1,FALSE)+VLOOKUP($A326,'Price setting'!$E$213:$O$230,COLUMN()-1,FALSE)</f>
        <v>13.58180138228199</v>
      </c>
      <c r="K329" s="317">
        <f ca="1">VLOOKUP($A329,'Price setting'!$E$343:$O$360,COLUMN()-1,FALSE)+VLOOKUP($A326,'Price setting'!$E$213:$O$230,COLUMN()-1,FALSE)</f>
        <v>13.597313445913137</v>
      </c>
      <c r="L329" s="323">
        <f ca="1">VLOOKUP($A329,'Price setting'!$E$343:$O$360,COLUMN()-1,FALSE)+VLOOKUP($A326,'Price setting'!$E$213:$O$230,COLUMN()-1,FALSE)</f>
        <v>13.61203164017804</v>
      </c>
    </row>
    <row r="330" spans="1:12">
      <c r="A330" s="60" t="str">
        <f t="shared" si="13"/>
        <v>PRT</v>
      </c>
      <c r="B330" s="355" t="s">
        <v>202</v>
      </c>
      <c r="C330" s="59" t="s">
        <v>193</v>
      </c>
      <c r="D330" s="168" t="s">
        <v>75</v>
      </c>
      <c r="E330" s="169" t="s">
        <v>182</v>
      </c>
      <c r="F330" s="316"/>
      <c r="G330" s="317"/>
      <c r="H330" s="317">
        <f ca="1">(VLOOKUP($A330,'Price setting'!$E$408:$O$425,COLUMN()-1,FALSE)+VLOOKUP($A326,'Price setting'!$E$213:$O$230,COLUMN()-1,FALSE))*+Input!$H$441</f>
        <v>17.551563154346585</v>
      </c>
      <c r="I330" s="317">
        <f ca="1">(VLOOKUP($A330,'Price setting'!$E$408:$O$425,COLUMN()-1,FALSE)+VLOOKUP($A326,'Price setting'!$E$213:$O$230,COLUMN()-1,FALSE))*+Input!$H$441</f>
        <v>17.615076809166265</v>
      </c>
      <c r="J330" s="317">
        <f ca="1">(VLOOKUP($A330,'Price setting'!$E$408:$O$425,COLUMN()-1,FALSE)+VLOOKUP($A326,'Price setting'!$E$213:$O$230,COLUMN()-1,FALSE))*+Input!$H$441</f>
        <v>17.656341796966586</v>
      </c>
      <c r="K330" s="317">
        <f ca="1">(VLOOKUP($A330,'Price setting'!$E$408:$O$425,COLUMN()-1,FALSE)+VLOOKUP($A326,'Price setting'!$E$213:$O$230,COLUMN()-1,FALSE))*+Input!$H$441</f>
        <v>17.676507479687078</v>
      </c>
      <c r="L330" s="323">
        <f ca="1">(VLOOKUP($A330,'Price setting'!$E$408:$O$425,COLUMN()-1,FALSE)+VLOOKUP($A326,'Price setting'!$E$213:$O$230,COLUMN()-1,FALSE))*+Input!$H$441</f>
        <v>17.695641132231454</v>
      </c>
    </row>
    <row r="331" spans="1:12">
      <c r="A331" s="60" t="str">
        <f t="shared" si="13"/>
        <v>PRT</v>
      </c>
      <c r="B331" s="355" t="s">
        <v>208</v>
      </c>
      <c r="C331" s="59" t="s">
        <v>205</v>
      </c>
      <c r="D331" s="168" t="s">
        <v>75</v>
      </c>
      <c r="E331" s="169" t="s">
        <v>182</v>
      </c>
      <c r="F331" s="262">
        <f ca="1">VLOOKUP($A331,'Price setting'!$E$49:$I$66,COLUMN()-1,FALSE)</f>
        <v>0</v>
      </c>
      <c r="G331" s="263"/>
      <c r="H331" s="263"/>
      <c r="I331" s="263"/>
      <c r="J331" s="263"/>
      <c r="K331" s="263"/>
      <c r="L331" s="264"/>
    </row>
    <row r="332" spans="1:12">
      <c r="A332" s="60" t="str">
        <f t="shared" si="13"/>
        <v>PRT</v>
      </c>
      <c r="B332" s="355" t="s">
        <v>206</v>
      </c>
      <c r="C332" s="59" t="s">
        <v>132</v>
      </c>
      <c r="D332" s="168" t="s">
        <v>74</v>
      </c>
      <c r="E332" s="169" t="s">
        <v>182</v>
      </c>
      <c r="F332" s="262">
        <f ca="1">'Used inputs'!I214</f>
        <v>4.0526314498824973</v>
      </c>
      <c r="G332" s="263">
        <f>'Used inputs'!J214</f>
        <v>4.0793814924559788</v>
      </c>
      <c r="H332" s="263">
        <f ca="1">'Used inputs'!K214</f>
        <v>4.1637470113415755</v>
      </c>
      <c r="I332" s="263">
        <f ca="1">'Used inputs'!L214</f>
        <v>4.195641292871497</v>
      </c>
      <c r="J332" s="263">
        <f ca="1">'Used inputs'!M214</f>
        <v>4.2275355744014167</v>
      </c>
      <c r="K332" s="263">
        <f ca="1">'Used inputs'!N214</f>
        <v>4.2625163993052011</v>
      </c>
      <c r="L332" s="264">
        <f ca="1">'Used inputs'!O214</f>
        <v>4.296468376417697</v>
      </c>
    </row>
    <row r="333" spans="1:12">
      <c r="A333" s="60" t="str">
        <f t="shared" si="13"/>
        <v>PRT</v>
      </c>
      <c r="B333" s="355" t="s">
        <v>207</v>
      </c>
      <c r="C333" s="59" t="s">
        <v>157</v>
      </c>
      <c r="D333" s="168" t="s">
        <v>74</v>
      </c>
      <c r="E333" s="169" t="s">
        <v>182</v>
      </c>
      <c r="F333" s="262">
        <f>'Used inputs'!I227</f>
        <v>0</v>
      </c>
      <c r="G333" s="263">
        <f>'Used inputs'!J227</f>
        <v>3.0865433738632882E-2</v>
      </c>
      <c r="H333" s="263">
        <f>'Used inputs'!K227</f>
        <v>6.0999999999999999E-2</v>
      </c>
      <c r="I333" s="263">
        <f>'Used inputs'!L227</f>
        <v>9.1999999999999998E-2</v>
      </c>
      <c r="J333" s="263">
        <f>'Used inputs'!M227</f>
        <v>0.123</v>
      </c>
      <c r="K333" s="263">
        <f>'Used inputs'!N227</f>
        <v>0.155</v>
      </c>
      <c r="L333" s="264">
        <f>'Used inputs'!O227</f>
        <v>0.187</v>
      </c>
    </row>
    <row r="334" spans="1:12">
      <c r="A334" s="60" t="s">
        <v>57</v>
      </c>
      <c r="B334" s="355" t="s">
        <v>162</v>
      </c>
      <c r="C334" s="59" t="s">
        <v>175</v>
      </c>
      <c r="D334" s="169" t="s">
        <v>74</v>
      </c>
      <c r="E334" s="169" t="s">
        <v>182</v>
      </c>
      <c r="F334" s="262">
        <f>VLOOKUP($A334,'Price setting'!$E$448:$O$466,COLUMN()-1,FALSE)</f>
        <v>0</v>
      </c>
      <c r="G334" s="263">
        <f>VLOOKUP($A334,'Price setting'!$E$448:$O$466,COLUMN()-1,FALSE)</f>
        <v>0</v>
      </c>
      <c r="H334" s="263">
        <f ca="1">VLOOKUP($A334,'Price setting'!$E$448:$O$466,COLUMN()-1,FALSE)</f>
        <v>4.4192589010769634</v>
      </c>
      <c r="I334" s="263">
        <f ca="1">VLOOKUP($A334,'Price setting'!$E$448:$O$466,COLUMN()-1,FALSE)</f>
        <v>4.5084917153938937</v>
      </c>
      <c r="J334" s="263">
        <f ca="1">VLOOKUP($A334,'Price setting'!$E$448:$O$466,COLUMN()-1,FALSE)</f>
        <v>4.5895262995633637</v>
      </c>
      <c r="K334" s="263">
        <f ca="1">VLOOKUP($A334,'Price setting'!$E$448:$O$466,COLUMN()-1,FALSE)</f>
        <v>4.6950711896755664</v>
      </c>
      <c r="L334" s="264">
        <f ca="1">VLOOKUP($A334,'Price setting'!$E$448:$O$466,COLUMN()-1,FALSE)</f>
        <v>4.7177026105325552</v>
      </c>
    </row>
    <row r="335" spans="1:12">
      <c r="A335" s="60" t="s">
        <v>57</v>
      </c>
      <c r="B335" s="355" t="s">
        <v>163</v>
      </c>
      <c r="C335" s="59" t="s">
        <v>118</v>
      </c>
      <c r="D335" s="168" t="s">
        <v>75</v>
      </c>
      <c r="E335" s="169" t="s">
        <v>182</v>
      </c>
      <c r="F335" s="316">
        <f>VLOOKUP($A335,'Price setting'!$E$213:$O$231,COLUMN()-1,FALSE)</f>
        <v>0</v>
      </c>
      <c r="G335" s="317">
        <f>VLOOKUP($A335,'Price setting'!$E$213:$O$231,COLUMN()-1,FALSE)</f>
        <v>0</v>
      </c>
      <c r="H335" s="317">
        <f ca="1">VLOOKUP($A335,'Price setting'!$E$213:$O$231,COLUMN()-1,FALSE)</f>
        <v>19.588665908834795</v>
      </c>
      <c r="I335" s="317">
        <f ca="1">VLOOKUP($A335,'Price setting'!$E$213:$O$231,COLUMN()-1,FALSE)</f>
        <v>19.805276894886468</v>
      </c>
      <c r="J335" s="317">
        <f ca="1">VLOOKUP($A335,'Price setting'!$E$213:$O$231,COLUMN()-1,FALSE)</f>
        <v>19.958218525554887</v>
      </c>
      <c r="K335" s="317">
        <f ca="1">VLOOKUP($A335,'Price setting'!$E$213:$O$231,COLUMN()-1,FALSE)</f>
        <v>20.250689955376675</v>
      </c>
      <c r="L335" s="323">
        <f ca="1">VLOOKUP($A335,'Price setting'!$E$213:$O$231,COLUMN()-1,FALSE)</f>
        <v>20.116279775902594</v>
      </c>
    </row>
    <row r="336" spans="1:12">
      <c r="A336" s="60" t="s">
        <v>57</v>
      </c>
      <c r="B336" s="355" t="s">
        <v>164</v>
      </c>
      <c r="C336" s="59" t="s">
        <v>119</v>
      </c>
      <c r="D336" s="168" t="s">
        <v>75</v>
      </c>
      <c r="E336" s="169" t="s">
        <v>182</v>
      </c>
      <c r="F336" s="316">
        <f>VLOOKUP($A336,'Price setting'!$E$278:$O$296,COLUMN()-1,FALSE)+VLOOKUP($A335,'Price setting'!$E$213:$O$231,COLUMN()-1,FALSE)</f>
        <v>0</v>
      </c>
      <c r="G336" s="317">
        <f>VLOOKUP($A336,'Price setting'!$E$278:$O$296,COLUMN()-1,FALSE)+VLOOKUP($A335,'Price setting'!$E$213:$O$231,COLUMN()-1,FALSE)</f>
        <v>0</v>
      </c>
      <c r="H336" s="317">
        <f ca="1">VLOOKUP($A336,'Price setting'!$E$278:$O$296,COLUMN()-1,FALSE)+VLOOKUP($A335,'Price setting'!$E$213:$O$231,COLUMN()-1,FALSE)</f>
        <v>25.379587900697356</v>
      </c>
      <c r="I336" s="317">
        <f ca="1">VLOOKUP($A336,'Price setting'!$E$278:$O$296,COLUMN()-1,FALSE)+VLOOKUP($A335,'Price setting'!$E$213:$O$231,COLUMN()-1,FALSE)</f>
        <v>25.596198886749029</v>
      </c>
      <c r="J336" s="317">
        <f ca="1">VLOOKUP($A336,'Price setting'!$E$278:$O$296,COLUMN()-1,FALSE)+VLOOKUP($A335,'Price setting'!$E$213:$O$231,COLUMN()-1,FALSE)</f>
        <v>25.749140517417448</v>
      </c>
      <c r="K336" s="317">
        <f ca="1">VLOOKUP($A336,'Price setting'!$E$278:$O$296,COLUMN()-1,FALSE)+VLOOKUP($A335,'Price setting'!$E$213:$O$231,COLUMN()-1,FALSE)</f>
        <v>26.041611947239236</v>
      </c>
      <c r="L336" s="323">
        <f ca="1">VLOOKUP($A336,'Price setting'!$E$278:$O$296,COLUMN()-1,FALSE)+VLOOKUP($A335,'Price setting'!$E$213:$O$231,COLUMN()-1,FALSE)</f>
        <v>25.907201767765155</v>
      </c>
    </row>
    <row r="337" spans="1:12">
      <c r="A337" s="60" t="s">
        <v>57</v>
      </c>
      <c r="B337" s="355" t="s">
        <v>165</v>
      </c>
      <c r="C337" s="59" t="s">
        <v>120</v>
      </c>
      <c r="D337" s="168" t="s">
        <v>75</v>
      </c>
      <c r="E337" s="169" t="s">
        <v>182</v>
      </c>
      <c r="F337" s="316">
        <f>VLOOKUP($A337,'Price setting'!$E$343:$O$361,COLUMN()-1,FALSE)+VLOOKUP($A335,'Price setting'!$E$213:$O$231,COLUMN()-1,FALSE)</f>
        <v>0</v>
      </c>
      <c r="G337" s="317">
        <f>VLOOKUP($A337,'Price setting'!$E$343:$O$361,COLUMN()-1,FALSE)+VLOOKUP($A335,'Price setting'!$E$213:$O$231,COLUMN()-1,FALSE)</f>
        <v>0</v>
      </c>
      <c r="H337" s="317">
        <f ca="1">VLOOKUP($A337,'Price setting'!$E$343:$O$361,COLUMN()-1,FALSE)+VLOOKUP($A335,'Price setting'!$E$213:$O$231,COLUMN()-1,FALSE)</f>
        <v>19.588665908834795</v>
      </c>
      <c r="I337" s="317">
        <f ca="1">VLOOKUP($A337,'Price setting'!$E$343:$O$361,COLUMN()-1,FALSE)+VLOOKUP($A335,'Price setting'!$E$213:$O$231,COLUMN()-1,FALSE)</f>
        <v>19.805276894886468</v>
      </c>
      <c r="J337" s="317">
        <f ca="1">VLOOKUP($A337,'Price setting'!$E$343:$O$361,COLUMN()-1,FALSE)+VLOOKUP($A335,'Price setting'!$E$213:$O$231,COLUMN()-1,FALSE)</f>
        <v>19.958218525554887</v>
      </c>
      <c r="K337" s="317">
        <f ca="1">VLOOKUP($A337,'Price setting'!$E$343:$O$361,COLUMN()-1,FALSE)+VLOOKUP($A335,'Price setting'!$E$213:$O$231,COLUMN()-1,FALSE)</f>
        <v>20.250689955376675</v>
      </c>
      <c r="L337" s="323">
        <f ca="1">VLOOKUP($A337,'Price setting'!$E$343:$O$361,COLUMN()-1,FALSE)+VLOOKUP($A335,'Price setting'!$E$213:$O$231,COLUMN()-1,FALSE)</f>
        <v>20.116279775902594</v>
      </c>
    </row>
    <row r="338" spans="1:12">
      <c r="A338" s="60" t="s">
        <v>57</v>
      </c>
      <c r="B338" s="355" t="s">
        <v>166</v>
      </c>
      <c r="C338" s="59" t="s">
        <v>124</v>
      </c>
      <c r="D338" s="168" t="s">
        <v>75</v>
      </c>
      <c r="E338" s="169" t="s">
        <v>182</v>
      </c>
      <c r="F338" s="316">
        <f>VLOOKUP($A338,'Price setting'!$E$408:$O$426,COLUMN()-1,FALSE)+VLOOKUP($A335,'Price setting'!$E$213:$O$231,COLUMN()-1,FALSE)</f>
        <v>0</v>
      </c>
      <c r="G338" s="317">
        <f>VLOOKUP($A338,'Price setting'!$E$408:$O$426,COLUMN()-1,FALSE)+VLOOKUP($A335,'Price setting'!$E$213:$O$231,COLUMN()-1,FALSE)</f>
        <v>0</v>
      </c>
      <c r="H338" s="317">
        <f ca="1">VLOOKUP($A338,'Price setting'!$E$408:$O$426,COLUMN()-1,FALSE)+VLOOKUP($A335,'Price setting'!$E$213:$O$231,COLUMN()-1,FALSE)</f>
        <v>19.588665908834795</v>
      </c>
      <c r="I338" s="317">
        <f ca="1">VLOOKUP($A338,'Price setting'!$E$408:$O$426,COLUMN()-1,FALSE)+VLOOKUP($A335,'Price setting'!$E$213:$O$231,COLUMN()-1,FALSE)</f>
        <v>19.805276894886468</v>
      </c>
      <c r="J338" s="317">
        <f ca="1">VLOOKUP($A338,'Price setting'!$E$408:$O$426,COLUMN()-1,FALSE)+VLOOKUP($A335,'Price setting'!$E$213:$O$231,COLUMN()-1,FALSE)</f>
        <v>19.958218525554887</v>
      </c>
      <c r="K338" s="317">
        <f ca="1">VLOOKUP($A338,'Price setting'!$E$408:$O$426,COLUMN()-1,FALSE)+VLOOKUP($A335,'Price setting'!$E$213:$O$231,COLUMN()-1,FALSE)</f>
        <v>20.250689955376675</v>
      </c>
      <c r="L338" s="323">
        <f ca="1">VLOOKUP($A338,'Price setting'!$E$408:$O$426,COLUMN()-1,FALSE)+VLOOKUP($A335,'Price setting'!$E$213:$O$231,COLUMN()-1,FALSE)</f>
        <v>20.116279775902594</v>
      </c>
    </row>
    <row r="339" spans="1:12">
      <c r="A339" s="60" t="s">
        <v>57</v>
      </c>
      <c r="B339" s="355" t="s">
        <v>167</v>
      </c>
      <c r="C339" s="59" t="s">
        <v>122</v>
      </c>
      <c r="D339" s="170" t="s">
        <v>88</v>
      </c>
      <c r="E339" s="169" t="s">
        <v>182</v>
      </c>
      <c r="F339" s="262">
        <f>INDEX(SBW,ROW(Input!B$23)-5,COLUMN()+1)*Input!$H$441</f>
        <v>0</v>
      </c>
      <c r="G339" s="263">
        <f>INDEX(SBW,ROW(Input!C$23)-5,COLUMN()+1)*Input!$H$441</f>
        <v>0</v>
      </c>
      <c r="H339" s="263">
        <f>INDEX(SBW,ROW(Input!D$23)-5,COLUMN()+1)*Input!$H$441</f>
        <v>0</v>
      </c>
      <c r="I339" s="263">
        <f>INDEX(SBW,ROW(Input!E$23)-5,COLUMN()+1)*Input!$H$441</f>
        <v>0</v>
      </c>
      <c r="J339" s="263">
        <f>INDEX(SBW,ROW(Input!F$23)-5,COLUMN()+1)*Input!$H$441</f>
        <v>0</v>
      </c>
      <c r="K339" s="263">
        <f>INDEX(SBW,ROW(Input!G$23)-5,COLUMN()+1)*Input!$H$441</f>
        <v>0</v>
      </c>
      <c r="L339" s="264">
        <f>INDEX(SBW,ROW(Input!H$23)-5,COLUMN()+1)*Input!$H$441</f>
        <v>0</v>
      </c>
    </row>
    <row r="340" spans="1:12">
      <c r="A340" s="60" t="s">
        <v>57</v>
      </c>
      <c r="B340" s="355" t="s">
        <v>168</v>
      </c>
      <c r="C340" s="59" t="s">
        <v>123</v>
      </c>
      <c r="D340" s="170" t="s">
        <v>88</v>
      </c>
      <c r="E340" s="169" t="s">
        <v>182</v>
      </c>
      <c r="F340" s="262">
        <f>+INDEX(SBW,ROW(Input!B$24)-5,COLUMN()+1)*Input!$H$441</f>
        <v>0</v>
      </c>
      <c r="G340" s="263">
        <f>+INDEX(SBW,ROW(Input!C$24)-5,COLUMN()+1)*Input!$H$441</f>
        <v>0</v>
      </c>
      <c r="H340" s="263">
        <f>+INDEX(SBW,ROW(Input!D$24)-5,COLUMN()+1)*Input!$H$441</f>
        <v>0</v>
      </c>
      <c r="I340" s="263">
        <f>+INDEX(SBW,ROW(Input!E$24)-5,COLUMN()+1)*Input!$H$441</f>
        <v>0</v>
      </c>
      <c r="J340" s="263">
        <f>+INDEX(SBW,ROW(Input!F$24)-5,COLUMN()+1)*Input!$H$441</f>
        <v>0</v>
      </c>
      <c r="K340" s="263">
        <f>+INDEX(SBW,ROW(Input!G$24)-5,COLUMN()+1)*Input!$H$441</f>
        <v>0</v>
      </c>
      <c r="L340" s="264">
        <f>+INDEX(SBW,ROW(Input!H$24)-5,COLUMN()+1)*Input!$H$441</f>
        <v>0</v>
      </c>
    </row>
    <row r="341" spans="1:12">
      <c r="A341" s="60" t="s">
        <v>57</v>
      </c>
      <c r="B341" s="355" t="s">
        <v>169</v>
      </c>
      <c r="C341" s="59" t="s">
        <v>139</v>
      </c>
      <c r="D341" s="170" t="s">
        <v>74</v>
      </c>
      <c r="E341" s="169" t="s">
        <v>182</v>
      </c>
      <c r="F341" s="262">
        <f>VLOOKUP($A341,'Price setting'!$E$488:$O$506,COLUMN()-1,FALSE)</f>
        <v>0</v>
      </c>
      <c r="G341" s="263">
        <f>VLOOKUP($A341,'Price setting'!$E$488:$O$506,COLUMN()-1,FALSE)</f>
        <v>0</v>
      </c>
      <c r="H341" s="263">
        <f ca="1">VLOOKUP($A341,'Price setting'!$E$488:$O$506,COLUMN()-1,FALSE)</f>
        <v>5.614805379434544E-2</v>
      </c>
      <c r="I341" s="263">
        <f ca="1">VLOOKUP($A341,'Price setting'!$E$488:$O$506,COLUMN()-1,FALSE)</f>
        <v>0.11337282258211455</v>
      </c>
      <c r="J341" s="263">
        <f ca="1">VLOOKUP($A341,'Price setting'!$E$488:$O$506,COLUMN()-1,FALSE)</f>
        <v>0.17517662815145221</v>
      </c>
      <c r="K341" s="263">
        <f ca="1">VLOOKUP($A341,'Price setting'!$E$488:$O$506,COLUMN()-1,FALSE)</f>
        <v>0.23720037381830061</v>
      </c>
      <c r="L341" s="264">
        <f ca="1">VLOOKUP($A341,'Price setting'!$E$488:$O$506,COLUMN()-1,FALSE)</f>
        <v>0.23252593499922516</v>
      </c>
    </row>
    <row r="342" spans="1:12">
      <c r="A342" s="60" t="str">
        <f>+A341</f>
        <v>SBW</v>
      </c>
      <c r="B342" s="355" t="s">
        <v>170</v>
      </c>
      <c r="C342" s="59" t="s">
        <v>67</v>
      </c>
      <c r="D342" s="170" t="s">
        <v>171</v>
      </c>
      <c r="E342" s="169" t="s">
        <v>182</v>
      </c>
      <c r="F342" s="320">
        <f>+Input!$H$441</f>
        <v>1.3</v>
      </c>
      <c r="G342" s="321">
        <f>+Input!$H$441</f>
        <v>1.3</v>
      </c>
      <c r="H342" s="321">
        <f>+Input!$H$441</f>
        <v>1.3</v>
      </c>
      <c r="I342" s="321">
        <f>+Input!$H$441</f>
        <v>1.3</v>
      </c>
      <c r="J342" s="321">
        <f>+Input!$H$441</f>
        <v>1.3</v>
      </c>
      <c r="K342" s="321">
        <f>+Input!$H$441</f>
        <v>1.3</v>
      </c>
      <c r="L342" s="322">
        <f>+Input!$H$441</f>
        <v>1.3</v>
      </c>
    </row>
    <row r="343" spans="1:12">
      <c r="A343" s="60" t="str">
        <f t="shared" ref="A343:A355" si="14">+A342</f>
        <v>SBW</v>
      </c>
      <c r="B343" s="355" t="s">
        <v>194</v>
      </c>
      <c r="C343" s="59" t="s">
        <v>185</v>
      </c>
      <c r="D343" s="168" t="s">
        <v>75</v>
      </c>
      <c r="E343" s="169" t="s">
        <v>182</v>
      </c>
      <c r="F343" s="316">
        <f ca="1">VLOOKUP(A343,'Price setting'!$E$89:$I$106,COLUMN()-1,FALSE)</f>
        <v>22.448162734760263</v>
      </c>
      <c r="G343" s="317"/>
      <c r="H343" s="317"/>
      <c r="I343" s="317"/>
      <c r="J343" s="317"/>
      <c r="K343" s="317"/>
      <c r="L343" s="323"/>
    </row>
    <row r="344" spans="1:12">
      <c r="A344" s="60" t="str">
        <f t="shared" si="14"/>
        <v>SBW</v>
      </c>
      <c r="B344" s="355" t="s">
        <v>195</v>
      </c>
      <c r="C344" s="59" t="s">
        <v>186</v>
      </c>
      <c r="D344" s="168" t="s">
        <v>75</v>
      </c>
      <c r="E344" s="169" t="s">
        <v>182</v>
      </c>
      <c r="F344" s="316">
        <f ca="1">VLOOKUP(A344,'Price setting'!E$254:I$271,COLUMN()-1,FALSE)+VLOOKUP(A343,'Price setting'!$E$89:$I$106,COLUMN()-1,FALSE)</f>
        <v>27.841260808724062</v>
      </c>
      <c r="G344" s="317"/>
      <c r="H344" s="317"/>
      <c r="I344" s="317"/>
      <c r="J344" s="317"/>
      <c r="K344" s="317"/>
      <c r="L344" s="323"/>
    </row>
    <row r="345" spans="1:12">
      <c r="A345" s="60" t="str">
        <f t="shared" si="14"/>
        <v>SBW</v>
      </c>
      <c r="B345" s="355" t="s">
        <v>196</v>
      </c>
      <c r="C345" s="59" t="s">
        <v>187</v>
      </c>
      <c r="D345" s="168" t="s">
        <v>75</v>
      </c>
      <c r="E345" s="169" t="s">
        <v>182</v>
      </c>
      <c r="F345" s="316">
        <f ca="1">VLOOKUP(A345,'Price setting'!E$319:I$336,COLUMN()-1,FALSE)+VLOOKUP(A343,'Price setting'!$E$89:$I$106,COLUMN()-1,FALSE)</f>
        <v>22.448162734760263</v>
      </c>
      <c r="G345" s="317"/>
      <c r="H345" s="317"/>
      <c r="I345" s="317"/>
      <c r="J345" s="317"/>
      <c r="K345" s="317"/>
      <c r="L345" s="323"/>
    </row>
    <row r="346" spans="1:12">
      <c r="A346" s="60" t="str">
        <f t="shared" si="14"/>
        <v>SBW</v>
      </c>
      <c r="B346" s="355" t="s">
        <v>197</v>
      </c>
      <c r="C346" s="59" t="s">
        <v>188</v>
      </c>
      <c r="D346" s="168" t="s">
        <v>75</v>
      </c>
      <c r="E346" s="169" t="s">
        <v>182</v>
      </c>
      <c r="F346" s="316">
        <f ca="1">(VLOOKUP(A346,'Price setting'!E$384:I$401,COLUMN()-1,FALSE)+VLOOKUP(A343,'Price setting'!$E$89:$I$106,COLUMN()-1,FALSE))*+Input!$H$441</f>
        <v>29.182611555188345</v>
      </c>
      <c r="G346" s="317"/>
      <c r="H346" s="317"/>
      <c r="I346" s="317"/>
      <c r="J346" s="317"/>
      <c r="K346" s="317"/>
      <c r="L346" s="323"/>
    </row>
    <row r="347" spans="1:12">
      <c r="A347" s="60" t="str">
        <f t="shared" si="14"/>
        <v>SBW</v>
      </c>
      <c r="B347" s="355" t="s">
        <v>198</v>
      </c>
      <c r="C347" s="59" t="s">
        <v>189</v>
      </c>
      <c r="D347" s="168" t="s">
        <v>75</v>
      </c>
      <c r="E347" s="169" t="s">
        <v>182</v>
      </c>
      <c r="F347" s="316">
        <f ca="1">VLOOKUP(A347,'Price setting'!E$89:I$106,COLUMN()-1,FALSE)*+Input!$H$441</f>
        <v>29.182611555188345</v>
      </c>
      <c r="G347" s="317"/>
      <c r="H347" s="317"/>
      <c r="I347" s="317"/>
      <c r="J347" s="317"/>
      <c r="K347" s="317"/>
      <c r="L347" s="323"/>
    </row>
    <row r="348" spans="1:12" s="53" customFormat="1">
      <c r="A348" s="60" t="str">
        <f t="shared" si="14"/>
        <v>SBW</v>
      </c>
      <c r="B348" s="356" t="s">
        <v>204</v>
      </c>
      <c r="C348" s="59" t="s">
        <v>203</v>
      </c>
      <c r="D348" s="168" t="s">
        <v>75</v>
      </c>
      <c r="E348" s="169" t="s">
        <v>182</v>
      </c>
      <c r="F348" s="316"/>
      <c r="G348" s="317"/>
      <c r="H348" s="317">
        <f ca="1">VLOOKUP($A348,'Price setting'!$E$213:$O$230,COLUMN()-1,FALSE)</f>
        <v>19.588665908834795</v>
      </c>
      <c r="I348" s="317">
        <f ca="1">VLOOKUP($A348,'Price setting'!$E$213:$O$230,COLUMN()-1,FALSE)</f>
        <v>19.805276894886468</v>
      </c>
      <c r="J348" s="317">
        <f ca="1">VLOOKUP($A348,'Price setting'!$E$213:$O$230,COLUMN()-1,FALSE)</f>
        <v>19.958218525554887</v>
      </c>
      <c r="K348" s="317">
        <f ca="1">VLOOKUP($A348,'Price setting'!$E$213:$O$230,COLUMN()-1,FALSE)</f>
        <v>20.250689955376675</v>
      </c>
      <c r="L348" s="323">
        <f ca="1">VLOOKUP($A348,'Price setting'!$E$213:$O$230,COLUMN()-1,FALSE)</f>
        <v>20.116279775902594</v>
      </c>
    </row>
    <row r="349" spans="1:12">
      <c r="A349" s="60" t="str">
        <f t="shared" si="14"/>
        <v>SBW</v>
      </c>
      <c r="B349" s="355" t="s">
        <v>199</v>
      </c>
      <c r="C349" s="59" t="s">
        <v>190</v>
      </c>
      <c r="D349" s="168" t="s">
        <v>75</v>
      </c>
      <c r="E349" s="169" t="s">
        <v>182</v>
      </c>
      <c r="F349" s="316"/>
      <c r="G349" s="317"/>
      <c r="H349" s="317">
        <f ca="1">VLOOKUP($A348,'Price setting'!$E$213:$O$230,COLUMN()-1,FALSE)*+Input!$H$441</f>
        <v>25.465265681485235</v>
      </c>
      <c r="I349" s="317">
        <f ca="1">VLOOKUP($A348,'Price setting'!$E$213:$O$230,COLUMN()-1,FALSE)*+Input!$H$441</f>
        <v>25.74685996335241</v>
      </c>
      <c r="J349" s="317">
        <f ca="1">VLOOKUP($A348,'Price setting'!$E$213:$O$230,COLUMN()-1,FALSE)*+Input!$H$441</f>
        <v>25.945684083221355</v>
      </c>
      <c r="K349" s="317">
        <f ca="1">VLOOKUP($A348,'Price setting'!$E$213:$O$230,COLUMN()-1,FALSE)*+Input!$H$441</f>
        <v>26.325896941989679</v>
      </c>
      <c r="L349" s="323">
        <f ca="1">VLOOKUP($A348,'Price setting'!$E$213:$O$230,COLUMN()-1,FALSE)*+Input!$H$441</f>
        <v>26.151163708673373</v>
      </c>
    </row>
    <row r="350" spans="1:12">
      <c r="A350" s="60" t="str">
        <f t="shared" si="14"/>
        <v>SBW</v>
      </c>
      <c r="B350" s="355" t="s">
        <v>200</v>
      </c>
      <c r="C350" s="59" t="s">
        <v>191</v>
      </c>
      <c r="D350" s="168" t="s">
        <v>75</v>
      </c>
      <c r="E350" s="169" t="s">
        <v>182</v>
      </c>
      <c r="F350" s="316"/>
      <c r="G350" s="317"/>
      <c r="H350" s="317">
        <f ca="1">VLOOKUP($A350,'Price setting'!$E$278:$O$295,COLUMN()-1,FALSE)+VLOOKUP($A348,'Price setting'!$E$213:$O$230,COLUMN()-1,FALSE)</f>
        <v>25.379587900697356</v>
      </c>
      <c r="I350" s="317">
        <f ca="1">VLOOKUP($A350,'Price setting'!$E$278:$O$295,COLUMN()-1,FALSE)+VLOOKUP($A348,'Price setting'!$E$213:$O$230,COLUMN()-1,FALSE)</f>
        <v>25.596198886749029</v>
      </c>
      <c r="J350" s="317">
        <f ca="1">VLOOKUP($A350,'Price setting'!$E$278:$O$295,COLUMN()-1,FALSE)+VLOOKUP($A348,'Price setting'!$E$213:$O$230,COLUMN()-1,FALSE)</f>
        <v>25.749140517417448</v>
      </c>
      <c r="K350" s="317">
        <f ca="1">VLOOKUP($A350,'Price setting'!$E$278:$O$295,COLUMN()-1,FALSE)+VLOOKUP($A348,'Price setting'!$E$213:$O$230,COLUMN()-1,FALSE)</f>
        <v>26.041611947239236</v>
      </c>
      <c r="L350" s="323">
        <f ca="1">VLOOKUP($A350,'Price setting'!$E$278:$O$295,COLUMN()-1,FALSE)+VLOOKUP($A348,'Price setting'!$E$213:$O$230,COLUMN()-1,FALSE)</f>
        <v>25.907201767765155</v>
      </c>
    </row>
    <row r="351" spans="1:12">
      <c r="A351" s="60" t="str">
        <f t="shared" si="14"/>
        <v>SBW</v>
      </c>
      <c r="B351" s="355" t="s">
        <v>201</v>
      </c>
      <c r="C351" s="59" t="s">
        <v>192</v>
      </c>
      <c r="D351" s="168" t="s">
        <v>75</v>
      </c>
      <c r="E351" s="169" t="s">
        <v>182</v>
      </c>
      <c r="F351" s="316"/>
      <c r="G351" s="317"/>
      <c r="H351" s="317">
        <f ca="1">VLOOKUP($A351,'Price setting'!$E$343:$O$360,COLUMN()-1,FALSE)+VLOOKUP($A348,'Price setting'!$E$213:$O$230,COLUMN()-1,FALSE)</f>
        <v>19.588665908834795</v>
      </c>
      <c r="I351" s="317">
        <f ca="1">VLOOKUP($A351,'Price setting'!$E$343:$O$360,COLUMN()-1,FALSE)+VLOOKUP($A348,'Price setting'!$E$213:$O$230,COLUMN()-1,FALSE)</f>
        <v>19.805276894886468</v>
      </c>
      <c r="J351" s="317">
        <f ca="1">VLOOKUP($A351,'Price setting'!$E$343:$O$360,COLUMN()-1,FALSE)+VLOOKUP($A348,'Price setting'!$E$213:$O$230,COLUMN()-1,FALSE)</f>
        <v>19.958218525554887</v>
      </c>
      <c r="K351" s="317">
        <f ca="1">VLOOKUP($A351,'Price setting'!$E$343:$O$360,COLUMN()-1,FALSE)+VLOOKUP($A348,'Price setting'!$E$213:$O$230,COLUMN()-1,FALSE)</f>
        <v>20.250689955376675</v>
      </c>
      <c r="L351" s="323">
        <f ca="1">VLOOKUP($A351,'Price setting'!$E$343:$O$360,COLUMN()-1,FALSE)+VLOOKUP($A348,'Price setting'!$E$213:$O$230,COLUMN()-1,FALSE)</f>
        <v>20.116279775902594</v>
      </c>
    </row>
    <row r="352" spans="1:12">
      <c r="A352" s="60" t="str">
        <f t="shared" si="14"/>
        <v>SBW</v>
      </c>
      <c r="B352" s="355" t="s">
        <v>202</v>
      </c>
      <c r="C352" s="59" t="s">
        <v>193</v>
      </c>
      <c r="D352" s="168" t="s">
        <v>75</v>
      </c>
      <c r="E352" s="169" t="s">
        <v>182</v>
      </c>
      <c r="F352" s="316"/>
      <c r="G352" s="317"/>
      <c r="H352" s="317">
        <f ca="1">(VLOOKUP($A352,'Price setting'!$E$408:$O$425,COLUMN()-1,FALSE)+VLOOKUP($A348,'Price setting'!$E$213:$O$230,COLUMN()-1,FALSE))*+Input!$H$441</f>
        <v>25.465265681485235</v>
      </c>
      <c r="I352" s="317">
        <f ca="1">(VLOOKUP($A352,'Price setting'!$E$408:$O$425,COLUMN()-1,FALSE)+VLOOKUP($A348,'Price setting'!$E$213:$O$230,COLUMN()-1,FALSE))*+Input!$H$441</f>
        <v>25.74685996335241</v>
      </c>
      <c r="J352" s="317">
        <f ca="1">(VLOOKUP($A352,'Price setting'!$E$408:$O$425,COLUMN()-1,FALSE)+VLOOKUP($A348,'Price setting'!$E$213:$O$230,COLUMN()-1,FALSE))*+Input!$H$441</f>
        <v>25.945684083221355</v>
      </c>
      <c r="K352" s="317">
        <f ca="1">(VLOOKUP($A352,'Price setting'!$E$408:$O$425,COLUMN()-1,FALSE)+VLOOKUP($A348,'Price setting'!$E$213:$O$230,COLUMN()-1,FALSE))*+Input!$H$441</f>
        <v>26.325896941989679</v>
      </c>
      <c r="L352" s="323">
        <f ca="1">(VLOOKUP($A352,'Price setting'!$E$408:$O$425,COLUMN()-1,FALSE)+VLOOKUP($A348,'Price setting'!$E$213:$O$230,COLUMN()-1,FALSE))*+Input!$H$441</f>
        <v>26.151163708673373</v>
      </c>
    </row>
    <row r="353" spans="1:12">
      <c r="A353" s="60" t="str">
        <f t="shared" si="14"/>
        <v>SBW</v>
      </c>
      <c r="B353" s="355" t="s">
        <v>208</v>
      </c>
      <c r="C353" s="59" t="s">
        <v>205</v>
      </c>
      <c r="D353" s="168" t="s">
        <v>75</v>
      </c>
      <c r="E353" s="169" t="s">
        <v>182</v>
      </c>
      <c r="F353" s="262">
        <f ca="1">VLOOKUP($A353,'Price setting'!$E$49:$I$66,COLUMN()-1,FALSE)</f>
        <v>1.7119358630030963</v>
      </c>
      <c r="G353" s="263"/>
      <c r="H353" s="263"/>
      <c r="I353" s="263"/>
      <c r="J353" s="263"/>
      <c r="K353" s="263"/>
      <c r="L353" s="264"/>
    </row>
    <row r="354" spans="1:12">
      <c r="A354" s="60" t="str">
        <f t="shared" si="14"/>
        <v>SBW</v>
      </c>
      <c r="B354" s="355" t="s">
        <v>206</v>
      </c>
      <c r="C354" s="59" t="s">
        <v>132</v>
      </c>
      <c r="D354" s="168" t="s">
        <v>74</v>
      </c>
      <c r="E354" s="169" t="s">
        <v>182</v>
      </c>
      <c r="F354" s="262">
        <f ca="1">'Used inputs'!I229</f>
        <v>4.167862402506727</v>
      </c>
      <c r="G354" s="263">
        <f>'Used inputs'!J229</f>
        <v>4.1987278362453599</v>
      </c>
      <c r="H354" s="263">
        <f ca="1">'Used inputs'!K229</f>
        <v>4.3149876366608764</v>
      </c>
      <c r="I354" s="263">
        <f ca="1">'Used inputs'!L229</f>
        <v>4.3849492864684452</v>
      </c>
      <c r="J354" s="263">
        <f ca="1">'Used inputs'!M229</f>
        <v>4.4549109362760122</v>
      </c>
      <c r="K354" s="263">
        <f ca="1">'Used inputs'!N229</f>
        <v>4.519728347127141</v>
      </c>
      <c r="L354" s="264">
        <f ca="1">'Used inputs'!O229</f>
        <v>4.5814592146044077</v>
      </c>
    </row>
    <row r="355" spans="1:12">
      <c r="A355" s="60" t="str">
        <f t="shared" si="14"/>
        <v>SBW</v>
      </c>
      <c r="B355" s="355" t="s">
        <v>207</v>
      </c>
      <c r="C355" s="59" t="s">
        <v>157</v>
      </c>
      <c r="D355" s="168" t="s">
        <v>74</v>
      </c>
      <c r="E355" s="169" t="s">
        <v>182</v>
      </c>
      <c r="F355" s="262">
        <f>'Used inputs'!I242</f>
        <v>0.14506753857157453</v>
      </c>
      <c r="G355" s="263">
        <f>'Used inputs'!J242</f>
        <v>0.45989496270562996</v>
      </c>
      <c r="H355" s="263">
        <f>'Used inputs'!K242</f>
        <v>8.2203646489818066E-2</v>
      </c>
      <c r="I355" s="263">
        <f>'Used inputs'!L242</f>
        <v>8.2203646489818066E-2</v>
      </c>
      <c r="J355" s="263">
        <f>'Used inputs'!M242</f>
        <v>8.2203646489818066E-2</v>
      </c>
      <c r="K355" s="263">
        <f>'Used inputs'!N242</f>
        <v>8.2203646489818066E-2</v>
      </c>
      <c r="L355" s="264">
        <f>'Used inputs'!O242</f>
        <v>8.2203646489818066E-2</v>
      </c>
    </row>
    <row r="356" spans="1:12">
      <c r="A356" s="60" t="s">
        <v>58</v>
      </c>
      <c r="B356" s="355" t="s">
        <v>162</v>
      </c>
      <c r="C356" s="59" t="s">
        <v>175</v>
      </c>
      <c r="D356" s="169" t="s">
        <v>74</v>
      </c>
      <c r="E356" s="169" t="s">
        <v>182</v>
      </c>
      <c r="F356" s="262">
        <f>VLOOKUP($A356,'Price setting'!$E$448:$O$466,COLUMN()-1,FALSE)</f>
        <v>0</v>
      </c>
      <c r="G356" s="263">
        <f>VLOOKUP($A356,'Price setting'!$E$448:$O$466,COLUMN()-1,FALSE)</f>
        <v>0</v>
      </c>
      <c r="H356" s="263">
        <f ca="1">VLOOKUP($A356,'Price setting'!$E$448:$O$466,COLUMN()-1,FALSE)</f>
        <v>18.692465149428131</v>
      </c>
      <c r="I356" s="263">
        <f ca="1">VLOOKUP($A356,'Price setting'!$E$448:$O$466,COLUMN()-1,FALSE)</f>
        <v>19.222941225828738</v>
      </c>
      <c r="J356" s="263">
        <f ca="1">VLOOKUP($A356,'Price setting'!$E$448:$O$466,COLUMN()-1,FALSE)</f>
        <v>19.733616663053432</v>
      </c>
      <c r="K356" s="263">
        <f ca="1">VLOOKUP($A356,'Price setting'!$E$448:$O$466,COLUMN()-1,FALSE)</f>
        <v>20.125285214164208</v>
      </c>
      <c r="L356" s="264">
        <f ca="1">VLOOKUP($A356,'Price setting'!$E$448:$O$466,COLUMN()-1,FALSE)</f>
        <v>20.745374474518467</v>
      </c>
    </row>
    <row r="357" spans="1:12">
      <c r="A357" s="60" t="s">
        <v>58</v>
      </c>
      <c r="B357" s="355" t="s">
        <v>163</v>
      </c>
      <c r="C357" s="59" t="s">
        <v>118</v>
      </c>
      <c r="D357" s="168" t="s">
        <v>75</v>
      </c>
      <c r="E357" s="169" t="s">
        <v>182</v>
      </c>
      <c r="F357" s="316">
        <f>VLOOKUP($A357,'Price setting'!$E$213:$O$231,COLUMN()-1,FALSE)</f>
        <v>0</v>
      </c>
      <c r="G357" s="317">
        <f>VLOOKUP($A357,'Price setting'!$E$213:$O$231,COLUMN()-1,FALSE)</f>
        <v>0</v>
      </c>
      <c r="H357" s="317">
        <f ca="1">VLOOKUP($A357,'Price setting'!$E$213:$O$231,COLUMN()-1,FALSE)</f>
        <v>17.540013782450526</v>
      </c>
      <c r="I357" s="317">
        <f ca="1">VLOOKUP($A357,'Price setting'!$E$213:$O$231,COLUMN()-1,FALSE)</f>
        <v>17.872106389686355</v>
      </c>
      <c r="J357" s="317">
        <f ca="1">VLOOKUP($A357,'Price setting'!$E$213:$O$231,COLUMN()-1,FALSE)</f>
        <v>18.207499860843885</v>
      </c>
      <c r="K357" s="317">
        <f ca="1">VLOOKUP($A357,'Price setting'!$E$213:$O$231,COLUMN()-1,FALSE)</f>
        <v>18.451807767796382</v>
      </c>
      <c r="L357" s="323">
        <f ca="1">VLOOKUP($A357,'Price setting'!$E$213:$O$231,COLUMN()-1,FALSE)</f>
        <v>18.707368285865577</v>
      </c>
    </row>
    <row r="358" spans="1:12">
      <c r="A358" s="60" t="s">
        <v>58</v>
      </c>
      <c r="B358" s="355" t="s">
        <v>164</v>
      </c>
      <c r="C358" s="59" t="s">
        <v>119</v>
      </c>
      <c r="D358" s="168" t="s">
        <v>75</v>
      </c>
      <c r="E358" s="169" t="s">
        <v>182</v>
      </c>
      <c r="F358" s="316">
        <f>VLOOKUP($A358,'Price setting'!$E$278:$O$296,COLUMN()-1,FALSE)+VLOOKUP($A357,'Price setting'!$E$213:$O$231,COLUMN()-1,FALSE)</f>
        <v>0</v>
      </c>
      <c r="G358" s="317">
        <f>VLOOKUP($A358,'Price setting'!$E$278:$O$296,COLUMN()-1,FALSE)+VLOOKUP($A357,'Price setting'!$E$213:$O$231,COLUMN()-1,FALSE)</f>
        <v>0</v>
      </c>
      <c r="H358" s="317">
        <f ca="1">VLOOKUP($A358,'Price setting'!$E$278:$O$296,COLUMN()-1,FALSE)+VLOOKUP($A357,'Price setting'!$E$213:$O$231,COLUMN()-1,FALSE)</f>
        <v>24.281854003994813</v>
      </c>
      <c r="I358" s="317">
        <f ca="1">VLOOKUP($A358,'Price setting'!$E$278:$O$296,COLUMN()-1,FALSE)+VLOOKUP($A357,'Price setting'!$E$213:$O$231,COLUMN()-1,FALSE)</f>
        <v>24.296973868003398</v>
      </c>
      <c r="J358" s="317">
        <f ca="1">VLOOKUP($A358,'Price setting'!$E$278:$O$296,COLUMN()-1,FALSE)+VLOOKUP($A357,'Price setting'!$E$213:$O$231,COLUMN()-1,FALSE)</f>
        <v>24.315394595933689</v>
      </c>
      <c r="K358" s="317">
        <f ca="1">VLOOKUP($A358,'Price setting'!$E$278:$O$296,COLUMN()-1,FALSE)+VLOOKUP($A357,'Price setting'!$E$213:$O$231,COLUMN()-1,FALSE)</f>
        <v>24.242729759658943</v>
      </c>
      <c r="L358" s="323">
        <f ca="1">VLOOKUP($A358,'Price setting'!$E$278:$O$296,COLUMN()-1,FALSE)+VLOOKUP($A357,'Price setting'!$E$213:$O$231,COLUMN()-1,FALSE)</f>
        <v>24.498290277728138</v>
      </c>
    </row>
    <row r="359" spans="1:12">
      <c r="A359" s="60" t="s">
        <v>58</v>
      </c>
      <c r="B359" s="355" t="s">
        <v>165</v>
      </c>
      <c r="C359" s="59" t="s">
        <v>120</v>
      </c>
      <c r="D359" s="168" t="s">
        <v>75</v>
      </c>
      <c r="E359" s="169" t="s">
        <v>182</v>
      </c>
      <c r="F359" s="316">
        <f>VLOOKUP($A359,'Price setting'!$E$343:$O$361,COLUMN()-1,FALSE)+VLOOKUP($A357,'Price setting'!$E$213:$O$231,COLUMN()-1,FALSE)</f>
        <v>0</v>
      </c>
      <c r="G359" s="317">
        <f>VLOOKUP($A359,'Price setting'!$E$343:$O$361,COLUMN()-1,FALSE)+VLOOKUP($A357,'Price setting'!$E$213:$O$231,COLUMN()-1,FALSE)</f>
        <v>0</v>
      </c>
      <c r="H359" s="317">
        <f ca="1">VLOOKUP($A359,'Price setting'!$E$343:$O$361,COLUMN()-1,FALSE)+VLOOKUP($A357,'Price setting'!$E$213:$O$231,COLUMN()-1,FALSE)</f>
        <v>17.540013782450526</v>
      </c>
      <c r="I359" s="317">
        <f ca="1">VLOOKUP($A359,'Price setting'!$E$343:$O$361,COLUMN()-1,FALSE)+VLOOKUP($A357,'Price setting'!$E$213:$O$231,COLUMN()-1,FALSE)</f>
        <v>17.872106389686355</v>
      </c>
      <c r="J359" s="317">
        <f ca="1">VLOOKUP($A359,'Price setting'!$E$343:$O$361,COLUMN()-1,FALSE)+VLOOKUP($A357,'Price setting'!$E$213:$O$231,COLUMN()-1,FALSE)</f>
        <v>18.207499860843885</v>
      </c>
      <c r="K359" s="317">
        <f ca="1">VLOOKUP($A359,'Price setting'!$E$343:$O$361,COLUMN()-1,FALSE)+VLOOKUP($A357,'Price setting'!$E$213:$O$231,COLUMN()-1,FALSE)</f>
        <v>18.451807767796382</v>
      </c>
      <c r="L359" s="323">
        <f ca="1">VLOOKUP($A359,'Price setting'!$E$343:$O$361,COLUMN()-1,FALSE)+VLOOKUP($A357,'Price setting'!$E$213:$O$231,COLUMN()-1,FALSE)</f>
        <v>18.707368285865577</v>
      </c>
    </row>
    <row r="360" spans="1:12">
      <c r="A360" s="60" t="s">
        <v>58</v>
      </c>
      <c r="B360" s="355" t="s">
        <v>166</v>
      </c>
      <c r="C360" s="59" t="s">
        <v>124</v>
      </c>
      <c r="D360" s="168" t="s">
        <v>75</v>
      </c>
      <c r="E360" s="169" t="s">
        <v>182</v>
      </c>
      <c r="F360" s="316">
        <f>VLOOKUP($A360,'Price setting'!$E$408:$O$426,COLUMN()-1,FALSE)+VLOOKUP($A357,'Price setting'!$E$213:$O$231,COLUMN()-1,FALSE)</f>
        <v>0</v>
      </c>
      <c r="G360" s="317">
        <f>VLOOKUP($A360,'Price setting'!$E$408:$O$426,COLUMN()-1,FALSE)+VLOOKUP($A357,'Price setting'!$E$213:$O$231,COLUMN()-1,FALSE)</f>
        <v>0</v>
      </c>
      <c r="H360" s="317">
        <f ca="1">VLOOKUP($A360,'Price setting'!$E$408:$O$426,COLUMN()-1,FALSE)+VLOOKUP($A357,'Price setting'!$E$213:$O$231,COLUMN()-1,FALSE)</f>
        <v>17.540013782450526</v>
      </c>
      <c r="I360" s="317">
        <f ca="1">VLOOKUP($A360,'Price setting'!$E$408:$O$426,COLUMN()-1,FALSE)+VLOOKUP($A357,'Price setting'!$E$213:$O$231,COLUMN()-1,FALSE)</f>
        <v>17.872106389686355</v>
      </c>
      <c r="J360" s="317">
        <f ca="1">VLOOKUP($A360,'Price setting'!$E$408:$O$426,COLUMN()-1,FALSE)+VLOOKUP($A357,'Price setting'!$E$213:$O$231,COLUMN()-1,FALSE)</f>
        <v>18.207499860843885</v>
      </c>
      <c r="K360" s="317">
        <f ca="1">VLOOKUP($A360,'Price setting'!$E$408:$O$426,COLUMN()-1,FALSE)+VLOOKUP($A357,'Price setting'!$E$213:$O$231,COLUMN()-1,FALSE)</f>
        <v>18.451807767796382</v>
      </c>
      <c r="L360" s="323">
        <f ca="1">VLOOKUP($A360,'Price setting'!$E$408:$O$426,COLUMN()-1,FALSE)+VLOOKUP($A357,'Price setting'!$E$213:$O$231,COLUMN()-1,FALSE)</f>
        <v>18.707368285865577</v>
      </c>
    </row>
    <row r="361" spans="1:12">
      <c r="A361" s="60" t="s">
        <v>58</v>
      </c>
      <c r="B361" s="355" t="s">
        <v>167</v>
      </c>
      <c r="C361" s="59" t="s">
        <v>122</v>
      </c>
      <c r="D361" s="170" t="s">
        <v>88</v>
      </c>
      <c r="E361" s="169" t="s">
        <v>182</v>
      </c>
      <c r="F361" s="262">
        <f>INDEX(SEW,ROW(Input!B$23)-5,COLUMN()+1)*Input!$H$441</f>
        <v>0</v>
      </c>
      <c r="G361" s="263">
        <f>INDEX(SEW,ROW(Input!C$23)-5,COLUMN()+1)*Input!$H$441</f>
        <v>0</v>
      </c>
      <c r="H361" s="263">
        <f>INDEX(SEW,ROW(Input!D$23)-5,COLUMN()+1)*Input!$H$441</f>
        <v>0</v>
      </c>
      <c r="I361" s="263">
        <f>INDEX(SEW,ROW(Input!E$23)-5,COLUMN()+1)*Input!$H$441</f>
        <v>0</v>
      </c>
      <c r="J361" s="263">
        <f>INDEX(SEW,ROW(Input!F$23)-5,COLUMN()+1)*Input!$H$441</f>
        <v>0</v>
      </c>
      <c r="K361" s="263">
        <f>INDEX(SEW,ROW(Input!G$23)-5,COLUMN()+1)*Input!$H$441</f>
        <v>0</v>
      </c>
      <c r="L361" s="264">
        <f>INDEX(SEW,ROW(Input!H$23)-5,COLUMN()+1)*Input!$H$441</f>
        <v>0</v>
      </c>
    </row>
    <row r="362" spans="1:12">
      <c r="A362" s="60" t="s">
        <v>58</v>
      </c>
      <c r="B362" s="355" t="s">
        <v>168</v>
      </c>
      <c r="C362" s="59" t="s">
        <v>123</v>
      </c>
      <c r="D362" s="170" t="s">
        <v>88</v>
      </c>
      <c r="E362" s="169" t="s">
        <v>182</v>
      </c>
      <c r="F362" s="262">
        <f>+INDEX(SEW,ROW(Input!B$24)-5,COLUMN()+1)*Input!$H$441</f>
        <v>0</v>
      </c>
      <c r="G362" s="263">
        <f>+INDEX(SEW,ROW(Input!C$24)-5,COLUMN()+1)*Input!$H$441</f>
        <v>0</v>
      </c>
      <c r="H362" s="263">
        <f>+INDEX(SEW,ROW(Input!D$24)-5,COLUMN()+1)*Input!$H$441</f>
        <v>0</v>
      </c>
      <c r="I362" s="263">
        <f>+INDEX(SEW,ROW(Input!E$24)-5,COLUMN()+1)*Input!$H$441</f>
        <v>0</v>
      </c>
      <c r="J362" s="263">
        <f>+INDEX(SEW,ROW(Input!F$24)-5,COLUMN()+1)*Input!$H$441</f>
        <v>0</v>
      </c>
      <c r="K362" s="263">
        <f>+INDEX(SEW,ROW(Input!G$24)-5,COLUMN()+1)*Input!$H$441</f>
        <v>0</v>
      </c>
      <c r="L362" s="264">
        <f>+INDEX(SEW,ROW(Input!H$24)-5,COLUMN()+1)*Input!$H$441</f>
        <v>0</v>
      </c>
    </row>
    <row r="363" spans="1:12">
      <c r="A363" s="60" t="s">
        <v>58</v>
      </c>
      <c r="B363" s="355" t="s">
        <v>169</v>
      </c>
      <c r="C363" s="59" t="s">
        <v>139</v>
      </c>
      <c r="D363" s="170" t="s">
        <v>74</v>
      </c>
      <c r="E363" s="169" t="s">
        <v>182</v>
      </c>
      <c r="F363" s="262">
        <f>VLOOKUP($A363,'Price setting'!$E$488:$O$506,COLUMN()-1,FALSE)</f>
        <v>0</v>
      </c>
      <c r="G363" s="263">
        <f>VLOOKUP($A363,'Price setting'!$E$488:$O$506,COLUMN()-1,FALSE)</f>
        <v>0</v>
      </c>
      <c r="H363" s="263">
        <f ca="1">VLOOKUP($A363,'Price setting'!$E$488:$O$506,COLUMN()-1,FALSE)</f>
        <v>0.10189131937063887</v>
      </c>
      <c r="I363" s="263">
        <f ca="1">VLOOKUP($A363,'Price setting'!$E$488:$O$506,COLUMN()-1,FALSE)</f>
        <v>0.36744594189143182</v>
      </c>
      <c r="J363" s="263">
        <f ca="1">VLOOKUP($A363,'Price setting'!$E$488:$O$506,COLUMN()-1,FALSE)</f>
        <v>0.63456155148180382</v>
      </c>
      <c r="K363" s="263">
        <f ca="1">VLOOKUP($A363,'Price setting'!$E$488:$O$506,COLUMN()-1,FALSE)</f>
        <v>0.82514743537820168</v>
      </c>
      <c r="L363" s="264">
        <f ca="1">VLOOKUP($A363,'Price setting'!$E$488:$O$506,COLUMN()-1,FALSE)</f>
        <v>1.035303055917161</v>
      </c>
    </row>
    <row r="364" spans="1:12">
      <c r="A364" s="60" t="str">
        <f>+A363</f>
        <v>SEW</v>
      </c>
      <c r="B364" s="355" t="s">
        <v>170</v>
      </c>
      <c r="C364" s="59" t="s">
        <v>67</v>
      </c>
      <c r="D364" s="170" t="s">
        <v>171</v>
      </c>
      <c r="E364" s="169" t="s">
        <v>182</v>
      </c>
      <c r="F364" s="320">
        <f>+Input!$H$441</f>
        <v>1.3</v>
      </c>
      <c r="G364" s="321">
        <f>+Input!$H$441</f>
        <v>1.3</v>
      </c>
      <c r="H364" s="321">
        <f>+Input!$H$441</f>
        <v>1.3</v>
      </c>
      <c r="I364" s="321">
        <f>+Input!$H$441</f>
        <v>1.3</v>
      </c>
      <c r="J364" s="321">
        <f>+Input!$H$441</f>
        <v>1.3</v>
      </c>
      <c r="K364" s="321">
        <f>+Input!$H$441</f>
        <v>1.3</v>
      </c>
      <c r="L364" s="322">
        <f>+Input!$H$441</f>
        <v>1.3</v>
      </c>
    </row>
    <row r="365" spans="1:12">
      <c r="A365" s="60" t="str">
        <f t="shared" ref="A365:A377" si="15">+A364</f>
        <v>SEW</v>
      </c>
      <c r="B365" s="355" t="s">
        <v>194</v>
      </c>
      <c r="C365" s="59" t="s">
        <v>185</v>
      </c>
      <c r="D365" s="168" t="s">
        <v>75</v>
      </c>
      <c r="E365" s="169" t="s">
        <v>182</v>
      </c>
      <c r="F365" s="316">
        <f ca="1">VLOOKUP(A365,'Price setting'!$E$89:$I$106,COLUMN()-1,FALSE)</f>
        <v>20.314845320690331</v>
      </c>
      <c r="G365" s="317"/>
      <c r="H365" s="317"/>
      <c r="I365" s="317"/>
      <c r="J365" s="317"/>
      <c r="K365" s="317"/>
      <c r="L365" s="323"/>
    </row>
    <row r="366" spans="1:12">
      <c r="A366" s="60" t="str">
        <f t="shared" si="15"/>
        <v>SEW</v>
      </c>
      <c r="B366" s="355" t="s">
        <v>195</v>
      </c>
      <c r="C366" s="59" t="s">
        <v>186</v>
      </c>
      <c r="D366" s="168" t="s">
        <v>75</v>
      </c>
      <c r="E366" s="169" t="s">
        <v>182</v>
      </c>
      <c r="F366" s="316">
        <f ca="1">VLOOKUP(A366,'Price setting'!E$254:I$271,COLUMN()-1,FALSE)+VLOOKUP(A365,'Price setting'!$E$89:$I$106,COLUMN()-1,FALSE)</f>
        <v>27.373658285461861</v>
      </c>
      <c r="G366" s="317"/>
      <c r="H366" s="317"/>
      <c r="I366" s="317"/>
      <c r="J366" s="317"/>
      <c r="K366" s="317"/>
      <c r="L366" s="323"/>
    </row>
    <row r="367" spans="1:12">
      <c r="A367" s="60" t="str">
        <f t="shared" si="15"/>
        <v>SEW</v>
      </c>
      <c r="B367" s="355" t="s">
        <v>196</v>
      </c>
      <c r="C367" s="59" t="s">
        <v>187</v>
      </c>
      <c r="D367" s="168" t="s">
        <v>75</v>
      </c>
      <c r="E367" s="169" t="s">
        <v>182</v>
      </c>
      <c r="F367" s="316">
        <f ca="1">VLOOKUP(A367,'Price setting'!E$319:I$336,COLUMN()-1,FALSE)+VLOOKUP(A365,'Price setting'!$E$89:$I$106,COLUMN()-1,FALSE)</f>
        <v>20.314845320690331</v>
      </c>
      <c r="G367" s="317"/>
      <c r="H367" s="317"/>
      <c r="I367" s="317"/>
      <c r="J367" s="317"/>
      <c r="K367" s="317"/>
      <c r="L367" s="323"/>
    </row>
    <row r="368" spans="1:12">
      <c r="A368" s="60" t="str">
        <f t="shared" si="15"/>
        <v>SEW</v>
      </c>
      <c r="B368" s="355" t="s">
        <v>197</v>
      </c>
      <c r="C368" s="59" t="s">
        <v>188</v>
      </c>
      <c r="D368" s="168" t="s">
        <v>75</v>
      </c>
      <c r="E368" s="169" t="s">
        <v>182</v>
      </c>
      <c r="F368" s="316">
        <f ca="1">(VLOOKUP(A368,'Price setting'!E$384:I$401,COLUMN()-1,FALSE)+VLOOKUP(A365,'Price setting'!$E$89:$I$106,COLUMN()-1,FALSE))*+Input!$H$441</f>
        <v>26.409298916897431</v>
      </c>
      <c r="G368" s="317"/>
      <c r="H368" s="317"/>
      <c r="I368" s="317"/>
      <c r="J368" s="317"/>
      <c r="K368" s="317"/>
      <c r="L368" s="323"/>
    </row>
    <row r="369" spans="1:12">
      <c r="A369" s="60" t="str">
        <f t="shared" si="15"/>
        <v>SEW</v>
      </c>
      <c r="B369" s="355" t="s">
        <v>198</v>
      </c>
      <c r="C369" s="59" t="s">
        <v>189</v>
      </c>
      <c r="D369" s="168" t="s">
        <v>75</v>
      </c>
      <c r="E369" s="169" t="s">
        <v>182</v>
      </c>
      <c r="F369" s="316">
        <f ca="1">VLOOKUP(A369,'Price setting'!E$89:I$106,COLUMN()-1,FALSE)*+Input!$H$441</f>
        <v>26.409298916897431</v>
      </c>
      <c r="G369" s="317"/>
      <c r="H369" s="317"/>
      <c r="I369" s="317"/>
      <c r="J369" s="317"/>
      <c r="K369" s="317"/>
      <c r="L369" s="323"/>
    </row>
    <row r="370" spans="1:12" s="53" customFormat="1">
      <c r="A370" s="60" t="str">
        <f t="shared" si="15"/>
        <v>SEW</v>
      </c>
      <c r="B370" s="356" t="s">
        <v>204</v>
      </c>
      <c r="C370" s="59" t="s">
        <v>203</v>
      </c>
      <c r="D370" s="168" t="s">
        <v>75</v>
      </c>
      <c r="E370" s="169" t="s">
        <v>182</v>
      </c>
      <c r="F370" s="316"/>
      <c r="G370" s="317"/>
      <c r="H370" s="317">
        <f ca="1">VLOOKUP($A370,'Price setting'!$E$213:$O$230,COLUMN()-1,FALSE)</f>
        <v>17.540013782450526</v>
      </c>
      <c r="I370" s="317">
        <f ca="1">VLOOKUP($A370,'Price setting'!$E$213:$O$230,COLUMN()-1,FALSE)</f>
        <v>17.872106389686355</v>
      </c>
      <c r="J370" s="317">
        <f ca="1">VLOOKUP($A370,'Price setting'!$E$213:$O$230,COLUMN()-1,FALSE)</f>
        <v>18.207499860843885</v>
      </c>
      <c r="K370" s="317">
        <f ca="1">VLOOKUP($A370,'Price setting'!$E$213:$O$230,COLUMN()-1,FALSE)</f>
        <v>18.451807767796382</v>
      </c>
      <c r="L370" s="323">
        <f ca="1">VLOOKUP($A370,'Price setting'!$E$213:$O$230,COLUMN()-1,FALSE)</f>
        <v>18.707368285865577</v>
      </c>
    </row>
    <row r="371" spans="1:12">
      <c r="A371" s="60" t="str">
        <f t="shared" si="15"/>
        <v>SEW</v>
      </c>
      <c r="B371" s="355" t="s">
        <v>199</v>
      </c>
      <c r="C371" s="59" t="s">
        <v>190</v>
      </c>
      <c r="D371" s="168" t="s">
        <v>75</v>
      </c>
      <c r="E371" s="169" t="s">
        <v>182</v>
      </c>
      <c r="F371" s="316"/>
      <c r="G371" s="317"/>
      <c r="H371" s="317">
        <f ca="1">VLOOKUP($A370,'Price setting'!$E$213:$O$230,COLUMN()-1,FALSE)*+Input!$H$441</f>
        <v>22.802017917185683</v>
      </c>
      <c r="I371" s="317">
        <f ca="1">VLOOKUP($A370,'Price setting'!$E$213:$O$230,COLUMN()-1,FALSE)*+Input!$H$441</f>
        <v>23.233738306592262</v>
      </c>
      <c r="J371" s="317">
        <f ca="1">VLOOKUP($A370,'Price setting'!$E$213:$O$230,COLUMN()-1,FALSE)*+Input!$H$441</f>
        <v>23.669749819097053</v>
      </c>
      <c r="K371" s="317">
        <f ca="1">VLOOKUP($A370,'Price setting'!$E$213:$O$230,COLUMN()-1,FALSE)*+Input!$H$441</f>
        <v>23.987350098135298</v>
      </c>
      <c r="L371" s="323">
        <f ca="1">VLOOKUP($A370,'Price setting'!$E$213:$O$230,COLUMN()-1,FALSE)*+Input!$H$441</f>
        <v>24.319578771625253</v>
      </c>
    </row>
    <row r="372" spans="1:12">
      <c r="A372" s="60" t="str">
        <f t="shared" si="15"/>
        <v>SEW</v>
      </c>
      <c r="B372" s="355" t="s">
        <v>200</v>
      </c>
      <c r="C372" s="59" t="s">
        <v>191</v>
      </c>
      <c r="D372" s="168" t="s">
        <v>75</v>
      </c>
      <c r="E372" s="169" t="s">
        <v>182</v>
      </c>
      <c r="F372" s="316"/>
      <c r="G372" s="317"/>
      <c r="H372" s="317">
        <f ca="1">VLOOKUP($A372,'Price setting'!$E$278:$O$295,COLUMN()-1,FALSE)+VLOOKUP($A370,'Price setting'!$E$213:$O$230,COLUMN()-1,FALSE)</f>
        <v>24.281854003994813</v>
      </c>
      <c r="I372" s="317">
        <f ca="1">VLOOKUP($A372,'Price setting'!$E$278:$O$295,COLUMN()-1,FALSE)+VLOOKUP($A370,'Price setting'!$E$213:$O$230,COLUMN()-1,FALSE)</f>
        <v>24.296973868003398</v>
      </c>
      <c r="J372" s="317">
        <f ca="1">VLOOKUP($A372,'Price setting'!$E$278:$O$295,COLUMN()-1,FALSE)+VLOOKUP($A370,'Price setting'!$E$213:$O$230,COLUMN()-1,FALSE)</f>
        <v>24.315394595933689</v>
      </c>
      <c r="K372" s="317">
        <f ca="1">VLOOKUP($A372,'Price setting'!$E$278:$O$295,COLUMN()-1,FALSE)+VLOOKUP($A370,'Price setting'!$E$213:$O$230,COLUMN()-1,FALSE)</f>
        <v>24.242729759658943</v>
      </c>
      <c r="L372" s="323">
        <f ca="1">VLOOKUP($A372,'Price setting'!$E$278:$O$295,COLUMN()-1,FALSE)+VLOOKUP($A370,'Price setting'!$E$213:$O$230,COLUMN()-1,FALSE)</f>
        <v>24.498290277728138</v>
      </c>
    </row>
    <row r="373" spans="1:12">
      <c r="A373" s="60" t="str">
        <f t="shared" si="15"/>
        <v>SEW</v>
      </c>
      <c r="B373" s="355" t="s">
        <v>201</v>
      </c>
      <c r="C373" s="59" t="s">
        <v>192</v>
      </c>
      <c r="D373" s="168" t="s">
        <v>75</v>
      </c>
      <c r="E373" s="169" t="s">
        <v>182</v>
      </c>
      <c r="F373" s="316"/>
      <c r="G373" s="317"/>
      <c r="H373" s="317">
        <f ca="1">VLOOKUP($A373,'Price setting'!$E$343:$O$360,COLUMN()-1,FALSE)+VLOOKUP($A370,'Price setting'!$E$213:$O$230,COLUMN()-1,FALSE)</f>
        <v>17.540013782450526</v>
      </c>
      <c r="I373" s="317">
        <f ca="1">VLOOKUP($A373,'Price setting'!$E$343:$O$360,COLUMN()-1,FALSE)+VLOOKUP($A370,'Price setting'!$E$213:$O$230,COLUMN()-1,FALSE)</f>
        <v>17.872106389686355</v>
      </c>
      <c r="J373" s="317">
        <f ca="1">VLOOKUP($A373,'Price setting'!$E$343:$O$360,COLUMN()-1,FALSE)+VLOOKUP($A370,'Price setting'!$E$213:$O$230,COLUMN()-1,FALSE)</f>
        <v>18.207499860843885</v>
      </c>
      <c r="K373" s="317">
        <f ca="1">VLOOKUP($A373,'Price setting'!$E$343:$O$360,COLUMN()-1,FALSE)+VLOOKUP($A370,'Price setting'!$E$213:$O$230,COLUMN()-1,FALSE)</f>
        <v>18.451807767796382</v>
      </c>
      <c r="L373" s="323">
        <f ca="1">VLOOKUP($A373,'Price setting'!$E$343:$O$360,COLUMN()-1,FALSE)+VLOOKUP($A370,'Price setting'!$E$213:$O$230,COLUMN()-1,FALSE)</f>
        <v>18.707368285865577</v>
      </c>
    </row>
    <row r="374" spans="1:12">
      <c r="A374" s="60" t="str">
        <f t="shared" si="15"/>
        <v>SEW</v>
      </c>
      <c r="B374" s="355" t="s">
        <v>202</v>
      </c>
      <c r="C374" s="59" t="s">
        <v>193</v>
      </c>
      <c r="D374" s="168" t="s">
        <v>75</v>
      </c>
      <c r="E374" s="169" t="s">
        <v>182</v>
      </c>
      <c r="F374" s="316"/>
      <c r="G374" s="317"/>
      <c r="H374" s="317">
        <f ca="1">(VLOOKUP($A374,'Price setting'!$E$408:$O$425,COLUMN()-1,FALSE)+VLOOKUP($A370,'Price setting'!$E$213:$O$230,COLUMN()-1,FALSE))*+Input!$H$441</f>
        <v>22.802017917185683</v>
      </c>
      <c r="I374" s="317">
        <f ca="1">(VLOOKUP($A374,'Price setting'!$E$408:$O$425,COLUMN()-1,FALSE)+VLOOKUP($A370,'Price setting'!$E$213:$O$230,COLUMN()-1,FALSE))*+Input!$H$441</f>
        <v>23.233738306592262</v>
      </c>
      <c r="J374" s="317">
        <f ca="1">(VLOOKUP($A374,'Price setting'!$E$408:$O$425,COLUMN()-1,FALSE)+VLOOKUP($A370,'Price setting'!$E$213:$O$230,COLUMN()-1,FALSE))*+Input!$H$441</f>
        <v>23.669749819097053</v>
      </c>
      <c r="K374" s="317">
        <f ca="1">(VLOOKUP($A374,'Price setting'!$E$408:$O$425,COLUMN()-1,FALSE)+VLOOKUP($A370,'Price setting'!$E$213:$O$230,COLUMN()-1,FALSE))*+Input!$H$441</f>
        <v>23.987350098135298</v>
      </c>
      <c r="L374" s="323">
        <f ca="1">(VLOOKUP($A374,'Price setting'!$E$408:$O$425,COLUMN()-1,FALSE)+VLOOKUP($A370,'Price setting'!$E$213:$O$230,COLUMN()-1,FALSE))*+Input!$H$441</f>
        <v>24.319578771625253</v>
      </c>
    </row>
    <row r="375" spans="1:12">
      <c r="A375" s="60" t="str">
        <f>+A374</f>
        <v>SEW</v>
      </c>
      <c r="B375" s="355" t="s">
        <v>208</v>
      </c>
      <c r="C375" s="59" t="s">
        <v>205</v>
      </c>
      <c r="D375" s="168" t="s">
        <v>75</v>
      </c>
      <c r="E375" s="169" t="s">
        <v>182</v>
      </c>
      <c r="F375" s="262">
        <f ca="1">VLOOKUP($A375,'Price setting'!$E$49:$I$66,COLUMN()-1,FALSE)</f>
        <v>0</v>
      </c>
      <c r="G375" s="263"/>
      <c r="H375" s="263"/>
      <c r="I375" s="263"/>
      <c r="J375" s="263"/>
      <c r="K375" s="263"/>
      <c r="L375" s="264"/>
    </row>
    <row r="376" spans="1:12">
      <c r="A376" s="60" t="str">
        <f t="shared" si="15"/>
        <v>SEW</v>
      </c>
      <c r="B376" s="355" t="s">
        <v>206</v>
      </c>
      <c r="C376" s="59" t="s">
        <v>132</v>
      </c>
      <c r="D376" s="168" t="s">
        <v>74</v>
      </c>
      <c r="E376" s="169" t="s">
        <v>182</v>
      </c>
      <c r="F376" s="262">
        <f ca="1">'Used inputs'!I244</f>
        <v>18.679836401278951</v>
      </c>
      <c r="G376" s="263">
        <f>'Used inputs'!J244</f>
        <v>19.497645539284147</v>
      </c>
      <c r="H376" s="263">
        <f ca="1">'Used inputs'!K244</f>
        <v>18.163730243838572</v>
      </c>
      <c r="I376" s="263">
        <f ca="1">'Used inputs'!L244</f>
        <v>18.640890270985789</v>
      </c>
      <c r="J376" s="263">
        <f ca="1">'Used inputs'!M244</f>
        <v>19.118950042975023</v>
      </c>
      <c r="K376" s="263">
        <f ca="1">'Used inputs'!N244</f>
        <v>19.578353230048798</v>
      </c>
      <c r="L376" s="264">
        <f ca="1">'Used inputs'!O244</f>
        <v>20.033135626986198</v>
      </c>
    </row>
    <row r="377" spans="1:12">
      <c r="A377" s="60" t="str">
        <f t="shared" si="15"/>
        <v>SEW</v>
      </c>
      <c r="B377" s="355" t="s">
        <v>207</v>
      </c>
      <c r="C377" s="59" t="s">
        <v>157</v>
      </c>
      <c r="D377" s="168" t="s">
        <v>74</v>
      </c>
      <c r="E377" s="169" t="s">
        <v>182</v>
      </c>
      <c r="F377" s="262">
        <f>'Used inputs'!I257</f>
        <v>0.66463567317189476</v>
      </c>
      <c r="G377" s="263">
        <f>'Used inputs'!J257</f>
        <v>1.0800148354688801</v>
      </c>
      <c r="H377" s="263">
        <f>'Used inputs'!K257</f>
        <v>0.61540495289025654</v>
      </c>
      <c r="I377" s="263">
        <f>'Used inputs'!L257</f>
        <v>0.61540495289025654</v>
      </c>
      <c r="J377" s="263">
        <f>'Used inputs'!M257</f>
        <v>0.61540495289025654</v>
      </c>
      <c r="K377" s="263">
        <f>'Used inputs'!N257</f>
        <v>0.61540495289025654</v>
      </c>
      <c r="L377" s="264">
        <f>'Used inputs'!O257</f>
        <v>0.61540495289025654</v>
      </c>
    </row>
    <row r="378" spans="1:12">
      <c r="A378" s="60" t="s">
        <v>59</v>
      </c>
      <c r="B378" s="355" t="s">
        <v>162</v>
      </c>
      <c r="C378" s="59" t="s">
        <v>175</v>
      </c>
      <c r="D378" s="169" t="s">
        <v>74</v>
      </c>
      <c r="E378" s="169" t="s">
        <v>182</v>
      </c>
      <c r="F378" s="262">
        <f>VLOOKUP($A378,'Price setting'!$E$448:$O$466,COLUMN()-1,FALSE)</f>
        <v>0</v>
      </c>
      <c r="G378" s="263">
        <f>VLOOKUP($A378,'Price setting'!$E$448:$O$466,COLUMN()-1,FALSE)</f>
        <v>0</v>
      </c>
      <c r="H378" s="263">
        <f ca="1">VLOOKUP($A378,'Price setting'!$E$448:$O$466,COLUMN()-1,FALSE)</f>
        <v>5.3633825069840837</v>
      </c>
      <c r="I378" s="263">
        <f ca="1">VLOOKUP($A378,'Price setting'!$E$448:$O$466,COLUMN()-1,FALSE)</f>
        <v>5.4207342540642713</v>
      </c>
      <c r="J378" s="263">
        <f ca="1">VLOOKUP($A378,'Price setting'!$E$448:$O$466,COLUMN()-1,FALSE)</f>
        <v>5.6254955260018109</v>
      </c>
      <c r="K378" s="263">
        <f ca="1">VLOOKUP($A378,'Price setting'!$E$448:$O$466,COLUMN()-1,FALSE)</f>
        <v>5.6000588225662584</v>
      </c>
      <c r="L378" s="264">
        <f ca="1">VLOOKUP($A378,'Price setting'!$E$448:$O$466,COLUMN()-1,FALSE)</f>
        <v>5.5872312932757895</v>
      </c>
    </row>
    <row r="379" spans="1:12">
      <c r="A379" s="60" t="s">
        <v>59</v>
      </c>
      <c r="B379" s="355" t="s">
        <v>163</v>
      </c>
      <c r="C379" s="59" t="s">
        <v>118</v>
      </c>
      <c r="D379" s="168" t="s">
        <v>75</v>
      </c>
      <c r="E379" s="169" t="s">
        <v>182</v>
      </c>
      <c r="F379" s="316">
        <f>VLOOKUP($A379,'Price setting'!$E$213:$O$231,COLUMN()-1,FALSE)</f>
        <v>0</v>
      </c>
      <c r="G379" s="317">
        <f>VLOOKUP($A379,'Price setting'!$E$213:$O$231,COLUMN()-1,FALSE)</f>
        <v>0</v>
      </c>
      <c r="H379" s="317">
        <f ca="1">VLOOKUP($A379,'Price setting'!$E$213:$O$231,COLUMN()-1,FALSE)</f>
        <v>16.697783053108463</v>
      </c>
      <c r="I379" s="317">
        <f ca="1">VLOOKUP($A379,'Price setting'!$E$213:$O$231,COLUMN()-1,FALSE)</f>
        <v>16.646896864935314</v>
      </c>
      <c r="J379" s="317">
        <f ca="1">VLOOKUP($A379,'Price setting'!$E$213:$O$231,COLUMN()-1,FALSE)</f>
        <v>17.314703097533688</v>
      </c>
      <c r="K379" s="317">
        <f ca="1">VLOOKUP($A379,'Price setting'!$E$213:$O$231,COLUMN()-1,FALSE)</f>
        <v>17.170242134175563</v>
      </c>
      <c r="L379" s="323">
        <f ca="1">VLOOKUP($A379,'Price setting'!$E$213:$O$231,COLUMN()-1,FALSE)</f>
        <v>16.787115070806564</v>
      </c>
    </row>
    <row r="380" spans="1:12">
      <c r="A380" s="60" t="s">
        <v>59</v>
      </c>
      <c r="B380" s="355" t="s">
        <v>164</v>
      </c>
      <c r="C380" s="59" t="s">
        <v>119</v>
      </c>
      <c r="D380" s="168" t="s">
        <v>75</v>
      </c>
      <c r="E380" s="169" t="s">
        <v>182</v>
      </c>
      <c r="F380" s="316">
        <f>VLOOKUP($A380,'Price setting'!$E$278:$O$296,COLUMN()-1,FALSE)+VLOOKUP($A379,'Price setting'!$E$213:$O$231,COLUMN()-1,FALSE)</f>
        <v>0</v>
      </c>
      <c r="G380" s="317">
        <f>VLOOKUP($A380,'Price setting'!$E$278:$O$296,COLUMN()-1,FALSE)+VLOOKUP($A379,'Price setting'!$E$213:$O$231,COLUMN()-1,FALSE)</f>
        <v>0</v>
      </c>
      <c r="H380" s="317">
        <f ca="1">VLOOKUP($A380,'Price setting'!$E$278:$O$296,COLUMN()-1,FALSE)+VLOOKUP($A379,'Price setting'!$E$213:$O$231,COLUMN()-1,FALSE)</f>
        <v>23.762753124384925</v>
      </c>
      <c r="I380" s="317">
        <f ca="1">VLOOKUP($A380,'Price setting'!$E$278:$O$296,COLUMN()-1,FALSE)+VLOOKUP($A379,'Price setting'!$E$213:$O$231,COLUMN()-1,FALSE)</f>
        <v>23.484261705650496</v>
      </c>
      <c r="J380" s="317">
        <f ca="1">VLOOKUP($A380,'Price setting'!$E$278:$O$296,COLUMN()-1,FALSE)+VLOOKUP($A379,'Price setting'!$E$213:$O$231,COLUMN()-1,FALSE)</f>
        <v>23.641464269016158</v>
      </c>
      <c r="K380" s="317">
        <f ca="1">VLOOKUP($A380,'Price setting'!$E$278:$O$296,COLUMN()-1,FALSE)+VLOOKUP($A379,'Price setting'!$E$213:$O$231,COLUMN()-1,FALSE)</f>
        <v>22.961164126038124</v>
      </c>
      <c r="L380" s="323">
        <f ca="1">VLOOKUP($A380,'Price setting'!$E$278:$O$296,COLUMN()-1,FALSE)+VLOOKUP($A379,'Price setting'!$E$213:$O$231,COLUMN()-1,FALSE)</f>
        <v>22.578037062669125</v>
      </c>
    </row>
    <row r="381" spans="1:12">
      <c r="A381" s="60" t="s">
        <v>59</v>
      </c>
      <c r="B381" s="355" t="s">
        <v>165</v>
      </c>
      <c r="C381" s="59" t="s">
        <v>120</v>
      </c>
      <c r="D381" s="168" t="s">
        <v>75</v>
      </c>
      <c r="E381" s="169" t="s">
        <v>182</v>
      </c>
      <c r="F381" s="316">
        <f>VLOOKUP($A381,'Price setting'!$E$343:$O$361,COLUMN()-1,FALSE)+VLOOKUP($A379,'Price setting'!$E$213:$O$231,COLUMN()-1,FALSE)</f>
        <v>0</v>
      </c>
      <c r="G381" s="317">
        <f>VLOOKUP($A381,'Price setting'!$E$343:$O$361,COLUMN()-1,FALSE)+VLOOKUP($A379,'Price setting'!$E$213:$O$231,COLUMN()-1,FALSE)</f>
        <v>0</v>
      </c>
      <c r="H381" s="317">
        <f ca="1">VLOOKUP($A381,'Price setting'!$E$343:$O$361,COLUMN()-1,FALSE)+VLOOKUP($A379,'Price setting'!$E$213:$O$231,COLUMN()-1,FALSE)</f>
        <v>16.697783053108463</v>
      </c>
      <c r="I381" s="317">
        <f ca="1">VLOOKUP($A381,'Price setting'!$E$343:$O$361,COLUMN()-1,FALSE)+VLOOKUP($A379,'Price setting'!$E$213:$O$231,COLUMN()-1,FALSE)</f>
        <v>16.646896864935314</v>
      </c>
      <c r="J381" s="317">
        <f ca="1">VLOOKUP($A381,'Price setting'!$E$343:$O$361,COLUMN()-1,FALSE)+VLOOKUP($A379,'Price setting'!$E$213:$O$231,COLUMN()-1,FALSE)</f>
        <v>17.314703097533688</v>
      </c>
      <c r="K381" s="317">
        <f ca="1">VLOOKUP($A381,'Price setting'!$E$343:$O$361,COLUMN()-1,FALSE)+VLOOKUP($A379,'Price setting'!$E$213:$O$231,COLUMN()-1,FALSE)</f>
        <v>17.170242134175563</v>
      </c>
      <c r="L381" s="323">
        <f ca="1">VLOOKUP($A381,'Price setting'!$E$343:$O$361,COLUMN()-1,FALSE)+VLOOKUP($A379,'Price setting'!$E$213:$O$231,COLUMN()-1,FALSE)</f>
        <v>16.787115070806564</v>
      </c>
    </row>
    <row r="382" spans="1:12">
      <c r="A382" s="60" t="s">
        <v>59</v>
      </c>
      <c r="B382" s="355" t="s">
        <v>166</v>
      </c>
      <c r="C382" s="59" t="s">
        <v>124</v>
      </c>
      <c r="D382" s="168" t="s">
        <v>75</v>
      </c>
      <c r="E382" s="169" t="s">
        <v>182</v>
      </c>
      <c r="F382" s="316">
        <f>VLOOKUP($A382,'Price setting'!$E$408:$O$426,COLUMN()-1,FALSE)+VLOOKUP($A379,'Price setting'!$E$213:$O$231,COLUMN()-1,FALSE)</f>
        <v>0</v>
      </c>
      <c r="G382" s="317">
        <f>VLOOKUP($A382,'Price setting'!$E$408:$O$426,COLUMN()-1,FALSE)+VLOOKUP($A379,'Price setting'!$E$213:$O$231,COLUMN()-1,FALSE)</f>
        <v>0</v>
      </c>
      <c r="H382" s="317">
        <f ca="1">VLOOKUP($A382,'Price setting'!$E$408:$O$426,COLUMN()-1,FALSE)+VLOOKUP($A379,'Price setting'!$E$213:$O$231,COLUMN()-1,FALSE)</f>
        <v>16.697783053108463</v>
      </c>
      <c r="I382" s="317">
        <f ca="1">VLOOKUP($A382,'Price setting'!$E$408:$O$426,COLUMN()-1,FALSE)+VLOOKUP($A379,'Price setting'!$E$213:$O$231,COLUMN()-1,FALSE)</f>
        <v>16.646896864935314</v>
      </c>
      <c r="J382" s="317">
        <f ca="1">VLOOKUP($A382,'Price setting'!$E$408:$O$426,COLUMN()-1,FALSE)+VLOOKUP($A379,'Price setting'!$E$213:$O$231,COLUMN()-1,FALSE)</f>
        <v>17.314703097533688</v>
      </c>
      <c r="K382" s="317">
        <f ca="1">VLOOKUP($A382,'Price setting'!$E$408:$O$426,COLUMN()-1,FALSE)+VLOOKUP($A379,'Price setting'!$E$213:$O$231,COLUMN()-1,FALSE)</f>
        <v>17.170242134175563</v>
      </c>
      <c r="L382" s="323">
        <f ca="1">VLOOKUP($A382,'Price setting'!$E$408:$O$426,COLUMN()-1,FALSE)+VLOOKUP($A379,'Price setting'!$E$213:$O$231,COLUMN()-1,FALSE)</f>
        <v>16.787115070806564</v>
      </c>
    </row>
    <row r="383" spans="1:12">
      <c r="A383" s="60" t="s">
        <v>59</v>
      </c>
      <c r="B383" s="355" t="s">
        <v>167</v>
      </c>
      <c r="C383" s="59" t="s">
        <v>122</v>
      </c>
      <c r="D383" s="170" t="s">
        <v>88</v>
      </c>
      <c r="E383" s="169" t="s">
        <v>182</v>
      </c>
      <c r="F383" s="262">
        <f>INDEX(SES,ROW(Input!B$23)-5,COLUMN()+1)*Input!$H$441</f>
        <v>0</v>
      </c>
      <c r="G383" s="263">
        <f>INDEX(SES,ROW(Input!C$23)-5,COLUMN()+1)*Input!$H$441</f>
        <v>0</v>
      </c>
      <c r="H383" s="263">
        <f>INDEX(SES,ROW(Input!D$23)-5,COLUMN()+1)*Input!$H$441</f>
        <v>0</v>
      </c>
      <c r="I383" s="263">
        <f>INDEX(SES,ROW(Input!E$23)-5,COLUMN()+1)*Input!$H$441</f>
        <v>0</v>
      </c>
      <c r="J383" s="263">
        <f>INDEX(SES,ROW(Input!F$23)-5,COLUMN()+1)*Input!$H$441</f>
        <v>0</v>
      </c>
      <c r="K383" s="263">
        <f>INDEX(SES,ROW(Input!G$23)-5,COLUMN()+1)*Input!$H$441</f>
        <v>0</v>
      </c>
      <c r="L383" s="264">
        <f>INDEX(SES,ROW(Input!H$23)-5,COLUMN()+1)*Input!$H$441</f>
        <v>0</v>
      </c>
    </row>
    <row r="384" spans="1:12" s="53" customFormat="1">
      <c r="A384" s="60" t="s">
        <v>59</v>
      </c>
      <c r="B384" s="355" t="s">
        <v>168</v>
      </c>
      <c r="C384" s="59" t="s">
        <v>123</v>
      </c>
      <c r="D384" s="170" t="s">
        <v>88</v>
      </c>
      <c r="E384" s="169" t="s">
        <v>182</v>
      </c>
      <c r="F384" s="262">
        <f>+INDEX(SES,ROW(Input!B$24)-5,COLUMN()+1)*Input!$H$441</f>
        <v>0</v>
      </c>
      <c r="G384" s="263">
        <f>+INDEX(SES,ROW(Input!C$24)-5,COLUMN()+1)*Input!$H$441</f>
        <v>0</v>
      </c>
      <c r="H384" s="263">
        <f>+INDEX(SES,ROW(Input!D$24)-5,COLUMN()+1)*Input!$H$441</f>
        <v>0</v>
      </c>
      <c r="I384" s="263">
        <f>+INDEX(SES,ROW(Input!E$24)-5,COLUMN()+1)*Input!$H$441</f>
        <v>0</v>
      </c>
      <c r="J384" s="263">
        <f>+INDEX(SES,ROW(Input!F$24)-5,COLUMN()+1)*Input!$H$441</f>
        <v>0</v>
      </c>
      <c r="K384" s="263">
        <f>+INDEX(SES,ROW(Input!G$24)-5,COLUMN()+1)*Input!$H$441</f>
        <v>0</v>
      </c>
      <c r="L384" s="264">
        <f>+INDEX(SES,ROW(Input!H$24)-5,COLUMN()+1)*Input!$H$441</f>
        <v>0</v>
      </c>
    </row>
    <row r="385" spans="1:12">
      <c r="A385" s="60" t="s">
        <v>59</v>
      </c>
      <c r="B385" s="355" t="s">
        <v>169</v>
      </c>
      <c r="C385" s="59" t="s">
        <v>139</v>
      </c>
      <c r="D385" s="170" t="s">
        <v>74</v>
      </c>
      <c r="E385" s="169" t="s">
        <v>182</v>
      </c>
      <c r="F385" s="262">
        <f>VLOOKUP($A385,'Price setting'!$E$488:$O$506,COLUMN()-1,FALSE)</f>
        <v>0</v>
      </c>
      <c r="G385" s="263">
        <f>VLOOKUP($A385,'Price setting'!$E$488:$O$506,COLUMN()-1,FALSE)</f>
        <v>0</v>
      </c>
      <c r="H385" s="263">
        <f ca="1">VLOOKUP($A385,'Price setting'!$E$488:$O$506,COLUMN()-1,FALSE)</f>
        <v>3.5604448244935687E-2</v>
      </c>
      <c r="I385" s="263">
        <f ca="1">VLOOKUP($A385,'Price setting'!$E$488:$O$506,COLUMN()-1,FALSE)</f>
        <v>0.10136076095502136</v>
      </c>
      <c r="J385" s="263">
        <f ca="1">VLOOKUP($A385,'Price setting'!$E$488:$O$506,COLUMN()-1,FALSE)</f>
        <v>0.15435396596928677</v>
      </c>
      <c r="K385" s="263">
        <f ca="1">VLOOKUP($A385,'Price setting'!$E$488:$O$506,COLUMN()-1,FALSE)</f>
        <v>0.19612500084565174</v>
      </c>
      <c r="L385" s="264">
        <f ca="1">VLOOKUP($A385,'Price setting'!$E$488:$O$506,COLUMN()-1,FALSE)</f>
        <v>0.23011832411120292</v>
      </c>
    </row>
    <row r="386" spans="1:12">
      <c r="A386" s="60" t="str">
        <f>+A385</f>
        <v>SES</v>
      </c>
      <c r="B386" s="355" t="s">
        <v>170</v>
      </c>
      <c r="C386" s="59" t="s">
        <v>67</v>
      </c>
      <c r="D386" s="170" t="s">
        <v>171</v>
      </c>
      <c r="E386" s="169" t="s">
        <v>182</v>
      </c>
      <c r="F386" s="320">
        <f>+Input!$H$441</f>
        <v>1.3</v>
      </c>
      <c r="G386" s="321">
        <f>+Input!$H$441</f>
        <v>1.3</v>
      </c>
      <c r="H386" s="321">
        <f>+Input!$H$441</f>
        <v>1.3</v>
      </c>
      <c r="I386" s="321">
        <f>+Input!$H$441</f>
        <v>1.3</v>
      </c>
      <c r="J386" s="321">
        <f>+Input!$H$441</f>
        <v>1.3</v>
      </c>
      <c r="K386" s="321">
        <f>+Input!$H$441</f>
        <v>1.3</v>
      </c>
      <c r="L386" s="322">
        <f>+Input!$H$441</f>
        <v>1.3</v>
      </c>
    </row>
    <row r="387" spans="1:12">
      <c r="A387" s="60" t="str">
        <f t="shared" ref="A387:A399" si="16">+A386</f>
        <v>SES</v>
      </c>
      <c r="B387" s="355" t="s">
        <v>194</v>
      </c>
      <c r="C387" s="59" t="s">
        <v>185</v>
      </c>
      <c r="D387" t="s">
        <v>75</v>
      </c>
      <c r="E387" s="169" t="s">
        <v>182</v>
      </c>
      <c r="F387" s="316">
        <f ca="1">VLOOKUP(A387,'Price setting'!$E$89:$I$106,COLUMN()-1,FALSE)</f>
        <v>19.668864165427895</v>
      </c>
      <c r="G387" s="317"/>
      <c r="H387" s="317"/>
      <c r="I387" s="317"/>
      <c r="J387" s="317"/>
      <c r="K387" s="317"/>
      <c r="L387" s="323"/>
    </row>
    <row r="388" spans="1:12">
      <c r="A388" s="60" t="str">
        <f t="shared" si="16"/>
        <v>SES</v>
      </c>
      <c r="B388" s="355" t="s">
        <v>195</v>
      </c>
      <c r="C388" s="59" t="s">
        <v>186</v>
      </c>
      <c r="D388" t="s">
        <v>75</v>
      </c>
      <c r="E388" s="169" t="s">
        <v>182</v>
      </c>
      <c r="F388" s="316">
        <f ca="1">VLOOKUP(A388,'Price setting'!E$254:I$271,COLUMN()-1,FALSE)+VLOOKUP(A387,'Price setting'!$E$89:$I$106,COLUMN()-1,FALSE)</f>
        <v>27.603142875770089</v>
      </c>
      <c r="G388" s="317"/>
      <c r="H388" s="317"/>
      <c r="I388" s="317"/>
      <c r="J388" s="317"/>
      <c r="K388" s="317"/>
      <c r="L388" s="323"/>
    </row>
    <row r="389" spans="1:12">
      <c r="A389" s="60" t="str">
        <f t="shared" si="16"/>
        <v>SES</v>
      </c>
      <c r="B389" s="355" t="s">
        <v>196</v>
      </c>
      <c r="C389" s="59" t="s">
        <v>187</v>
      </c>
      <c r="D389" t="s">
        <v>75</v>
      </c>
      <c r="E389" s="169" t="s">
        <v>182</v>
      </c>
      <c r="F389" s="316">
        <f ca="1">VLOOKUP(A389,'Price setting'!E$319:I$336,COLUMN()-1,FALSE)+VLOOKUP(A387,'Price setting'!$E$89:$I$106,COLUMN()-1,FALSE)</f>
        <v>19.668864165427895</v>
      </c>
      <c r="G389" s="317"/>
      <c r="H389" s="317"/>
      <c r="I389" s="317"/>
      <c r="J389" s="317"/>
      <c r="K389" s="317"/>
      <c r="L389" s="323"/>
    </row>
    <row r="390" spans="1:12">
      <c r="A390" s="60" t="str">
        <f t="shared" si="16"/>
        <v>SES</v>
      </c>
      <c r="B390" s="355" t="s">
        <v>197</v>
      </c>
      <c r="C390" s="59" t="s">
        <v>188</v>
      </c>
      <c r="D390" t="s">
        <v>75</v>
      </c>
      <c r="E390" s="169" t="s">
        <v>182</v>
      </c>
      <c r="F390" s="316">
        <f ca="1">(VLOOKUP(A390,'Price setting'!E$384:I$401,COLUMN()-1,FALSE)+VLOOKUP(A387,'Price setting'!$E$89:$I$106,COLUMN()-1,FALSE))*+Input!$H$441</f>
        <v>25.569523415056263</v>
      </c>
      <c r="G390" s="317"/>
      <c r="H390" s="317"/>
      <c r="I390" s="317"/>
      <c r="J390" s="317"/>
      <c r="K390" s="317"/>
      <c r="L390" s="323"/>
    </row>
    <row r="391" spans="1:12">
      <c r="A391" s="60" t="str">
        <f t="shared" si="16"/>
        <v>SES</v>
      </c>
      <c r="B391" s="355" t="s">
        <v>198</v>
      </c>
      <c r="C391" s="59" t="s">
        <v>189</v>
      </c>
      <c r="D391" t="s">
        <v>75</v>
      </c>
      <c r="E391" s="169" t="s">
        <v>182</v>
      </c>
      <c r="F391" s="316">
        <f ca="1">VLOOKUP(A391,'Price setting'!E$89:I$106,COLUMN()-1,FALSE)*+Input!$H$441</f>
        <v>25.569523415056263</v>
      </c>
      <c r="G391" s="317"/>
      <c r="H391" s="317"/>
      <c r="I391" s="317"/>
      <c r="J391" s="317"/>
      <c r="K391" s="317"/>
      <c r="L391" s="323"/>
    </row>
    <row r="392" spans="1:12" s="53" customFormat="1">
      <c r="A392" s="60" t="str">
        <f t="shared" si="16"/>
        <v>SES</v>
      </c>
      <c r="B392" s="356" t="s">
        <v>204</v>
      </c>
      <c r="C392" s="59" t="s">
        <v>203</v>
      </c>
      <c r="D392" s="168" t="s">
        <v>75</v>
      </c>
      <c r="E392" s="169" t="s">
        <v>182</v>
      </c>
      <c r="F392" s="316"/>
      <c r="G392" s="317"/>
      <c r="H392" s="317">
        <f ca="1">VLOOKUP($A392,'Price setting'!$E$213:$O$230,COLUMN()-1,FALSE)</f>
        <v>16.697783053108463</v>
      </c>
      <c r="I392" s="317">
        <f ca="1">VLOOKUP($A392,'Price setting'!$E$213:$O$230,COLUMN()-1,FALSE)</f>
        <v>16.646896864935314</v>
      </c>
      <c r="J392" s="317">
        <f ca="1">VLOOKUP($A392,'Price setting'!$E$213:$O$230,COLUMN()-1,FALSE)</f>
        <v>17.314703097533688</v>
      </c>
      <c r="K392" s="317">
        <f ca="1">VLOOKUP($A392,'Price setting'!$E$213:$O$230,COLUMN()-1,FALSE)</f>
        <v>17.170242134175563</v>
      </c>
      <c r="L392" s="323">
        <f ca="1">VLOOKUP($A392,'Price setting'!$E$213:$O$230,COLUMN()-1,FALSE)</f>
        <v>16.787115070806564</v>
      </c>
    </row>
    <row r="393" spans="1:12">
      <c r="A393" s="60" t="str">
        <f t="shared" si="16"/>
        <v>SES</v>
      </c>
      <c r="B393" s="355" t="s">
        <v>199</v>
      </c>
      <c r="C393" s="59" t="s">
        <v>190</v>
      </c>
      <c r="D393" t="s">
        <v>75</v>
      </c>
      <c r="E393" s="169" t="s">
        <v>182</v>
      </c>
      <c r="F393" s="316"/>
      <c r="G393" s="317"/>
      <c r="H393" s="317">
        <f ca="1">VLOOKUP($A392,'Price setting'!$E$213:$O$230,COLUMN()-1,FALSE)*+Input!$H$441</f>
        <v>21.707117969041004</v>
      </c>
      <c r="I393" s="317">
        <f ca="1">VLOOKUP($A392,'Price setting'!$E$213:$O$230,COLUMN()-1,FALSE)*+Input!$H$441</f>
        <v>21.640965924415909</v>
      </c>
      <c r="J393" s="317">
        <f ca="1">VLOOKUP($A392,'Price setting'!$E$213:$O$230,COLUMN()-1,FALSE)*+Input!$H$441</f>
        <v>22.509114026793796</v>
      </c>
      <c r="K393" s="317">
        <f ca="1">VLOOKUP($A392,'Price setting'!$E$213:$O$230,COLUMN()-1,FALSE)*+Input!$H$441</f>
        <v>22.321314774428235</v>
      </c>
      <c r="L393" s="323">
        <f ca="1">VLOOKUP($A392,'Price setting'!$E$213:$O$230,COLUMN()-1,FALSE)*+Input!$H$441</f>
        <v>21.823249592048533</v>
      </c>
    </row>
    <row r="394" spans="1:12">
      <c r="A394" s="60" t="str">
        <f t="shared" si="16"/>
        <v>SES</v>
      </c>
      <c r="B394" s="355" t="s">
        <v>200</v>
      </c>
      <c r="C394" s="59" t="s">
        <v>191</v>
      </c>
      <c r="D394" t="s">
        <v>75</v>
      </c>
      <c r="E394" s="169" t="s">
        <v>182</v>
      </c>
      <c r="F394" s="316"/>
      <c r="G394" s="317"/>
      <c r="H394" s="317">
        <f ca="1">VLOOKUP($A394,'Price setting'!$E$278:$O$295,COLUMN()-1,FALSE)+VLOOKUP($A392,'Price setting'!$E$213:$O$230,COLUMN()-1,FALSE)</f>
        <v>23.762753124384925</v>
      </c>
      <c r="I394" s="317">
        <f ca="1">VLOOKUP($A394,'Price setting'!$E$278:$O$295,COLUMN()-1,FALSE)+VLOOKUP($A392,'Price setting'!$E$213:$O$230,COLUMN()-1,FALSE)</f>
        <v>23.484261705650496</v>
      </c>
      <c r="J394" s="317">
        <f ca="1">VLOOKUP($A394,'Price setting'!$E$278:$O$295,COLUMN()-1,FALSE)+VLOOKUP($A392,'Price setting'!$E$213:$O$230,COLUMN()-1,FALSE)</f>
        <v>23.641464269016158</v>
      </c>
      <c r="K394" s="317">
        <f ca="1">VLOOKUP($A394,'Price setting'!$E$278:$O$295,COLUMN()-1,FALSE)+VLOOKUP($A392,'Price setting'!$E$213:$O$230,COLUMN()-1,FALSE)</f>
        <v>22.961164126038124</v>
      </c>
      <c r="L394" s="323">
        <f ca="1">VLOOKUP($A394,'Price setting'!$E$278:$O$295,COLUMN()-1,FALSE)+VLOOKUP($A392,'Price setting'!$E$213:$O$230,COLUMN()-1,FALSE)</f>
        <v>22.578037062669125</v>
      </c>
    </row>
    <row r="395" spans="1:12">
      <c r="A395" s="60" t="str">
        <f t="shared" si="16"/>
        <v>SES</v>
      </c>
      <c r="B395" s="355" t="s">
        <v>201</v>
      </c>
      <c r="C395" s="59" t="s">
        <v>192</v>
      </c>
      <c r="D395" t="s">
        <v>75</v>
      </c>
      <c r="E395" s="169" t="s">
        <v>182</v>
      </c>
      <c r="F395" s="316"/>
      <c r="G395" s="317"/>
      <c r="H395" s="317">
        <f ca="1">VLOOKUP($A395,'Price setting'!$E$343:$O$360,COLUMN()-1,FALSE)+VLOOKUP($A392,'Price setting'!$E$213:$O$230,COLUMN()-1,FALSE)</f>
        <v>16.697783053108463</v>
      </c>
      <c r="I395" s="317">
        <f ca="1">VLOOKUP($A395,'Price setting'!$E$343:$O$360,COLUMN()-1,FALSE)+VLOOKUP($A392,'Price setting'!$E$213:$O$230,COLUMN()-1,FALSE)</f>
        <v>16.646896864935314</v>
      </c>
      <c r="J395" s="317">
        <f ca="1">VLOOKUP($A395,'Price setting'!$E$343:$O$360,COLUMN()-1,FALSE)+VLOOKUP($A392,'Price setting'!$E$213:$O$230,COLUMN()-1,FALSE)</f>
        <v>17.314703097533688</v>
      </c>
      <c r="K395" s="317">
        <f ca="1">VLOOKUP($A395,'Price setting'!$E$343:$O$360,COLUMN()-1,FALSE)+VLOOKUP($A392,'Price setting'!$E$213:$O$230,COLUMN()-1,FALSE)</f>
        <v>17.170242134175563</v>
      </c>
      <c r="L395" s="323">
        <f ca="1">VLOOKUP($A395,'Price setting'!$E$343:$O$360,COLUMN()-1,FALSE)+VLOOKUP($A392,'Price setting'!$E$213:$O$230,COLUMN()-1,FALSE)</f>
        <v>16.787115070806564</v>
      </c>
    </row>
    <row r="396" spans="1:12">
      <c r="A396" s="60" t="str">
        <f t="shared" si="16"/>
        <v>SES</v>
      </c>
      <c r="B396" s="355" t="s">
        <v>202</v>
      </c>
      <c r="C396" s="59" t="s">
        <v>193</v>
      </c>
      <c r="D396" t="s">
        <v>75</v>
      </c>
      <c r="E396" s="169" t="s">
        <v>182</v>
      </c>
      <c r="F396" s="316"/>
      <c r="G396" s="317"/>
      <c r="H396" s="317">
        <f ca="1">(VLOOKUP($A396,'Price setting'!$E$408:$O$425,COLUMN()-1,FALSE)+VLOOKUP($A392,'Price setting'!$E$213:$O$230,COLUMN()-1,FALSE))*+Input!$H$441</f>
        <v>21.707117969041004</v>
      </c>
      <c r="I396" s="317">
        <f ca="1">(VLOOKUP($A396,'Price setting'!$E$408:$O$425,COLUMN()-1,FALSE)+VLOOKUP($A392,'Price setting'!$E$213:$O$230,COLUMN()-1,FALSE))*+Input!$H$441</f>
        <v>21.640965924415909</v>
      </c>
      <c r="J396" s="317">
        <f ca="1">(VLOOKUP($A396,'Price setting'!$E$408:$O$425,COLUMN()-1,FALSE)+VLOOKUP($A392,'Price setting'!$E$213:$O$230,COLUMN()-1,FALSE))*+Input!$H$441</f>
        <v>22.509114026793796</v>
      </c>
      <c r="K396" s="317">
        <f ca="1">(VLOOKUP($A396,'Price setting'!$E$408:$O$425,COLUMN()-1,FALSE)+VLOOKUP($A392,'Price setting'!$E$213:$O$230,COLUMN()-1,FALSE))*+Input!$H$441</f>
        <v>22.321314774428235</v>
      </c>
      <c r="L396" s="323">
        <f ca="1">(VLOOKUP($A396,'Price setting'!$E$408:$O$425,COLUMN()-1,FALSE)+VLOOKUP($A392,'Price setting'!$E$213:$O$230,COLUMN()-1,FALSE))*+Input!$H$441</f>
        <v>21.823249592048533</v>
      </c>
    </row>
    <row r="397" spans="1:12">
      <c r="A397" s="60" t="str">
        <f t="shared" si="16"/>
        <v>SES</v>
      </c>
      <c r="B397" s="355" t="s">
        <v>208</v>
      </c>
      <c r="C397" s="59" t="s">
        <v>205</v>
      </c>
      <c r="D397" s="168" t="s">
        <v>75</v>
      </c>
      <c r="E397" s="169" t="s">
        <v>182</v>
      </c>
      <c r="F397" s="262">
        <f ca="1">VLOOKUP($A397,'Price setting'!$E$49:$I$66,COLUMN()-1,FALSE)</f>
        <v>0</v>
      </c>
      <c r="G397" s="263"/>
      <c r="H397" s="263"/>
      <c r="I397" s="263"/>
      <c r="J397" s="263"/>
      <c r="K397" s="263"/>
      <c r="L397" s="264"/>
    </row>
    <row r="398" spans="1:12">
      <c r="A398" s="60" t="str">
        <f>+A396</f>
        <v>SES</v>
      </c>
      <c r="B398" s="355" t="s">
        <v>206</v>
      </c>
      <c r="C398" s="59" t="s">
        <v>132</v>
      </c>
      <c r="D398" s="168" t="s">
        <v>74</v>
      </c>
      <c r="E398" s="169" t="s">
        <v>182</v>
      </c>
      <c r="F398" s="324">
        <f ca="1">'Used inputs'!I259</f>
        <v>5.8034658510639314</v>
      </c>
      <c r="G398" s="325">
        <f>'Used inputs'!J259</f>
        <v>5.0400492850444847</v>
      </c>
      <c r="H398" s="325">
        <f ca="1">'Used inputs'!K259</f>
        <v>5.3196216657696533</v>
      </c>
      <c r="I398" s="325">
        <f ca="1">'Used inputs'!L259</f>
        <v>5.3112171001397552</v>
      </c>
      <c r="J398" s="325">
        <f ca="1">'Used inputs'!M259</f>
        <v>5.5365515696470426</v>
      </c>
      <c r="K398" s="325">
        <f ca="1">'Used inputs'!N259</f>
        <v>5.5260711389349373</v>
      </c>
      <c r="L398" s="326">
        <f ca="1">'Used inputs'!O259</f>
        <v>5.4856157798309786</v>
      </c>
    </row>
    <row r="399" spans="1:12">
      <c r="A399" s="60" t="str">
        <f t="shared" si="16"/>
        <v>SES</v>
      </c>
      <c r="B399" s="355" t="s">
        <v>207</v>
      </c>
      <c r="C399" s="59" t="s">
        <v>157</v>
      </c>
      <c r="D399" s="168" t="s">
        <v>74</v>
      </c>
      <c r="E399" s="169" t="s">
        <v>182</v>
      </c>
      <c r="F399" s="324">
        <f>'Used inputs'!I272</f>
        <v>2.2189349585648478E-2</v>
      </c>
      <c r="G399" s="325">
        <f>'Used inputs'!J272</f>
        <v>0</v>
      </c>
      <c r="H399" s="325">
        <f>'Used inputs'!K272</f>
        <v>8.1563929694952846E-3</v>
      </c>
      <c r="I399" s="325">
        <f>'Used inputs'!L272</f>
        <v>8.1563929694952846E-3</v>
      </c>
      <c r="J399" s="325">
        <f>'Used inputs'!M272</f>
        <v>8.1563929694952846E-3</v>
      </c>
      <c r="K399" s="325">
        <f>'Used inputs'!N272</f>
        <v>8.1563929694952846E-3</v>
      </c>
      <c r="L399" s="326">
        <f>'Used inputs'!O272</f>
        <v>8.1563929694952846E-3</v>
      </c>
    </row>
    <row r="400" spans="1:12">
      <c r="A400" s="60" t="s">
        <v>299</v>
      </c>
      <c r="B400" s="355" t="s">
        <v>162</v>
      </c>
      <c r="C400" s="59" t="s">
        <v>175</v>
      </c>
      <c r="D400" s="169" t="s">
        <v>74</v>
      </c>
      <c r="E400" s="169" t="s">
        <v>182</v>
      </c>
      <c r="F400" s="324">
        <f>F136</f>
        <v>0</v>
      </c>
      <c r="G400" s="325">
        <f t="shared" ref="G400:L400" si="17">G136</f>
        <v>0</v>
      </c>
      <c r="H400" s="325">
        <f t="shared" ca="1" si="17"/>
        <v>149.27391074188338</v>
      </c>
      <c r="I400" s="325">
        <f t="shared" ca="1" si="17"/>
        <v>150.54493283612354</v>
      </c>
      <c r="J400" s="325">
        <f t="shared" ca="1" si="17"/>
        <v>153.93541196603474</v>
      </c>
      <c r="K400" s="325">
        <f t="shared" ca="1" si="17"/>
        <v>155.63692334206993</v>
      </c>
      <c r="L400" s="326">
        <f t="shared" ca="1" si="17"/>
        <v>160.04141298422405</v>
      </c>
    </row>
    <row r="401" spans="1:12">
      <c r="A401" s="60" t="s">
        <v>299</v>
      </c>
      <c r="B401" s="355" t="s">
        <v>163</v>
      </c>
      <c r="C401" s="59" t="s">
        <v>118</v>
      </c>
      <c r="D401" s="168" t="s">
        <v>75</v>
      </c>
      <c r="E401" s="169" t="s">
        <v>182</v>
      </c>
      <c r="F401" s="357">
        <f t="shared" ref="F401:L416" si="18">F137</f>
        <v>0</v>
      </c>
      <c r="G401" s="358">
        <f t="shared" si="18"/>
        <v>0</v>
      </c>
      <c r="H401" s="358">
        <f t="shared" ca="1" si="18"/>
        <v>20.735627401299965</v>
      </c>
      <c r="I401" s="358">
        <f t="shared" ca="1" si="18"/>
        <v>20.747846346020747</v>
      </c>
      <c r="J401" s="358">
        <f t="shared" ca="1" si="18"/>
        <v>21.114471137511412</v>
      </c>
      <c r="K401" s="358">
        <f t="shared" ca="1" si="18"/>
        <v>21.306893995130356</v>
      </c>
      <c r="L401" s="359">
        <f t="shared" ca="1" si="18"/>
        <v>21.613590228716141</v>
      </c>
    </row>
    <row r="402" spans="1:12">
      <c r="A402" s="60" t="s">
        <v>299</v>
      </c>
      <c r="B402" s="355" t="s">
        <v>164</v>
      </c>
      <c r="C402" s="59" t="s">
        <v>119</v>
      </c>
      <c r="D402" s="168" t="s">
        <v>75</v>
      </c>
      <c r="E402" s="169" t="s">
        <v>182</v>
      </c>
      <c r="F402" s="357">
        <f t="shared" si="18"/>
        <v>0</v>
      </c>
      <c r="G402" s="358">
        <f t="shared" si="18"/>
        <v>0</v>
      </c>
      <c r="H402" s="358">
        <f t="shared" ca="1" si="18"/>
        <v>28.623863985844785</v>
      </c>
      <c r="I402" s="358">
        <f t="shared" ca="1" si="18"/>
        <v>27.936978066338149</v>
      </c>
      <c r="J402" s="358">
        <f t="shared" ca="1" si="18"/>
        <v>27.604497993601392</v>
      </c>
      <c r="K402" s="358">
        <f t="shared" ca="1" si="18"/>
        <v>27.097815986992916</v>
      </c>
      <c r="L402" s="359">
        <f t="shared" ca="1" si="18"/>
        <v>27.404512220578702</v>
      </c>
    </row>
    <row r="403" spans="1:12">
      <c r="A403" s="60" t="s">
        <v>299</v>
      </c>
      <c r="B403" s="355" t="s">
        <v>165</v>
      </c>
      <c r="C403" s="59" t="s">
        <v>120</v>
      </c>
      <c r="D403" s="168" t="s">
        <v>75</v>
      </c>
      <c r="E403" s="169" t="s">
        <v>182</v>
      </c>
      <c r="F403" s="357">
        <f t="shared" si="18"/>
        <v>0</v>
      </c>
      <c r="G403" s="358">
        <f t="shared" si="18"/>
        <v>0</v>
      </c>
      <c r="H403" s="358">
        <f t="shared" ca="1" si="18"/>
        <v>25.641954838770516</v>
      </c>
      <c r="I403" s="358">
        <f t="shared" ca="1" si="18"/>
        <v>25.376736949243941</v>
      </c>
      <c r="J403" s="358">
        <f t="shared" ca="1" si="18"/>
        <v>25.341946377961911</v>
      </c>
      <c r="K403" s="358">
        <f t="shared" ca="1" si="18"/>
        <v>24.940743547257263</v>
      </c>
      <c r="L403" s="359">
        <f t="shared" ca="1" si="18"/>
        <v>24.844924432083488</v>
      </c>
    </row>
    <row r="404" spans="1:12">
      <c r="A404" s="60" t="s">
        <v>299</v>
      </c>
      <c r="B404" s="355" t="s">
        <v>166</v>
      </c>
      <c r="C404" s="59" t="s">
        <v>124</v>
      </c>
      <c r="D404" s="168" t="s">
        <v>75</v>
      </c>
      <c r="E404" s="169" t="s">
        <v>182</v>
      </c>
      <c r="F404" s="357">
        <f t="shared" si="18"/>
        <v>0</v>
      </c>
      <c r="G404" s="358">
        <f t="shared" si="18"/>
        <v>0</v>
      </c>
      <c r="H404" s="358">
        <f t="shared" ca="1" si="18"/>
        <v>28.397343180356678</v>
      </c>
      <c r="I404" s="358">
        <f t="shared" ca="1" si="18"/>
        <v>27.483936455361945</v>
      </c>
      <c r="J404" s="358">
        <f t="shared" ca="1" si="18"/>
        <v>26.924935577137095</v>
      </c>
      <c r="K404" s="358">
        <f t="shared" ca="1" si="18"/>
        <v>26.191732765040523</v>
      </c>
      <c r="L404" s="359">
        <f t="shared" ca="1" si="18"/>
        <v>26.498428998626309</v>
      </c>
    </row>
    <row r="405" spans="1:12">
      <c r="A405" s="60" t="s">
        <v>299</v>
      </c>
      <c r="B405" s="355" t="s">
        <v>167</v>
      </c>
      <c r="C405" s="59" t="s">
        <v>122</v>
      </c>
      <c r="D405" s="170" t="s">
        <v>88</v>
      </c>
      <c r="E405" s="169" t="s">
        <v>182</v>
      </c>
      <c r="F405" s="324">
        <f t="shared" si="18"/>
        <v>2925.5018</v>
      </c>
      <c r="G405" s="325">
        <f t="shared" si="18"/>
        <v>2891.5328</v>
      </c>
      <c r="H405" s="325">
        <f t="shared" si="18"/>
        <v>2801.1139000000003</v>
      </c>
      <c r="I405" s="325">
        <f t="shared" si="18"/>
        <v>2691.2626000000005</v>
      </c>
      <c r="J405" s="325">
        <f t="shared" si="18"/>
        <v>2543.9634999999998</v>
      </c>
      <c r="K405" s="325">
        <f t="shared" si="18"/>
        <v>2374.8946000000001</v>
      </c>
      <c r="L405" s="326">
        <f t="shared" si="18"/>
        <v>2201.9243999999999</v>
      </c>
    </row>
    <row r="406" spans="1:12">
      <c r="A406" s="60" t="s">
        <v>299</v>
      </c>
      <c r="B406" s="355" t="s">
        <v>168</v>
      </c>
      <c r="C406" s="59" t="s">
        <v>123</v>
      </c>
      <c r="D406" s="170" t="s">
        <v>88</v>
      </c>
      <c r="E406" s="169" t="s">
        <v>182</v>
      </c>
      <c r="F406" s="324">
        <f t="shared" si="18"/>
        <v>1419.8080000000002</v>
      </c>
      <c r="G406" s="325">
        <f t="shared" si="18"/>
        <v>1472.0809999999999</v>
      </c>
      <c r="H406" s="325">
        <f t="shared" si="18"/>
        <v>1635.2999</v>
      </c>
      <c r="I406" s="325">
        <f t="shared" si="18"/>
        <v>1790.2612000000001</v>
      </c>
      <c r="J406" s="325">
        <f t="shared" si="18"/>
        <v>1985.3821000000003</v>
      </c>
      <c r="K406" s="325">
        <f t="shared" si="18"/>
        <v>2202.5054999999998</v>
      </c>
      <c r="L406" s="326">
        <f t="shared" si="18"/>
        <v>2422.8555000000001</v>
      </c>
    </row>
    <row r="407" spans="1:12">
      <c r="A407" s="60" t="s">
        <v>299</v>
      </c>
      <c r="B407" s="355" t="s">
        <v>169</v>
      </c>
      <c r="C407" s="59" t="s">
        <v>139</v>
      </c>
      <c r="D407" s="170" t="s">
        <v>74</v>
      </c>
      <c r="E407" s="169" t="s">
        <v>182</v>
      </c>
      <c r="F407" s="324">
        <f t="shared" si="18"/>
        <v>0</v>
      </c>
      <c r="G407" s="325">
        <f t="shared" si="18"/>
        <v>0</v>
      </c>
      <c r="H407" s="325">
        <f t="shared" ca="1" si="18"/>
        <v>0.72562487444767521</v>
      </c>
      <c r="I407" s="325">
        <f t="shared" ca="1" si="18"/>
        <v>2.6552265488195936</v>
      </c>
      <c r="J407" s="325">
        <f t="shared" ca="1" si="18"/>
        <v>5.4586062247627138</v>
      </c>
      <c r="K407" s="325">
        <f t="shared" ca="1" si="18"/>
        <v>8.0907290655784028</v>
      </c>
      <c r="L407" s="326">
        <f t="shared" ca="1" si="18"/>
        <v>10.033398669290458</v>
      </c>
    </row>
    <row r="408" spans="1:12">
      <c r="A408" s="60" t="s">
        <v>299</v>
      </c>
      <c r="B408" s="355" t="s">
        <v>170</v>
      </c>
      <c r="C408" s="59" t="s">
        <v>67</v>
      </c>
      <c r="D408" s="170" t="s">
        <v>171</v>
      </c>
      <c r="E408" s="169" t="s">
        <v>182</v>
      </c>
      <c r="F408" s="360">
        <f t="shared" si="18"/>
        <v>1.3</v>
      </c>
      <c r="G408" s="361">
        <f t="shared" si="18"/>
        <v>1.3</v>
      </c>
      <c r="H408" s="361">
        <f t="shared" si="18"/>
        <v>1.3</v>
      </c>
      <c r="I408" s="361">
        <f t="shared" si="18"/>
        <v>1.3</v>
      </c>
      <c r="J408" s="361">
        <f t="shared" si="18"/>
        <v>1.3</v>
      </c>
      <c r="K408" s="361">
        <f t="shared" si="18"/>
        <v>1.3</v>
      </c>
      <c r="L408" s="362">
        <f t="shared" si="18"/>
        <v>1.3</v>
      </c>
    </row>
    <row r="409" spans="1:12">
      <c r="A409" s="60" t="s">
        <v>299</v>
      </c>
      <c r="B409" s="355" t="s">
        <v>194</v>
      </c>
      <c r="C409" s="59" t="s">
        <v>185</v>
      </c>
      <c r="D409" t="s">
        <v>75</v>
      </c>
      <c r="E409" s="169" t="s">
        <v>182</v>
      </c>
      <c r="F409" s="357">
        <f t="shared" ca="1" si="18"/>
        <v>21.735919836764477</v>
      </c>
      <c r="G409" s="358">
        <f t="shared" si="18"/>
        <v>0</v>
      </c>
      <c r="H409" s="358">
        <f t="shared" si="18"/>
        <v>0</v>
      </c>
      <c r="I409" s="358">
        <f t="shared" si="18"/>
        <v>0</v>
      </c>
      <c r="J409" s="358">
        <f t="shared" si="18"/>
        <v>0</v>
      </c>
      <c r="K409" s="358">
        <f t="shared" si="18"/>
        <v>0</v>
      </c>
      <c r="L409" s="359">
        <f t="shared" si="18"/>
        <v>0</v>
      </c>
    </row>
    <row r="410" spans="1:12">
      <c r="A410" s="60" t="s">
        <v>299</v>
      </c>
      <c r="B410" s="355" t="s">
        <v>195</v>
      </c>
      <c r="C410" s="59" t="s">
        <v>186</v>
      </c>
      <c r="D410" t="s">
        <v>75</v>
      </c>
      <c r="E410" s="169" t="s">
        <v>182</v>
      </c>
      <c r="F410" s="357">
        <f t="shared" ca="1" si="18"/>
        <v>30.323261285536717</v>
      </c>
      <c r="G410" s="358">
        <f t="shared" si="18"/>
        <v>0</v>
      </c>
      <c r="H410" s="358">
        <f t="shared" si="18"/>
        <v>0</v>
      </c>
      <c r="I410" s="358">
        <f t="shared" si="18"/>
        <v>0</v>
      </c>
      <c r="J410" s="358">
        <f t="shared" si="18"/>
        <v>0</v>
      </c>
      <c r="K410" s="358">
        <f t="shared" si="18"/>
        <v>0</v>
      </c>
      <c r="L410" s="359">
        <f t="shared" si="18"/>
        <v>0</v>
      </c>
    </row>
    <row r="411" spans="1:12">
      <c r="A411" s="60" t="s">
        <v>299</v>
      </c>
      <c r="B411" s="355" t="s">
        <v>196</v>
      </c>
      <c r="C411" s="59" t="s">
        <v>187</v>
      </c>
      <c r="D411" t="s">
        <v>75</v>
      </c>
      <c r="E411" s="169" t="s">
        <v>182</v>
      </c>
      <c r="F411" s="357">
        <f t="shared" ca="1" si="18"/>
        <v>26.919684108482382</v>
      </c>
      <c r="G411" s="358">
        <f t="shared" si="18"/>
        <v>0</v>
      </c>
      <c r="H411" s="358">
        <f t="shared" si="18"/>
        <v>0</v>
      </c>
      <c r="I411" s="358">
        <f t="shared" si="18"/>
        <v>0</v>
      </c>
      <c r="J411" s="358">
        <f t="shared" si="18"/>
        <v>0</v>
      </c>
      <c r="K411" s="358">
        <f t="shared" si="18"/>
        <v>0</v>
      </c>
      <c r="L411" s="359">
        <f t="shared" si="18"/>
        <v>0</v>
      </c>
    </row>
    <row r="412" spans="1:12">
      <c r="A412" s="60" t="s">
        <v>299</v>
      </c>
      <c r="B412" s="355" t="s">
        <v>197</v>
      </c>
      <c r="C412" s="59" t="s">
        <v>188</v>
      </c>
      <c r="D412" t="s">
        <v>75</v>
      </c>
      <c r="E412" s="169" t="s">
        <v>182</v>
      </c>
      <c r="F412" s="357">
        <f t="shared" ca="1" si="18"/>
        <v>39.42023967119772</v>
      </c>
      <c r="G412" s="358">
        <f t="shared" si="18"/>
        <v>0</v>
      </c>
      <c r="H412" s="358">
        <f t="shared" si="18"/>
        <v>0</v>
      </c>
      <c r="I412" s="358">
        <f t="shared" si="18"/>
        <v>0</v>
      </c>
      <c r="J412" s="358">
        <f t="shared" si="18"/>
        <v>0</v>
      </c>
      <c r="K412" s="358">
        <f t="shared" si="18"/>
        <v>0</v>
      </c>
      <c r="L412" s="359">
        <f t="shared" si="18"/>
        <v>0</v>
      </c>
    </row>
    <row r="413" spans="1:12">
      <c r="A413" s="60" t="s">
        <v>299</v>
      </c>
      <c r="B413" s="355" t="s">
        <v>198</v>
      </c>
      <c r="C413" s="59" t="s">
        <v>189</v>
      </c>
      <c r="D413" t="s">
        <v>75</v>
      </c>
      <c r="E413" s="169" t="s">
        <v>182</v>
      </c>
      <c r="F413" s="357">
        <f t="shared" ca="1" si="18"/>
        <v>28.25669578779382</v>
      </c>
      <c r="G413" s="358">
        <f t="shared" si="18"/>
        <v>0</v>
      </c>
      <c r="H413" s="358">
        <f t="shared" si="18"/>
        <v>0</v>
      </c>
      <c r="I413" s="358">
        <f t="shared" si="18"/>
        <v>0</v>
      </c>
      <c r="J413" s="358">
        <f t="shared" si="18"/>
        <v>0</v>
      </c>
      <c r="K413" s="358">
        <f t="shared" si="18"/>
        <v>0</v>
      </c>
      <c r="L413" s="359">
        <f t="shared" si="18"/>
        <v>0</v>
      </c>
    </row>
    <row r="414" spans="1:12">
      <c r="A414" s="60" t="s">
        <v>299</v>
      </c>
      <c r="B414" s="356" t="s">
        <v>204</v>
      </c>
      <c r="C414" s="59" t="s">
        <v>203</v>
      </c>
      <c r="D414" s="168" t="s">
        <v>75</v>
      </c>
      <c r="E414" s="169" t="s">
        <v>182</v>
      </c>
      <c r="F414" s="357">
        <f t="shared" si="18"/>
        <v>0</v>
      </c>
      <c r="G414" s="358">
        <f t="shared" si="18"/>
        <v>0</v>
      </c>
      <c r="H414" s="358">
        <f t="shared" ca="1" si="18"/>
        <v>20.735627401299965</v>
      </c>
      <c r="I414" s="358">
        <f t="shared" ca="1" si="18"/>
        <v>20.747846346020747</v>
      </c>
      <c r="J414" s="358">
        <f t="shared" ca="1" si="18"/>
        <v>21.114471137511412</v>
      </c>
      <c r="K414" s="358">
        <f t="shared" ca="1" si="18"/>
        <v>21.306893995130356</v>
      </c>
      <c r="L414" s="359">
        <f t="shared" ca="1" si="18"/>
        <v>21.613590228716141</v>
      </c>
    </row>
    <row r="415" spans="1:12">
      <c r="A415" s="60" t="s">
        <v>299</v>
      </c>
      <c r="B415" s="355" t="s">
        <v>199</v>
      </c>
      <c r="C415" s="59" t="s">
        <v>190</v>
      </c>
      <c r="D415" t="s">
        <v>75</v>
      </c>
      <c r="E415" s="169" t="s">
        <v>182</v>
      </c>
      <c r="F415" s="357">
        <f t="shared" si="18"/>
        <v>0</v>
      </c>
      <c r="G415" s="358">
        <f t="shared" si="18"/>
        <v>0</v>
      </c>
      <c r="H415" s="358">
        <f t="shared" ca="1" si="18"/>
        <v>26.956315621689956</v>
      </c>
      <c r="I415" s="358">
        <f t="shared" ca="1" si="18"/>
        <v>26.972200249826972</v>
      </c>
      <c r="J415" s="358">
        <f t="shared" ca="1" si="18"/>
        <v>27.448812478764836</v>
      </c>
      <c r="K415" s="358">
        <f t="shared" ca="1" si="18"/>
        <v>27.698962193669463</v>
      </c>
      <c r="L415" s="359">
        <f t="shared" ca="1" si="18"/>
        <v>28.097667297330986</v>
      </c>
    </row>
    <row r="416" spans="1:12">
      <c r="A416" s="60" t="s">
        <v>299</v>
      </c>
      <c r="B416" s="355" t="s">
        <v>200</v>
      </c>
      <c r="C416" s="59" t="s">
        <v>191</v>
      </c>
      <c r="D416" t="s">
        <v>75</v>
      </c>
      <c r="E416" s="169" t="s">
        <v>182</v>
      </c>
      <c r="F416" s="357">
        <f t="shared" si="18"/>
        <v>0</v>
      </c>
      <c r="G416" s="358">
        <f t="shared" si="18"/>
        <v>0</v>
      </c>
      <c r="H416" s="358">
        <f t="shared" ca="1" si="18"/>
        <v>28.623863985844785</v>
      </c>
      <c r="I416" s="358">
        <f t="shared" ca="1" si="18"/>
        <v>27.936978066338149</v>
      </c>
      <c r="J416" s="358">
        <f t="shared" ca="1" si="18"/>
        <v>27.604497993601392</v>
      </c>
      <c r="K416" s="358">
        <f t="shared" ca="1" si="18"/>
        <v>27.097815986992916</v>
      </c>
      <c r="L416" s="359">
        <f t="shared" ca="1" si="18"/>
        <v>27.404512220578702</v>
      </c>
    </row>
    <row r="417" spans="1:12">
      <c r="A417" s="60" t="s">
        <v>299</v>
      </c>
      <c r="B417" s="355" t="s">
        <v>201</v>
      </c>
      <c r="C417" s="59" t="s">
        <v>192</v>
      </c>
      <c r="D417" t="s">
        <v>75</v>
      </c>
      <c r="E417" s="169" t="s">
        <v>182</v>
      </c>
      <c r="F417" s="357">
        <f t="shared" ref="F417:L421" si="19">F153</f>
        <v>0</v>
      </c>
      <c r="G417" s="358">
        <f t="shared" si="19"/>
        <v>0</v>
      </c>
      <c r="H417" s="358">
        <f t="shared" ca="1" si="19"/>
        <v>25.641954838770516</v>
      </c>
      <c r="I417" s="358">
        <f t="shared" ca="1" si="19"/>
        <v>25.376736949243941</v>
      </c>
      <c r="J417" s="358">
        <f t="shared" ca="1" si="19"/>
        <v>25.341946377961911</v>
      </c>
      <c r="K417" s="358">
        <f t="shared" ca="1" si="19"/>
        <v>24.940743547257263</v>
      </c>
      <c r="L417" s="359">
        <f t="shared" ca="1" si="19"/>
        <v>24.844924432083488</v>
      </c>
    </row>
    <row r="418" spans="1:12">
      <c r="A418" s="60" t="s">
        <v>299</v>
      </c>
      <c r="B418" s="355" t="s">
        <v>202</v>
      </c>
      <c r="C418" s="59" t="s">
        <v>193</v>
      </c>
      <c r="D418" t="s">
        <v>75</v>
      </c>
      <c r="E418" s="169" t="s">
        <v>182</v>
      </c>
      <c r="F418" s="357">
        <f t="shared" si="19"/>
        <v>0</v>
      </c>
      <c r="G418" s="358">
        <f t="shared" si="19"/>
        <v>0</v>
      </c>
      <c r="H418" s="358">
        <f t="shared" ca="1" si="19"/>
        <v>36.91654613446368</v>
      </c>
      <c r="I418" s="358">
        <f t="shared" ca="1" si="19"/>
        <v>35.729117391970533</v>
      </c>
      <c r="J418" s="358">
        <f t="shared" ca="1" si="19"/>
        <v>35.002416250278223</v>
      </c>
      <c r="K418" s="358">
        <f t="shared" ca="1" si="19"/>
        <v>34.049252594552684</v>
      </c>
      <c r="L418" s="359">
        <f t="shared" ca="1" si="19"/>
        <v>34.447957698214204</v>
      </c>
    </row>
    <row r="419" spans="1:12">
      <c r="A419" s="60" t="s">
        <v>299</v>
      </c>
      <c r="B419" s="355" t="s">
        <v>208</v>
      </c>
      <c r="C419" s="59" t="s">
        <v>205</v>
      </c>
      <c r="D419" s="168" t="s">
        <v>75</v>
      </c>
      <c r="E419" s="169" t="s">
        <v>182</v>
      </c>
      <c r="F419" s="324">
        <f t="shared" ca="1" si="19"/>
        <v>0.27588007791236174</v>
      </c>
      <c r="G419" s="325">
        <f t="shared" si="19"/>
        <v>0</v>
      </c>
      <c r="H419" s="325">
        <f t="shared" si="19"/>
        <v>0</v>
      </c>
      <c r="I419" s="325">
        <f t="shared" si="19"/>
        <v>0</v>
      </c>
      <c r="J419" s="325">
        <f t="shared" si="19"/>
        <v>0</v>
      </c>
      <c r="K419" s="325">
        <f t="shared" si="19"/>
        <v>0</v>
      </c>
      <c r="L419" s="326">
        <f t="shared" si="19"/>
        <v>0</v>
      </c>
    </row>
    <row r="420" spans="1:12">
      <c r="A420" s="60" t="s">
        <v>299</v>
      </c>
      <c r="B420" s="355" t="s">
        <v>206</v>
      </c>
      <c r="C420" s="59" t="s">
        <v>132</v>
      </c>
      <c r="D420" s="168" t="s">
        <v>74</v>
      </c>
      <c r="E420" s="169" t="s">
        <v>182</v>
      </c>
      <c r="F420" s="324">
        <f t="shared" ca="1" si="19"/>
        <v>147.95719591789685</v>
      </c>
      <c r="G420" s="325">
        <f t="shared" si="19"/>
        <v>133.26809234522213</v>
      </c>
      <c r="H420" s="325">
        <f t="shared" ca="1" si="19"/>
        <v>150.43119919385472</v>
      </c>
      <c r="I420" s="325">
        <f t="shared" ca="1" si="19"/>
        <v>155.56020598544231</v>
      </c>
      <c r="J420" s="325">
        <f t="shared" ca="1" si="19"/>
        <v>155.87120639725376</v>
      </c>
      <c r="K420" s="325">
        <f t="shared" ca="1" si="19"/>
        <v>157.45720849736313</v>
      </c>
      <c r="L420" s="326">
        <f t="shared" ca="1" si="19"/>
        <v>153.12720276377453</v>
      </c>
    </row>
    <row r="421" spans="1:12">
      <c r="A421" s="60" t="s">
        <v>299</v>
      </c>
      <c r="B421" s="355" t="s">
        <v>207</v>
      </c>
      <c r="C421" s="59" t="s">
        <v>157</v>
      </c>
      <c r="D421" s="168" t="s">
        <v>74</v>
      </c>
      <c r="E421" s="169" t="s">
        <v>182</v>
      </c>
      <c r="F421" s="324">
        <f t="shared" si="19"/>
        <v>1.6461564660604204</v>
      </c>
      <c r="G421" s="325">
        <f t="shared" si="19"/>
        <v>22.752114249330734</v>
      </c>
      <c r="H421" s="325">
        <f t="shared" si="19"/>
        <v>1.6742845552360341</v>
      </c>
      <c r="I421" s="325">
        <f t="shared" si="19"/>
        <v>1.6742845552360341</v>
      </c>
      <c r="J421" s="325">
        <f t="shared" si="19"/>
        <v>1.6742845552360341</v>
      </c>
      <c r="K421" s="325">
        <f t="shared" si="19"/>
        <v>1.6742845552360341</v>
      </c>
      <c r="L421" s="326">
        <f t="shared" si="19"/>
        <v>1.6742845552360341</v>
      </c>
    </row>
  </sheetData>
  <sheetProtection sort="0"/>
  <pageMargins left="0.70866141732283472" right="0.70866141732283472" top="0.74803149606299213" bottom="0.74803149606299213" header="0.31496062992125984" footer="0.31496062992125984"/>
  <pageSetup paperSize="9" scale="10" orientation="landscape" r:id="rId1"/>
  <headerFooter>
    <oddFooter>&amp;L&amp;Z
&amp;F&amp;R&amp;D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L443"/>
  <sheetViews>
    <sheetView showGridLines="0" zoomScaleNormal="100" workbookViewId="0">
      <pane xSplit="4" ySplit="2" topLeftCell="E54" activePane="bottomRight" state="frozen"/>
      <selection activeCell="B43" sqref="B43:M43"/>
      <selection pane="topRight" activeCell="B43" sqref="B43:M43"/>
      <selection pane="bottomLeft" activeCell="B43" sqref="B43:M43"/>
      <selection pane="bottomRight" activeCell="F431" sqref="F431"/>
    </sheetView>
  </sheetViews>
  <sheetFormatPr defaultColWidth="9.140625" defaultRowHeight="12.75"/>
  <cols>
    <col min="1" max="1" width="4.85546875" style="368" customWidth="1"/>
    <col min="2" max="2" width="12.5703125" style="369" bestFit="1" customWidth="1"/>
    <col min="3" max="3" width="69.140625" style="370" bestFit="1" customWidth="1"/>
    <col min="4" max="4" width="6.140625" style="10" bestFit="1" customWidth="1"/>
    <col min="5" max="5" width="18.85546875" style="371" bestFit="1" customWidth="1"/>
    <col min="6" max="12" width="9.42578125" style="372" customWidth="1"/>
    <col min="13" max="16384" width="9.140625" style="14"/>
  </cols>
  <sheetData>
    <row r="1" spans="1:12" ht="37.5" customHeight="1">
      <c r="A1" s="108"/>
      <c r="B1" s="354"/>
      <c r="C1" s="103" t="s">
        <v>295</v>
      </c>
      <c r="D1" s="117"/>
      <c r="E1" s="171"/>
      <c r="F1" s="507"/>
      <c r="G1" s="119"/>
      <c r="H1" s="119"/>
      <c r="I1" s="119"/>
      <c r="J1" s="119"/>
      <c r="K1" s="119"/>
      <c r="L1" s="104"/>
    </row>
    <row r="2" spans="1:12" s="53" customFormat="1" ht="18" customHeight="1">
      <c r="A2" s="513" t="s">
        <v>180</v>
      </c>
      <c r="B2" s="513" t="s">
        <v>23</v>
      </c>
      <c r="C2" s="514" t="s">
        <v>22</v>
      </c>
      <c r="D2" s="511" t="s">
        <v>76</v>
      </c>
      <c r="E2" s="510" t="s">
        <v>181</v>
      </c>
      <c r="F2" s="508" t="s">
        <v>8</v>
      </c>
      <c r="G2" s="130" t="s">
        <v>9</v>
      </c>
      <c r="H2" s="130" t="s">
        <v>34</v>
      </c>
      <c r="I2" s="130" t="s">
        <v>35</v>
      </c>
      <c r="J2" s="130" t="s">
        <v>36</v>
      </c>
      <c r="K2" s="130" t="s">
        <v>37</v>
      </c>
      <c r="L2" s="138" t="s">
        <v>38</v>
      </c>
    </row>
    <row r="3" spans="1:12" s="53" customFormat="1">
      <c r="A3" s="57"/>
      <c r="B3" s="355"/>
      <c r="C3" s="58"/>
      <c r="E3" s="59"/>
      <c r="F3" s="160"/>
      <c r="G3" s="141"/>
      <c r="H3" s="141"/>
      <c r="I3" s="131"/>
      <c r="J3" s="131"/>
      <c r="K3" s="131"/>
      <c r="L3" s="139"/>
    </row>
    <row r="4" spans="1:12" s="53" customFormat="1">
      <c r="A4" s="60" t="s">
        <v>31</v>
      </c>
      <c r="B4" s="355" t="s">
        <v>162</v>
      </c>
      <c r="C4" s="59" t="s">
        <v>175</v>
      </c>
      <c r="D4" s="169" t="s">
        <v>74</v>
      </c>
      <c r="E4" s="169" t="s">
        <v>182</v>
      </c>
      <c r="F4" s="262">
        <f>VLOOKUP($A4,'Price setting'!$E$448:$O$466,COLUMN()-1,FALSE)</f>
        <v>0</v>
      </c>
      <c r="G4" s="263">
        <f>VLOOKUP($A4,'Price setting'!$E$448:$O$466,COLUMN()-1,FALSE)</f>
        <v>0</v>
      </c>
      <c r="H4" s="263">
        <f ca="1">VLOOKUP($A4,'Price setting'!$E$448:$O$466,COLUMN()-1,FALSE)</f>
        <v>71.39185348331273</v>
      </c>
      <c r="I4" s="263">
        <f ca="1">VLOOKUP($A4,'Price setting'!$E$448:$O$466,COLUMN()-1,FALSE)</f>
        <v>74.002723132686398</v>
      </c>
      <c r="J4" s="263">
        <f ca="1">VLOOKUP($A4,'Price setting'!$E$448:$O$466,COLUMN()-1,FALSE)</f>
        <v>75.956042343598526</v>
      </c>
      <c r="K4" s="263">
        <f ca="1">VLOOKUP($A4,'Price setting'!$E$448:$O$466,COLUMN()-1,FALSE)</f>
        <v>77.325116516186426</v>
      </c>
      <c r="L4" s="264">
        <f ca="1">VLOOKUP($A4,'Price setting'!$E$448:$O$466,COLUMN()-1,FALSE)</f>
        <v>78.711841457383343</v>
      </c>
    </row>
    <row r="5" spans="1:12" s="53" customFormat="1">
      <c r="A5" s="60" t="s">
        <v>31</v>
      </c>
      <c r="B5" s="355" t="s">
        <v>163</v>
      </c>
      <c r="C5" s="59" t="s">
        <v>118</v>
      </c>
      <c r="D5" s="168" t="s">
        <v>75</v>
      </c>
      <c r="E5" s="169" t="s">
        <v>182</v>
      </c>
      <c r="F5" s="316">
        <f>VLOOKUP($A5,'Price setting'!$E$213:$O$231,COLUMN()-1,FALSE)</f>
        <v>0</v>
      </c>
      <c r="G5" s="317">
        <f>VLOOKUP($A5,'Price setting'!$E$213:$O$231,COLUMN()-1,FALSE)</f>
        <v>0</v>
      </c>
      <c r="H5" s="317">
        <f ca="1">VLOOKUP($A5,'Price setting'!$E$213:$O$231,COLUMN()-1,FALSE)</f>
        <v>19.677260963836904</v>
      </c>
      <c r="I5" s="318">
        <f ca="1">VLOOKUP($A5,'Price setting'!$E$213:$O$231,COLUMN()-1,FALSE)</f>
        <v>20.244623115283289</v>
      </c>
      <c r="J5" s="318">
        <f ca="1">VLOOKUP($A5,'Price setting'!$E$213:$O$231,COLUMN()-1,FALSE)</f>
        <v>20.593615852115768</v>
      </c>
      <c r="K5" s="318">
        <f ca="1">VLOOKUP($A5,'Price setting'!$E$213:$O$231,COLUMN()-1,FALSE)</f>
        <v>20.747657600929873</v>
      </c>
      <c r="L5" s="319">
        <f ca="1">VLOOKUP($A5,'Price setting'!$E$213:$O$231,COLUMN()-1,FALSE)</f>
        <v>20.890617760281941</v>
      </c>
    </row>
    <row r="6" spans="1:12" s="53" customFormat="1">
      <c r="A6" s="60" t="s">
        <v>31</v>
      </c>
      <c r="B6" s="355" t="s">
        <v>164</v>
      </c>
      <c r="C6" s="59" t="s">
        <v>119</v>
      </c>
      <c r="D6" s="168" t="s">
        <v>75</v>
      </c>
      <c r="E6" s="169" t="s">
        <v>182</v>
      </c>
      <c r="F6" s="316">
        <f>VLOOKUP($A6,'Price setting'!$E$278:$O$296,COLUMN()-1,FALSE)+VLOOKUP($A5,'Price setting'!$E$213:$O$231,COLUMN()-1,FALSE)</f>
        <v>0</v>
      </c>
      <c r="G6" s="317">
        <f>VLOOKUP($A6,'Price setting'!$E$278:$O$296,COLUMN()-1,FALSE)+VLOOKUP($A5,'Price setting'!$E$213:$O$231,COLUMN()-1,FALSE)</f>
        <v>0</v>
      </c>
      <c r="H6" s="317">
        <f ca="1">VLOOKUP($A6,'Price setting'!$E$278:$O$296,COLUMN()-1,FALSE)+VLOOKUP($A5,'Price setting'!$E$213:$O$231,COLUMN()-1,FALSE)</f>
        <v>22.157260963836901</v>
      </c>
      <c r="I6" s="318">
        <f ca="1">VLOOKUP($A6,'Price setting'!$E$278:$O$296,COLUMN()-1,FALSE)+VLOOKUP($A5,'Price setting'!$E$213:$O$231,COLUMN()-1,FALSE)</f>
        <v>22.72462311528329</v>
      </c>
      <c r="J6" s="318">
        <f ca="1">VLOOKUP($A6,'Price setting'!$E$278:$O$296,COLUMN()-1,FALSE)+VLOOKUP($A5,'Price setting'!$E$213:$O$231,COLUMN()-1,FALSE)</f>
        <v>23.073615852115768</v>
      </c>
      <c r="K6" s="318">
        <f ca="1">VLOOKUP($A6,'Price setting'!$E$278:$O$296,COLUMN()-1,FALSE)+VLOOKUP($A5,'Price setting'!$E$213:$O$231,COLUMN()-1,FALSE)</f>
        <v>23.227657600929874</v>
      </c>
      <c r="L6" s="319">
        <f ca="1">VLOOKUP($A6,'Price setting'!$E$278:$O$296,COLUMN()-1,FALSE)+VLOOKUP($A5,'Price setting'!$E$213:$O$231,COLUMN()-1,FALSE)</f>
        <v>23.370617760281942</v>
      </c>
    </row>
    <row r="7" spans="1:12" s="53" customFormat="1">
      <c r="A7" s="60" t="s">
        <v>31</v>
      </c>
      <c r="B7" s="355" t="s">
        <v>165</v>
      </c>
      <c r="C7" s="59" t="s">
        <v>120</v>
      </c>
      <c r="D7" s="168" t="s">
        <v>75</v>
      </c>
      <c r="E7" s="169" t="s">
        <v>182</v>
      </c>
      <c r="F7" s="316">
        <f>VLOOKUP($A7,'Price setting'!$E$343:$O$361,COLUMN()-1,FALSE)+VLOOKUP($A5,'Price setting'!$E$213:$O$231,COLUMN()-1,FALSE)</f>
        <v>0</v>
      </c>
      <c r="G7" s="317">
        <f>VLOOKUP($A7,'Price setting'!$E$343:$O$361,COLUMN()-1,FALSE)+VLOOKUP($A5,'Price setting'!$E$213:$O$231,COLUMN()-1,FALSE)</f>
        <v>0</v>
      </c>
      <c r="H7" s="317">
        <f ca="1">VLOOKUP($A7,'Price setting'!$E$343:$O$361,COLUMN()-1,FALSE)+VLOOKUP($A5,'Price setting'!$E$213:$O$231,COLUMN()-1,FALSE)</f>
        <v>22.817260963836908</v>
      </c>
      <c r="I7" s="318">
        <f ca="1">VLOOKUP($A7,'Price setting'!$E$343:$O$361,COLUMN()-1,FALSE)+VLOOKUP($A5,'Price setting'!$E$213:$O$231,COLUMN()-1,FALSE)</f>
        <v>23.384623115283297</v>
      </c>
      <c r="J7" s="318">
        <f ca="1">VLOOKUP($A7,'Price setting'!$E$343:$O$361,COLUMN()-1,FALSE)+VLOOKUP($A5,'Price setting'!$E$213:$O$231,COLUMN()-1,FALSE)</f>
        <v>23.733615852115769</v>
      </c>
      <c r="K7" s="318">
        <f ca="1">VLOOKUP($A7,'Price setting'!$E$343:$O$361,COLUMN()-1,FALSE)+VLOOKUP($A5,'Price setting'!$E$213:$O$231,COLUMN()-1,FALSE)</f>
        <v>23.88765760092987</v>
      </c>
      <c r="L7" s="319">
        <f ca="1">VLOOKUP($A7,'Price setting'!$E$343:$O$361,COLUMN()-1,FALSE)+VLOOKUP($A5,'Price setting'!$E$213:$O$231,COLUMN()-1,FALSE)</f>
        <v>24.030617760281949</v>
      </c>
    </row>
    <row r="8" spans="1:12" s="53" customFormat="1">
      <c r="A8" s="60" t="s">
        <v>31</v>
      </c>
      <c r="B8" s="355" t="s">
        <v>166</v>
      </c>
      <c r="C8" s="59" t="s">
        <v>124</v>
      </c>
      <c r="D8" s="168" t="s">
        <v>75</v>
      </c>
      <c r="E8" s="169" t="s">
        <v>182</v>
      </c>
      <c r="F8" s="316">
        <f>VLOOKUP($A8,'Price setting'!$E$408:$O$426,COLUMN()-1,FALSE)+VLOOKUP($A5,'Price setting'!$E$213:$O$231,COLUMN()-1,FALSE)</f>
        <v>0</v>
      </c>
      <c r="G8" s="317">
        <f>VLOOKUP($A8,'Price setting'!$E$408:$O$426,COLUMN()-1,FALSE)+VLOOKUP($A5,'Price setting'!$E$213:$O$231,COLUMN()-1,FALSE)</f>
        <v>0</v>
      </c>
      <c r="H8" s="317">
        <f ca="1">VLOOKUP($A8,'Price setting'!$E$408:$O$426,COLUMN()-1,FALSE)+VLOOKUP($A5,'Price setting'!$E$213:$O$231,COLUMN()-1,FALSE)</f>
        <v>22.361876348452288</v>
      </c>
      <c r="I8" s="318">
        <f ca="1">VLOOKUP($A8,'Price setting'!$E$408:$O$426,COLUMN()-1,FALSE)+VLOOKUP($A5,'Price setting'!$E$213:$O$231,COLUMN()-1,FALSE)</f>
        <v>22.929238499898677</v>
      </c>
      <c r="J8" s="318">
        <f ca="1">VLOOKUP($A8,'Price setting'!$E$408:$O$426,COLUMN()-1,FALSE)+VLOOKUP($A5,'Price setting'!$E$213:$O$231,COLUMN()-1,FALSE)</f>
        <v>23.278231236731155</v>
      </c>
      <c r="K8" s="318">
        <f ca="1">VLOOKUP($A8,'Price setting'!$E$408:$O$426,COLUMN()-1,FALSE)+VLOOKUP($A5,'Price setting'!$E$213:$O$231,COLUMN()-1,FALSE)</f>
        <v>23.432272985545257</v>
      </c>
      <c r="L8" s="319">
        <f ca="1">VLOOKUP($A8,'Price setting'!$E$408:$O$426,COLUMN()-1,FALSE)+VLOOKUP($A5,'Price setting'!$E$213:$O$231,COLUMN()-1,FALSE)</f>
        <v>23.575233144897322</v>
      </c>
    </row>
    <row r="9" spans="1:12" s="53" customFormat="1">
      <c r="A9" s="60" t="s">
        <v>31</v>
      </c>
      <c r="B9" s="355" t="s">
        <v>167</v>
      </c>
      <c r="C9" s="59" t="s">
        <v>122</v>
      </c>
      <c r="D9" s="170" t="s">
        <v>88</v>
      </c>
      <c r="E9" s="169" t="s">
        <v>182</v>
      </c>
      <c r="F9" s="262">
        <f>INDEX(ANH,ROW(Input!B$23)-5,COLUMN()+1)*Input!$H$441</f>
        <v>480.54890000000006</v>
      </c>
      <c r="G9" s="263">
        <f>INDEX(ANH,ROW(Input!C$23)-5,COLUMN()+1)*Input!$H$441</f>
        <v>428.49430000000001</v>
      </c>
      <c r="H9" s="263">
        <f>INDEX(ANH,ROW(Input!D$23)-5,COLUMN()+1)*Input!$H$441</f>
        <v>385.91540000000003</v>
      </c>
      <c r="I9" s="265">
        <f>INDEX(ANH,ROW(Input!E$23)-5,COLUMN()+1)*Input!$H$441</f>
        <v>344.34010000000001</v>
      </c>
      <c r="J9" s="265">
        <f>INDEX(ANH,ROW(Input!F$23)-5,COLUMN()+1)*Input!$H$441</f>
        <v>304.08300000000003</v>
      </c>
      <c r="K9" s="265">
        <f>INDEX(ANH,ROW(Input!G$23)-5,COLUMN()+1)*Input!$H$441</f>
        <v>265.05829999999997</v>
      </c>
      <c r="L9" s="266">
        <f>INDEX(ANH,ROW(Input!H$23)-5,COLUMN()+1)*Input!$H$441</f>
        <v>229.95830000000001</v>
      </c>
    </row>
    <row r="10" spans="1:12" s="53" customFormat="1">
      <c r="A10" s="60" t="s">
        <v>31</v>
      </c>
      <c r="B10" s="355" t="s">
        <v>168</v>
      </c>
      <c r="C10" s="59" t="s">
        <v>123</v>
      </c>
      <c r="D10" s="170" t="s">
        <v>88</v>
      </c>
      <c r="E10" s="169" t="s">
        <v>182</v>
      </c>
      <c r="F10" s="262">
        <f>+INDEX(ANH,ROW(Input!B$24)-5,COLUMN()+1)*Input!$H$441</f>
        <v>1709.1594000000002</v>
      </c>
      <c r="G10" s="263">
        <f>+INDEX(ANH,ROW(Input!C$24)-5,COLUMN()+1)*Input!$H$441</f>
        <v>1781.2535</v>
      </c>
      <c r="H10" s="263">
        <f>+INDEX(ANH,ROW(Input!D$24)-5,COLUMN()+1)*Input!$H$441</f>
        <v>1842.7344000000001</v>
      </c>
      <c r="I10" s="265">
        <f>+INDEX(ANH,ROW(Input!E$24)-5,COLUMN()+1)*Input!$H$441</f>
        <v>1904.2855000000002</v>
      </c>
      <c r="J10" s="265">
        <f>+INDEX(ANH,ROW(Input!F$24)-5,COLUMN()+1)*Input!$H$441</f>
        <v>1965.8626000000002</v>
      </c>
      <c r="K10" s="265">
        <f>+INDEX(ANH,ROW(Input!G$24)-5,COLUMN()+1)*Input!$H$441</f>
        <v>2027.5436999999999</v>
      </c>
      <c r="L10" s="267">
        <f>+INDEX(ANH,ROW(Input!H$24)-5,COLUMN()+1)*Input!$H$441</f>
        <v>2086.4948000000004</v>
      </c>
    </row>
    <row r="11" spans="1:12" s="53" customFormat="1">
      <c r="A11" s="60" t="s">
        <v>31</v>
      </c>
      <c r="B11" s="355" t="s">
        <v>169</v>
      </c>
      <c r="C11" s="59" t="s">
        <v>139</v>
      </c>
      <c r="D11" s="170" t="s">
        <v>74</v>
      </c>
      <c r="E11" s="169" t="s">
        <v>182</v>
      </c>
      <c r="F11" s="262">
        <f>VLOOKUP($A11,'Price setting'!$E$488:$O$506,COLUMN()-1,FALSE)</f>
        <v>0</v>
      </c>
      <c r="G11" s="263">
        <f>VLOOKUP($A11,'Price setting'!$E$488:$O$506,COLUMN()-1,FALSE)</f>
        <v>0</v>
      </c>
      <c r="H11" s="263">
        <f ca="1">VLOOKUP($A11,'Price setting'!$E$488:$O$506,COLUMN()-1,FALSE)</f>
        <v>0.95451350460011231</v>
      </c>
      <c r="I11" s="263">
        <f ca="1">VLOOKUP($A11,'Price setting'!$E$488:$O$506,COLUMN()-1,FALSE)</f>
        <v>2.8312201420175538</v>
      </c>
      <c r="J11" s="263">
        <f ca="1">VLOOKUP($A11,'Price setting'!$E$488:$O$506,COLUMN()-1,FALSE)</f>
        <v>3.9736086737378553</v>
      </c>
      <c r="K11" s="263">
        <f ca="1">VLOOKUP($A11,'Price setting'!$E$488:$O$506,COLUMN()-1,FALSE)</f>
        <v>4.4383293786617086</v>
      </c>
      <c r="L11" s="264">
        <f ca="1">VLOOKUP($A11,'Price setting'!$E$488:$O$506,COLUMN()-1,FALSE)</f>
        <v>4.8265817261941377</v>
      </c>
    </row>
    <row r="12" spans="1:12" s="53" customFormat="1">
      <c r="A12" s="60" t="str">
        <f>+A11</f>
        <v>ANH</v>
      </c>
      <c r="B12" s="355" t="s">
        <v>170</v>
      </c>
      <c r="C12" s="59" t="s">
        <v>67</v>
      </c>
      <c r="D12" s="170" t="s">
        <v>171</v>
      </c>
      <c r="E12" s="169" t="s">
        <v>182</v>
      </c>
      <c r="F12" s="320">
        <f>+Input!$H$441</f>
        <v>1.3</v>
      </c>
      <c r="G12" s="321">
        <f>+Input!$H$441</f>
        <v>1.3</v>
      </c>
      <c r="H12" s="321">
        <f>+Input!$H$441</f>
        <v>1.3</v>
      </c>
      <c r="I12" s="321">
        <f>+Input!$H$441</f>
        <v>1.3</v>
      </c>
      <c r="J12" s="321">
        <f>+Input!$H$441</f>
        <v>1.3</v>
      </c>
      <c r="K12" s="321">
        <f>+Input!$H$441</f>
        <v>1.3</v>
      </c>
      <c r="L12" s="322">
        <f>+Input!$H$441</f>
        <v>1.3</v>
      </c>
    </row>
    <row r="13" spans="1:12" s="53" customFormat="1">
      <c r="A13" s="60" t="s">
        <v>31</v>
      </c>
      <c r="B13" s="355" t="s">
        <v>194</v>
      </c>
      <c r="C13" s="21" t="s">
        <v>185</v>
      </c>
      <c r="D13" s="168" t="s">
        <v>75</v>
      </c>
      <c r="E13" s="169" t="s">
        <v>182</v>
      </c>
      <c r="F13" s="316">
        <f ca="1">VLOOKUP(A13,'Price setting'!$E$89:$I$106,COLUMN()-1,FALSE)</f>
        <v>20.431638005231878</v>
      </c>
      <c r="G13" s="317"/>
      <c r="H13" s="317"/>
      <c r="I13" s="317"/>
      <c r="J13" s="317"/>
      <c r="K13" s="317"/>
      <c r="L13" s="323"/>
    </row>
    <row r="14" spans="1:12" s="53" customFormat="1">
      <c r="A14" s="60" t="s">
        <v>31</v>
      </c>
      <c r="B14" s="355" t="s">
        <v>195</v>
      </c>
      <c r="C14" s="21" t="s">
        <v>186</v>
      </c>
      <c r="D14" s="168" t="s">
        <v>75</v>
      </c>
      <c r="E14" s="169" t="s">
        <v>182</v>
      </c>
      <c r="F14" s="316">
        <f ca="1">VLOOKUP(A14,'Price setting'!E$254:I$271,COLUMN()-1,FALSE)+VLOOKUP(A13,'Price setting'!$E$89:$I$106,COLUMN()-1,FALSE)</f>
        <v>22.960551616465469</v>
      </c>
      <c r="G14" s="317"/>
      <c r="H14" s="317"/>
      <c r="I14" s="317"/>
      <c r="J14" s="317"/>
      <c r="K14" s="317"/>
      <c r="L14" s="323"/>
    </row>
    <row r="15" spans="1:12" s="53" customFormat="1">
      <c r="A15" s="60" t="s">
        <v>31</v>
      </c>
      <c r="B15" s="355" t="s">
        <v>196</v>
      </c>
      <c r="C15" s="21" t="s">
        <v>187</v>
      </c>
      <c r="D15" s="168" t="s">
        <v>75</v>
      </c>
      <c r="E15" s="169" t="s">
        <v>182</v>
      </c>
      <c r="F15" s="316">
        <f ca="1">VLOOKUP(A15,'Price setting'!E$319:I$336,COLUMN()-1,FALSE)+VLOOKUP(A13,'Price setting'!$E$89:$I$106,COLUMN()-1,FALSE)</f>
        <v>23.584986609230846</v>
      </c>
      <c r="G15" s="317"/>
      <c r="H15" s="317"/>
      <c r="I15" s="317"/>
      <c r="J15" s="317"/>
      <c r="K15" s="317"/>
      <c r="L15" s="323"/>
    </row>
    <row r="16" spans="1:12" s="53" customFormat="1">
      <c r="A16" s="60" t="s">
        <v>31</v>
      </c>
      <c r="B16" s="355" t="s">
        <v>197</v>
      </c>
      <c r="C16" s="21" t="s">
        <v>188</v>
      </c>
      <c r="D16" s="168" t="s">
        <v>75</v>
      </c>
      <c r="E16" s="169" t="s">
        <v>182</v>
      </c>
      <c r="F16" s="316">
        <f ca="1">(VLOOKUP(A16,'Price setting'!E$384:I$401,COLUMN()-1,FALSE)+VLOOKUP(A13,'Price setting'!$E$89:$I$106,COLUMN()-1,FALSE))*+Input!$H$441</f>
        <v>30.065540802836242</v>
      </c>
      <c r="G16" s="317"/>
      <c r="H16" s="317"/>
      <c r="I16" s="317"/>
      <c r="J16" s="317"/>
      <c r="K16" s="317"/>
      <c r="L16" s="323"/>
    </row>
    <row r="17" spans="1:12" s="53" customFormat="1">
      <c r="A17" s="60" t="s">
        <v>31</v>
      </c>
      <c r="B17" s="355" t="s">
        <v>198</v>
      </c>
      <c r="C17" s="21" t="s">
        <v>189</v>
      </c>
      <c r="D17" s="168" t="s">
        <v>75</v>
      </c>
      <c r="E17" s="169" t="s">
        <v>182</v>
      </c>
      <c r="F17" s="316">
        <f ca="1">VLOOKUP(A17,'Price setting'!E$89:I$106,COLUMN()-1,FALSE)*+Input!$H$441</f>
        <v>26.561129406801442</v>
      </c>
      <c r="G17" s="317"/>
      <c r="H17" s="317"/>
      <c r="I17" s="317"/>
      <c r="J17" s="317"/>
      <c r="K17" s="317"/>
      <c r="L17" s="323"/>
    </row>
    <row r="18" spans="1:12" s="53" customFormat="1">
      <c r="A18" s="60" t="s">
        <v>31</v>
      </c>
      <c r="B18" s="356" t="s">
        <v>204</v>
      </c>
      <c r="C18" s="50" t="s">
        <v>203</v>
      </c>
      <c r="D18" s="168" t="s">
        <v>75</v>
      </c>
      <c r="E18" s="169" t="s">
        <v>182</v>
      </c>
      <c r="F18" s="316"/>
      <c r="G18" s="317"/>
      <c r="H18" s="317">
        <f ca="1">VLOOKUP($A18,'Price setting'!$E$213:$O$230,COLUMN()-1,FALSE)</f>
        <v>19.677260963836904</v>
      </c>
      <c r="I18" s="317">
        <f ca="1">VLOOKUP($A18,'Price setting'!$E$213:$O$230,COLUMN()-1,FALSE)</f>
        <v>20.244623115283289</v>
      </c>
      <c r="J18" s="317">
        <f ca="1">VLOOKUP($A18,'Price setting'!$E$213:$O$230,COLUMN()-1,FALSE)</f>
        <v>20.593615852115768</v>
      </c>
      <c r="K18" s="317">
        <f ca="1">VLOOKUP($A18,'Price setting'!$E$213:$O$230,COLUMN()-1,FALSE)</f>
        <v>20.747657600929873</v>
      </c>
      <c r="L18" s="323">
        <f ca="1">VLOOKUP($A18,'Price setting'!$E$213:$O$230,COLUMN()-1,FALSE)</f>
        <v>20.890617760281941</v>
      </c>
    </row>
    <row r="19" spans="1:12" s="53" customFormat="1">
      <c r="A19" s="60" t="s">
        <v>31</v>
      </c>
      <c r="B19" s="355" t="s">
        <v>199</v>
      </c>
      <c r="C19" s="21" t="s">
        <v>190</v>
      </c>
      <c r="D19" s="168" t="s">
        <v>75</v>
      </c>
      <c r="E19" s="169" t="s">
        <v>182</v>
      </c>
      <c r="F19" s="316"/>
      <c r="G19" s="317"/>
      <c r="H19" s="317">
        <f ca="1">VLOOKUP($A18,'Price setting'!$E$213:$O$230,COLUMN()-1,FALSE)*+Input!$H$441</f>
        <v>25.580439252987976</v>
      </c>
      <c r="I19" s="317">
        <f ca="1">VLOOKUP($A18,'Price setting'!$E$213:$O$230,COLUMN()-1,FALSE)*+Input!$H$441</f>
        <v>26.318010049868278</v>
      </c>
      <c r="J19" s="317">
        <f ca="1">VLOOKUP($A18,'Price setting'!$E$213:$O$230,COLUMN()-1,FALSE)*+Input!$H$441</f>
        <v>26.7717006077505</v>
      </c>
      <c r="K19" s="317">
        <f ca="1">VLOOKUP($A18,'Price setting'!$E$213:$O$230,COLUMN()-1,FALSE)*+Input!$H$441</f>
        <v>26.971954881208838</v>
      </c>
      <c r="L19" s="323">
        <f ca="1">VLOOKUP($A18,'Price setting'!$E$213:$O$230,COLUMN()-1,FALSE)*+Input!$H$441</f>
        <v>27.157803088366524</v>
      </c>
    </row>
    <row r="20" spans="1:12" s="53" customFormat="1">
      <c r="A20" s="60" t="s">
        <v>31</v>
      </c>
      <c r="B20" s="355" t="s">
        <v>200</v>
      </c>
      <c r="C20" s="21" t="s">
        <v>191</v>
      </c>
      <c r="D20" s="168" t="s">
        <v>75</v>
      </c>
      <c r="E20" s="169" t="s">
        <v>182</v>
      </c>
      <c r="F20" s="316"/>
      <c r="G20" s="317"/>
      <c r="H20" s="317">
        <f ca="1">VLOOKUP($A20,'Price setting'!$E$278:$O$295,COLUMN()-1,FALSE)+VLOOKUP($A18,'Price setting'!$E$213:$O$230,COLUMN()-1,FALSE)</f>
        <v>22.157260963836901</v>
      </c>
      <c r="I20" s="317">
        <f ca="1">VLOOKUP($A20,'Price setting'!$E$278:$O$295,COLUMN()-1,FALSE)+VLOOKUP($A18,'Price setting'!$E$213:$O$230,COLUMN()-1,FALSE)</f>
        <v>22.72462311528329</v>
      </c>
      <c r="J20" s="317">
        <f ca="1">VLOOKUP($A20,'Price setting'!$E$278:$O$295,COLUMN()-1,FALSE)+VLOOKUP($A18,'Price setting'!$E$213:$O$230,COLUMN()-1,FALSE)</f>
        <v>23.073615852115768</v>
      </c>
      <c r="K20" s="317">
        <f ca="1">VLOOKUP($A20,'Price setting'!$E$278:$O$295,COLUMN()-1,FALSE)+VLOOKUP($A18,'Price setting'!$E$213:$O$230,COLUMN()-1,FALSE)</f>
        <v>23.227657600929874</v>
      </c>
      <c r="L20" s="323">
        <f ca="1">VLOOKUP($A20,'Price setting'!$E$278:$O$295,COLUMN()-1,FALSE)+VLOOKUP($A18,'Price setting'!$E$213:$O$230,COLUMN()-1,FALSE)</f>
        <v>23.370617760281942</v>
      </c>
    </row>
    <row r="21" spans="1:12" s="53" customFormat="1">
      <c r="A21" s="60" t="s">
        <v>31</v>
      </c>
      <c r="B21" s="355" t="s">
        <v>201</v>
      </c>
      <c r="C21" s="21" t="s">
        <v>192</v>
      </c>
      <c r="D21" s="168" t="s">
        <v>75</v>
      </c>
      <c r="E21" s="169" t="s">
        <v>182</v>
      </c>
      <c r="F21" s="316"/>
      <c r="G21" s="317"/>
      <c r="H21" s="317">
        <f ca="1">VLOOKUP($A21,'Price setting'!$E$343:$O$360,COLUMN()-1,FALSE)+VLOOKUP($A18,'Price setting'!$E$213:$O$230,COLUMN()-1,FALSE)</f>
        <v>22.817260963836908</v>
      </c>
      <c r="I21" s="317">
        <f ca="1">VLOOKUP($A21,'Price setting'!$E$343:$O$360,COLUMN()-1,FALSE)+VLOOKUP($A18,'Price setting'!$E$213:$O$230,COLUMN()-1,FALSE)</f>
        <v>23.384623115283297</v>
      </c>
      <c r="J21" s="317">
        <f ca="1">VLOOKUP($A21,'Price setting'!$E$343:$O$360,COLUMN()-1,FALSE)+VLOOKUP($A18,'Price setting'!$E$213:$O$230,COLUMN()-1,FALSE)</f>
        <v>23.733615852115769</v>
      </c>
      <c r="K21" s="317">
        <f ca="1">VLOOKUP($A21,'Price setting'!$E$343:$O$360,COLUMN()-1,FALSE)+VLOOKUP($A18,'Price setting'!$E$213:$O$230,COLUMN()-1,FALSE)</f>
        <v>23.88765760092987</v>
      </c>
      <c r="L21" s="323">
        <f ca="1">VLOOKUP($A21,'Price setting'!$E$343:$O$360,COLUMN()-1,FALSE)+VLOOKUP($A18,'Price setting'!$E$213:$O$230,COLUMN()-1,FALSE)</f>
        <v>24.030617760281949</v>
      </c>
    </row>
    <row r="22" spans="1:12" s="53" customFormat="1">
      <c r="A22" s="60" t="s">
        <v>31</v>
      </c>
      <c r="B22" s="355" t="s">
        <v>202</v>
      </c>
      <c r="C22" s="21" t="s">
        <v>193</v>
      </c>
      <c r="D22" s="168" t="s">
        <v>75</v>
      </c>
      <c r="E22" s="169" t="s">
        <v>182</v>
      </c>
      <c r="F22" s="316"/>
      <c r="G22" s="317"/>
      <c r="H22" s="317">
        <f ca="1">(VLOOKUP($A22,'Price setting'!$E$408:$O$425,COLUMN()-1,FALSE)+VLOOKUP($A18,'Price setting'!$E$213:$O$230,COLUMN()-1,FALSE))*+Input!$H$441</f>
        <v>29.070439252987974</v>
      </c>
      <c r="I22" s="317">
        <f ca="1">(VLOOKUP($A22,'Price setting'!$E$408:$O$425,COLUMN()-1,FALSE)+VLOOKUP($A18,'Price setting'!$E$213:$O$230,COLUMN()-1,FALSE))*+Input!$H$441</f>
        <v>29.80801004986828</v>
      </c>
      <c r="J22" s="317">
        <f ca="1">(VLOOKUP($A22,'Price setting'!$E$408:$O$425,COLUMN()-1,FALSE)+VLOOKUP($A18,'Price setting'!$E$213:$O$230,COLUMN()-1,FALSE))*+Input!$H$441</f>
        <v>30.261700607750502</v>
      </c>
      <c r="K22" s="317">
        <f ca="1">(VLOOKUP($A22,'Price setting'!$E$408:$O$425,COLUMN()-1,FALSE)+VLOOKUP($A18,'Price setting'!$E$213:$O$230,COLUMN()-1,FALSE))*+Input!$H$441</f>
        <v>30.461954881208836</v>
      </c>
      <c r="L22" s="323">
        <f ca="1">(VLOOKUP($A22,'Price setting'!$E$408:$O$425,COLUMN()-1,FALSE)+VLOOKUP($A18,'Price setting'!$E$213:$O$230,COLUMN()-1,FALSE))*+Input!$H$441</f>
        <v>30.647803088366519</v>
      </c>
    </row>
    <row r="23" spans="1:12" s="53" customFormat="1">
      <c r="A23" s="60" t="s">
        <v>31</v>
      </c>
      <c r="B23" s="355" t="s">
        <v>208</v>
      </c>
      <c r="C23" s="21" t="s">
        <v>205</v>
      </c>
      <c r="D23" s="168" t="s">
        <v>75</v>
      </c>
      <c r="E23" s="169" t="s">
        <v>182</v>
      </c>
      <c r="F23" s="262">
        <f ca="1">VLOOKUP($A23,'Price setting'!$E$49:$I$66,COLUMN()-1,FALSE)</f>
        <v>0.30651533978294476</v>
      </c>
      <c r="G23" s="263"/>
      <c r="H23" s="263"/>
      <c r="I23" s="263"/>
      <c r="J23" s="263"/>
      <c r="K23" s="263"/>
      <c r="L23" s="264"/>
    </row>
    <row r="24" spans="1:12" s="53" customFormat="1">
      <c r="A24" s="60" t="s">
        <v>31</v>
      </c>
      <c r="B24" s="355" t="s">
        <v>206</v>
      </c>
      <c r="C24" s="21" t="s">
        <v>132</v>
      </c>
      <c r="D24" s="168" t="s">
        <v>74</v>
      </c>
      <c r="E24" s="169" t="s">
        <v>182</v>
      </c>
      <c r="F24" s="262">
        <f ca="1">'Used inputs'!I4</f>
        <v>67.321406396621526</v>
      </c>
      <c r="G24" s="263">
        <f>'Used inputs'!J4</f>
        <v>67.733798726621487</v>
      </c>
      <c r="H24" s="263">
        <f ca="1">'Used inputs'!K4</f>
        <v>68.670189112235548</v>
      </c>
      <c r="I24" s="263">
        <f ca="1">'Used inputs'!L4</f>
        <v>69.404352124191789</v>
      </c>
      <c r="J24" s="263">
        <f ca="1">'Used inputs'!M4</f>
        <v>70.215282803383616</v>
      </c>
      <c r="K24" s="263">
        <f ca="1">'Used inputs'!N4</f>
        <v>71.119636271047668</v>
      </c>
      <c r="L24" s="264">
        <f ca="1">'Used inputs'!O4</f>
        <v>72.118108864712156</v>
      </c>
    </row>
    <row r="25" spans="1:12" s="53" customFormat="1">
      <c r="A25" s="60" t="s">
        <v>31</v>
      </c>
      <c r="B25" s="355" t="s">
        <v>207</v>
      </c>
      <c r="C25" s="21" t="s">
        <v>157</v>
      </c>
      <c r="D25" s="168" t="s">
        <v>74</v>
      </c>
      <c r="E25" s="169" t="s">
        <v>182</v>
      </c>
      <c r="F25" s="546">
        <f>'Used inputs'!I17</f>
        <v>1.7732007871072051</v>
      </c>
      <c r="G25" s="548">
        <f>'Used inputs'!J17</f>
        <v>1.7193090539831746</v>
      </c>
      <c r="H25" s="548">
        <f>'Used inputs'!K17</f>
        <v>1.7671508664770625</v>
      </c>
      <c r="I25" s="548">
        <f>'Used inputs'!L17</f>
        <v>1.7671508664770625</v>
      </c>
      <c r="J25" s="548">
        <f>'Used inputs'!M17</f>
        <v>1.7671508664770625</v>
      </c>
      <c r="K25" s="548">
        <f>'Used inputs'!N17</f>
        <v>1.7671508664770625</v>
      </c>
      <c r="L25" s="547">
        <f>'Used inputs'!O17</f>
        <v>1.7671508664770625</v>
      </c>
    </row>
    <row r="26" spans="1:12" s="53" customFormat="1">
      <c r="A26" s="60" t="s">
        <v>32</v>
      </c>
      <c r="B26" s="355" t="s">
        <v>162</v>
      </c>
      <c r="C26" s="59" t="s">
        <v>175</v>
      </c>
      <c r="D26" s="169" t="s">
        <v>74</v>
      </c>
      <c r="E26" s="169" t="s">
        <v>182</v>
      </c>
      <c r="F26" s="262">
        <f>VLOOKUP($A26,'Price setting'!$E$448:$O$466,COLUMN()-1,FALSE)</f>
        <v>0</v>
      </c>
      <c r="G26" s="263">
        <f>VLOOKUP($A26,'Price setting'!$E$448:$O$466,COLUMN()-1,FALSE)</f>
        <v>0</v>
      </c>
      <c r="H26" s="263">
        <f ca="1">VLOOKUP($A26,'Price setting'!$E$448:$O$466,COLUMN()-1,FALSE)</f>
        <v>51.405948504049192</v>
      </c>
      <c r="I26" s="263">
        <f ca="1">VLOOKUP($A26,'Price setting'!$E$448:$O$466,COLUMN()-1,FALSE)</f>
        <v>49.849142356779133</v>
      </c>
      <c r="J26" s="263">
        <f ca="1">VLOOKUP($A26,'Price setting'!$E$448:$O$466,COLUMN()-1,FALSE)</f>
        <v>48.344143823438074</v>
      </c>
      <c r="K26" s="263">
        <f ca="1">VLOOKUP($A26,'Price setting'!$E$448:$O$466,COLUMN()-1,FALSE)</f>
        <v>46.697231726457971</v>
      </c>
      <c r="L26" s="264">
        <f ca="1">VLOOKUP($A26,'Price setting'!$E$448:$O$466,COLUMN()-1,FALSE)</f>
        <v>46.581892200401896</v>
      </c>
    </row>
    <row r="27" spans="1:12" s="53" customFormat="1">
      <c r="A27" s="60" t="s">
        <v>32</v>
      </c>
      <c r="B27" s="355" t="s">
        <v>163</v>
      </c>
      <c r="C27" s="59" t="s">
        <v>118</v>
      </c>
      <c r="D27" s="168" t="s">
        <v>75</v>
      </c>
      <c r="E27" s="169" t="s">
        <v>182</v>
      </c>
      <c r="F27" s="316">
        <f>VLOOKUP($A27,'Price setting'!$E$213:$O$231,COLUMN()-1,FALSE)</f>
        <v>0</v>
      </c>
      <c r="G27" s="317">
        <f>VLOOKUP($A27,'Price setting'!$E$213:$O$231,COLUMN()-1,FALSE)</f>
        <v>0</v>
      </c>
      <c r="H27" s="317">
        <f ca="1">VLOOKUP($A27,'Price setting'!$E$213:$O$231,COLUMN()-1,FALSE)</f>
        <v>27.461587447808238</v>
      </c>
      <c r="I27" s="317">
        <f ca="1">VLOOKUP($A27,'Price setting'!$E$213:$O$231,COLUMN()-1,FALSE)</f>
        <v>26.485648691099559</v>
      </c>
      <c r="J27" s="317">
        <f ca="1">VLOOKUP($A27,'Price setting'!$E$213:$O$231,COLUMN()-1,FALSE)</f>
        <v>25.563106244419838</v>
      </c>
      <c r="K27" s="317">
        <f ca="1">VLOOKUP($A27,'Price setting'!$E$213:$O$231,COLUMN()-1,FALSE)</f>
        <v>24.592173340461585</v>
      </c>
      <c r="L27" s="323">
        <f ca="1">VLOOKUP($A27,'Price setting'!$E$213:$O$231,COLUMN()-1,FALSE)</f>
        <v>24.335332211274139</v>
      </c>
    </row>
    <row r="28" spans="1:12" s="53" customFormat="1">
      <c r="A28" s="60" t="s">
        <v>32</v>
      </c>
      <c r="B28" s="355" t="s">
        <v>164</v>
      </c>
      <c r="C28" s="59" t="s">
        <v>119</v>
      </c>
      <c r="D28" s="168" t="s">
        <v>75</v>
      </c>
      <c r="E28" s="169" t="s">
        <v>182</v>
      </c>
      <c r="F28" s="316">
        <f>VLOOKUP($A28,'Price setting'!$E$278:$O$296,COLUMN()-1,FALSE)+VLOOKUP($A27,'Price setting'!$E$213:$O$231,COLUMN()-1,FALSE)</f>
        <v>0</v>
      </c>
      <c r="G28" s="317">
        <f>VLOOKUP($A28,'Price setting'!$E$278:$O$296,COLUMN()-1,FALSE)+VLOOKUP($A27,'Price setting'!$E$213:$O$231,COLUMN()-1,FALSE)</f>
        <v>0</v>
      </c>
      <c r="H28" s="317">
        <f ca="1">VLOOKUP($A28,'Price setting'!$E$278:$O$296,COLUMN()-1,FALSE)+VLOOKUP($A27,'Price setting'!$E$213:$O$231,COLUMN()-1,FALSE)</f>
        <v>35.13167125066915</v>
      </c>
      <c r="I28" s="317">
        <f ca="1">VLOOKUP($A28,'Price setting'!$E$278:$O$296,COLUMN()-1,FALSE)+VLOOKUP($A27,'Price setting'!$E$213:$O$231,COLUMN()-1,FALSE)</f>
        <v>33.54797797118178</v>
      </c>
      <c r="J28" s="317">
        <f ca="1">VLOOKUP($A28,'Price setting'!$E$278:$O$296,COLUMN()-1,FALSE)+VLOOKUP($A27,'Price setting'!$E$213:$O$231,COLUMN()-1,FALSE)</f>
        <v>31.989731880392227</v>
      </c>
      <c r="K28" s="317">
        <f ca="1">VLOOKUP($A28,'Price setting'!$E$278:$O$296,COLUMN()-1,FALSE)+VLOOKUP($A27,'Price setting'!$E$213:$O$231,COLUMN()-1,FALSE)</f>
        <v>30.383095332324146</v>
      </c>
      <c r="L28" s="323">
        <f ca="1">VLOOKUP($A28,'Price setting'!$E$278:$O$296,COLUMN()-1,FALSE)+VLOOKUP($A27,'Price setting'!$E$213:$O$231,COLUMN()-1,FALSE)</f>
        <v>30.1262542031367</v>
      </c>
    </row>
    <row r="29" spans="1:12" s="53" customFormat="1">
      <c r="A29" s="60" t="s">
        <v>32</v>
      </c>
      <c r="B29" s="355" t="s">
        <v>165</v>
      </c>
      <c r="C29" s="59" t="s">
        <v>120</v>
      </c>
      <c r="D29" s="168" t="s">
        <v>75</v>
      </c>
      <c r="E29" s="169" t="s">
        <v>182</v>
      </c>
      <c r="F29" s="316">
        <f>VLOOKUP($A29,'Price setting'!$E$343:$O$361,COLUMN()-1,FALSE)+VLOOKUP($A27,'Price setting'!$E$213:$O$231,COLUMN()-1,FALSE)</f>
        <v>0</v>
      </c>
      <c r="G29" s="317">
        <f>VLOOKUP($A29,'Price setting'!$E$343:$O$361,COLUMN()-1,FALSE)+VLOOKUP($A27,'Price setting'!$E$213:$O$231,COLUMN()-1,FALSE)</f>
        <v>0</v>
      </c>
      <c r="H29" s="317">
        <f ca="1">VLOOKUP($A29,'Price setting'!$E$343:$O$361,COLUMN()-1,FALSE)+VLOOKUP($A27,'Price setting'!$E$213:$O$231,COLUMN()-1,FALSE)</f>
        <v>34.72201123299223</v>
      </c>
      <c r="I29" s="317">
        <f ca="1">VLOOKUP($A29,'Price setting'!$E$343:$O$361,COLUMN()-1,FALSE)+VLOOKUP($A27,'Price setting'!$E$213:$O$231,COLUMN()-1,FALSE)</f>
        <v>32.683936859465049</v>
      </c>
      <c r="J29" s="317">
        <f ca="1">VLOOKUP($A29,'Price setting'!$E$343:$O$361,COLUMN()-1,FALSE)+VLOOKUP($A27,'Price setting'!$E$213:$O$231,COLUMN()-1,FALSE)</f>
        <v>30.699258795966823</v>
      </c>
      <c r="K29" s="317">
        <f ca="1">VLOOKUP($A29,'Price setting'!$E$343:$O$361,COLUMN()-1,FALSE)+VLOOKUP($A27,'Price setting'!$E$213:$O$231,COLUMN()-1,FALSE)</f>
        <v>28.666190275190065</v>
      </c>
      <c r="L29" s="323">
        <f ca="1">VLOOKUP($A29,'Price setting'!$E$343:$O$361,COLUMN()-1,FALSE)+VLOOKUP($A27,'Price setting'!$E$213:$O$231,COLUMN()-1,FALSE)</f>
        <v>28.409349146002619</v>
      </c>
    </row>
    <row r="30" spans="1:12" s="53" customFormat="1">
      <c r="A30" s="60" t="s">
        <v>32</v>
      </c>
      <c r="B30" s="355" t="s">
        <v>166</v>
      </c>
      <c r="C30" s="59" t="s">
        <v>124</v>
      </c>
      <c r="D30" s="168" t="s">
        <v>75</v>
      </c>
      <c r="E30" s="169" t="s">
        <v>182</v>
      </c>
      <c r="F30" s="316">
        <f>VLOOKUP($A30,'Price setting'!$E$408:$O$426,COLUMN()-1,FALSE)+VLOOKUP($A27,'Price setting'!$E$213:$O$231,COLUMN()-1,FALSE)</f>
        <v>0</v>
      </c>
      <c r="G30" s="317">
        <f>VLOOKUP($A30,'Price setting'!$E$408:$O$426,COLUMN()-1,FALSE)+VLOOKUP($A27,'Price setting'!$E$213:$O$231,COLUMN()-1,FALSE)</f>
        <v>0</v>
      </c>
      <c r="H30" s="317">
        <f ca="1">VLOOKUP($A30,'Price setting'!$E$408:$O$426,COLUMN()-1,FALSE)+VLOOKUP($A27,'Price setting'!$E$213:$O$231,COLUMN()-1,FALSE)</f>
        <v>33.368520981607304</v>
      </c>
      <c r="I30" s="317">
        <f ca="1">VLOOKUP($A30,'Price setting'!$E$408:$O$426,COLUMN()-1,FALSE)+VLOOKUP($A27,'Price setting'!$E$213:$O$231,COLUMN()-1,FALSE)</f>
        <v>32.081846699427892</v>
      </c>
      <c r="J30" s="317">
        <f ca="1">VLOOKUP($A30,'Price setting'!$E$408:$O$426,COLUMN()-1,FALSE)+VLOOKUP($A27,'Price setting'!$E$213:$O$231,COLUMN()-1,FALSE)</f>
        <v>30.825857468186562</v>
      </c>
      <c r="K30" s="317">
        <f ca="1">VLOOKUP($A30,'Price setting'!$E$408:$O$426,COLUMN()-1,FALSE)+VLOOKUP($A27,'Price setting'!$E$213:$O$231,COLUMN()-1,FALSE)</f>
        <v>29.477012110371753</v>
      </c>
      <c r="L30" s="323">
        <f ca="1">VLOOKUP($A30,'Price setting'!$E$408:$O$426,COLUMN()-1,FALSE)+VLOOKUP($A27,'Price setting'!$E$213:$O$231,COLUMN()-1,FALSE)</f>
        <v>29.141051133783328</v>
      </c>
    </row>
    <row r="31" spans="1:12" s="53" customFormat="1">
      <c r="A31" s="60" t="s">
        <v>32</v>
      </c>
      <c r="B31" s="355" t="s">
        <v>167</v>
      </c>
      <c r="C31" s="59" t="s">
        <v>122</v>
      </c>
      <c r="D31" s="170" t="s">
        <v>88</v>
      </c>
      <c r="E31" s="169" t="s">
        <v>182</v>
      </c>
      <c r="F31" s="262">
        <f>INDEX(WSH,ROW(Input!B$23)-5,COLUMN()+1)*Input!$H$441</f>
        <v>940.82300000000009</v>
      </c>
      <c r="G31" s="263">
        <f>INDEX(WSH,ROW(Input!C$23)-5,COLUMN()+1)*Input!$H$441</f>
        <v>918.38110000000006</v>
      </c>
      <c r="H31" s="263">
        <f>INDEX(WSH,ROW(Input!D$23)-5,COLUMN()+1)*Input!$H$441</f>
        <v>895.53490000000011</v>
      </c>
      <c r="I31" s="263">
        <f>INDEX(WSH,ROW(Input!E$23)-5,COLUMN()+1)*Input!$H$441</f>
        <v>873.28150000000005</v>
      </c>
      <c r="J31" s="263">
        <f>INDEX(WSH,ROW(Input!F$23)-5,COLUMN()+1)*Input!$H$441</f>
        <v>851.60400000000004</v>
      </c>
      <c r="K31" s="263">
        <f>INDEX(WSH,ROW(Input!G$23)-5,COLUMN()+1)*Input!$H$441</f>
        <v>830.48550000000012</v>
      </c>
      <c r="L31" s="264">
        <f>INDEX(WSH,ROW(Input!H$23)-5,COLUMN()+1)*Input!$H$441</f>
        <v>809.9117</v>
      </c>
    </row>
    <row r="32" spans="1:12" s="53" customFormat="1">
      <c r="A32" s="60" t="s">
        <v>32</v>
      </c>
      <c r="B32" s="355" t="s">
        <v>168</v>
      </c>
      <c r="C32" s="59" t="s">
        <v>123</v>
      </c>
      <c r="D32" s="170" t="s">
        <v>88</v>
      </c>
      <c r="E32" s="169" t="s">
        <v>182</v>
      </c>
      <c r="F32" s="262">
        <f>+INDEX(WSH,ROW(Input!B$24)-5,COLUMN()+1)*Input!$H$441</f>
        <v>555.25340000000006</v>
      </c>
      <c r="G32" s="263">
        <f>+INDEX(WSH,ROW(Input!C$24)-5,COLUMN()+1)*Input!$H$441</f>
        <v>584.60350000000005</v>
      </c>
      <c r="H32" s="263">
        <f>+INDEX(WSH,ROW(Input!D$24)-5,COLUMN()+1)*Input!$H$441</f>
        <v>614.35790000000009</v>
      </c>
      <c r="I32" s="263">
        <f>+INDEX(WSH,ROW(Input!E$24)-5,COLUMN()+1)*Input!$H$441</f>
        <v>643.98099999999999</v>
      </c>
      <c r="J32" s="263">
        <f>+INDEX(WSH,ROW(Input!F$24)-5,COLUMN()+1)*Input!$H$441</f>
        <v>673.4910000000001</v>
      </c>
      <c r="K32" s="263">
        <f>+INDEX(WSH,ROW(Input!G$24)-5,COLUMN()+1)*Input!$H$441</f>
        <v>702.90089999999998</v>
      </c>
      <c r="L32" s="264">
        <f>+INDEX(WSH,ROW(Input!H$24)-5,COLUMN()+1)*Input!$H$441</f>
        <v>732.22759999999994</v>
      </c>
    </row>
    <row r="33" spans="1:12" s="53" customFormat="1">
      <c r="A33" s="60" t="s">
        <v>32</v>
      </c>
      <c r="B33" s="355" t="s">
        <v>169</v>
      </c>
      <c r="C33" s="59" t="s">
        <v>139</v>
      </c>
      <c r="D33" s="170" t="s">
        <v>74</v>
      </c>
      <c r="E33" s="169" t="s">
        <v>182</v>
      </c>
      <c r="F33" s="262">
        <f>VLOOKUP($A33,'Price setting'!$E$488:$O$506,COLUMN()-1,FALSE)</f>
        <v>0</v>
      </c>
      <c r="G33" s="263">
        <f>VLOOKUP($A33,'Price setting'!$E$488:$O$506,COLUMN()-1,FALSE)</f>
        <v>0</v>
      </c>
      <c r="H33" s="263">
        <f ca="1">VLOOKUP($A33,'Price setting'!$E$488:$O$506,COLUMN()-1,FALSE)</f>
        <v>0.6866554622258827</v>
      </c>
      <c r="I33" s="263">
        <f ca="1">VLOOKUP($A33,'Price setting'!$E$488:$O$506,COLUMN()-1,FALSE)</f>
        <v>1.1012980211865431</v>
      </c>
      <c r="J33" s="263">
        <f ca="1">VLOOKUP($A33,'Price setting'!$E$488:$O$506,COLUMN()-1,FALSE)</f>
        <v>1.2533084215511463</v>
      </c>
      <c r="K33" s="263">
        <f ca="1">VLOOKUP($A33,'Price setting'!$E$488:$O$506,COLUMN()-1,FALSE)</f>
        <v>1.3503869564827125</v>
      </c>
      <c r="L33" s="264">
        <f ca="1">VLOOKUP($A33,'Price setting'!$E$488:$O$506,COLUMN()-1,FALSE)</f>
        <v>1.4267527214992202</v>
      </c>
    </row>
    <row r="34" spans="1:12" s="53" customFormat="1">
      <c r="A34" s="60" t="str">
        <f>+A33</f>
        <v>WSH</v>
      </c>
      <c r="B34" s="355" t="s">
        <v>170</v>
      </c>
      <c r="C34" s="59" t="s">
        <v>67</v>
      </c>
      <c r="D34" s="170" t="s">
        <v>171</v>
      </c>
      <c r="E34" s="169" t="s">
        <v>182</v>
      </c>
      <c r="F34" s="320">
        <f>+Input!$H$441</f>
        <v>1.3</v>
      </c>
      <c r="G34" s="321">
        <f>+Input!$H$441</f>
        <v>1.3</v>
      </c>
      <c r="H34" s="321">
        <f>+Input!$H$441</f>
        <v>1.3</v>
      </c>
      <c r="I34" s="321">
        <f>+Input!$H$441</f>
        <v>1.3</v>
      </c>
      <c r="J34" s="321">
        <f>+Input!$H$441</f>
        <v>1.3</v>
      </c>
      <c r="K34" s="321">
        <f>+Input!$H$441</f>
        <v>1.3</v>
      </c>
      <c r="L34" s="322">
        <f>+Input!$H$441</f>
        <v>1.3</v>
      </c>
    </row>
    <row r="35" spans="1:12" s="53" customFormat="1">
      <c r="A35" s="60" t="str">
        <f t="shared" ref="A35:A47" si="0">+A34</f>
        <v>WSH</v>
      </c>
      <c r="B35" s="355" t="s">
        <v>194</v>
      </c>
      <c r="C35" s="59" t="s">
        <v>185</v>
      </c>
      <c r="D35" s="170" t="s">
        <v>75</v>
      </c>
      <c r="E35" s="169" t="s">
        <v>182</v>
      </c>
      <c r="F35" s="316">
        <f ca="1">VLOOKUP(A35,'Price setting'!$E$89:$I$106,COLUMN()-1,FALSE)</f>
        <v>24.438141584581874</v>
      </c>
      <c r="G35" s="317"/>
      <c r="H35" s="317"/>
      <c r="I35" s="317"/>
      <c r="J35" s="317"/>
      <c r="K35" s="317"/>
      <c r="L35" s="323"/>
    </row>
    <row r="36" spans="1:12" s="53" customFormat="1">
      <c r="A36" s="60" t="str">
        <f t="shared" si="0"/>
        <v>WSH</v>
      </c>
      <c r="B36" s="355" t="s">
        <v>195</v>
      </c>
      <c r="C36" s="59" t="s">
        <v>186</v>
      </c>
      <c r="D36" s="170" t="s">
        <v>75</v>
      </c>
      <c r="E36" s="169" t="s">
        <v>182</v>
      </c>
      <c r="F36" s="316">
        <f ca="1">VLOOKUP(A36,'Price setting'!E$254:I$271,COLUMN()-1,FALSE)+VLOOKUP(A35,'Price setting'!$E$89:$I$106,COLUMN()-1,FALSE)</f>
        <v>32.771878152883751</v>
      </c>
      <c r="G36" s="317"/>
      <c r="H36" s="317"/>
      <c r="I36" s="317"/>
      <c r="J36" s="317"/>
      <c r="K36" s="317"/>
      <c r="L36" s="323"/>
    </row>
    <row r="37" spans="1:12" s="53" customFormat="1">
      <c r="A37" s="60" t="str">
        <f t="shared" si="0"/>
        <v>WSH</v>
      </c>
      <c r="B37" s="355" t="s">
        <v>196</v>
      </c>
      <c r="C37" s="59" t="s">
        <v>187</v>
      </c>
      <c r="D37" s="170" t="s">
        <v>75</v>
      </c>
      <c r="E37" s="169" t="s">
        <v>182</v>
      </c>
      <c r="F37" s="316">
        <f ca="1">VLOOKUP(A37,'Price setting'!E$319:I$336,COLUMN()-1,FALSE)+VLOOKUP(A35,'Price setting'!$E$89:$I$106,COLUMN()-1,FALSE)</f>
        <v>32.760700986584375</v>
      </c>
      <c r="G37" s="317"/>
      <c r="H37" s="317"/>
      <c r="I37" s="317"/>
      <c r="J37" s="317"/>
      <c r="K37" s="317"/>
      <c r="L37" s="323"/>
    </row>
    <row r="38" spans="1:12" s="53" customFormat="1">
      <c r="A38" s="60" t="str">
        <f t="shared" si="0"/>
        <v>WSH</v>
      </c>
      <c r="B38" s="355" t="s">
        <v>197</v>
      </c>
      <c r="C38" s="59" t="s">
        <v>188</v>
      </c>
      <c r="D38" s="170" t="s">
        <v>75</v>
      </c>
      <c r="E38" s="169" t="s">
        <v>182</v>
      </c>
      <c r="F38" s="316">
        <f ca="1">(VLOOKUP(A38,'Price setting'!E$384:I$401,COLUMN()-1,FALSE)+VLOOKUP(A35,'Price setting'!$E$89:$I$106,COLUMN()-1,FALSE))*+Input!$H$441</f>
        <v>40.085019220893749</v>
      </c>
      <c r="G38" s="317"/>
      <c r="H38" s="317"/>
      <c r="I38" s="317"/>
      <c r="J38" s="317"/>
      <c r="K38" s="317"/>
      <c r="L38" s="323"/>
    </row>
    <row r="39" spans="1:12" s="53" customFormat="1">
      <c r="A39" s="60" t="str">
        <f t="shared" si="0"/>
        <v>WSH</v>
      </c>
      <c r="B39" s="355" t="s">
        <v>198</v>
      </c>
      <c r="C39" s="59" t="s">
        <v>189</v>
      </c>
      <c r="D39" s="170" t="s">
        <v>75</v>
      </c>
      <c r="E39" s="169" t="s">
        <v>182</v>
      </c>
      <c r="F39" s="316">
        <f ca="1">VLOOKUP(A39,'Price setting'!E$89:I$106,COLUMN()-1,FALSE)*+Input!$H$441</f>
        <v>31.769584059956436</v>
      </c>
      <c r="G39" s="317"/>
      <c r="H39" s="317"/>
      <c r="I39" s="317"/>
      <c r="J39" s="317"/>
      <c r="K39" s="317"/>
      <c r="L39" s="323"/>
    </row>
    <row r="40" spans="1:12" s="53" customFormat="1">
      <c r="A40" s="60" t="s">
        <v>32</v>
      </c>
      <c r="B40" s="356" t="s">
        <v>204</v>
      </c>
      <c r="C40" s="50" t="s">
        <v>203</v>
      </c>
      <c r="D40" s="168" t="s">
        <v>75</v>
      </c>
      <c r="E40" s="169" t="s">
        <v>182</v>
      </c>
      <c r="F40" s="316"/>
      <c r="G40" s="317"/>
      <c r="H40" s="317">
        <f ca="1">VLOOKUP($A40,'Price setting'!$E$213:$O$230,COLUMN()-1,FALSE)</f>
        <v>27.461587447808238</v>
      </c>
      <c r="I40" s="317">
        <f ca="1">VLOOKUP($A40,'Price setting'!$E$213:$O$230,COLUMN()-1,FALSE)</f>
        <v>26.485648691099559</v>
      </c>
      <c r="J40" s="317">
        <f ca="1">VLOOKUP($A40,'Price setting'!$E$213:$O$230,COLUMN()-1,FALSE)</f>
        <v>25.563106244419838</v>
      </c>
      <c r="K40" s="317">
        <f ca="1">VLOOKUP($A40,'Price setting'!$E$213:$O$230,COLUMN()-1,FALSE)</f>
        <v>24.592173340461585</v>
      </c>
      <c r="L40" s="323">
        <f ca="1">VLOOKUP($A40,'Price setting'!$E$213:$O$230,COLUMN()-1,FALSE)</f>
        <v>24.335332211274139</v>
      </c>
    </row>
    <row r="41" spans="1:12" s="53" customFormat="1">
      <c r="A41" s="60" t="str">
        <f>+A39</f>
        <v>WSH</v>
      </c>
      <c r="B41" s="355" t="s">
        <v>199</v>
      </c>
      <c r="C41" s="59" t="s">
        <v>190</v>
      </c>
      <c r="D41" s="170" t="s">
        <v>75</v>
      </c>
      <c r="E41" s="169" t="s">
        <v>182</v>
      </c>
      <c r="F41" s="316"/>
      <c r="G41" s="317"/>
      <c r="H41" s="317">
        <f ca="1">VLOOKUP($A40,'Price setting'!$E$213:$O$230,COLUMN()-1,FALSE)*+Input!$H$441</f>
        <v>35.700063682150713</v>
      </c>
      <c r="I41" s="317">
        <f ca="1">VLOOKUP($A40,'Price setting'!$E$213:$O$230,COLUMN()-1,FALSE)*+Input!$H$441</f>
        <v>34.431343298429425</v>
      </c>
      <c r="J41" s="317">
        <f ca="1">VLOOKUP($A40,'Price setting'!$E$213:$O$230,COLUMN()-1,FALSE)*+Input!$H$441</f>
        <v>33.232038117745795</v>
      </c>
      <c r="K41" s="317">
        <f ca="1">VLOOKUP($A40,'Price setting'!$E$213:$O$230,COLUMN()-1,FALSE)*+Input!$H$441</f>
        <v>31.96982534260006</v>
      </c>
      <c r="L41" s="323">
        <f ca="1">VLOOKUP($A40,'Price setting'!$E$213:$O$230,COLUMN()-1,FALSE)*+Input!$H$441</f>
        <v>31.635931874656382</v>
      </c>
    </row>
    <row r="42" spans="1:12" s="53" customFormat="1">
      <c r="A42" s="60" t="str">
        <f t="shared" si="0"/>
        <v>WSH</v>
      </c>
      <c r="B42" s="355" t="s">
        <v>200</v>
      </c>
      <c r="C42" s="59" t="s">
        <v>191</v>
      </c>
      <c r="D42" s="170" t="s">
        <v>75</v>
      </c>
      <c r="E42" s="169" t="s">
        <v>182</v>
      </c>
      <c r="F42" s="316"/>
      <c r="G42" s="317"/>
      <c r="H42" s="317">
        <f ca="1">VLOOKUP($A42,'Price setting'!$E$278:$O$295,COLUMN()-1,FALSE)+VLOOKUP($A40,'Price setting'!$E$213:$O$230,COLUMN()-1,FALSE)</f>
        <v>35.13167125066915</v>
      </c>
      <c r="I42" s="317">
        <f ca="1">VLOOKUP($A42,'Price setting'!$E$278:$O$295,COLUMN()-1,FALSE)+VLOOKUP($A40,'Price setting'!$E$213:$O$230,COLUMN()-1,FALSE)</f>
        <v>33.54797797118178</v>
      </c>
      <c r="J42" s="317">
        <f ca="1">VLOOKUP($A42,'Price setting'!$E$278:$O$295,COLUMN()-1,FALSE)+VLOOKUP($A40,'Price setting'!$E$213:$O$230,COLUMN()-1,FALSE)</f>
        <v>31.989731880392227</v>
      </c>
      <c r="K42" s="317">
        <f ca="1">VLOOKUP($A42,'Price setting'!$E$278:$O$295,COLUMN()-1,FALSE)+VLOOKUP($A40,'Price setting'!$E$213:$O$230,COLUMN()-1,FALSE)</f>
        <v>30.383095332324146</v>
      </c>
      <c r="L42" s="323">
        <f ca="1">VLOOKUP($A42,'Price setting'!$E$278:$O$295,COLUMN()-1,FALSE)+VLOOKUP($A40,'Price setting'!$E$213:$O$230,COLUMN()-1,FALSE)</f>
        <v>30.1262542031367</v>
      </c>
    </row>
    <row r="43" spans="1:12" s="53" customFormat="1">
      <c r="A43" s="60" t="str">
        <f t="shared" si="0"/>
        <v>WSH</v>
      </c>
      <c r="B43" s="355" t="s">
        <v>201</v>
      </c>
      <c r="C43" s="59" t="s">
        <v>192</v>
      </c>
      <c r="D43" s="170" t="s">
        <v>75</v>
      </c>
      <c r="E43" s="169" t="s">
        <v>182</v>
      </c>
      <c r="F43" s="316"/>
      <c r="G43" s="317"/>
      <c r="H43" s="317">
        <f ca="1">VLOOKUP($A43,'Price setting'!$E$343:$O$360,COLUMN()-1,FALSE)+VLOOKUP($A40,'Price setting'!$E$213:$O$230,COLUMN()-1,FALSE)</f>
        <v>34.72201123299223</v>
      </c>
      <c r="I43" s="317">
        <f ca="1">VLOOKUP($A43,'Price setting'!$E$343:$O$360,COLUMN()-1,FALSE)+VLOOKUP($A40,'Price setting'!$E$213:$O$230,COLUMN()-1,FALSE)</f>
        <v>32.683936859465049</v>
      </c>
      <c r="J43" s="317">
        <f ca="1">VLOOKUP($A43,'Price setting'!$E$343:$O$360,COLUMN()-1,FALSE)+VLOOKUP($A40,'Price setting'!$E$213:$O$230,COLUMN()-1,FALSE)</f>
        <v>30.699258795966823</v>
      </c>
      <c r="K43" s="317">
        <f ca="1">VLOOKUP($A43,'Price setting'!$E$343:$O$360,COLUMN()-1,FALSE)+VLOOKUP($A40,'Price setting'!$E$213:$O$230,COLUMN()-1,FALSE)</f>
        <v>28.666190275190065</v>
      </c>
      <c r="L43" s="323">
        <f ca="1">VLOOKUP($A43,'Price setting'!$E$343:$O$360,COLUMN()-1,FALSE)+VLOOKUP($A40,'Price setting'!$E$213:$O$230,COLUMN()-1,FALSE)</f>
        <v>28.409349146002619</v>
      </c>
    </row>
    <row r="44" spans="1:12" s="53" customFormat="1">
      <c r="A44" s="60" t="str">
        <f t="shared" si="0"/>
        <v>WSH</v>
      </c>
      <c r="B44" s="355" t="s">
        <v>202</v>
      </c>
      <c r="C44" s="59" t="s">
        <v>193</v>
      </c>
      <c r="D44" s="170" t="s">
        <v>75</v>
      </c>
      <c r="E44" s="169" t="s">
        <v>182</v>
      </c>
      <c r="F44" s="316"/>
      <c r="G44" s="317"/>
      <c r="H44" s="317">
        <f ca="1">(VLOOKUP($A44,'Price setting'!$E$408:$O$425,COLUMN()-1,FALSE)+VLOOKUP($A40,'Price setting'!$E$213:$O$230,COLUMN()-1,FALSE))*+Input!$H$441</f>
        <v>43.379077276089497</v>
      </c>
      <c r="I44" s="317">
        <f ca="1">(VLOOKUP($A44,'Price setting'!$E$408:$O$425,COLUMN()-1,FALSE)+VLOOKUP($A40,'Price setting'!$E$213:$O$230,COLUMN()-1,FALSE))*+Input!$H$441</f>
        <v>41.706400709256265</v>
      </c>
      <c r="J44" s="317">
        <f ca="1">(VLOOKUP($A44,'Price setting'!$E$408:$O$425,COLUMN()-1,FALSE)+VLOOKUP($A40,'Price setting'!$E$213:$O$230,COLUMN()-1,FALSE))*+Input!$H$441</f>
        <v>40.073614708642531</v>
      </c>
      <c r="K44" s="317">
        <f ca="1">(VLOOKUP($A44,'Price setting'!$E$408:$O$425,COLUMN()-1,FALSE)+VLOOKUP($A40,'Price setting'!$E$213:$O$230,COLUMN()-1,FALSE))*+Input!$H$441</f>
        <v>38.320115743483278</v>
      </c>
      <c r="L44" s="323">
        <f ca="1">(VLOOKUP($A44,'Price setting'!$E$408:$O$425,COLUMN()-1,FALSE)+VLOOKUP($A40,'Price setting'!$E$213:$O$230,COLUMN()-1,FALSE))*+Input!$H$441</f>
        <v>37.883366473918329</v>
      </c>
    </row>
    <row r="45" spans="1:12" s="53" customFormat="1">
      <c r="A45" s="60" t="str">
        <f t="shared" si="0"/>
        <v>WSH</v>
      </c>
      <c r="B45" s="355" t="s">
        <v>208</v>
      </c>
      <c r="C45" s="21" t="s">
        <v>205</v>
      </c>
      <c r="D45" s="168" t="s">
        <v>75</v>
      </c>
      <c r="E45" s="169" t="s">
        <v>182</v>
      </c>
      <c r="F45" s="262">
        <f ca="1">VLOOKUP($A45,'Price setting'!$E$49:$I$66,COLUMN()-1,FALSE)</f>
        <v>0</v>
      </c>
      <c r="G45" s="263"/>
      <c r="H45" s="263"/>
      <c r="I45" s="263"/>
      <c r="J45" s="263"/>
      <c r="K45" s="263"/>
      <c r="L45" s="264"/>
    </row>
    <row r="46" spans="1:12" s="53" customFormat="1">
      <c r="A46" s="60" t="str">
        <f t="shared" si="0"/>
        <v>WSH</v>
      </c>
      <c r="B46" s="355" t="s">
        <v>206</v>
      </c>
      <c r="C46" s="21" t="s">
        <v>132</v>
      </c>
      <c r="D46" s="168" t="s">
        <v>74</v>
      </c>
      <c r="E46" s="169" t="s">
        <v>182</v>
      </c>
      <c r="F46" s="262">
        <f ca="1">'Used inputs'!I19</f>
        <v>44.455777382551858</v>
      </c>
      <c r="G46" s="263">
        <f>'Used inputs'!J19</f>
        <v>45.05551386023204</v>
      </c>
      <c r="H46" s="263">
        <f ca="1">'Used inputs'!K19</f>
        <v>44.334265568615614</v>
      </c>
      <c r="I46" s="263">
        <f ca="1">'Used inputs'!L19</f>
        <v>43.046380526439187</v>
      </c>
      <c r="J46" s="263">
        <f ca="1">'Used inputs'!M19</f>
        <v>42.106483392000321</v>
      </c>
      <c r="K46" s="263">
        <f ca="1">'Used inputs'!N19</f>
        <v>41.16078568387158</v>
      </c>
      <c r="L46" s="264">
        <f ca="1">'Used inputs'!O19</f>
        <v>41.26293695485284</v>
      </c>
    </row>
    <row r="47" spans="1:12" s="53" customFormat="1">
      <c r="A47" s="60" t="str">
        <f t="shared" si="0"/>
        <v>WSH</v>
      </c>
      <c r="B47" s="355" t="s">
        <v>207</v>
      </c>
      <c r="C47" s="21" t="s">
        <v>157</v>
      </c>
      <c r="D47" s="168" t="s">
        <v>74</v>
      </c>
      <c r="E47" s="169" t="s">
        <v>182</v>
      </c>
      <c r="F47" s="262">
        <f>'Used inputs'!I32</f>
        <v>10.608698879621056</v>
      </c>
      <c r="G47" s="263">
        <f>'Used inputs'!J32</f>
        <v>14.448109533054051</v>
      </c>
      <c r="H47" s="263">
        <f>'Used inputs'!K32</f>
        <v>10.002212297022298</v>
      </c>
      <c r="I47" s="263">
        <f>'Used inputs'!L32</f>
        <v>9.5078274221615597</v>
      </c>
      <c r="J47" s="263">
        <f>'Used inputs'!M32</f>
        <v>9.0368947539600253</v>
      </c>
      <c r="K47" s="263">
        <f>'Used inputs'!N32</f>
        <v>8.5902884342970793</v>
      </c>
      <c r="L47" s="264">
        <f>'Used inputs'!O32</f>
        <v>8.1660124306172808</v>
      </c>
    </row>
    <row r="48" spans="1:12" s="53" customFormat="1">
      <c r="A48" s="60" t="s">
        <v>33</v>
      </c>
      <c r="B48" s="355" t="s">
        <v>162</v>
      </c>
      <c r="C48" s="59" t="s">
        <v>175</v>
      </c>
      <c r="D48" s="169" t="s">
        <v>74</v>
      </c>
      <c r="E48" s="169" t="s">
        <v>182</v>
      </c>
      <c r="F48" s="262">
        <f>VLOOKUP($A48,'Price setting'!$E$448:$O$466,COLUMN()-1,FALSE)</f>
        <v>0</v>
      </c>
      <c r="G48" s="263">
        <f>VLOOKUP($A48,'Price setting'!$E$448:$O$466,COLUMN()-1,FALSE)</f>
        <v>0</v>
      </c>
      <c r="H48" s="263">
        <f ca="1">VLOOKUP($A48,'Price setting'!$E$448:$O$466,COLUMN()-1,FALSE)</f>
        <v>51.268462127537823</v>
      </c>
      <c r="I48" s="263">
        <f ca="1">VLOOKUP($A48,'Price setting'!$E$448:$O$466,COLUMN()-1,FALSE)</f>
        <v>52.135689862442931</v>
      </c>
      <c r="J48" s="263">
        <f ca="1">VLOOKUP($A48,'Price setting'!$E$448:$O$466,COLUMN()-1,FALSE)</f>
        <v>52.757064843032573</v>
      </c>
      <c r="K48" s="263">
        <f ca="1">VLOOKUP($A48,'Price setting'!$E$448:$O$466,COLUMN()-1,FALSE)</f>
        <v>53.340601195531221</v>
      </c>
      <c r="L48" s="264">
        <f ca="1">VLOOKUP($A48,'Price setting'!$E$448:$O$466,COLUMN()-1,FALSE)</f>
        <v>53.90896116520554</v>
      </c>
    </row>
    <row r="49" spans="1:12" s="53" customFormat="1">
      <c r="A49" s="60" t="s">
        <v>33</v>
      </c>
      <c r="B49" s="355" t="s">
        <v>163</v>
      </c>
      <c r="C49" s="59" t="s">
        <v>118</v>
      </c>
      <c r="D49" s="168" t="s">
        <v>75</v>
      </c>
      <c r="E49" s="169" t="s">
        <v>182</v>
      </c>
      <c r="F49" s="316">
        <f>VLOOKUP($A49,'Price setting'!$E$213:$O$231,COLUMN()-1,FALSE)</f>
        <v>0</v>
      </c>
      <c r="G49" s="317">
        <f>VLOOKUP($A49,'Price setting'!$E$213:$O$231,COLUMN()-1,FALSE)</f>
        <v>0</v>
      </c>
      <c r="H49" s="317">
        <f ca="1">VLOOKUP($A49,'Price setting'!$E$213:$O$231,COLUMN()-1,FALSE)</f>
        <v>22.101456925184344</v>
      </c>
      <c r="I49" s="317">
        <f ca="1">VLOOKUP($A49,'Price setting'!$E$213:$O$231,COLUMN()-1,FALSE)</f>
        <v>22.303298293808485</v>
      </c>
      <c r="J49" s="317">
        <f ca="1">VLOOKUP($A49,'Price setting'!$E$213:$O$231,COLUMN()-1,FALSE)</f>
        <v>22.387205789307693</v>
      </c>
      <c r="K49" s="317">
        <f ca="1">VLOOKUP($A49,'Price setting'!$E$213:$O$231,COLUMN()-1,FALSE)</f>
        <v>22.450452811596104</v>
      </c>
      <c r="L49" s="323">
        <f ca="1">VLOOKUP($A49,'Price setting'!$E$213:$O$231,COLUMN()-1,FALSE)</f>
        <v>22.502530231091086</v>
      </c>
    </row>
    <row r="50" spans="1:12" s="53" customFormat="1">
      <c r="A50" s="60" t="s">
        <v>33</v>
      </c>
      <c r="B50" s="355" t="s">
        <v>164</v>
      </c>
      <c r="C50" s="59" t="s">
        <v>119</v>
      </c>
      <c r="D50" s="168" t="s">
        <v>75</v>
      </c>
      <c r="E50" s="169" t="s">
        <v>182</v>
      </c>
      <c r="F50" s="316">
        <f>VLOOKUP($A50,'Price setting'!$E$278:$O$296,COLUMN()-1,FALSE)+VLOOKUP($A49,'Price setting'!$E$213:$O$231,COLUMN()-1,FALSE)</f>
        <v>0</v>
      </c>
      <c r="G50" s="317">
        <f>VLOOKUP($A50,'Price setting'!$E$278:$O$296,COLUMN()-1,FALSE)+VLOOKUP($A49,'Price setting'!$E$213:$O$231,COLUMN()-1,FALSE)</f>
        <v>0</v>
      </c>
      <c r="H50" s="317">
        <f ca="1">VLOOKUP($A50,'Price setting'!$E$278:$O$296,COLUMN()-1,FALSE)+VLOOKUP($A49,'Price setting'!$E$213:$O$231,COLUMN()-1,FALSE)</f>
        <v>24.752888793742184</v>
      </c>
      <c r="I50" s="317">
        <f ca="1">VLOOKUP($A50,'Price setting'!$E$278:$O$296,COLUMN()-1,FALSE)+VLOOKUP($A49,'Price setting'!$E$213:$O$231,COLUMN()-1,FALSE)</f>
        <v>24.954764948741854</v>
      </c>
      <c r="J50" s="317">
        <f ca="1">VLOOKUP($A50,'Price setting'!$E$278:$O$296,COLUMN()-1,FALSE)+VLOOKUP($A49,'Price setting'!$E$213:$O$231,COLUMN()-1,FALSE)</f>
        <v>25.039999391326027</v>
      </c>
      <c r="K50" s="317">
        <f ca="1">VLOOKUP($A50,'Price setting'!$E$278:$O$296,COLUMN()-1,FALSE)+VLOOKUP($A49,'Price setting'!$E$213:$O$231,COLUMN()-1,FALSE)</f>
        <v>25.103325287299274</v>
      </c>
      <c r="L50" s="323">
        <f ca="1">VLOOKUP($A50,'Price setting'!$E$278:$O$296,COLUMN()-1,FALSE)+VLOOKUP($A49,'Price setting'!$E$213:$O$231,COLUMN()-1,FALSE)</f>
        <v>25.155283727602971</v>
      </c>
    </row>
    <row r="51" spans="1:12" s="53" customFormat="1">
      <c r="A51" s="60" t="s">
        <v>33</v>
      </c>
      <c r="B51" s="355" t="s">
        <v>165</v>
      </c>
      <c r="C51" s="59" t="s">
        <v>120</v>
      </c>
      <c r="D51" s="168" t="s">
        <v>75</v>
      </c>
      <c r="E51" s="169" t="s">
        <v>182</v>
      </c>
      <c r="F51" s="316">
        <f>VLOOKUP($A51,'Price setting'!$E$343:$O$361,COLUMN()-1,FALSE)+VLOOKUP($A49,'Price setting'!$E$213:$O$231,COLUMN()-1,FALSE)</f>
        <v>0</v>
      </c>
      <c r="G51" s="317">
        <f>VLOOKUP($A51,'Price setting'!$E$343:$O$361,COLUMN()-1,FALSE)+VLOOKUP($A49,'Price setting'!$E$213:$O$231,COLUMN()-1,FALSE)</f>
        <v>0</v>
      </c>
      <c r="H51" s="317">
        <f ca="1">VLOOKUP($A51,'Price setting'!$E$343:$O$361,COLUMN()-1,FALSE)+VLOOKUP($A49,'Price setting'!$E$213:$O$231,COLUMN()-1,FALSE)</f>
        <v>24.766841689142261</v>
      </c>
      <c r="I51" s="317">
        <f ca="1">VLOOKUP($A51,'Price setting'!$E$343:$O$361,COLUMN()-1,FALSE)+VLOOKUP($A49,'Price setting'!$E$213:$O$231,COLUMN()-1,FALSE)</f>
        <v>24.955679568859399</v>
      </c>
      <c r="J51" s="317">
        <f ca="1">VLOOKUP($A51,'Price setting'!$E$343:$O$361,COLUMN()-1,FALSE)+VLOOKUP($A49,'Price setting'!$E$213:$O$231,COLUMN()-1,FALSE)</f>
        <v>25.027071199807413</v>
      </c>
      <c r="K51" s="317">
        <f ca="1">VLOOKUP($A51,'Price setting'!$E$343:$O$361,COLUMN()-1,FALSE)+VLOOKUP($A49,'Price setting'!$E$213:$O$231,COLUMN()-1,FALSE)</f>
        <v>25.102912256918685</v>
      </c>
      <c r="L51" s="323">
        <f ca="1">VLOOKUP($A51,'Price setting'!$E$343:$O$361,COLUMN()-1,FALSE)+VLOOKUP($A49,'Price setting'!$E$213:$O$231,COLUMN()-1,FALSE)</f>
        <v>25.165710744025823</v>
      </c>
    </row>
    <row r="52" spans="1:12" s="53" customFormat="1">
      <c r="A52" s="60" t="s">
        <v>33</v>
      </c>
      <c r="B52" s="355" t="s">
        <v>166</v>
      </c>
      <c r="C52" s="59" t="s">
        <v>124</v>
      </c>
      <c r="D52" s="168" t="s">
        <v>75</v>
      </c>
      <c r="E52" s="169" t="s">
        <v>182</v>
      </c>
      <c r="F52" s="316">
        <f>VLOOKUP($A52,'Price setting'!$E$408:$O$426,COLUMN()-1,FALSE)+VLOOKUP($A49,'Price setting'!$E$213:$O$231,COLUMN()-1,FALSE)</f>
        <v>0</v>
      </c>
      <c r="G52" s="317">
        <f>VLOOKUP($A52,'Price setting'!$E$408:$O$426,COLUMN()-1,FALSE)+VLOOKUP($A49,'Price setting'!$E$213:$O$231,COLUMN()-1,FALSE)</f>
        <v>0</v>
      </c>
      <c r="H52" s="317">
        <f ca="1">VLOOKUP($A52,'Price setting'!$E$408:$O$426,COLUMN()-1,FALSE)+VLOOKUP($A49,'Price setting'!$E$213:$O$231,COLUMN()-1,FALSE)</f>
        <v>26.182094537669112</v>
      </c>
      <c r="I52" s="317">
        <f ca="1">VLOOKUP($A52,'Price setting'!$E$408:$O$426,COLUMN()-1,FALSE)+VLOOKUP($A49,'Price setting'!$E$213:$O$231,COLUMN()-1,FALSE)</f>
        <v>26.382533581019761</v>
      </c>
      <c r="J52" s="317">
        <f ca="1">VLOOKUP($A52,'Price setting'!$E$408:$O$426,COLUMN()-1,FALSE)+VLOOKUP($A49,'Price setting'!$E$213:$O$231,COLUMN()-1,FALSE)</f>
        <v>26.467754593667387</v>
      </c>
      <c r="K52" s="317">
        <f ca="1">VLOOKUP($A52,'Price setting'!$E$408:$O$426,COLUMN()-1,FALSE)+VLOOKUP($A49,'Price setting'!$E$213:$O$231,COLUMN()-1,FALSE)</f>
        <v>26.529914948255851</v>
      </c>
      <c r="L52" s="323">
        <f ca="1">VLOOKUP($A52,'Price setting'!$E$408:$O$426,COLUMN()-1,FALSE)+VLOOKUP($A49,'Price setting'!$E$213:$O$231,COLUMN()-1,FALSE)</f>
        <v>26.581643803140476</v>
      </c>
    </row>
    <row r="53" spans="1:12" s="53" customFormat="1">
      <c r="A53" s="60" t="s">
        <v>33</v>
      </c>
      <c r="B53" s="355" t="s">
        <v>167</v>
      </c>
      <c r="C53" s="59" t="s">
        <v>122</v>
      </c>
      <c r="D53" s="170" t="s">
        <v>88</v>
      </c>
      <c r="E53" s="169" t="s">
        <v>182</v>
      </c>
      <c r="F53" s="262">
        <f>INDEX(NES,ROW(Input!B$23)-5,COLUMN()+1)*Input!$H$441</f>
        <v>978.47490000000005</v>
      </c>
      <c r="G53" s="263">
        <f>INDEX(NES,ROW(Input!C$23)-5,COLUMN()+1)*Input!$H$441</f>
        <v>958.05320000000006</v>
      </c>
      <c r="H53" s="263">
        <f>INDEX(NES,ROW(Input!D$23)-5,COLUMN()+1)*Input!$H$441</f>
        <v>938.24770000000012</v>
      </c>
      <c r="I53" s="263">
        <f>INDEX(NES,ROW(Input!E$23)-5,COLUMN()+1)*Input!$H$441</f>
        <v>918.44220000000007</v>
      </c>
      <c r="J53" s="263">
        <f>INDEX(NES,ROW(Input!F$23)-5,COLUMN()+1)*Input!$H$441</f>
        <v>898.63670000000002</v>
      </c>
      <c r="K53" s="263">
        <f>INDEX(NES,ROW(Input!G$23)-5,COLUMN()+1)*Input!$H$441</f>
        <v>878.83120000000008</v>
      </c>
      <c r="L53" s="264">
        <f>INDEX(NES,ROW(Input!H$23)-5,COLUMN()+1)*Input!$H$441</f>
        <v>859.02440000000001</v>
      </c>
    </row>
    <row r="54" spans="1:12" s="53" customFormat="1">
      <c r="A54" s="60" t="s">
        <v>33</v>
      </c>
      <c r="B54" s="355" t="s">
        <v>168</v>
      </c>
      <c r="C54" s="59" t="s">
        <v>123</v>
      </c>
      <c r="D54" s="170" t="s">
        <v>88</v>
      </c>
      <c r="E54" s="169" t="s">
        <v>182</v>
      </c>
      <c r="F54" s="262">
        <f>+INDEX(NES,ROW(Input!B$24)-5,COLUMN()+1)*Input!$H$441</f>
        <v>390.58889999999997</v>
      </c>
      <c r="G54" s="263">
        <f>+INDEX(NES,ROW(Input!C$24)-5,COLUMN()+1)*Input!$H$441</f>
        <v>416.86840000000001</v>
      </c>
      <c r="H54" s="263">
        <f>+INDEX(NES,ROW(Input!D$24)-5,COLUMN()+1)*Input!$H$441</f>
        <v>443.0686</v>
      </c>
      <c r="I54" s="263">
        <f>+INDEX(NES,ROW(Input!E$24)-5,COLUMN()+1)*Input!$H$441</f>
        <v>469.69650000000001</v>
      </c>
      <c r="J54" s="263">
        <f>+INDEX(NES,ROW(Input!F$24)-5,COLUMN()+1)*Input!$H$441</f>
        <v>496.50250000000005</v>
      </c>
      <c r="K54" s="263">
        <f>+INDEX(NES,ROW(Input!G$24)-5,COLUMN()+1)*Input!$H$441</f>
        <v>523.35400000000004</v>
      </c>
      <c r="L54" s="264">
        <f>+INDEX(NES,ROW(Input!H$24)-5,COLUMN()+1)*Input!$H$441</f>
        <v>550.36540000000002</v>
      </c>
    </row>
    <row r="55" spans="1:12" s="53" customFormat="1">
      <c r="A55" s="60" t="s">
        <v>33</v>
      </c>
      <c r="B55" s="355" t="s">
        <v>169</v>
      </c>
      <c r="C55" s="59" t="s">
        <v>139</v>
      </c>
      <c r="D55" s="170" t="s">
        <v>74</v>
      </c>
      <c r="E55" s="169" t="s">
        <v>182</v>
      </c>
      <c r="F55" s="262">
        <f>VLOOKUP($A55,'Price setting'!$E$488:$O$506,COLUMN()-1,FALSE)</f>
        <v>0</v>
      </c>
      <c r="G55" s="263">
        <f>VLOOKUP($A55,'Price setting'!$E$488:$O$506,COLUMN()-1,FALSE)</f>
        <v>0</v>
      </c>
      <c r="H55" s="263">
        <f ca="1">VLOOKUP($A55,'Price setting'!$E$488:$O$506,COLUMN()-1,FALSE)</f>
        <v>1.0040013294509131</v>
      </c>
      <c r="I55" s="263">
        <f ca="1">VLOOKUP($A55,'Price setting'!$E$488:$O$506,COLUMN()-1,FALSE)</f>
        <v>1.6036845517167881</v>
      </c>
      <c r="J55" s="263">
        <f ca="1">VLOOKUP($A55,'Price setting'!$E$488:$O$506,COLUMN()-1,FALSE)</f>
        <v>2.2695861996515077</v>
      </c>
      <c r="K55" s="263">
        <f ca="1">VLOOKUP($A55,'Price setting'!$E$488:$O$506,COLUMN()-1,FALSE)</f>
        <v>2.778499951375188</v>
      </c>
      <c r="L55" s="264">
        <f ca="1">VLOOKUP($A55,'Price setting'!$E$488:$O$506,COLUMN()-1,FALSE)</f>
        <v>3.3305041952436074</v>
      </c>
    </row>
    <row r="56" spans="1:12" s="53" customFormat="1">
      <c r="A56" s="60" t="str">
        <f>+A55</f>
        <v>NES</v>
      </c>
      <c r="B56" s="355" t="s">
        <v>170</v>
      </c>
      <c r="C56" s="59" t="s">
        <v>67</v>
      </c>
      <c r="D56" s="170" t="s">
        <v>171</v>
      </c>
      <c r="E56" s="169" t="s">
        <v>182</v>
      </c>
      <c r="F56" s="320">
        <f>+Input!$H$441</f>
        <v>1.3</v>
      </c>
      <c r="G56" s="321">
        <f>+Input!$H$441</f>
        <v>1.3</v>
      </c>
      <c r="H56" s="321">
        <f>+Input!$H$441</f>
        <v>1.3</v>
      </c>
      <c r="I56" s="321">
        <f>+Input!$H$441</f>
        <v>1.3</v>
      </c>
      <c r="J56" s="321">
        <f>+Input!$H$441</f>
        <v>1.3</v>
      </c>
      <c r="K56" s="321">
        <f>+Input!$H$441</f>
        <v>1.3</v>
      </c>
      <c r="L56" s="322">
        <f>+Input!$H$441</f>
        <v>1.3</v>
      </c>
    </row>
    <row r="57" spans="1:12" s="53" customFormat="1">
      <c r="A57" s="60" t="str">
        <f t="shared" ref="A57:A69" si="1">+A56</f>
        <v>NES</v>
      </c>
      <c r="B57" s="355" t="s">
        <v>194</v>
      </c>
      <c r="C57" s="59" t="s">
        <v>185</v>
      </c>
      <c r="D57" s="170" t="s">
        <v>75</v>
      </c>
      <c r="E57" s="169" t="s">
        <v>182</v>
      </c>
      <c r="F57" s="316">
        <f ca="1">VLOOKUP(A57,'Price setting'!$E$89:$I$106,COLUMN()-1,FALSE)</f>
        <v>21.875341653121762</v>
      </c>
      <c r="G57" s="317"/>
      <c r="H57" s="317"/>
      <c r="I57" s="317"/>
      <c r="J57" s="317"/>
      <c r="K57" s="317"/>
      <c r="L57" s="323"/>
    </row>
    <row r="58" spans="1:12" s="53" customFormat="1">
      <c r="A58" s="60" t="str">
        <f t="shared" si="1"/>
        <v>NES</v>
      </c>
      <c r="B58" s="355" t="s">
        <v>195</v>
      </c>
      <c r="C58" s="59" t="s">
        <v>186</v>
      </c>
      <c r="D58" s="170" t="s">
        <v>75</v>
      </c>
      <c r="E58" s="169" t="s">
        <v>182</v>
      </c>
      <c r="F58" s="316">
        <f ca="1">VLOOKUP(A58,'Price setting'!E$254:I$271,COLUMN()-1,FALSE)+VLOOKUP(A57,'Price setting'!$E$89:$I$106,COLUMN()-1,FALSE)</f>
        <v>24.527811402712395</v>
      </c>
      <c r="G58" s="317"/>
      <c r="H58" s="317"/>
      <c r="I58" s="317"/>
      <c r="J58" s="317"/>
      <c r="K58" s="317"/>
      <c r="L58" s="323"/>
    </row>
    <row r="59" spans="1:12" s="53" customFormat="1">
      <c r="A59" s="60" t="str">
        <f t="shared" si="1"/>
        <v>NES</v>
      </c>
      <c r="B59" s="355" t="s">
        <v>196</v>
      </c>
      <c r="C59" s="59" t="s">
        <v>187</v>
      </c>
      <c r="D59" s="170" t="s">
        <v>75</v>
      </c>
      <c r="E59" s="169" t="s">
        <v>182</v>
      </c>
      <c r="F59" s="316">
        <f ca="1">VLOOKUP(A59,'Price setting'!E$319:I$336,COLUMN()-1,FALSE)+VLOOKUP(A57,'Price setting'!$E$89:$I$106,COLUMN()-1,FALSE)</f>
        <v>24.534919642893826</v>
      </c>
      <c r="G59" s="317"/>
      <c r="H59" s="317"/>
      <c r="I59" s="317"/>
      <c r="J59" s="317"/>
      <c r="K59" s="317"/>
      <c r="L59" s="323"/>
    </row>
    <row r="60" spans="1:12" s="53" customFormat="1">
      <c r="A60" s="60" t="str">
        <f t="shared" si="1"/>
        <v>NES</v>
      </c>
      <c r="B60" s="355" t="s">
        <v>197</v>
      </c>
      <c r="C60" s="59" t="s">
        <v>188</v>
      </c>
      <c r="D60" s="170" t="s">
        <v>75</v>
      </c>
      <c r="E60" s="169" t="s">
        <v>182</v>
      </c>
      <c r="F60" s="316">
        <f ca="1">(VLOOKUP(A60,'Price setting'!E$384:I$401,COLUMN()-1,FALSE)+VLOOKUP(A57,'Price setting'!$E$89:$I$106,COLUMN()-1,FALSE))*+Input!$H$441</f>
        <v>33.743273470788978</v>
      </c>
      <c r="G60" s="317"/>
      <c r="H60" s="317"/>
      <c r="I60" s="317"/>
      <c r="J60" s="317"/>
      <c r="K60" s="317"/>
      <c r="L60" s="323"/>
    </row>
    <row r="61" spans="1:12" s="53" customFormat="1">
      <c r="A61" s="60" t="str">
        <f t="shared" si="1"/>
        <v>NES</v>
      </c>
      <c r="B61" s="355" t="s">
        <v>198</v>
      </c>
      <c r="C61" s="59" t="s">
        <v>189</v>
      </c>
      <c r="D61" s="170" t="s">
        <v>75</v>
      </c>
      <c r="E61" s="169" t="s">
        <v>182</v>
      </c>
      <c r="F61" s="316">
        <f ca="1">VLOOKUP(A61,'Price setting'!E$89:I$106,COLUMN()-1,FALSE)*+Input!$H$441</f>
        <v>28.437944149058293</v>
      </c>
      <c r="G61" s="317"/>
      <c r="H61" s="317"/>
      <c r="I61" s="317"/>
      <c r="J61" s="317"/>
      <c r="K61" s="317"/>
      <c r="L61" s="323"/>
    </row>
    <row r="62" spans="1:12" s="53" customFormat="1">
      <c r="A62" s="60" t="str">
        <f t="shared" si="1"/>
        <v>NES</v>
      </c>
      <c r="B62" s="356" t="s">
        <v>204</v>
      </c>
      <c r="C62" s="50" t="s">
        <v>203</v>
      </c>
      <c r="D62" s="168" t="s">
        <v>75</v>
      </c>
      <c r="E62" s="169" t="s">
        <v>182</v>
      </c>
      <c r="F62" s="316"/>
      <c r="G62" s="317"/>
      <c r="H62" s="317">
        <f ca="1">VLOOKUP($A62,'Price setting'!$E$213:$O$230,COLUMN()-1,FALSE)</f>
        <v>22.101456925184344</v>
      </c>
      <c r="I62" s="317">
        <f ca="1">VLOOKUP($A62,'Price setting'!$E$213:$O$230,COLUMN()-1,FALSE)</f>
        <v>22.303298293808485</v>
      </c>
      <c r="J62" s="317">
        <f ca="1">VLOOKUP($A62,'Price setting'!$E$213:$O$230,COLUMN()-1,FALSE)</f>
        <v>22.387205789307693</v>
      </c>
      <c r="K62" s="317">
        <f ca="1">VLOOKUP($A62,'Price setting'!$E$213:$O$230,COLUMN()-1,FALSE)</f>
        <v>22.450452811596104</v>
      </c>
      <c r="L62" s="323">
        <f ca="1">VLOOKUP($A62,'Price setting'!$E$213:$O$230,COLUMN()-1,FALSE)</f>
        <v>22.502530231091086</v>
      </c>
    </row>
    <row r="63" spans="1:12" s="53" customFormat="1">
      <c r="A63" s="60" t="str">
        <f t="shared" si="1"/>
        <v>NES</v>
      </c>
      <c r="B63" s="355" t="s">
        <v>199</v>
      </c>
      <c r="C63" s="59" t="s">
        <v>190</v>
      </c>
      <c r="D63" s="170" t="s">
        <v>75</v>
      </c>
      <c r="E63" s="169" t="s">
        <v>182</v>
      </c>
      <c r="F63" s="316"/>
      <c r="G63" s="317"/>
      <c r="H63" s="317">
        <f ca="1">VLOOKUP($A62,'Price setting'!$E$213:$O$230,COLUMN()-1,FALSE)*+Input!$H$441</f>
        <v>28.731894002739647</v>
      </c>
      <c r="I63" s="317">
        <f ca="1">VLOOKUP($A62,'Price setting'!$E$213:$O$230,COLUMN()-1,FALSE)*+Input!$H$441</f>
        <v>28.99428778195103</v>
      </c>
      <c r="J63" s="317">
        <f ca="1">VLOOKUP($A62,'Price setting'!$E$213:$O$230,COLUMN()-1,FALSE)*+Input!$H$441</f>
        <v>29.103367526100001</v>
      </c>
      <c r="K63" s="317">
        <f ca="1">VLOOKUP($A62,'Price setting'!$E$213:$O$230,COLUMN()-1,FALSE)*+Input!$H$441</f>
        <v>29.185588655074937</v>
      </c>
      <c r="L63" s="323">
        <f ca="1">VLOOKUP($A62,'Price setting'!$E$213:$O$230,COLUMN()-1,FALSE)*+Input!$H$441</f>
        <v>29.253289300418412</v>
      </c>
    </row>
    <row r="64" spans="1:12" s="53" customFormat="1">
      <c r="A64" s="60" t="str">
        <f t="shared" si="1"/>
        <v>NES</v>
      </c>
      <c r="B64" s="355" t="s">
        <v>200</v>
      </c>
      <c r="C64" s="59" t="s">
        <v>191</v>
      </c>
      <c r="D64" s="170" t="s">
        <v>75</v>
      </c>
      <c r="E64" s="169" t="s">
        <v>182</v>
      </c>
      <c r="F64" s="316"/>
      <c r="G64" s="317"/>
      <c r="H64" s="317">
        <f ca="1">VLOOKUP($A64,'Price setting'!$E$278:$O$295,COLUMN()-1,FALSE)+VLOOKUP($A62,'Price setting'!$E$213:$O$230,COLUMN()-1,FALSE)</f>
        <v>24.752888793742184</v>
      </c>
      <c r="I64" s="317">
        <f ca="1">VLOOKUP($A64,'Price setting'!$E$278:$O$295,COLUMN()-1,FALSE)+VLOOKUP($A62,'Price setting'!$E$213:$O$230,COLUMN()-1,FALSE)</f>
        <v>24.954764948741854</v>
      </c>
      <c r="J64" s="317">
        <f ca="1">VLOOKUP($A64,'Price setting'!$E$278:$O$295,COLUMN()-1,FALSE)+VLOOKUP($A62,'Price setting'!$E$213:$O$230,COLUMN()-1,FALSE)</f>
        <v>25.039999391326027</v>
      </c>
      <c r="K64" s="317">
        <f ca="1">VLOOKUP($A64,'Price setting'!$E$278:$O$295,COLUMN()-1,FALSE)+VLOOKUP($A62,'Price setting'!$E$213:$O$230,COLUMN()-1,FALSE)</f>
        <v>25.103325287299274</v>
      </c>
      <c r="L64" s="323">
        <f ca="1">VLOOKUP($A64,'Price setting'!$E$278:$O$295,COLUMN()-1,FALSE)+VLOOKUP($A62,'Price setting'!$E$213:$O$230,COLUMN()-1,FALSE)</f>
        <v>25.155283727602971</v>
      </c>
    </row>
    <row r="65" spans="1:12" s="53" customFormat="1">
      <c r="A65" s="60" t="str">
        <f t="shared" si="1"/>
        <v>NES</v>
      </c>
      <c r="B65" s="355" t="s">
        <v>201</v>
      </c>
      <c r="C65" s="59" t="s">
        <v>192</v>
      </c>
      <c r="D65" s="170" t="s">
        <v>75</v>
      </c>
      <c r="E65" s="169" t="s">
        <v>182</v>
      </c>
      <c r="F65" s="316"/>
      <c r="G65" s="317"/>
      <c r="H65" s="317">
        <f ca="1">VLOOKUP($A65,'Price setting'!$E$343:$O$360,COLUMN()-1,FALSE)+VLOOKUP($A62,'Price setting'!$E$213:$O$230,COLUMN()-1,FALSE)</f>
        <v>24.766841689142261</v>
      </c>
      <c r="I65" s="317">
        <f ca="1">VLOOKUP($A65,'Price setting'!$E$343:$O$360,COLUMN()-1,FALSE)+VLOOKUP($A62,'Price setting'!$E$213:$O$230,COLUMN()-1,FALSE)</f>
        <v>24.955679568859399</v>
      </c>
      <c r="J65" s="317">
        <f ca="1">VLOOKUP($A65,'Price setting'!$E$343:$O$360,COLUMN()-1,FALSE)+VLOOKUP($A62,'Price setting'!$E$213:$O$230,COLUMN()-1,FALSE)</f>
        <v>25.027071199807413</v>
      </c>
      <c r="K65" s="317">
        <f ca="1">VLOOKUP($A65,'Price setting'!$E$343:$O$360,COLUMN()-1,FALSE)+VLOOKUP($A62,'Price setting'!$E$213:$O$230,COLUMN()-1,FALSE)</f>
        <v>25.102912256918685</v>
      </c>
      <c r="L65" s="323">
        <f ca="1">VLOOKUP($A65,'Price setting'!$E$343:$O$360,COLUMN()-1,FALSE)+VLOOKUP($A62,'Price setting'!$E$213:$O$230,COLUMN()-1,FALSE)</f>
        <v>25.165710744025823</v>
      </c>
    </row>
    <row r="66" spans="1:12" s="53" customFormat="1">
      <c r="A66" s="60" t="str">
        <f t="shared" si="1"/>
        <v>NES</v>
      </c>
      <c r="B66" s="355" t="s">
        <v>202</v>
      </c>
      <c r="C66" s="59" t="s">
        <v>193</v>
      </c>
      <c r="D66" s="170" t="s">
        <v>75</v>
      </c>
      <c r="E66" s="169" t="s">
        <v>182</v>
      </c>
      <c r="F66" s="316"/>
      <c r="G66" s="317"/>
      <c r="H66" s="317">
        <f ca="1">(VLOOKUP($A66,'Price setting'!$E$408:$O$425,COLUMN()-1,FALSE)+VLOOKUP($A62,'Price setting'!$E$213:$O$230,COLUMN()-1,FALSE))*+Input!$H$441</f>
        <v>34.036722898969849</v>
      </c>
      <c r="I66" s="317">
        <f ca="1">(VLOOKUP($A66,'Price setting'!$E$408:$O$425,COLUMN()-1,FALSE)+VLOOKUP($A62,'Price setting'!$E$213:$O$230,COLUMN()-1,FALSE))*+Input!$H$441</f>
        <v>34.297293655325689</v>
      </c>
      <c r="J66" s="317">
        <f ca="1">(VLOOKUP($A66,'Price setting'!$E$408:$O$425,COLUMN()-1,FALSE)+VLOOKUP($A62,'Price setting'!$E$213:$O$230,COLUMN()-1,FALSE))*+Input!$H$441</f>
        <v>34.408080971767603</v>
      </c>
      <c r="K66" s="317">
        <f ca="1">(VLOOKUP($A66,'Price setting'!$E$408:$O$425,COLUMN()-1,FALSE)+VLOOKUP($A62,'Price setting'!$E$213:$O$230,COLUMN()-1,FALSE))*+Input!$H$441</f>
        <v>34.488889432732606</v>
      </c>
      <c r="L66" s="323">
        <f ca="1">(VLOOKUP($A66,'Price setting'!$E$408:$O$425,COLUMN()-1,FALSE)+VLOOKUP($A62,'Price setting'!$E$213:$O$230,COLUMN()-1,FALSE))*+Input!$H$441</f>
        <v>34.556136944082624</v>
      </c>
    </row>
    <row r="67" spans="1:12" s="53" customFormat="1">
      <c r="A67" s="60" t="str">
        <f t="shared" si="1"/>
        <v>NES</v>
      </c>
      <c r="B67" s="355" t="s">
        <v>208</v>
      </c>
      <c r="C67" s="21" t="s">
        <v>205</v>
      </c>
      <c r="D67" s="168" t="s">
        <v>75</v>
      </c>
      <c r="E67" s="169" t="s">
        <v>182</v>
      </c>
      <c r="F67" s="262">
        <f ca="1">VLOOKUP($A67,'Price setting'!$E$49:$I$66,COLUMN()-1,FALSE)</f>
        <v>0.81023270593786045</v>
      </c>
      <c r="G67" s="263"/>
      <c r="H67" s="263"/>
      <c r="I67" s="263"/>
      <c r="J67" s="263"/>
      <c r="K67" s="263"/>
      <c r="L67" s="264"/>
    </row>
    <row r="68" spans="1:12" s="53" customFormat="1">
      <c r="A68" s="60" t="str">
        <f t="shared" si="1"/>
        <v>NES</v>
      </c>
      <c r="B68" s="355" t="s">
        <v>206</v>
      </c>
      <c r="C68" s="21" t="s">
        <v>132</v>
      </c>
      <c r="D68" s="168" t="s">
        <v>74</v>
      </c>
      <c r="E68" s="169" t="s">
        <v>182</v>
      </c>
      <c r="F68" s="262">
        <f ca="1">'Used inputs'!I34</f>
        <v>45.32599656382083</v>
      </c>
      <c r="G68" s="263">
        <f>'Used inputs'!J34</f>
        <v>43.012446749739908</v>
      </c>
      <c r="H68" s="263">
        <f ca="1">'Used inputs'!K34</f>
        <v>46.602780441087852</v>
      </c>
      <c r="I68" s="263">
        <f ca="1">'Used inputs'!L34</f>
        <v>47.037881548490823</v>
      </c>
      <c r="J68" s="263">
        <f ca="1">'Used inputs'!M34</f>
        <v>47.480182910626326</v>
      </c>
      <c r="K68" s="263">
        <f ca="1">'Used inputs'!N34</f>
        <v>47.928655919675244</v>
      </c>
      <c r="L68" s="264">
        <f ca="1">'Used inputs'!O34</f>
        <v>48.382271967818859</v>
      </c>
    </row>
    <row r="69" spans="1:12" s="53" customFormat="1">
      <c r="A69" s="60" t="str">
        <f t="shared" si="1"/>
        <v>NES</v>
      </c>
      <c r="B69" s="355" t="s">
        <v>207</v>
      </c>
      <c r="C69" s="21" t="s">
        <v>157</v>
      </c>
      <c r="D69" s="168" t="s">
        <v>74</v>
      </c>
      <c r="E69" s="169" t="s">
        <v>182</v>
      </c>
      <c r="F69" s="262">
        <f>'Used inputs'!I47</f>
        <v>3.0999999999999992</v>
      </c>
      <c r="G69" s="263">
        <f>'Used inputs'!J47</f>
        <v>6.8917708392266457</v>
      </c>
      <c r="H69" s="263">
        <f>'Used inputs'!K47</f>
        <v>3.6616803569990632</v>
      </c>
      <c r="I69" s="263">
        <f>'Used inputs'!L47</f>
        <v>3.6616803569990632</v>
      </c>
      <c r="J69" s="263">
        <f>'Used inputs'!M47</f>
        <v>3.6616803569990632</v>
      </c>
      <c r="K69" s="263">
        <f>'Used inputs'!N47</f>
        <v>3.6616803569990632</v>
      </c>
      <c r="L69" s="264">
        <f>'Used inputs'!O47</f>
        <v>3.6616803569990632</v>
      </c>
    </row>
    <row r="70" spans="1:12" s="53" customFormat="1">
      <c r="A70" s="60" t="s">
        <v>46</v>
      </c>
      <c r="B70" s="355" t="s">
        <v>162</v>
      </c>
      <c r="C70" s="59" t="s">
        <v>175</v>
      </c>
      <c r="D70" s="169" t="s">
        <v>74</v>
      </c>
      <c r="E70" s="169" t="s">
        <v>182</v>
      </c>
      <c r="F70" s="262">
        <f>VLOOKUP($A70,'Price setting'!$E$448:$O$466,COLUMN()-1,FALSE)</f>
        <v>0</v>
      </c>
      <c r="G70" s="263">
        <f>VLOOKUP($A70,'Price setting'!$E$448:$O$466,COLUMN()-1,FALSE)</f>
        <v>0</v>
      </c>
      <c r="H70" s="263">
        <f ca="1">VLOOKUP($A70,'Price setting'!$E$448:$O$466,COLUMN()-1,FALSE)</f>
        <v>102.43515044271265</v>
      </c>
      <c r="I70" s="263">
        <f ca="1">VLOOKUP($A70,'Price setting'!$E$448:$O$466,COLUMN()-1,FALSE)</f>
        <v>106.18682924983153</v>
      </c>
      <c r="J70" s="263">
        <f ca="1">VLOOKUP($A70,'Price setting'!$E$448:$O$466,COLUMN()-1,FALSE)</f>
        <v>109.55984227794485</v>
      </c>
      <c r="K70" s="263">
        <f ca="1">VLOOKUP($A70,'Price setting'!$E$448:$O$466,COLUMN()-1,FALSE)</f>
        <v>111.13293523537351</v>
      </c>
      <c r="L70" s="264">
        <f ca="1">VLOOKUP($A70,'Price setting'!$E$448:$O$466,COLUMN()-1,FALSE)</f>
        <v>112.72168339423901</v>
      </c>
    </row>
    <row r="71" spans="1:12" s="53" customFormat="1">
      <c r="A71" s="60" t="s">
        <v>46</v>
      </c>
      <c r="B71" s="355" t="s">
        <v>163</v>
      </c>
      <c r="C71" s="59" t="s">
        <v>118</v>
      </c>
      <c r="D71" s="168" t="s">
        <v>75</v>
      </c>
      <c r="E71" s="169" t="s">
        <v>182</v>
      </c>
      <c r="F71" s="316">
        <f>VLOOKUP($A71,'Price setting'!$E$213:$O$231,COLUMN()-1,FALSE)</f>
        <v>0</v>
      </c>
      <c r="G71" s="317">
        <f>VLOOKUP($A71,'Price setting'!$E$213:$O$231,COLUMN()-1,FALSE)</f>
        <v>0</v>
      </c>
      <c r="H71" s="317">
        <f ca="1">VLOOKUP($A71,'Price setting'!$E$213:$O$231,COLUMN()-1,FALSE)</f>
        <v>19.532958140882293</v>
      </c>
      <c r="I71" s="317">
        <f ca="1">VLOOKUP($A71,'Price setting'!$E$213:$O$231,COLUMN()-1,FALSE)</f>
        <v>20.20754150714788</v>
      </c>
      <c r="J71" s="317">
        <f ca="1">VLOOKUP($A71,'Price setting'!$E$213:$O$231,COLUMN()-1,FALSE)</f>
        <v>20.830027698148548</v>
      </c>
      <c r="K71" s="317">
        <f ca="1">VLOOKUP($A71,'Price setting'!$E$213:$O$231,COLUMN()-1,FALSE)</f>
        <v>21.081113241684431</v>
      </c>
      <c r="L71" s="323">
        <f ca="1">VLOOKUP($A71,'Price setting'!$E$213:$O$231,COLUMN()-1,FALSE)</f>
        <v>21.208872646561563</v>
      </c>
    </row>
    <row r="72" spans="1:12" s="53" customFormat="1">
      <c r="A72" s="60" t="s">
        <v>46</v>
      </c>
      <c r="B72" s="355" t="s">
        <v>164</v>
      </c>
      <c r="C72" s="59" t="s">
        <v>119</v>
      </c>
      <c r="D72" s="168" t="s">
        <v>75</v>
      </c>
      <c r="E72" s="169" t="s">
        <v>182</v>
      </c>
      <c r="F72" s="316">
        <f>VLOOKUP($A72,'Price setting'!$E$278:$O$296,COLUMN()-1,FALSE)+VLOOKUP($A71,'Price setting'!$E$213:$O$231,COLUMN()-1,FALSE)</f>
        <v>0</v>
      </c>
      <c r="G72" s="317">
        <f>VLOOKUP($A72,'Price setting'!$E$278:$O$296,COLUMN()-1,FALSE)+VLOOKUP($A71,'Price setting'!$E$213:$O$231,COLUMN()-1,FALSE)</f>
        <v>0</v>
      </c>
      <c r="H72" s="317">
        <f ca="1">VLOOKUP($A72,'Price setting'!$E$278:$O$296,COLUMN()-1,FALSE)+VLOOKUP($A71,'Price setting'!$E$213:$O$231,COLUMN()-1,FALSE)</f>
        <v>26.725206345787893</v>
      </c>
      <c r="I72" s="317">
        <f ca="1">VLOOKUP($A72,'Price setting'!$E$278:$O$296,COLUMN()-1,FALSE)+VLOOKUP($A71,'Price setting'!$E$213:$O$231,COLUMN()-1,FALSE)</f>
        <v>27.001197807550099</v>
      </c>
      <c r="J72" s="317">
        <f ca="1">VLOOKUP($A72,'Price setting'!$E$278:$O$296,COLUMN()-1,FALSE)+VLOOKUP($A71,'Price setting'!$E$213:$O$231,COLUMN()-1,FALSE)</f>
        <v>27.122316844280938</v>
      </c>
      <c r="K72" s="317">
        <f ca="1">VLOOKUP($A72,'Price setting'!$E$278:$O$296,COLUMN()-1,FALSE)+VLOOKUP($A71,'Price setting'!$E$213:$O$231,COLUMN()-1,FALSE)</f>
        <v>26.872035233546992</v>
      </c>
      <c r="L72" s="323">
        <f ca="1">VLOOKUP($A72,'Price setting'!$E$278:$O$296,COLUMN()-1,FALSE)+VLOOKUP($A71,'Price setting'!$E$213:$O$231,COLUMN()-1,FALSE)</f>
        <v>26.999794638424124</v>
      </c>
    </row>
    <row r="73" spans="1:12" s="53" customFormat="1">
      <c r="A73" s="60" t="s">
        <v>46</v>
      </c>
      <c r="B73" s="355" t="s">
        <v>165</v>
      </c>
      <c r="C73" s="59" t="s">
        <v>120</v>
      </c>
      <c r="D73" s="168" t="s">
        <v>75</v>
      </c>
      <c r="E73" s="169" t="s">
        <v>182</v>
      </c>
      <c r="F73" s="316">
        <f>VLOOKUP($A73,'Price setting'!$E$343:$O$361,COLUMN()-1,FALSE)+VLOOKUP($A71,'Price setting'!$E$213:$O$231,COLUMN()-1,FALSE)</f>
        <v>0</v>
      </c>
      <c r="G73" s="317">
        <f>VLOOKUP($A73,'Price setting'!$E$343:$O$361,COLUMN()-1,FALSE)+VLOOKUP($A71,'Price setting'!$E$213:$O$231,COLUMN()-1,FALSE)</f>
        <v>0</v>
      </c>
      <c r="H73" s="317">
        <f ca="1">VLOOKUP($A73,'Price setting'!$E$343:$O$361,COLUMN()-1,FALSE)+VLOOKUP($A71,'Price setting'!$E$213:$O$231,COLUMN()-1,FALSE)</f>
        <v>20.189660438506547</v>
      </c>
      <c r="I73" s="317">
        <f ca="1">VLOOKUP($A73,'Price setting'!$E$343:$O$361,COLUMN()-1,FALSE)+VLOOKUP($A71,'Price setting'!$E$213:$O$231,COLUMN()-1,FALSE)</f>
        <v>20.856020252632945</v>
      </c>
      <c r="J73" s="317">
        <f ca="1">VLOOKUP($A73,'Price setting'!$E$343:$O$361,COLUMN()-1,FALSE)+VLOOKUP($A71,'Price setting'!$E$213:$O$231,COLUMN()-1,FALSE)</f>
        <v>21.47151711902249</v>
      </c>
      <c r="K73" s="317">
        <f ca="1">VLOOKUP($A73,'Price setting'!$E$343:$O$361,COLUMN()-1,FALSE)+VLOOKUP($A71,'Price setting'!$E$213:$O$231,COLUMN()-1,FALSE)</f>
        <v>21.715186745169319</v>
      </c>
      <c r="L73" s="323">
        <f ca="1">VLOOKUP($A73,'Price setting'!$E$343:$O$361,COLUMN()-1,FALSE)+VLOOKUP($A71,'Price setting'!$E$213:$O$231,COLUMN()-1,FALSE)</f>
        <v>21.835487444446404</v>
      </c>
    </row>
    <row r="74" spans="1:12" s="53" customFormat="1">
      <c r="A74" s="60" t="s">
        <v>46</v>
      </c>
      <c r="B74" s="355" t="s">
        <v>166</v>
      </c>
      <c r="C74" s="59" t="s">
        <v>124</v>
      </c>
      <c r="D74" s="168" t="s">
        <v>75</v>
      </c>
      <c r="E74" s="169" t="s">
        <v>182</v>
      </c>
      <c r="F74" s="316">
        <f>VLOOKUP($A74,'Price setting'!$E$408:$O$426,COLUMN()-1,FALSE)+VLOOKUP($A71,'Price setting'!$E$213:$O$231,COLUMN()-1,FALSE)</f>
        <v>0</v>
      </c>
      <c r="G74" s="317">
        <f>VLOOKUP($A74,'Price setting'!$E$408:$O$426,COLUMN()-1,FALSE)+VLOOKUP($A71,'Price setting'!$E$213:$O$231,COLUMN()-1,FALSE)</f>
        <v>0</v>
      </c>
      <c r="H74" s="317">
        <f ca="1">VLOOKUP($A74,'Price setting'!$E$408:$O$426,COLUMN()-1,FALSE)+VLOOKUP($A71,'Price setting'!$E$213:$O$231,COLUMN()-1,FALSE)</f>
        <v>25.06544788645698</v>
      </c>
      <c r="I74" s="317">
        <f ca="1">VLOOKUP($A74,'Price setting'!$E$408:$O$426,COLUMN()-1,FALSE)+VLOOKUP($A71,'Price setting'!$E$213:$O$231,COLUMN()-1,FALSE)</f>
        <v>25.609644964895828</v>
      </c>
      <c r="J74" s="317">
        <f ca="1">VLOOKUP($A74,'Price setting'!$E$408:$O$426,COLUMN()-1,FALSE)+VLOOKUP($A71,'Price setting'!$E$213:$O$231,COLUMN()-1,FALSE)</f>
        <v>25.99252960492522</v>
      </c>
      <c r="K74" s="317">
        <f ca="1">VLOOKUP($A74,'Price setting'!$E$408:$O$426,COLUMN()-1,FALSE)+VLOOKUP($A71,'Price setting'!$E$213:$O$231,COLUMN()-1,FALSE)</f>
        <v>25.965952011594599</v>
      </c>
      <c r="L74" s="323">
        <f ca="1">VLOOKUP($A74,'Price setting'!$E$408:$O$426,COLUMN()-1,FALSE)+VLOOKUP($A71,'Price setting'!$E$213:$O$231,COLUMN()-1,FALSE)</f>
        <v>26.093711416471731</v>
      </c>
    </row>
    <row r="75" spans="1:12" s="53" customFormat="1">
      <c r="A75" s="60" t="s">
        <v>46</v>
      </c>
      <c r="B75" s="355" t="s">
        <v>167</v>
      </c>
      <c r="C75" s="59" t="s">
        <v>122</v>
      </c>
      <c r="D75" s="170" t="s">
        <v>88</v>
      </c>
      <c r="E75" s="169" t="s">
        <v>182</v>
      </c>
      <c r="F75" s="262">
        <f>INDEX(SVT,ROW(Input!B$23)-5,COLUMN()+1)*Input!$H$441</f>
        <v>2299.2411000000002</v>
      </c>
      <c r="G75" s="263">
        <f>INDEX(SVT,ROW(Input!C$23)-5,COLUMN()+1)*Input!$H$441</f>
        <v>2249.6123000000002</v>
      </c>
      <c r="H75" s="263">
        <f>INDEX(SVT,ROW(Input!D$23)-5,COLUMN()+1)*Input!$H$441</f>
        <v>2198.1986000000002</v>
      </c>
      <c r="I75" s="263">
        <f>INDEX(SVT,ROW(Input!E$23)-5,COLUMN()+1)*Input!$H$441</f>
        <v>2149.9829</v>
      </c>
      <c r="J75" s="263">
        <f>INDEX(SVT,ROW(Input!F$23)-5,COLUMN()+1)*Input!$H$441</f>
        <v>2102.5719000000004</v>
      </c>
      <c r="K75" s="263">
        <f>INDEX(SVT,ROW(Input!G$23)-5,COLUMN()+1)*Input!$H$441</f>
        <v>2055.9500000000003</v>
      </c>
      <c r="L75" s="264">
        <f>INDEX(SVT,ROW(Input!H$23)-5,COLUMN()+1)*Input!$H$441</f>
        <v>2010.1042</v>
      </c>
    </row>
    <row r="76" spans="1:12" s="53" customFormat="1">
      <c r="A76" s="60" t="s">
        <v>46</v>
      </c>
      <c r="B76" s="355" t="s">
        <v>168</v>
      </c>
      <c r="C76" s="59" t="s">
        <v>123</v>
      </c>
      <c r="D76" s="170" t="s">
        <v>88</v>
      </c>
      <c r="E76" s="169" t="s">
        <v>182</v>
      </c>
      <c r="F76" s="262">
        <f>+INDEX(SVT,ROW(Input!B$24)-5,COLUMN()+1)*Input!$H$441</f>
        <v>1454.2905000000001</v>
      </c>
      <c r="G76" s="263">
        <f>+INDEX(SVT,ROW(Input!C$24)-5,COLUMN()+1)*Input!$H$441</f>
        <v>1517.165</v>
      </c>
      <c r="H76" s="263">
        <f>+INDEX(SVT,ROW(Input!D$24)-5,COLUMN()+1)*Input!$H$441</f>
        <v>1582.0857000000001</v>
      </c>
      <c r="I76" s="263">
        <f>+INDEX(SVT,ROW(Input!E$24)-5,COLUMN()+1)*Input!$H$441</f>
        <v>1647.0064000000002</v>
      </c>
      <c r="J76" s="263">
        <f>+INDEX(SVT,ROW(Input!F$24)-5,COLUMN()+1)*Input!$H$441</f>
        <v>1713.4286</v>
      </c>
      <c r="K76" s="263">
        <f>+INDEX(SVT,ROW(Input!G$24)-5,COLUMN()+1)*Input!$H$441</f>
        <v>1781.3666000000001</v>
      </c>
      <c r="L76" s="264">
        <f>+INDEX(SVT,ROW(Input!H$24)-5,COLUMN()+1)*Input!$H$441</f>
        <v>1850.8347000000001</v>
      </c>
    </row>
    <row r="77" spans="1:12" s="53" customFormat="1">
      <c r="A77" s="60" t="s">
        <v>46</v>
      </c>
      <c r="B77" s="355" t="s">
        <v>169</v>
      </c>
      <c r="C77" s="59" t="s">
        <v>139</v>
      </c>
      <c r="D77" s="170" t="s">
        <v>74</v>
      </c>
      <c r="E77" s="169" t="s">
        <v>182</v>
      </c>
      <c r="F77" s="262">
        <f>VLOOKUP($A77,'Price setting'!$E$488:$O$506,COLUMN()-1,FALSE)</f>
        <v>0</v>
      </c>
      <c r="G77" s="263">
        <f>VLOOKUP($A77,'Price setting'!$E$488:$O$506,COLUMN()-1,FALSE)</f>
        <v>0</v>
      </c>
      <c r="H77" s="263">
        <f ca="1">VLOOKUP($A77,'Price setting'!$E$488:$O$506,COLUMN()-1,FALSE)</f>
        <v>0.5004629792849733</v>
      </c>
      <c r="I77" s="263">
        <f ca="1">VLOOKUP($A77,'Price setting'!$E$488:$O$506,COLUMN()-1,FALSE)</f>
        <v>1.5518000110873724</v>
      </c>
      <c r="J77" s="263">
        <f ca="1">VLOOKUP($A77,'Price setting'!$E$488:$O$506,COLUMN()-1,FALSE)</f>
        <v>2.8649689836910026</v>
      </c>
      <c r="K77" s="263">
        <f ca="1">VLOOKUP($A77,'Price setting'!$E$488:$O$506,COLUMN()-1,FALSE)</f>
        <v>4.5046099379189988</v>
      </c>
      <c r="L77" s="264">
        <f ca="1">VLOOKUP($A77,'Price setting'!$E$488:$O$506,COLUMN()-1,FALSE)</f>
        <v>5.459209005288236</v>
      </c>
    </row>
    <row r="78" spans="1:12" s="53" customFormat="1">
      <c r="A78" s="60" t="str">
        <f>+A77</f>
        <v>SVT</v>
      </c>
      <c r="B78" s="355" t="s">
        <v>170</v>
      </c>
      <c r="C78" s="59" t="s">
        <v>67</v>
      </c>
      <c r="D78" s="170" t="s">
        <v>171</v>
      </c>
      <c r="E78" s="169" t="s">
        <v>182</v>
      </c>
      <c r="F78" s="320">
        <f>+Input!$H$441</f>
        <v>1.3</v>
      </c>
      <c r="G78" s="321">
        <f>+Input!$H$441</f>
        <v>1.3</v>
      </c>
      <c r="H78" s="321">
        <f>+Input!$H$441</f>
        <v>1.3</v>
      </c>
      <c r="I78" s="321">
        <f>+Input!$H$441</f>
        <v>1.3</v>
      </c>
      <c r="J78" s="321">
        <f>+Input!$H$441</f>
        <v>1.3</v>
      </c>
      <c r="K78" s="321">
        <f>+Input!$H$441</f>
        <v>1.3</v>
      </c>
      <c r="L78" s="322">
        <f>+Input!$H$441</f>
        <v>1.3</v>
      </c>
    </row>
    <row r="79" spans="1:12" s="53" customFormat="1">
      <c r="A79" s="60" t="str">
        <f t="shared" ref="A79:A91" si="2">+A78</f>
        <v>SVT</v>
      </c>
      <c r="B79" s="355" t="s">
        <v>194</v>
      </c>
      <c r="C79" s="59" t="s">
        <v>185</v>
      </c>
      <c r="D79" s="170" t="s">
        <v>75</v>
      </c>
      <c r="E79" s="169" t="s">
        <v>182</v>
      </c>
      <c r="F79" s="316">
        <f ca="1">VLOOKUP(A79,'Price setting'!$E$89:$I$106,COLUMN()-1,FALSE)</f>
        <v>21.47447618098531</v>
      </c>
      <c r="G79" s="317"/>
      <c r="H79" s="317"/>
      <c r="I79" s="317"/>
      <c r="J79" s="317"/>
      <c r="K79" s="317"/>
      <c r="L79" s="323"/>
    </row>
    <row r="80" spans="1:12" s="53" customFormat="1">
      <c r="A80" s="60" t="str">
        <f t="shared" si="2"/>
        <v>SVT</v>
      </c>
      <c r="B80" s="355" t="s">
        <v>195</v>
      </c>
      <c r="C80" s="59" t="s">
        <v>186</v>
      </c>
      <c r="D80" s="170" t="s">
        <v>75</v>
      </c>
      <c r="E80" s="169" t="s">
        <v>182</v>
      </c>
      <c r="F80" s="316">
        <f ca="1">VLOOKUP(A80,'Price setting'!E$254:I$271,COLUMN()-1,FALSE)+VLOOKUP(A79,'Price setting'!$E$89:$I$106,COLUMN()-1,FALSE)</f>
        <v>29.270866789927187</v>
      </c>
      <c r="G80" s="317"/>
      <c r="H80" s="317"/>
      <c r="I80" s="317"/>
      <c r="J80" s="317"/>
      <c r="K80" s="317"/>
      <c r="L80" s="323"/>
    </row>
    <row r="81" spans="1:12" s="53" customFormat="1">
      <c r="A81" s="60" t="str">
        <f t="shared" si="2"/>
        <v>SVT</v>
      </c>
      <c r="B81" s="355" t="s">
        <v>196</v>
      </c>
      <c r="C81" s="59" t="s">
        <v>187</v>
      </c>
      <c r="D81" s="170" t="s">
        <v>75</v>
      </c>
      <c r="E81" s="169" t="s">
        <v>182</v>
      </c>
      <c r="F81" s="316">
        <f ca="1">VLOOKUP(A81,'Price setting'!E$319:I$336,COLUMN()-1,FALSE)+VLOOKUP(A79,'Price setting'!$E$89:$I$106,COLUMN()-1,FALSE)</f>
        <v>21.966604661267457</v>
      </c>
      <c r="G81" s="317"/>
      <c r="H81" s="317"/>
      <c r="I81" s="317"/>
      <c r="J81" s="317"/>
      <c r="K81" s="317"/>
      <c r="L81" s="323"/>
    </row>
    <row r="82" spans="1:12" s="53" customFormat="1">
      <c r="A82" s="60" t="str">
        <f t="shared" si="2"/>
        <v>SVT</v>
      </c>
      <c r="B82" s="355" t="s">
        <v>197</v>
      </c>
      <c r="C82" s="59" t="s">
        <v>188</v>
      </c>
      <c r="D82" s="170" t="s">
        <v>75</v>
      </c>
      <c r="E82" s="169" t="s">
        <v>182</v>
      </c>
      <c r="F82" s="316">
        <f ca="1">(VLOOKUP(A82,'Price setting'!E$384:I$401,COLUMN()-1,FALSE)+VLOOKUP(A79,'Price setting'!$E$89:$I$106,COLUMN()-1,FALSE))*+Input!$H$441</f>
        <v>35.710957747869948</v>
      </c>
      <c r="G82" s="317"/>
      <c r="H82" s="317"/>
      <c r="I82" s="317"/>
      <c r="J82" s="317"/>
      <c r="K82" s="317"/>
      <c r="L82" s="323"/>
    </row>
    <row r="83" spans="1:12" s="53" customFormat="1">
      <c r="A83" s="60" t="str">
        <f t="shared" si="2"/>
        <v>SVT</v>
      </c>
      <c r="B83" s="355" t="s">
        <v>198</v>
      </c>
      <c r="C83" s="59" t="s">
        <v>189</v>
      </c>
      <c r="D83" s="170" t="s">
        <v>75</v>
      </c>
      <c r="E83" s="169" t="s">
        <v>182</v>
      </c>
      <c r="F83" s="316">
        <f ca="1">VLOOKUP(A83,'Price setting'!E$89:I$106,COLUMN()-1,FALSE)*+Input!$H$441</f>
        <v>27.916819035280902</v>
      </c>
      <c r="G83" s="317"/>
      <c r="H83" s="317"/>
      <c r="I83" s="317"/>
      <c r="J83" s="317"/>
      <c r="K83" s="317"/>
      <c r="L83" s="323"/>
    </row>
    <row r="84" spans="1:12" s="53" customFormat="1">
      <c r="A84" s="60" t="str">
        <f t="shared" si="2"/>
        <v>SVT</v>
      </c>
      <c r="B84" s="356" t="s">
        <v>204</v>
      </c>
      <c r="C84" s="50" t="s">
        <v>203</v>
      </c>
      <c r="D84" s="168" t="s">
        <v>75</v>
      </c>
      <c r="E84" s="169" t="s">
        <v>182</v>
      </c>
      <c r="F84" s="316"/>
      <c r="G84" s="317"/>
      <c r="H84" s="317">
        <f ca="1">VLOOKUP($A84,'Price setting'!$E$213:$O$230,COLUMN()-1,FALSE)</f>
        <v>19.532958140882293</v>
      </c>
      <c r="I84" s="317">
        <f ca="1">VLOOKUP($A84,'Price setting'!$E$213:$O$230,COLUMN()-1,FALSE)</f>
        <v>20.20754150714788</v>
      </c>
      <c r="J84" s="317">
        <f ca="1">VLOOKUP($A84,'Price setting'!$E$213:$O$230,COLUMN()-1,FALSE)</f>
        <v>20.830027698148548</v>
      </c>
      <c r="K84" s="317">
        <f ca="1">VLOOKUP($A84,'Price setting'!$E$213:$O$230,COLUMN()-1,FALSE)</f>
        <v>21.081113241684431</v>
      </c>
      <c r="L84" s="323">
        <f ca="1">VLOOKUP($A84,'Price setting'!$E$213:$O$230,COLUMN()-1,FALSE)</f>
        <v>21.208872646561563</v>
      </c>
    </row>
    <row r="85" spans="1:12" s="53" customFormat="1">
      <c r="A85" s="60" t="str">
        <f t="shared" si="2"/>
        <v>SVT</v>
      </c>
      <c r="B85" s="355" t="s">
        <v>199</v>
      </c>
      <c r="C85" s="59" t="s">
        <v>190</v>
      </c>
      <c r="D85" s="170" t="s">
        <v>75</v>
      </c>
      <c r="E85" s="169" t="s">
        <v>182</v>
      </c>
      <c r="F85" s="316"/>
      <c r="G85" s="317"/>
      <c r="H85" s="317">
        <f ca="1">VLOOKUP($A84,'Price setting'!$E$213:$O$230,COLUMN()-1,FALSE)*+Input!$H$441</f>
        <v>25.392845583146983</v>
      </c>
      <c r="I85" s="317">
        <f ca="1">VLOOKUP($A84,'Price setting'!$E$213:$O$230,COLUMN()-1,FALSE)*+Input!$H$441</f>
        <v>26.269803959292243</v>
      </c>
      <c r="J85" s="317">
        <f ca="1">VLOOKUP($A84,'Price setting'!$E$213:$O$230,COLUMN()-1,FALSE)*+Input!$H$441</f>
        <v>27.079036007593114</v>
      </c>
      <c r="K85" s="317">
        <f ca="1">VLOOKUP($A84,'Price setting'!$E$213:$O$230,COLUMN()-1,FALSE)*+Input!$H$441</f>
        <v>27.40544721418976</v>
      </c>
      <c r="L85" s="323">
        <f ca="1">VLOOKUP($A84,'Price setting'!$E$213:$O$230,COLUMN()-1,FALSE)*+Input!$H$441</f>
        <v>27.571534440530034</v>
      </c>
    </row>
    <row r="86" spans="1:12" s="53" customFormat="1">
      <c r="A86" s="60" t="str">
        <f t="shared" si="2"/>
        <v>SVT</v>
      </c>
      <c r="B86" s="355" t="s">
        <v>200</v>
      </c>
      <c r="C86" s="59" t="s">
        <v>191</v>
      </c>
      <c r="D86" s="170" t="s">
        <v>75</v>
      </c>
      <c r="E86" s="169" t="s">
        <v>182</v>
      </c>
      <c r="F86" s="316"/>
      <c r="G86" s="317"/>
      <c r="H86" s="317">
        <f ca="1">VLOOKUP($A86,'Price setting'!$E$278:$O$295,COLUMN()-1,FALSE)+VLOOKUP($A84,'Price setting'!$E$213:$O$230,COLUMN()-1,FALSE)</f>
        <v>26.725206345787893</v>
      </c>
      <c r="I86" s="317">
        <f ca="1">VLOOKUP($A86,'Price setting'!$E$278:$O$295,COLUMN()-1,FALSE)+VLOOKUP($A84,'Price setting'!$E$213:$O$230,COLUMN()-1,FALSE)</f>
        <v>27.001197807550099</v>
      </c>
      <c r="J86" s="317">
        <f ca="1">VLOOKUP($A86,'Price setting'!$E$278:$O$295,COLUMN()-1,FALSE)+VLOOKUP($A84,'Price setting'!$E$213:$O$230,COLUMN()-1,FALSE)</f>
        <v>27.122316844280938</v>
      </c>
      <c r="K86" s="317">
        <f ca="1">VLOOKUP($A86,'Price setting'!$E$278:$O$295,COLUMN()-1,FALSE)+VLOOKUP($A84,'Price setting'!$E$213:$O$230,COLUMN()-1,FALSE)</f>
        <v>26.872035233546992</v>
      </c>
      <c r="L86" s="323">
        <f ca="1">VLOOKUP($A86,'Price setting'!$E$278:$O$295,COLUMN()-1,FALSE)+VLOOKUP($A84,'Price setting'!$E$213:$O$230,COLUMN()-1,FALSE)</f>
        <v>26.999794638424124</v>
      </c>
    </row>
    <row r="87" spans="1:12" s="53" customFormat="1">
      <c r="A87" s="60" t="str">
        <f t="shared" si="2"/>
        <v>SVT</v>
      </c>
      <c r="B87" s="355" t="s">
        <v>201</v>
      </c>
      <c r="C87" s="59" t="s">
        <v>192</v>
      </c>
      <c r="D87" s="170" t="s">
        <v>75</v>
      </c>
      <c r="E87" s="169" t="s">
        <v>182</v>
      </c>
      <c r="F87" s="316"/>
      <c r="G87" s="317"/>
      <c r="H87" s="317">
        <f ca="1">VLOOKUP($A87,'Price setting'!$E$343:$O$360,COLUMN()-1,FALSE)+VLOOKUP($A84,'Price setting'!$E$213:$O$230,COLUMN()-1,FALSE)</f>
        <v>20.189660438506547</v>
      </c>
      <c r="I87" s="317">
        <f ca="1">VLOOKUP($A87,'Price setting'!$E$343:$O$360,COLUMN()-1,FALSE)+VLOOKUP($A84,'Price setting'!$E$213:$O$230,COLUMN()-1,FALSE)</f>
        <v>20.856020252632945</v>
      </c>
      <c r="J87" s="317">
        <f ca="1">VLOOKUP($A87,'Price setting'!$E$343:$O$360,COLUMN()-1,FALSE)+VLOOKUP($A84,'Price setting'!$E$213:$O$230,COLUMN()-1,FALSE)</f>
        <v>21.47151711902249</v>
      </c>
      <c r="K87" s="317">
        <f ca="1">VLOOKUP($A87,'Price setting'!$E$343:$O$360,COLUMN()-1,FALSE)+VLOOKUP($A84,'Price setting'!$E$213:$O$230,COLUMN()-1,FALSE)</f>
        <v>21.715186745169319</v>
      </c>
      <c r="L87" s="323">
        <f ca="1">VLOOKUP($A87,'Price setting'!$E$343:$O$360,COLUMN()-1,FALSE)+VLOOKUP($A84,'Price setting'!$E$213:$O$230,COLUMN()-1,FALSE)</f>
        <v>21.835487444446404</v>
      </c>
    </row>
    <row r="88" spans="1:12" s="53" customFormat="1">
      <c r="A88" s="60" t="str">
        <f t="shared" si="2"/>
        <v>SVT</v>
      </c>
      <c r="B88" s="355" t="s">
        <v>202</v>
      </c>
      <c r="C88" s="59" t="s">
        <v>193</v>
      </c>
      <c r="D88" s="170" t="s">
        <v>75</v>
      </c>
      <c r="E88" s="169" t="s">
        <v>182</v>
      </c>
      <c r="F88" s="316"/>
      <c r="G88" s="317"/>
      <c r="H88" s="317">
        <f ca="1">(VLOOKUP($A88,'Price setting'!$E$408:$O$425,COLUMN()-1,FALSE)+VLOOKUP($A84,'Price setting'!$E$213:$O$230,COLUMN()-1,FALSE))*+Input!$H$441</f>
        <v>32.585082252394074</v>
      </c>
      <c r="I88" s="317">
        <f ca="1">(VLOOKUP($A88,'Price setting'!$E$408:$O$425,COLUMN()-1,FALSE)+VLOOKUP($A84,'Price setting'!$E$213:$O$230,COLUMN()-1,FALSE))*+Input!$H$441</f>
        <v>33.292538454364575</v>
      </c>
      <c r="J88" s="317">
        <f ca="1">(VLOOKUP($A88,'Price setting'!$E$408:$O$425,COLUMN()-1,FALSE)+VLOOKUP($A84,'Price setting'!$E$213:$O$230,COLUMN()-1,FALSE))*+Input!$H$441</f>
        <v>33.790288486402787</v>
      </c>
      <c r="K88" s="317">
        <f ca="1">(VLOOKUP($A88,'Price setting'!$E$408:$O$425,COLUMN()-1,FALSE)+VLOOKUP($A84,'Price setting'!$E$213:$O$230,COLUMN()-1,FALSE))*+Input!$H$441</f>
        <v>33.755737615072981</v>
      </c>
      <c r="L88" s="323">
        <f ca="1">(VLOOKUP($A88,'Price setting'!$E$408:$O$425,COLUMN()-1,FALSE)+VLOOKUP($A84,'Price setting'!$E$213:$O$230,COLUMN()-1,FALSE))*+Input!$H$441</f>
        <v>33.921824841413255</v>
      </c>
    </row>
    <row r="89" spans="1:12" s="53" customFormat="1">
      <c r="A89" s="60" t="str">
        <f t="shared" si="2"/>
        <v>SVT</v>
      </c>
      <c r="B89" s="355" t="s">
        <v>208</v>
      </c>
      <c r="C89" s="21" t="s">
        <v>205</v>
      </c>
      <c r="D89" s="168" t="s">
        <v>75</v>
      </c>
      <c r="E89" s="169" t="s">
        <v>182</v>
      </c>
      <c r="F89" s="262">
        <f ca="1">VLOOKUP($A89,'Price setting'!$E$49:$I$66,COLUMN()-1,FALSE)</f>
        <v>0.40669841312866389</v>
      </c>
      <c r="G89" s="263"/>
      <c r="H89" s="263"/>
      <c r="I89" s="263"/>
      <c r="J89" s="263"/>
      <c r="K89" s="263"/>
      <c r="L89" s="264"/>
    </row>
    <row r="90" spans="1:12" s="53" customFormat="1">
      <c r="A90" s="60" t="str">
        <f t="shared" si="2"/>
        <v>SVT</v>
      </c>
      <c r="B90" s="355" t="s">
        <v>206</v>
      </c>
      <c r="C90" s="21" t="s">
        <v>132</v>
      </c>
      <c r="D90" s="168" t="s">
        <v>74</v>
      </c>
      <c r="E90" s="169" t="s">
        <v>182</v>
      </c>
      <c r="F90" s="262">
        <f ca="1">'Used inputs'!I49</f>
        <v>94.754517377257102</v>
      </c>
      <c r="G90" s="263">
        <f>'Used inputs'!J49</f>
        <v>94.088749076778598</v>
      </c>
      <c r="H90" s="263">
        <f ca="1">'Used inputs'!K49</f>
        <v>100.88211611016187</v>
      </c>
      <c r="I90" s="263">
        <f ca="1">'Used inputs'!L49</f>
        <v>103.08514498771366</v>
      </c>
      <c r="J90" s="263">
        <f ca="1">'Used inputs'!M49</f>
        <v>105.27662688676583</v>
      </c>
      <c r="K90" s="263">
        <f ca="1">'Used inputs'!N49</f>
        <v>108.33695077809941</v>
      </c>
      <c r="L90" s="264">
        <f ca="1">'Used inputs'!O49</f>
        <v>111.70955532576066</v>
      </c>
    </row>
    <row r="91" spans="1:12" s="53" customFormat="1">
      <c r="A91" s="60" t="str">
        <f t="shared" si="2"/>
        <v>SVT</v>
      </c>
      <c r="B91" s="355" t="s">
        <v>207</v>
      </c>
      <c r="C91" s="21" t="s">
        <v>157</v>
      </c>
      <c r="D91" s="168" t="s">
        <v>74</v>
      </c>
      <c r="E91" s="169" t="s">
        <v>182</v>
      </c>
      <c r="F91" s="262">
        <f>'Used inputs'!I62</f>
        <v>0.77323768662024051</v>
      </c>
      <c r="G91" s="263">
        <f>'Used inputs'!J62</f>
        <v>4.0698273599602608</v>
      </c>
      <c r="H91" s="263">
        <f>'Used inputs'!K62</f>
        <v>0.80909953340377871</v>
      </c>
      <c r="I91" s="263">
        <f>'Used inputs'!L62</f>
        <v>0.80909953340377871</v>
      </c>
      <c r="J91" s="263">
        <f>'Used inputs'!M62</f>
        <v>0.80909953340377871</v>
      </c>
      <c r="K91" s="263">
        <f>'Used inputs'!N62</f>
        <v>0.80909953340377871</v>
      </c>
      <c r="L91" s="264">
        <f>'Used inputs'!O62</f>
        <v>0.80909953340377871</v>
      </c>
    </row>
    <row r="92" spans="1:12" s="53" customFormat="1">
      <c r="A92" s="60" t="s">
        <v>47</v>
      </c>
      <c r="B92" s="355" t="s">
        <v>162</v>
      </c>
      <c r="C92" s="59" t="s">
        <v>175</v>
      </c>
      <c r="D92" s="169" t="s">
        <v>74</v>
      </c>
      <c r="E92" s="169" t="s">
        <v>182</v>
      </c>
      <c r="F92" s="262">
        <f>VLOOKUP($A92,'Price setting'!$E$448:$O$466,COLUMN()-1,FALSE)</f>
        <v>0</v>
      </c>
      <c r="G92" s="263">
        <f>VLOOKUP($A92,'Price setting'!$E$448:$O$466,COLUMN()-1,FALSE)</f>
        <v>0</v>
      </c>
      <c r="H92" s="263">
        <f ca="1">VLOOKUP($A92,'Price setting'!$E$448:$O$466,COLUMN()-1,FALSE)</f>
        <v>28.105262265667054</v>
      </c>
      <c r="I92" s="263">
        <f ca="1">VLOOKUP($A92,'Price setting'!$E$448:$O$466,COLUMN()-1,FALSE)</f>
        <v>28.505262265667103</v>
      </c>
      <c r="J92" s="263">
        <f ca="1">VLOOKUP($A92,'Price setting'!$E$448:$O$466,COLUMN()-1,FALSE)</f>
        <v>28.83826226566709</v>
      </c>
      <c r="K92" s="263">
        <f ca="1">VLOOKUP($A92,'Price setting'!$E$448:$O$466,COLUMN()-1,FALSE)</f>
        <v>28.878227411875212</v>
      </c>
      <c r="L92" s="264">
        <f ca="1">VLOOKUP($A92,'Price setting'!$E$448:$O$466,COLUMN()-1,FALSE)</f>
        <v>29.282262265667047</v>
      </c>
    </row>
    <row r="93" spans="1:12" s="53" customFormat="1">
      <c r="A93" s="60" t="s">
        <v>47</v>
      </c>
      <c r="B93" s="355" t="s">
        <v>163</v>
      </c>
      <c r="C93" s="59" t="s">
        <v>118</v>
      </c>
      <c r="D93" s="168" t="s">
        <v>75</v>
      </c>
      <c r="E93" s="169" t="s">
        <v>182</v>
      </c>
      <c r="F93" s="316">
        <f>VLOOKUP($A93,'Price setting'!$E$213:$O$231,COLUMN()-1,FALSE)</f>
        <v>0</v>
      </c>
      <c r="G93" s="317">
        <f>VLOOKUP($A93,'Price setting'!$E$213:$O$231,COLUMN()-1,FALSE)</f>
        <v>0</v>
      </c>
      <c r="H93" s="317">
        <f ca="1">VLOOKUP($A93,'Price setting'!$E$213:$O$231,COLUMN()-1,FALSE)</f>
        <v>28.548536746120199</v>
      </c>
      <c r="I93" s="317">
        <f ca="1">VLOOKUP($A93,'Price setting'!$E$213:$O$231,COLUMN()-1,FALSE)</f>
        <v>28.675007593318483</v>
      </c>
      <c r="J93" s="317">
        <f ca="1">VLOOKUP($A93,'Price setting'!$E$213:$O$231,COLUMN()-1,FALSE)</f>
        <v>28.73195238667315</v>
      </c>
      <c r="K93" s="317">
        <f ca="1">VLOOKUP($A93,'Price setting'!$E$213:$O$231,COLUMN()-1,FALSE)</f>
        <v>28.4895392916685</v>
      </c>
      <c r="L93" s="323">
        <f ca="1">VLOOKUP($A93,'Price setting'!$E$213:$O$231,COLUMN()-1,FALSE)</f>
        <v>28.670897038120557</v>
      </c>
    </row>
    <row r="94" spans="1:12" s="53" customFormat="1">
      <c r="A94" s="60" t="s">
        <v>47</v>
      </c>
      <c r="B94" s="355" t="s">
        <v>164</v>
      </c>
      <c r="C94" s="59" t="s">
        <v>119</v>
      </c>
      <c r="D94" s="168" t="s">
        <v>75</v>
      </c>
      <c r="E94" s="169" t="s">
        <v>182</v>
      </c>
      <c r="F94" s="316">
        <f>VLOOKUP($A94,'Price setting'!$E$278:$O$296,COLUMN()-1,FALSE)+VLOOKUP($A93,'Price setting'!$E$213:$O$231,COLUMN()-1,FALSE)</f>
        <v>0</v>
      </c>
      <c r="G94" s="317">
        <f>VLOOKUP($A94,'Price setting'!$E$278:$O$296,COLUMN()-1,FALSE)+VLOOKUP($A93,'Price setting'!$E$213:$O$231,COLUMN()-1,FALSE)</f>
        <v>0</v>
      </c>
      <c r="H94" s="317">
        <f ca="1">VLOOKUP($A94,'Price setting'!$E$278:$O$296,COLUMN()-1,FALSE)+VLOOKUP($A93,'Price setting'!$E$213:$O$231,COLUMN()-1,FALSE)</f>
        <v>31.312785791796124</v>
      </c>
      <c r="I94" s="317">
        <f ca="1">VLOOKUP($A94,'Price setting'!$E$278:$O$296,COLUMN()-1,FALSE)+VLOOKUP($A93,'Price setting'!$E$213:$O$231,COLUMN()-1,FALSE)</f>
        <v>31.438653092973027</v>
      </c>
      <c r="J94" s="317">
        <f ca="1">VLOOKUP($A94,'Price setting'!$E$278:$O$296,COLUMN()-1,FALSE)+VLOOKUP($A93,'Price setting'!$E$213:$O$231,COLUMN()-1,FALSE)</f>
        <v>31.523320156880551</v>
      </c>
      <c r="K94" s="317">
        <f ca="1">VLOOKUP($A94,'Price setting'!$E$278:$O$296,COLUMN()-1,FALSE)+VLOOKUP($A93,'Price setting'!$E$213:$O$231,COLUMN()-1,FALSE)</f>
        <v>31.277857102407836</v>
      </c>
      <c r="L94" s="323">
        <f ca="1">VLOOKUP($A94,'Price setting'!$E$278:$O$296,COLUMN()-1,FALSE)+VLOOKUP($A93,'Price setting'!$E$213:$O$231,COLUMN()-1,FALSE)</f>
        <v>31.346021141816092</v>
      </c>
    </row>
    <row r="95" spans="1:12" s="53" customFormat="1">
      <c r="A95" s="60" t="s">
        <v>47</v>
      </c>
      <c r="B95" s="355" t="s">
        <v>165</v>
      </c>
      <c r="C95" s="59" t="s">
        <v>120</v>
      </c>
      <c r="D95" s="168" t="s">
        <v>75</v>
      </c>
      <c r="E95" s="169" t="s">
        <v>182</v>
      </c>
      <c r="F95" s="316">
        <f>VLOOKUP($A95,'Price setting'!$E$343:$O$361,COLUMN()-1,FALSE)+VLOOKUP($A93,'Price setting'!$E$213:$O$231,COLUMN()-1,FALSE)</f>
        <v>0</v>
      </c>
      <c r="G95" s="317">
        <f>VLOOKUP($A95,'Price setting'!$E$343:$O$361,COLUMN()-1,FALSE)+VLOOKUP($A93,'Price setting'!$E$213:$O$231,COLUMN()-1,FALSE)</f>
        <v>0</v>
      </c>
      <c r="H95" s="317">
        <f ca="1">VLOOKUP($A95,'Price setting'!$E$343:$O$361,COLUMN()-1,FALSE)+VLOOKUP($A93,'Price setting'!$E$213:$O$231,COLUMN()-1,FALSE)</f>
        <v>28.548536746120199</v>
      </c>
      <c r="I95" s="317">
        <f ca="1">VLOOKUP($A95,'Price setting'!$E$343:$O$361,COLUMN()-1,FALSE)+VLOOKUP($A93,'Price setting'!$E$213:$O$231,COLUMN()-1,FALSE)</f>
        <v>28.675007593318483</v>
      </c>
      <c r="J95" s="317">
        <f ca="1">VLOOKUP($A95,'Price setting'!$E$343:$O$361,COLUMN()-1,FALSE)+VLOOKUP($A93,'Price setting'!$E$213:$O$231,COLUMN()-1,FALSE)</f>
        <v>28.73195238667315</v>
      </c>
      <c r="K95" s="317">
        <f ca="1">VLOOKUP($A95,'Price setting'!$E$343:$O$361,COLUMN()-1,FALSE)+VLOOKUP($A93,'Price setting'!$E$213:$O$231,COLUMN()-1,FALSE)</f>
        <v>28.4895392916685</v>
      </c>
      <c r="L95" s="323">
        <f ca="1">VLOOKUP($A95,'Price setting'!$E$343:$O$361,COLUMN()-1,FALSE)+VLOOKUP($A93,'Price setting'!$E$213:$O$231,COLUMN()-1,FALSE)</f>
        <v>28.670897038120557</v>
      </c>
    </row>
    <row r="96" spans="1:12" s="53" customFormat="1">
      <c r="A96" s="60" t="s">
        <v>47</v>
      </c>
      <c r="B96" s="355" t="s">
        <v>166</v>
      </c>
      <c r="C96" s="59" t="s">
        <v>124</v>
      </c>
      <c r="D96" s="168" t="s">
        <v>75</v>
      </c>
      <c r="E96" s="169" t="s">
        <v>182</v>
      </c>
      <c r="F96" s="316">
        <f>VLOOKUP($A96,'Price setting'!$E$408:$O$426,COLUMN()-1,FALSE)+VLOOKUP($A93,'Price setting'!$E$213:$O$231,COLUMN()-1,FALSE)</f>
        <v>0</v>
      </c>
      <c r="G96" s="317">
        <f>VLOOKUP($A96,'Price setting'!$E$408:$O$426,COLUMN()-1,FALSE)+VLOOKUP($A93,'Price setting'!$E$213:$O$231,COLUMN()-1,FALSE)</f>
        <v>0</v>
      </c>
      <c r="H96" s="317">
        <f ca="1">VLOOKUP($A96,'Price setting'!$E$408:$O$426,COLUMN()-1,FALSE)+VLOOKUP($A93,'Price setting'!$E$213:$O$231,COLUMN()-1,FALSE)</f>
        <v>30.805240890076622</v>
      </c>
      <c r="I96" s="317">
        <f ca="1">VLOOKUP($A96,'Price setting'!$E$408:$O$426,COLUMN()-1,FALSE)+VLOOKUP($A93,'Price setting'!$E$213:$O$231,COLUMN()-1,FALSE)</f>
        <v>30.934387135280883</v>
      </c>
      <c r="J96" s="317">
        <f ca="1">VLOOKUP($A96,'Price setting'!$E$408:$O$426,COLUMN()-1,FALSE)+VLOOKUP($A93,'Price setting'!$E$213:$O$231,COLUMN()-1,FALSE)</f>
        <v>30.993515576441453</v>
      </c>
      <c r="K96" s="317">
        <f ca="1">VLOOKUP($A96,'Price setting'!$E$408:$O$426,COLUMN()-1,FALSE)+VLOOKUP($A93,'Price setting'!$E$213:$O$231,COLUMN()-1,FALSE)</f>
        <v>30.754238142443288</v>
      </c>
      <c r="L96" s="323">
        <f ca="1">VLOOKUP($A96,'Price setting'!$E$408:$O$426,COLUMN()-1,FALSE)+VLOOKUP($A93,'Price setting'!$E$213:$O$231,COLUMN()-1,FALSE)</f>
        <v>30.8928470667638</v>
      </c>
    </row>
    <row r="97" spans="1:12" s="53" customFormat="1">
      <c r="A97" s="60" t="s">
        <v>47</v>
      </c>
      <c r="B97" s="355" t="s">
        <v>167</v>
      </c>
      <c r="C97" s="59" t="s">
        <v>122</v>
      </c>
      <c r="D97" s="170" t="s">
        <v>88</v>
      </c>
      <c r="E97" s="169" t="s">
        <v>182</v>
      </c>
      <c r="F97" s="262">
        <f>INDEX(SWT,ROW(Input!B$23)-5,COLUMN()+1)*Input!$H$441</f>
        <v>178.50300000000001</v>
      </c>
      <c r="G97" s="263">
        <f>INDEX(SWT,ROW(Input!C$23)-5,COLUMN()+1)*Input!$H$441</f>
        <v>167.7364</v>
      </c>
      <c r="H97" s="263">
        <f>INDEX(SWT,ROW(Input!D$23)-5,COLUMN()+1)*Input!$H$441</f>
        <v>156.46279999999999</v>
      </c>
      <c r="I97" s="263">
        <f>INDEX(SWT,ROW(Input!E$23)-5,COLUMN()+1)*Input!$H$441</f>
        <v>146.4931</v>
      </c>
      <c r="J97" s="263">
        <f>INDEX(SWT,ROW(Input!F$23)-5,COLUMN()+1)*Input!$H$441</f>
        <v>137.6765</v>
      </c>
      <c r="K97" s="263">
        <f>INDEX(SWT,ROW(Input!G$23)-5,COLUMN()+1)*Input!$H$441</f>
        <v>129.87909999999999</v>
      </c>
      <c r="L97" s="264">
        <f>INDEX(SWT,ROW(Input!H$23)-5,COLUMN()+1)*Input!$H$441</f>
        <v>122.98650000000001</v>
      </c>
    </row>
    <row r="98" spans="1:12" s="53" customFormat="1">
      <c r="A98" s="60" t="s">
        <v>47</v>
      </c>
      <c r="B98" s="355" t="s">
        <v>168</v>
      </c>
      <c r="C98" s="59" t="s">
        <v>123</v>
      </c>
      <c r="D98" s="170" t="s">
        <v>88</v>
      </c>
      <c r="E98" s="169" t="s">
        <v>182</v>
      </c>
      <c r="F98" s="262">
        <f>+INDEX(SWT,ROW(Input!B$24)-5,COLUMN()+1)*Input!$H$441</f>
        <v>668.49120000000005</v>
      </c>
      <c r="G98" s="263">
        <f>+INDEX(SWT,ROW(Input!C$24)-5,COLUMN()+1)*Input!$H$441</f>
        <v>685.15590000000009</v>
      </c>
      <c r="H98" s="263">
        <f>+INDEX(SWT,ROW(Input!D$24)-5,COLUMN()+1)*Input!$H$441</f>
        <v>704.12420000000009</v>
      </c>
      <c r="I98" s="263">
        <f>+INDEX(SWT,ROW(Input!E$24)-5,COLUMN()+1)*Input!$H$441</f>
        <v>721.8796000000001</v>
      </c>
      <c r="J98" s="263">
        <f>+INDEX(SWT,ROW(Input!F$24)-5,COLUMN()+1)*Input!$H$441</f>
        <v>738.42729999999995</v>
      </c>
      <c r="K98" s="263">
        <f>+INDEX(SWT,ROW(Input!G$24)-5,COLUMN()+1)*Input!$H$441</f>
        <v>753.74260000000004</v>
      </c>
      <c r="L98" s="264">
        <f>+INDEX(SWT,ROW(Input!H$24)-5,COLUMN()+1)*Input!$H$441</f>
        <v>768.2441</v>
      </c>
    </row>
    <row r="99" spans="1:12" s="53" customFormat="1">
      <c r="A99" s="60" t="s">
        <v>47</v>
      </c>
      <c r="B99" s="355" t="s">
        <v>169</v>
      </c>
      <c r="C99" s="59" t="s">
        <v>139</v>
      </c>
      <c r="D99" s="170" t="s">
        <v>74</v>
      </c>
      <c r="E99" s="169" t="s">
        <v>182</v>
      </c>
      <c r="F99" s="262">
        <f>VLOOKUP($A99,'Price setting'!$E$488:$O$506,COLUMN()-1,FALSE)</f>
        <v>0</v>
      </c>
      <c r="G99" s="263">
        <f>VLOOKUP($A99,'Price setting'!$E$488:$O$506,COLUMN()-1,FALSE)</f>
        <v>0</v>
      </c>
      <c r="H99" s="263">
        <f ca="1">VLOOKUP($A99,'Price setting'!$E$488:$O$506,COLUMN()-1,FALSE)</f>
        <v>0.13600000000000045</v>
      </c>
      <c r="I99" s="263">
        <f ca="1">VLOOKUP($A99,'Price setting'!$E$488:$O$506,COLUMN()-1,FALSE)</f>
        <v>0.43399999999999972</v>
      </c>
      <c r="J99" s="263">
        <f ca="1">VLOOKUP($A99,'Price setting'!$E$488:$O$506,COLUMN()-1,FALSE)</f>
        <v>0.70099999999999962</v>
      </c>
      <c r="K99" s="263">
        <f ca="1">VLOOKUP($A99,'Price setting'!$E$488:$O$506,COLUMN()-1,FALSE)</f>
        <v>0.91066046637486986</v>
      </c>
      <c r="L99" s="264">
        <f ca="1">VLOOKUP($A99,'Price setting'!$E$488:$O$506,COLUMN()-1,FALSE)</f>
        <v>1.1159999999999961</v>
      </c>
    </row>
    <row r="100" spans="1:12" s="53" customFormat="1">
      <c r="A100" s="60" t="str">
        <f>+A99</f>
        <v>SWT</v>
      </c>
      <c r="B100" s="355" t="s">
        <v>170</v>
      </c>
      <c r="C100" s="59" t="s">
        <v>67</v>
      </c>
      <c r="D100" s="170" t="s">
        <v>171</v>
      </c>
      <c r="E100" s="169" t="s">
        <v>182</v>
      </c>
      <c r="F100" s="320">
        <f>+Input!$H$441</f>
        <v>1.3</v>
      </c>
      <c r="G100" s="321">
        <f>+Input!$H$441</f>
        <v>1.3</v>
      </c>
      <c r="H100" s="321">
        <f>+Input!$H$441</f>
        <v>1.3</v>
      </c>
      <c r="I100" s="321">
        <f>+Input!$H$441</f>
        <v>1.3</v>
      </c>
      <c r="J100" s="321">
        <f>+Input!$H$441</f>
        <v>1.3</v>
      </c>
      <c r="K100" s="321">
        <f>+Input!$H$441</f>
        <v>1.3</v>
      </c>
      <c r="L100" s="322">
        <f>+Input!$H$441</f>
        <v>1.3</v>
      </c>
    </row>
    <row r="101" spans="1:12" s="53" customFormat="1">
      <c r="A101" s="60" t="str">
        <f t="shared" ref="A101:A113" si="3">+A100</f>
        <v>SWT</v>
      </c>
      <c r="B101" s="355" t="s">
        <v>194</v>
      </c>
      <c r="C101" s="59" t="s">
        <v>185</v>
      </c>
      <c r="D101" s="170" t="s">
        <v>75</v>
      </c>
      <c r="E101" s="169" t="s">
        <v>182</v>
      </c>
      <c r="F101" s="316">
        <f ca="1">VLOOKUP(A101,'Price setting'!$E$89:$I$106,COLUMN()-1,FALSE)</f>
        <v>26.172448344771009</v>
      </c>
      <c r="G101" s="317"/>
      <c r="H101" s="317"/>
      <c r="I101" s="317"/>
      <c r="J101" s="317"/>
      <c r="K101" s="317"/>
      <c r="L101" s="323"/>
    </row>
    <row r="102" spans="1:12" s="53" customFormat="1">
      <c r="A102" s="60" t="str">
        <f t="shared" si="3"/>
        <v>SWT</v>
      </c>
      <c r="B102" s="355" t="s">
        <v>195</v>
      </c>
      <c r="C102" s="59" t="s">
        <v>186</v>
      </c>
      <c r="D102" s="170" t="s">
        <v>75</v>
      </c>
      <c r="E102" s="169" t="s">
        <v>182</v>
      </c>
      <c r="F102" s="316">
        <f ca="1">VLOOKUP(A102,'Price setting'!E$254:I$271,COLUMN()-1,FALSE)+VLOOKUP(A101,'Price setting'!$E$89:$I$106,COLUMN()-1,FALSE)</f>
        <v>29.130379983684243</v>
      </c>
      <c r="G102" s="317"/>
      <c r="H102" s="317"/>
      <c r="I102" s="317"/>
      <c r="J102" s="317"/>
      <c r="K102" s="317"/>
      <c r="L102" s="323"/>
    </row>
    <row r="103" spans="1:12" s="53" customFormat="1">
      <c r="A103" s="60" t="str">
        <f t="shared" si="3"/>
        <v>SWT</v>
      </c>
      <c r="B103" s="355" t="s">
        <v>196</v>
      </c>
      <c r="C103" s="59" t="s">
        <v>187</v>
      </c>
      <c r="D103" s="170" t="s">
        <v>75</v>
      </c>
      <c r="E103" s="169" t="s">
        <v>182</v>
      </c>
      <c r="F103" s="316">
        <f ca="1">VLOOKUP(A103,'Price setting'!E$319:I$336,COLUMN()-1,FALSE)+VLOOKUP(A101,'Price setting'!$E$89:$I$106,COLUMN()-1,FALSE)</f>
        <v>26.172448344771009</v>
      </c>
      <c r="G103" s="317"/>
      <c r="H103" s="317"/>
      <c r="I103" s="317"/>
      <c r="J103" s="317"/>
      <c r="K103" s="317"/>
      <c r="L103" s="323"/>
    </row>
    <row r="104" spans="1:12" s="53" customFormat="1">
      <c r="A104" s="60" t="str">
        <f t="shared" si="3"/>
        <v>SWT</v>
      </c>
      <c r="B104" s="355" t="s">
        <v>197</v>
      </c>
      <c r="C104" s="59" t="s">
        <v>188</v>
      </c>
      <c r="D104" s="170" t="s">
        <v>75</v>
      </c>
      <c r="E104" s="169" t="s">
        <v>182</v>
      </c>
      <c r="F104" s="316">
        <f ca="1">(VLOOKUP(A104,'Price setting'!E$384:I$401,COLUMN()-1,FALSE)+VLOOKUP(A101,'Price setting'!$E$89:$I$106,COLUMN()-1,FALSE))*+Input!$H$441</f>
        <v>37.085105714501822</v>
      </c>
      <c r="G104" s="317"/>
      <c r="H104" s="317"/>
      <c r="I104" s="317"/>
      <c r="J104" s="317"/>
      <c r="K104" s="317"/>
      <c r="L104" s="323"/>
    </row>
    <row r="105" spans="1:12" s="53" customFormat="1">
      <c r="A105" s="60" t="str">
        <f t="shared" si="3"/>
        <v>SWT</v>
      </c>
      <c r="B105" s="355" t="s">
        <v>198</v>
      </c>
      <c r="C105" s="59" t="s">
        <v>189</v>
      </c>
      <c r="D105" s="170" t="s">
        <v>75</v>
      </c>
      <c r="E105" s="169" t="s">
        <v>182</v>
      </c>
      <c r="F105" s="316">
        <f ca="1">VLOOKUP(A105,'Price setting'!E$89:I$106,COLUMN()-1,FALSE)*+Input!$H$441</f>
        <v>34.024182848202315</v>
      </c>
      <c r="G105" s="317"/>
      <c r="H105" s="317"/>
      <c r="I105" s="317"/>
      <c r="J105" s="317"/>
      <c r="K105" s="317"/>
      <c r="L105" s="323"/>
    </row>
    <row r="106" spans="1:12" s="53" customFormat="1">
      <c r="A106" s="60" t="str">
        <f t="shared" si="3"/>
        <v>SWT</v>
      </c>
      <c r="B106" s="356" t="s">
        <v>204</v>
      </c>
      <c r="C106" s="50" t="s">
        <v>203</v>
      </c>
      <c r="D106" s="168" t="s">
        <v>75</v>
      </c>
      <c r="E106" s="169" t="s">
        <v>182</v>
      </c>
      <c r="F106" s="316"/>
      <c r="G106" s="317"/>
      <c r="H106" s="317">
        <f ca="1">VLOOKUP($A106,'Price setting'!$E$213:$O$230,COLUMN()-1,FALSE)</f>
        <v>28.548536746120199</v>
      </c>
      <c r="I106" s="317">
        <f ca="1">VLOOKUP($A106,'Price setting'!$E$213:$O$230,COLUMN()-1,FALSE)</f>
        <v>28.675007593318483</v>
      </c>
      <c r="J106" s="317">
        <f ca="1">VLOOKUP($A106,'Price setting'!$E$213:$O$230,COLUMN()-1,FALSE)</f>
        <v>28.73195238667315</v>
      </c>
      <c r="K106" s="317">
        <f ca="1">VLOOKUP($A106,'Price setting'!$E$213:$O$230,COLUMN()-1,FALSE)</f>
        <v>28.4895392916685</v>
      </c>
      <c r="L106" s="323">
        <f ca="1">VLOOKUP($A106,'Price setting'!$E$213:$O$230,COLUMN()-1,FALSE)</f>
        <v>28.670897038120557</v>
      </c>
    </row>
    <row r="107" spans="1:12" s="53" customFormat="1">
      <c r="A107" s="60" t="str">
        <f t="shared" si="3"/>
        <v>SWT</v>
      </c>
      <c r="B107" s="355" t="s">
        <v>199</v>
      </c>
      <c r="C107" s="59" t="s">
        <v>190</v>
      </c>
      <c r="D107" s="170" t="s">
        <v>75</v>
      </c>
      <c r="E107" s="169" t="s">
        <v>182</v>
      </c>
      <c r="F107" s="316"/>
      <c r="G107" s="317"/>
      <c r="H107" s="317">
        <f ca="1">VLOOKUP($A106,'Price setting'!$E$213:$O$230,COLUMN()-1,FALSE)*+Input!$H$441</f>
        <v>37.113097769956262</v>
      </c>
      <c r="I107" s="317">
        <f ca="1">VLOOKUP($A106,'Price setting'!$E$213:$O$230,COLUMN()-1,FALSE)*+Input!$H$441</f>
        <v>37.277509871314031</v>
      </c>
      <c r="J107" s="317">
        <f ca="1">VLOOKUP($A106,'Price setting'!$E$213:$O$230,COLUMN()-1,FALSE)*+Input!$H$441</f>
        <v>37.351538102675093</v>
      </c>
      <c r="K107" s="317">
        <f ca="1">VLOOKUP($A106,'Price setting'!$E$213:$O$230,COLUMN()-1,FALSE)*+Input!$H$441</f>
        <v>37.036401079169053</v>
      </c>
      <c r="L107" s="323">
        <f ca="1">VLOOKUP($A106,'Price setting'!$E$213:$O$230,COLUMN()-1,FALSE)*+Input!$H$441</f>
        <v>37.272166149556725</v>
      </c>
    </row>
    <row r="108" spans="1:12" s="53" customFormat="1">
      <c r="A108" s="60" t="str">
        <f t="shared" si="3"/>
        <v>SWT</v>
      </c>
      <c r="B108" s="355" t="s">
        <v>200</v>
      </c>
      <c r="C108" s="59" t="s">
        <v>191</v>
      </c>
      <c r="D108" s="170" t="s">
        <v>75</v>
      </c>
      <c r="E108" s="169" t="s">
        <v>182</v>
      </c>
      <c r="F108" s="316"/>
      <c r="G108" s="317"/>
      <c r="H108" s="317">
        <f ca="1">VLOOKUP($A108,'Price setting'!$E$278:$O$295,COLUMN()-1,FALSE)+VLOOKUP($A106,'Price setting'!$E$213:$O$230,COLUMN()-1,FALSE)</f>
        <v>31.312785791796124</v>
      </c>
      <c r="I108" s="317">
        <f ca="1">VLOOKUP($A108,'Price setting'!$E$278:$O$295,COLUMN()-1,FALSE)+VLOOKUP($A106,'Price setting'!$E$213:$O$230,COLUMN()-1,FALSE)</f>
        <v>31.438653092973027</v>
      </c>
      <c r="J108" s="317">
        <f ca="1">VLOOKUP($A108,'Price setting'!$E$278:$O$295,COLUMN()-1,FALSE)+VLOOKUP($A106,'Price setting'!$E$213:$O$230,COLUMN()-1,FALSE)</f>
        <v>31.523320156880551</v>
      </c>
      <c r="K108" s="317">
        <f ca="1">VLOOKUP($A108,'Price setting'!$E$278:$O$295,COLUMN()-1,FALSE)+VLOOKUP($A106,'Price setting'!$E$213:$O$230,COLUMN()-1,FALSE)</f>
        <v>31.277857102407836</v>
      </c>
      <c r="L108" s="323">
        <f ca="1">VLOOKUP($A108,'Price setting'!$E$278:$O$295,COLUMN()-1,FALSE)+VLOOKUP($A106,'Price setting'!$E$213:$O$230,COLUMN()-1,FALSE)</f>
        <v>31.346021141816092</v>
      </c>
    </row>
    <row r="109" spans="1:12" s="53" customFormat="1">
      <c r="A109" s="60" t="str">
        <f t="shared" si="3"/>
        <v>SWT</v>
      </c>
      <c r="B109" s="355" t="s">
        <v>201</v>
      </c>
      <c r="C109" s="59" t="s">
        <v>192</v>
      </c>
      <c r="D109" s="170" t="s">
        <v>75</v>
      </c>
      <c r="E109" s="169" t="s">
        <v>182</v>
      </c>
      <c r="F109" s="316"/>
      <c r="G109" s="317"/>
      <c r="H109" s="317">
        <f ca="1">VLOOKUP($A109,'Price setting'!$E$343:$O$360,COLUMN()-1,FALSE)+VLOOKUP($A106,'Price setting'!$E$213:$O$230,COLUMN()-1,FALSE)</f>
        <v>28.548536746120199</v>
      </c>
      <c r="I109" s="317">
        <f ca="1">VLOOKUP($A109,'Price setting'!$E$343:$O$360,COLUMN()-1,FALSE)+VLOOKUP($A106,'Price setting'!$E$213:$O$230,COLUMN()-1,FALSE)</f>
        <v>28.675007593318483</v>
      </c>
      <c r="J109" s="317">
        <f ca="1">VLOOKUP($A109,'Price setting'!$E$343:$O$360,COLUMN()-1,FALSE)+VLOOKUP($A106,'Price setting'!$E$213:$O$230,COLUMN()-1,FALSE)</f>
        <v>28.73195238667315</v>
      </c>
      <c r="K109" s="317">
        <f ca="1">VLOOKUP($A109,'Price setting'!$E$343:$O$360,COLUMN()-1,FALSE)+VLOOKUP($A106,'Price setting'!$E$213:$O$230,COLUMN()-1,FALSE)</f>
        <v>28.4895392916685</v>
      </c>
      <c r="L109" s="323">
        <f ca="1">VLOOKUP($A109,'Price setting'!$E$343:$O$360,COLUMN()-1,FALSE)+VLOOKUP($A106,'Price setting'!$E$213:$O$230,COLUMN()-1,FALSE)</f>
        <v>28.670897038120557</v>
      </c>
    </row>
    <row r="110" spans="1:12" s="53" customFormat="1">
      <c r="A110" s="60" t="str">
        <f t="shared" si="3"/>
        <v>SWT</v>
      </c>
      <c r="B110" s="355" t="s">
        <v>202</v>
      </c>
      <c r="C110" s="59" t="s">
        <v>193</v>
      </c>
      <c r="D110" s="170" t="s">
        <v>75</v>
      </c>
      <c r="E110" s="169" t="s">
        <v>182</v>
      </c>
      <c r="F110" s="316"/>
      <c r="G110" s="317"/>
      <c r="H110" s="317">
        <f ca="1">(VLOOKUP($A110,'Price setting'!$E$408:$O$425,COLUMN()-1,FALSE)+VLOOKUP($A106,'Price setting'!$E$213:$O$230,COLUMN()-1,FALSE))*+Input!$H$441</f>
        <v>40.046813157099606</v>
      </c>
      <c r="I110" s="317">
        <f ca="1">(VLOOKUP($A110,'Price setting'!$E$408:$O$425,COLUMN()-1,FALSE)+VLOOKUP($A106,'Price setting'!$E$213:$O$230,COLUMN()-1,FALSE))*+Input!$H$441</f>
        <v>40.214703275865148</v>
      </c>
      <c r="J110" s="317">
        <f ca="1">(VLOOKUP($A110,'Price setting'!$E$408:$O$425,COLUMN()-1,FALSE)+VLOOKUP($A106,'Price setting'!$E$213:$O$230,COLUMN()-1,FALSE))*+Input!$H$441</f>
        <v>40.291570249373891</v>
      </c>
      <c r="K110" s="317">
        <f ca="1">(VLOOKUP($A110,'Price setting'!$E$408:$O$425,COLUMN()-1,FALSE)+VLOOKUP($A106,'Price setting'!$E$213:$O$230,COLUMN()-1,FALSE))*+Input!$H$441</f>
        <v>39.980509585176279</v>
      </c>
      <c r="L110" s="323">
        <f ca="1">(VLOOKUP($A110,'Price setting'!$E$408:$O$425,COLUMN()-1,FALSE)+VLOOKUP($A106,'Price setting'!$E$213:$O$230,COLUMN()-1,FALSE))*+Input!$H$441</f>
        <v>40.160701186792942</v>
      </c>
    </row>
    <row r="111" spans="1:12" s="53" customFormat="1">
      <c r="A111" s="60" t="str">
        <f t="shared" si="3"/>
        <v>SWT</v>
      </c>
      <c r="B111" s="355" t="s">
        <v>208</v>
      </c>
      <c r="C111" s="21" t="s">
        <v>205</v>
      </c>
      <c r="D111" s="168" t="s">
        <v>75</v>
      </c>
      <c r="E111" s="169" t="s">
        <v>182</v>
      </c>
      <c r="F111" s="262">
        <f ca="1">VLOOKUP($A111,'Price setting'!$E$49:$I$66,COLUMN()-1,FALSE)</f>
        <v>0</v>
      </c>
      <c r="G111" s="263"/>
      <c r="H111" s="263"/>
      <c r="I111" s="263"/>
      <c r="J111" s="263"/>
      <c r="K111" s="263"/>
      <c r="L111" s="264"/>
    </row>
    <row r="112" spans="1:12" s="53" customFormat="1">
      <c r="A112" s="60" t="str">
        <f t="shared" si="3"/>
        <v>SWT</v>
      </c>
      <c r="B112" s="355" t="s">
        <v>206</v>
      </c>
      <c r="C112" s="21" t="s">
        <v>132</v>
      </c>
      <c r="D112" s="168" t="s">
        <v>74</v>
      </c>
      <c r="E112" s="169" t="s">
        <v>182</v>
      </c>
      <c r="F112" s="262">
        <f ca="1">'Used inputs'!I64</f>
        <v>22.238565886720469</v>
      </c>
      <c r="G112" s="263">
        <f>'Used inputs'!J64</f>
        <v>28.770000000000039</v>
      </c>
      <c r="H112" s="263">
        <f ca="1">'Used inputs'!K64</f>
        <v>20.31399999999995</v>
      </c>
      <c r="I112" s="263">
        <f ca="1">'Used inputs'!L64</f>
        <v>20.415999999999993</v>
      </c>
      <c r="J112" s="263">
        <f ca="1">'Used inputs'!M64</f>
        <v>20.481999999999992</v>
      </c>
      <c r="K112" s="263">
        <f ca="1">'Used inputs'!N64</f>
        <v>20.507000000000009</v>
      </c>
      <c r="L112" s="264">
        <f ca="1">'Used inputs'!O64</f>
        <v>20.510999999999946</v>
      </c>
    </row>
    <row r="113" spans="1:12" s="53" customFormat="1">
      <c r="A113" s="60" t="str">
        <f t="shared" si="3"/>
        <v>SWT</v>
      </c>
      <c r="B113" s="355" t="s">
        <v>207</v>
      </c>
      <c r="C113" s="21" t="s">
        <v>157</v>
      </c>
      <c r="D113" s="168" t="s">
        <v>74</v>
      </c>
      <c r="E113" s="169" t="s">
        <v>182</v>
      </c>
      <c r="F113" s="262">
        <f>'Used inputs'!I77</f>
        <v>7.6782910663805728</v>
      </c>
      <c r="G113" s="263">
        <f>'Used inputs'!J77</f>
        <v>0</v>
      </c>
      <c r="H113" s="263">
        <f>'Used inputs'!K77</f>
        <v>7.6552622656671048</v>
      </c>
      <c r="I113" s="263">
        <f>'Used inputs'!L77</f>
        <v>7.6552622656671048</v>
      </c>
      <c r="J113" s="263">
        <f>'Used inputs'!M77</f>
        <v>7.6552622656671048</v>
      </c>
      <c r="K113" s="263">
        <f>'Used inputs'!N77</f>
        <v>7.6552622656671048</v>
      </c>
      <c r="L113" s="264">
        <f>'Used inputs'!O77</f>
        <v>7.6552622656671048</v>
      </c>
    </row>
    <row r="114" spans="1:12" s="53" customFormat="1">
      <c r="A114" s="60" t="s">
        <v>48</v>
      </c>
      <c r="B114" s="355" t="s">
        <v>162</v>
      </c>
      <c r="C114" s="59" t="s">
        <v>175</v>
      </c>
      <c r="D114" s="169" t="s">
        <v>74</v>
      </c>
      <c r="E114" s="169" t="s">
        <v>182</v>
      </c>
      <c r="F114" s="262">
        <f>VLOOKUP($A114,'Price setting'!$E$448:$O$466,COLUMN()-1,FALSE)</f>
        <v>0</v>
      </c>
      <c r="G114" s="263">
        <f>VLOOKUP($A114,'Price setting'!$E$448:$O$466,COLUMN()-1,FALSE)</f>
        <v>0</v>
      </c>
      <c r="H114" s="263">
        <f ca="1">VLOOKUP($A114,'Price setting'!$E$448:$O$466,COLUMN()-1,FALSE)</f>
        <v>58.506976711910809</v>
      </c>
      <c r="I114" s="263">
        <f ca="1">VLOOKUP($A114,'Price setting'!$E$448:$O$466,COLUMN()-1,FALSE)</f>
        <v>57.48368675332145</v>
      </c>
      <c r="J114" s="263">
        <f ca="1">VLOOKUP($A114,'Price setting'!$E$448:$O$466,COLUMN()-1,FALSE)</f>
        <v>53.310918510807667</v>
      </c>
      <c r="K114" s="263">
        <f ca="1">VLOOKUP($A114,'Price setting'!$E$448:$O$466,COLUMN()-1,FALSE)</f>
        <v>49.240950120087206</v>
      </c>
      <c r="L114" s="264">
        <f ca="1">VLOOKUP($A114,'Price setting'!$E$448:$O$466,COLUMN()-1,FALSE)</f>
        <v>50.51812093858716</v>
      </c>
    </row>
    <row r="115" spans="1:12" s="53" customFormat="1">
      <c r="A115" s="60" t="s">
        <v>48</v>
      </c>
      <c r="B115" s="355" t="s">
        <v>163</v>
      </c>
      <c r="C115" s="59" t="s">
        <v>118</v>
      </c>
      <c r="D115" s="168" t="s">
        <v>75</v>
      </c>
      <c r="E115" s="169" t="s">
        <v>182</v>
      </c>
      <c r="F115" s="316">
        <f>VLOOKUP($A115,'Price setting'!$E$213:$O$231,COLUMN()-1,FALSE)</f>
        <v>0</v>
      </c>
      <c r="G115" s="317">
        <f>VLOOKUP($A115,'Price setting'!$E$213:$O$231,COLUMN()-1,FALSE)</f>
        <v>0</v>
      </c>
      <c r="H115" s="317">
        <f ca="1">VLOOKUP($A115,'Price setting'!$E$213:$O$231,COLUMN()-1,FALSE)</f>
        <v>24.266513043456882</v>
      </c>
      <c r="I115" s="317">
        <f ca="1">VLOOKUP($A115,'Price setting'!$E$213:$O$231,COLUMN()-1,FALSE)</f>
        <v>23.594545444664334</v>
      </c>
      <c r="J115" s="317">
        <f ca="1">VLOOKUP($A115,'Price setting'!$E$213:$O$231,COLUMN()-1,FALSE)</f>
        <v>21.632036656278544</v>
      </c>
      <c r="K115" s="317">
        <f ca="1">VLOOKUP($A115,'Price setting'!$E$213:$O$231,COLUMN()-1,FALSE)</f>
        <v>19.630900345725003</v>
      </c>
      <c r="L115" s="323">
        <f ca="1">VLOOKUP($A115,'Price setting'!$E$213:$O$231,COLUMN()-1,FALSE)</f>
        <v>20.06961631399993</v>
      </c>
    </row>
    <row r="116" spans="1:12" s="53" customFormat="1">
      <c r="A116" s="60" t="s">
        <v>48</v>
      </c>
      <c r="B116" s="355" t="s">
        <v>164</v>
      </c>
      <c r="C116" s="59" t="s">
        <v>119</v>
      </c>
      <c r="D116" s="168" t="s">
        <v>75</v>
      </c>
      <c r="E116" s="169" t="s">
        <v>182</v>
      </c>
      <c r="F116" s="316">
        <f>VLOOKUP($A116,'Price setting'!$E$278:$O$296,COLUMN()-1,FALSE)+VLOOKUP($A115,'Price setting'!$E$213:$O$231,COLUMN()-1,FALSE)</f>
        <v>0</v>
      </c>
      <c r="G116" s="317">
        <f>VLOOKUP($A116,'Price setting'!$E$278:$O$296,COLUMN()-1,FALSE)+VLOOKUP($A115,'Price setting'!$E$213:$O$231,COLUMN()-1,FALSE)</f>
        <v>0</v>
      </c>
      <c r="H116" s="317">
        <f ca="1">VLOOKUP($A116,'Price setting'!$E$278:$O$296,COLUMN()-1,FALSE)+VLOOKUP($A115,'Price setting'!$E$213:$O$231,COLUMN()-1,FALSE)</f>
        <v>27.927985166258914</v>
      </c>
      <c r="I116" s="317">
        <f ca="1">VLOOKUP($A116,'Price setting'!$E$278:$O$296,COLUMN()-1,FALSE)+VLOOKUP($A115,'Price setting'!$E$213:$O$231,COLUMN()-1,FALSE)</f>
        <v>27.258920082772757</v>
      </c>
      <c r="J116" s="317">
        <f ca="1">VLOOKUP($A116,'Price setting'!$E$278:$O$296,COLUMN()-1,FALSE)+VLOOKUP($A115,'Price setting'!$E$213:$O$231,COLUMN()-1,FALSE)</f>
        <v>24.998631586669969</v>
      </c>
      <c r="K116" s="317">
        <f ca="1">VLOOKUP($A116,'Price setting'!$E$278:$O$296,COLUMN()-1,FALSE)+VLOOKUP($A115,'Price setting'!$E$213:$O$231,COLUMN()-1,FALSE)</f>
        <v>22.996032861627608</v>
      </c>
      <c r="L116" s="323">
        <f ca="1">VLOOKUP($A116,'Price setting'!$E$278:$O$296,COLUMN()-1,FALSE)+VLOOKUP($A115,'Price setting'!$E$213:$O$231,COLUMN()-1,FALSE)</f>
        <v>23.216459834866832</v>
      </c>
    </row>
    <row r="117" spans="1:12" s="53" customFormat="1">
      <c r="A117" s="60" t="s">
        <v>48</v>
      </c>
      <c r="B117" s="355" t="s">
        <v>165</v>
      </c>
      <c r="C117" s="59" t="s">
        <v>120</v>
      </c>
      <c r="D117" s="168" t="s">
        <v>75</v>
      </c>
      <c r="E117" s="169" t="s">
        <v>182</v>
      </c>
      <c r="F117" s="316">
        <f>VLOOKUP($A117,'Price setting'!$E$343:$O$361,COLUMN()-1,FALSE)+VLOOKUP($A115,'Price setting'!$E$213:$O$231,COLUMN()-1,FALSE)</f>
        <v>0</v>
      </c>
      <c r="G117" s="317">
        <f>VLOOKUP($A117,'Price setting'!$E$343:$O$361,COLUMN()-1,FALSE)+VLOOKUP($A115,'Price setting'!$E$213:$O$231,COLUMN()-1,FALSE)</f>
        <v>0</v>
      </c>
      <c r="H117" s="317">
        <f ca="1">VLOOKUP($A117,'Price setting'!$E$343:$O$361,COLUMN()-1,FALSE)+VLOOKUP($A115,'Price setting'!$E$213:$O$231,COLUMN()-1,FALSE)</f>
        <v>28.82460250957261</v>
      </c>
      <c r="I117" s="317">
        <f ca="1">VLOOKUP($A117,'Price setting'!$E$343:$O$361,COLUMN()-1,FALSE)+VLOOKUP($A115,'Price setting'!$E$213:$O$231,COLUMN()-1,FALSE)</f>
        <v>27.840453163852462</v>
      </c>
      <c r="J117" s="317">
        <f ca="1">VLOOKUP($A117,'Price setting'!$E$343:$O$361,COLUMN()-1,FALSE)+VLOOKUP($A115,'Price setting'!$E$213:$O$231,COLUMN()-1,FALSE)</f>
        <v>25.565762628539076</v>
      </c>
      <c r="K117" s="317">
        <f ca="1">VLOOKUP($A117,'Price setting'!$E$343:$O$361,COLUMN()-1,FALSE)+VLOOKUP($A115,'Price setting'!$E$213:$O$231,COLUMN()-1,FALSE)</f>
        <v>23.252444571057925</v>
      </c>
      <c r="L117" s="323">
        <f ca="1">VLOOKUP($A117,'Price setting'!$E$343:$O$361,COLUMN()-1,FALSE)+VLOOKUP($A115,'Price setting'!$E$213:$O$231,COLUMN()-1,FALSE)</f>
        <v>23.691160539332859</v>
      </c>
    </row>
    <row r="118" spans="1:12" s="53" customFormat="1">
      <c r="A118" s="60" t="s">
        <v>48</v>
      </c>
      <c r="B118" s="355" t="s">
        <v>166</v>
      </c>
      <c r="C118" s="59" t="s">
        <v>124</v>
      </c>
      <c r="D118" s="168" t="s">
        <v>75</v>
      </c>
      <c r="E118" s="169" t="s">
        <v>182</v>
      </c>
      <c r="F118" s="316">
        <f>VLOOKUP($A118,'Price setting'!$E$408:$O$426,COLUMN()-1,FALSE)+VLOOKUP($A115,'Price setting'!$E$213:$O$231,COLUMN()-1,FALSE)</f>
        <v>0</v>
      </c>
      <c r="G118" s="317">
        <f>VLOOKUP($A118,'Price setting'!$E$408:$O$426,COLUMN()-1,FALSE)+VLOOKUP($A115,'Price setting'!$E$213:$O$231,COLUMN()-1,FALSE)</f>
        <v>0</v>
      </c>
      <c r="H118" s="317">
        <f ca="1">VLOOKUP($A118,'Price setting'!$E$408:$O$426,COLUMN()-1,FALSE)+VLOOKUP($A115,'Price setting'!$E$213:$O$231,COLUMN()-1,FALSE)</f>
        <v>27.218589939716427</v>
      </c>
      <c r="I118" s="317">
        <f ca="1">VLOOKUP($A118,'Price setting'!$E$408:$O$426,COLUMN()-1,FALSE)+VLOOKUP($A115,'Price setting'!$E$213:$O$231,COLUMN()-1,FALSE)</f>
        <v>26.528330070700921</v>
      </c>
      <c r="J118" s="317">
        <f ca="1">VLOOKUP($A118,'Price setting'!$E$408:$O$426,COLUMN()-1,FALSE)+VLOOKUP($A115,'Price setting'!$E$213:$O$231,COLUMN()-1,FALSE)</f>
        <v>24.312972579783139</v>
      </c>
      <c r="K118" s="317">
        <f ca="1">VLOOKUP($A118,'Price setting'!$E$408:$O$426,COLUMN()-1,FALSE)+VLOOKUP($A115,'Price setting'!$E$213:$O$231,COLUMN()-1,FALSE)</f>
        <v>22.300080660224214</v>
      </c>
      <c r="L118" s="323">
        <f ca="1">VLOOKUP($A118,'Price setting'!$E$408:$O$426,COLUMN()-1,FALSE)+VLOOKUP($A115,'Price setting'!$E$213:$O$231,COLUMN()-1,FALSE)</f>
        <v>22.561040882070337</v>
      </c>
    </row>
    <row r="119" spans="1:12" s="53" customFormat="1">
      <c r="A119" s="60" t="s">
        <v>48</v>
      </c>
      <c r="B119" s="355" t="s">
        <v>167</v>
      </c>
      <c r="C119" s="59" t="s">
        <v>122</v>
      </c>
      <c r="D119" s="170" t="s">
        <v>88</v>
      </c>
      <c r="E119" s="169" t="s">
        <v>182</v>
      </c>
      <c r="F119" s="262">
        <f>INDEX(SRN,ROW(Input!B$23)-5,COLUMN()+1)*Input!$H$441</f>
        <v>337.76470000000006</v>
      </c>
      <c r="G119" s="263">
        <f>INDEX(SRN,ROW(Input!C$23)-5,COLUMN()+1)*Input!$H$441</f>
        <v>228.71909935887089</v>
      </c>
      <c r="H119" s="263">
        <f>INDEX(SRN,ROW(Input!D$23)-5,COLUMN()+1)*Input!$H$441</f>
        <v>94.28985696537147</v>
      </c>
      <c r="I119" s="263">
        <f>INDEX(SRN,ROW(Input!E$23)-5,COLUMN()+1)*Input!$H$441</f>
        <v>93.813410952989656</v>
      </c>
      <c r="J119" s="263">
        <f>INDEX(SRN,ROW(Input!F$23)-5,COLUMN()+1)*Input!$H$441</f>
        <v>93.33696494060797</v>
      </c>
      <c r="K119" s="263">
        <f>INDEX(SRN,ROW(Input!G$23)-5,COLUMN()+1)*Input!$H$441</f>
        <v>92.86051892822627</v>
      </c>
      <c r="L119" s="264">
        <f>INDEX(SRN,ROW(Input!H$23)-5,COLUMN()+1)*Input!$H$441</f>
        <v>92.384072915844584</v>
      </c>
    </row>
    <row r="120" spans="1:12" s="53" customFormat="1">
      <c r="A120" s="60" t="s">
        <v>48</v>
      </c>
      <c r="B120" s="355" t="s">
        <v>168</v>
      </c>
      <c r="C120" s="59" t="s">
        <v>123</v>
      </c>
      <c r="D120" s="170" t="s">
        <v>88</v>
      </c>
      <c r="E120" s="169" t="s">
        <v>182</v>
      </c>
      <c r="F120" s="262">
        <f>+INDEX(SRN,ROW(Input!B$24)-5,COLUMN()+1)*Input!$H$441</f>
        <v>851.87049999999999</v>
      </c>
      <c r="G120" s="263">
        <f>+INDEX(SRN,ROW(Input!C$24)-5,COLUMN()+1)*Input!$H$441</f>
        <v>968.84906977159869</v>
      </c>
      <c r="H120" s="263">
        <f>+INDEX(SRN,ROW(Input!D$24)-5,COLUMN()+1)*Input!$H$441</f>
        <v>1113.0300067728178</v>
      </c>
      <c r="I120" s="263">
        <f>+INDEX(SRN,ROW(Input!E$24)-5,COLUMN()+1)*Input!$H$441</f>
        <v>1122.8181454964604</v>
      </c>
      <c r="J120" s="263">
        <f>+INDEX(SRN,ROW(Input!F$24)-5,COLUMN()+1)*Input!$H$441</f>
        <v>1133.1508811998351</v>
      </c>
      <c r="K120" s="263">
        <f>+INDEX(SRN,ROW(Input!G$24)-5,COLUMN()+1)*Input!$H$441</f>
        <v>1142.9212893728345</v>
      </c>
      <c r="L120" s="264">
        <f>+INDEX(SRN,ROW(Input!H$24)-5,COLUMN()+1)*Input!$H$441</f>
        <v>1152.3327072771228</v>
      </c>
    </row>
    <row r="121" spans="1:12" s="53" customFormat="1">
      <c r="A121" s="60" t="s">
        <v>48</v>
      </c>
      <c r="B121" s="355" t="s">
        <v>169</v>
      </c>
      <c r="C121" s="59" t="s">
        <v>139</v>
      </c>
      <c r="D121" s="170" t="s">
        <v>74</v>
      </c>
      <c r="E121" s="169" t="s">
        <v>182</v>
      </c>
      <c r="F121" s="262">
        <f>VLOOKUP($A121,'Price setting'!$E$488:$O$506,COLUMN()-1,FALSE)</f>
        <v>0</v>
      </c>
      <c r="G121" s="263">
        <f>VLOOKUP($A121,'Price setting'!$E$488:$O$506,COLUMN()-1,FALSE)</f>
        <v>0</v>
      </c>
      <c r="H121" s="263">
        <f ca="1">VLOOKUP($A121,'Price setting'!$E$488:$O$506,COLUMN()-1,FALSE)</f>
        <v>0.27515545184855122</v>
      </c>
      <c r="I121" s="263">
        <f ca="1">VLOOKUP($A121,'Price setting'!$E$488:$O$506,COLUMN()-1,FALSE)</f>
        <v>0.79321297494845733</v>
      </c>
      <c r="J121" s="263">
        <f ca="1">VLOOKUP($A121,'Price setting'!$E$488:$O$506,COLUMN()-1,FALSE)</f>
        <v>1.2349151930274302</v>
      </c>
      <c r="K121" s="263">
        <f ca="1">VLOOKUP($A121,'Price setting'!$E$488:$O$506,COLUMN()-1,FALSE)</f>
        <v>1.7078952428443248</v>
      </c>
      <c r="L121" s="264">
        <f ca="1">VLOOKUP($A121,'Price setting'!$E$488:$O$506,COLUMN()-1,FALSE)</f>
        <v>2.2240087936172679</v>
      </c>
    </row>
    <row r="122" spans="1:12" s="53" customFormat="1">
      <c r="A122" s="60" t="str">
        <f>+A121</f>
        <v>SRN</v>
      </c>
      <c r="B122" s="355" t="s">
        <v>170</v>
      </c>
      <c r="C122" s="59" t="s">
        <v>67</v>
      </c>
      <c r="D122" s="170" t="s">
        <v>171</v>
      </c>
      <c r="E122" s="169" t="s">
        <v>182</v>
      </c>
      <c r="F122" s="320">
        <f>+Input!$H$441</f>
        <v>1.3</v>
      </c>
      <c r="G122" s="321">
        <f>+Input!$H$441</f>
        <v>1.3</v>
      </c>
      <c r="H122" s="321">
        <f>+Input!$H$441</f>
        <v>1.3</v>
      </c>
      <c r="I122" s="321">
        <f>+Input!$H$441</f>
        <v>1.3</v>
      </c>
      <c r="J122" s="321">
        <f>+Input!$H$441</f>
        <v>1.3</v>
      </c>
      <c r="K122" s="321">
        <f>+Input!$H$441</f>
        <v>1.3</v>
      </c>
      <c r="L122" s="322">
        <f>+Input!$H$441</f>
        <v>1.3</v>
      </c>
    </row>
    <row r="123" spans="1:12" s="53" customFormat="1">
      <c r="A123" s="60" t="str">
        <f t="shared" ref="A123:A135" si="4">+A122</f>
        <v>SRN</v>
      </c>
      <c r="B123" s="355" t="s">
        <v>194</v>
      </c>
      <c r="C123" s="50" t="s">
        <v>185</v>
      </c>
      <c r="D123" s="168" t="s">
        <v>75</v>
      </c>
      <c r="E123" s="169" t="s">
        <v>182</v>
      </c>
      <c r="F123" s="316">
        <f ca="1">VLOOKUP(A123,'Price setting'!$E$89:$I$106,COLUMN()-1,FALSE)</f>
        <v>31.143088098692534</v>
      </c>
      <c r="G123" s="317"/>
      <c r="H123" s="317"/>
      <c r="I123" s="317"/>
      <c r="J123" s="317"/>
      <c r="K123" s="317"/>
      <c r="L123" s="323"/>
    </row>
    <row r="124" spans="1:12" s="53" customFormat="1">
      <c r="A124" s="60" t="str">
        <f t="shared" si="4"/>
        <v>SRN</v>
      </c>
      <c r="B124" s="355" t="s">
        <v>195</v>
      </c>
      <c r="C124" s="50" t="s">
        <v>186</v>
      </c>
      <c r="D124" s="168" t="s">
        <v>75</v>
      </c>
      <c r="E124" s="169" t="s">
        <v>182</v>
      </c>
      <c r="F124" s="316">
        <f ca="1">VLOOKUP(A124,'Price setting'!E$254:I$271,COLUMN()-1,FALSE)+VLOOKUP(A123,'Price setting'!$E$89:$I$106,COLUMN()-1,FALSE)</f>
        <v>38.821111850754939</v>
      </c>
      <c r="G124" s="317"/>
      <c r="H124" s="317"/>
      <c r="I124" s="317"/>
      <c r="J124" s="317"/>
      <c r="K124" s="317"/>
      <c r="L124" s="323"/>
    </row>
    <row r="125" spans="1:12" s="53" customFormat="1">
      <c r="A125" s="60" t="str">
        <f t="shared" si="4"/>
        <v>SRN</v>
      </c>
      <c r="B125" s="355" t="s">
        <v>196</v>
      </c>
      <c r="C125" s="50" t="s">
        <v>187</v>
      </c>
      <c r="D125" s="168" t="s">
        <v>75</v>
      </c>
      <c r="E125" s="169" t="s">
        <v>182</v>
      </c>
      <c r="F125" s="316">
        <f ca="1">VLOOKUP(A125,'Price setting'!E$319:I$336,COLUMN()-1,FALSE)+VLOOKUP(A123,'Price setting'!$E$89:$I$106,COLUMN()-1,FALSE)</f>
        <v>36.013359311735861</v>
      </c>
      <c r="G125" s="317"/>
      <c r="H125" s="317"/>
      <c r="I125" s="317"/>
      <c r="J125" s="317"/>
      <c r="K125" s="317"/>
      <c r="L125" s="323"/>
    </row>
    <row r="126" spans="1:12" s="53" customFormat="1">
      <c r="A126" s="60" t="str">
        <f t="shared" si="4"/>
        <v>SRN</v>
      </c>
      <c r="B126" s="355" t="s">
        <v>197</v>
      </c>
      <c r="C126" s="50" t="s">
        <v>188</v>
      </c>
      <c r="D126" s="168" t="s">
        <v>75</v>
      </c>
      <c r="E126" s="169" t="s">
        <v>182</v>
      </c>
      <c r="F126" s="316">
        <f ca="1">(VLOOKUP(A126,'Price setting'!E$384:I$401,COLUMN()-1,FALSE)+VLOOKUP(A123,'Price setting'!$E$89:$I$106,COLUMN()-1,FALSE))*+Input!$H$441</f>
        <v>46.12067022164112</v>
      </c>
      <c r="G126" s="317"/>
      <c r="H126" s="317"/>
      <c r="I126" s="317"/>
      <c r="J126" s="317"/>
      <c r="K126" s="317"/>
      <c r="L126" s="323"/>
    </row>
    <row r="127" spans="1:12" s="53" customFormat="1">
      <c r="A127" s="60" t="str">
        <f t="shared" si="4"/>
        <v>SRN</v>
      </c>
      <c r="B127" s="355" t="s">
        <v>198</v>
      </c>
      <c r="C127" s="50" t="s">
        <v>189</v>
      </c>
      <c r="D127" s="168" t="s">
        <v>75</v>
      </c>
      <c r="E127" s="169" t="s">
        <v>182</v>
      </c>
      <c r="F127" s="316">
        <f ca="1">VLOOKUP(A127,'Price setting'!E$89:I$106,COLUMN()-1,FALSE)*+Input!$H$441</f>
        <v>40.486014528300295</v>
      </c>
      <c r="G127" s="317"/>
      <c r="H127" s="317"/>
      <c r="I127" s="317"/>
      <c r="J127" s="317"/>
      <c r="K127" s="317"/>
      <c r="L127" s="323"/>
    </row>
    <row r="128" spans="1:12" s="53" customFormat="1">
      <c r="A128" s="60" t="str">
        <f t="shared" si="4"/>
        <v>SRN</v>
      </c>
      <c r="B128" s="356" t="s">
        <v>204</v>
      </c>
      <c r="C128" s="50" t="s">
        <v>203</v>
      </c>
      <c r="D128" s="168" t="s">
        <v>75</v>
      </c>
      <c r="E128" s="169" t="s">
        <v>182</v>
      </c>
      <c r="F128" s="316"/>
      <c r="G128" s="317"/>
      <c r="H128" s="317">
        <f ca="1">VLOOKUP($A128,'Price setting'!$E$213:$O$230,COLUMN()-1,FALSE)</f>
        <v>24.266513043456882</v>
      </c>
      <c r="I128" s="317">
        <f ca="1">VLOOKUP($A128,'Price setting'!$E$213:$O$230,COLUMN()-1,FALSE)</f>
        <v>23.594545444664334</v>
      </c>
      <c r="J128" s="317">
        <f ca="1">VLOOKUP($A128,'Price setting'!$E$213:$O$230,COLUMN()-1,FALSE)</f>
        <v>21.632036656278544</v>
      </c>
      <c r="K128" s="317">
        <f ca="1">VLOOKUP($A128,'Price setting'!$E$213:$O$230,COLUMN()-1,FALSE)</f>
        <v>19.630900345725003</v>
      </c>
      <c r="L128" s="323">
        <f ca="1">VLOOKUP($A128,'Price setting'!$E$213:$O$230,COLUMN()-1,FALSE)</f>
        <v>20.06961631399993</v>
      </c>
    </row>
    <row r="129" spans="1:12" s="53" customFormat="1">
      <c r="A129" s="60" t="str">
        <f t="shared" si="4"/>
        <v>SRN</v>
      </c>
      <c r="B129" s="355" t="s">
        <v>199</v>
      </c>
      <c r="C129" s="50" t="s">
        <v>190</v>
      </c>
      <c r="D129" s="168" t="s">
        <v>75</v>
      </c>
      <c r="E129" s="169" t="s">
        <v>182</v>
      </c>
      <c r="F129" s="316"/>
      <c r="G129" s="317"/>
      <c r="H129" s="317">
        <f ca="1">VLOOKUP($A128,'Price setting'!$E$213:$O$230,COLUMN()-1,FALSE)*+Input!$H$441</f>
        <v>31.546466956493948</v>
      </c>
      <c r="I129" s="317">
        <f ca="1">VLOOKUP($A128,'Price setting'!$E$213:$O$230,COLUMN()-1,FALSE)*+Input!$H$441</f>
        <v>30.672909078063636</v>
      </c>
      <c r="J129" s="317">
        <f ca="1">VLOOKUP($A128,'Price setting'!$E$213:$O$230,COLUMN()-1,FALSE)*+Input!$H$441</f>
        <v>28.121647653162107</v>
      </c>
      <c r="K129" s="317">
        <f ca="1">VLOOKUP($A128,'Price setting'!$E$213:$O$230,COLUMN()-1,FALSE)*+Input!$H$441</f>
        <v>25.520170449442503</v>
      </c>
      <c r="L129" s="323">
        <f ca="1">VLOOKUP($A128,'Price setting'!$E$213:$O$230,COLUMN()-1,FALSE)*+Input!$H$441</f>
        <v>26.09050120819991</v>
      </c>
    </row>
    <row r="130" spans="1:12" s="53" customFormat="1">
      <c r="A130" s="60" t="str">
        <f t="shared" si="4"/>
        <v>SRN</v>
      </c>
      <c r="B130" s="355" t="s">
        <v>200</v>
      </c>
      <c r="C130" s="50" t="s">
        <v>191</v>
      </c>
      <c r="D130" s="168" t="s">
        <v>75</v>
      </c>
      <c r="E130" s="169" t="s">
        <v>182</v>
      </c>
      <c r="F130" s="316"/>
      <c r="G130" s="317"/>
      <c r="H130" s="317">
        <f ca="1">VLOOKUP($A130,'Price setting'!$E$278:$O$295,COLUMN()-1,FALSE)+VLOOKUP($A128,'Price setting'!$E$213:$O$230,COLUMN()-1,FALSE)</f>
        <v>27.927985166258914</v>
      </c>
      <c r="I130" s="317">
        <f ca="1">VLOOKUP($A130,'Price setting'!$E$278:$O$295,COLUMN()-1,FALSE)+VLOOKUP($A128,'Price setting'!$E$213:$O$230,COLUMN()-1,FALSE)</f>
        <v>27.258920082772757</v>
      </c>
      <c r="J130" s="317">
        <f ca="1">VLOOKUP($A130,'Price setting'!$E$278:$O$295,COLUMN()-1,FALSE)+VLOOKUP($A128,'Price setting'!$E$213:$O$230,COLUMN()-1,FALSE)</f>
        <v>24.998631586669969</v>
      </c>
      <c r="K130" s="317">
        <f ca="1">VLOOKUP($A130,'Price setting'!$E$278:$O$295,COLUMN()-1,FALSE)+VLOOKUP($A128,'Price setting'!$E$213:$O$230,COLUMN()-1,FALSE)</f>
        <v>22.996032861627608</v>
      </c>
      <c r="L130" s="323">
        <f ca="1">VLOOKUP($A130,'Price setting'!$E$278:$O$295,COLUMN()-1,FALSE)+VLOOKUP($A128,'Price setting'!$E$213:$O$230,COLUMN()-1,FALSE)</f>
        <v>23.216459834866832</v>
      </c>
    </row>
    <row r="131" spans="1:12" s="53" customFormat="1">
      <c r="A131" s="60" t="str">
        <f t="shared" si="4"/>
        <v>SRN</v>
      </c>
      <c r="B131" s="355" t="s">
        <v>201</v>
      </c>
      <c r="C131" s="50" t="s">
        <v>192</v>
      </c>
      <c r="D131" s="168" t="s">
        <v>75</v>
      </c>
      <c r="E131" s="169" t="s">
        <v>182</v>
      </c>
      <c r="F131" s="316"/>
      <c r="G131" s="317"/>
      <c r="H131" s="317">
        <f ca="1">VLOOKUP($A131,'Price setting'!$E$343:$O$360,COLUMN()-1,FALSE)+VLOOKUP($A128,'Price setting'!$E$213:$O$230,COLUMN()-1,FALSE)</f>
        <v>28.82460250957261</v>
      </c>
      <c r="I131" s="317">
        <f ca="1">VLOOKUP($A131,'Price setting'!$E$343:$O$360,COLUMN()-1,FALSE)+VLOOKUP($A128,'Price setting'!$E$213:$O$230,COLUMN()-1,FALSE)</f>
        <v>27.840453163852462</v>
      </c>
      <c r="J131" s="317">
        <f ca="1">VLOOKUP($A131,'Price setting'!$E$343:$O$360,COLUMN()-1,FALSE)+VLOOKUP($A128,'Price setting'!$E$213:$O$230,COLUMN()-1,FALSE)</f>
        <v>25.565762628539076</v>
      </c>
      <c r="K131" s="317">
        <f ca="1">VLOOKUP($A131,'Price setting'!$E$343:$O$360,COLUMN()-1,FALSE)+VLOOKUP($A128,'Price setting'!$E$213:$O$230,COLUMN()-1,FALSE)</f>
        <v>23.252444571057925</v>
      </c>
      <c r="L131" s="323">
        <f ca="1">VLOOKUP($A131,'Price setting'!$E$343:$O$360,COLUMN()-1,FALSE)+VLOOKUP($A128,'Price setting'!$E$213:$O$230,COLUMN()-1,FALSE)</f>
        <v>23.691160539332859</v>
      </c>
    </row>
    <row r="132" spans="1:12" s="53" customFormat="1">
      <c r="A132" s="60" t="str">
        <f t="shared" si="4"/>
        <v>SRN</v>
      </c>
      <c r="B132" s="355" t="s">
        <v>202</v>
      </c>
      <c r="C132" s="50" t="s">
        <v>193</v>
      </c>
      <c r="D132" s="168" t="s">
        <v>75</v>
      </c>
      <c r="E132" s="169" t="s">
        <v>182</v>
      </c>
      <c r="F132" s="316"/>
      <c r="G132" s="317"/>
      <c r="H132" s="317">
        <f ca="1">(VLOOKUP($A132,'Price setting'!$E$408:$O$425,COLUMN()-1,FALSE)+VLOOKUP($A128,'Price setting'!$E$213:$O$230,COLUMN()-1,FALSE))*+Input!$H$441</f>
        <v>35.384166921631355</v>
      </c>
      <c r="I132" s="317">
        <f ca="1">(VLOOKUP($A132,'Price setting'!$E$408:$O$425,COLUMN()-1,FALSE)+VLOOKUP($A128,'Price setting'!$E$213:$O$230,COLUMN()-1,FALSE))*+Input!$H$441</f>
        <v>34.486829091911197</v>
      </c>
      <c r="J132" s="317">
        <f ca="1">(VLOOKUP($A132,'Price setting'!$E$408:$O$425,COLUMN()-1,FALSE)+VLOOKUP($A128,'Price setting'!$E$213:$O$230,COLUMN()-1,FALSE))*+Input!$H$441</f>
        <v>31.60686435371808</v>
      </c>
      <c r="K132" s="317">
        <f ca="1">(VLOOKUP($A132,'Price setting'!$E$408:$O$425,COLUMN()-1,FALSE)+VLOOKUP($A128,'Price setting'!$E$213:$O$230,COLUMN()-1,FALSE))*+Input!$H$441</f>
        <v>28.990104858291481</v>
      </c>
      <c r="L132" s="323">
        <f ca="1">(VLOOKUP($A132,'Price setting'!$E$408:$O$425,COLUMN()-1,FALSE)+VLOOKUP($A128,'Price setting'!$E$213:$O$230,COLUMN()-1,FALSE))*+Input!$H$441</f>
        <v>29.329353146691439</v>
      </c>
    </row>
    <row r="133" spans="1:12" s="53" customFormat="1">
      <c r="A133" s="60" t="str">
        <f t="shared" si="4"/>
        <v>SRN</v>
      </c>
      <c r="B133" s="355" t="s">
        <v>208</v>
      </c>
      <c r="C133" s="21" t="s">
        <v>205</v>
      </c>
      <c r="D133" s="168" t="s">
        <v>75</v>
      </c>
      <c r="E133" s="169" t="s">
        <v>182</v>
      </c>
      <c r="F133" s="262">
        <f ca="1">VLOOKUP($A133,'Price setting'!$E$49:$I$66,COLUMN()-1,FALSE)</f>
        <v>0</v>
      </c>
      <c r="G133" s="263"/>
      <c r="H133" s="263"/>
      <c r="I133" s="263"/>
      <c r="J133" s="263"/>
      <c r="K133" s="263"/>
      <c r="L133" s="264"/>
    </row>
    <row r="134" spans="1:12" s="53" customFormat="1">
      <c r="A134" s="60" t="str">
        <f t="shared" si="4"/>
        <v>SRN</v>
      </c>
      <c r="B134" s="355" t="s">
        <v>206</v>
      </c>
      <c r="C134" s="21" t="s">
        <v>132</v>
      </c>
      <c r="D134" s="168" t="s">
        <v>74</v>
      </c>
      <c r="E134" s="169" t="s">
        <v>182</v>
      </c>
      <c r="F134" s="262">
        <f ca="1">'Used inputs'!I79</f>
        <v>61.94358378158033</v>
      </c>
      <c r="G134" s="263">
        <f>'Used inputs'!J79</f>
        <v>55.916472805336007</v>
      </c>
      <c r="H134" s="263">
        <f ca="1">'Used inputs'!K79</f>
        <v>57.447874142851468</v>
      </c>
      <c r="I134" s="263">
        <f ca="1">'Used inputs'!L79</f>
        <v>58.70988891354677</v>
      </c>
      <c r="J134" s="263">
        <f ca="1">'Used inputs'!M79</f>
        <v>58.045221275994606</v>
      </c>
      <c r="K134" s="263">
        <f ca="1">'Used inputs'!N79</f>
        <v>53.675693376875991</v>
      </c>
      <c r="L134" s="264">
        <f ca="1">'Used inputs'!O79</f>
        <v>53.758411777683975</v>
      </c>
    </row>
    <row r="135" spans="1:12" s="53" customFormat="1">
      <c r="A135" s="60" t="str">
        <f t="shared" si="4"/>
        <v>SRN</v>
      </c>
      <c r="B135" s="355" t="s">
        <v>207</v>
      </c>
      <c r="C135" s="21" t="s">
        <v>157</v>
      </c>
      <c r="D135" s="168" t="s">
        <v>74</v>
      </c>
      <c r="E135" s="169" t="s">
        <v>182</v>
      </c>
      <c r="F135" s="262">
        <f>'Used inputs'!I92</f>
        <v>1.3152790163822758</v>
      </c>
      <c r="G135" s="263">
        <f>'Used inputs'!J92</f>
        <v>4.6921740980681585</v>
      </c>
      <c r="H135" s="263">
        <f>'Used inputs'!K92</f>
        <v>0.77674518267177839</v>
      </c>
      <c r="I135" s="263">
        <f>'Used inputs'!L92</f>
        <v>0.77674518267177839</v>
      </c>
      <c r="J135" s="263">
        <f>'Used inputs'!M92</f>
        <v>0.77674518267177839</v>
      </c>
      <c r="K135" s="263">
        <f>'Used inputs'!N92</f>
        <v>0.77674518267177839</v>
      </c>
      <c r="L135" s="264">
        <f>'Used inputs'!O92</f>
        <v>0.77674518267177839</v>
      </c>
    </row>
    <row r="136" spans="1:12" s="53" customFormat="1">
      <c r="A136" s="60" t="s">
        <v>49</v>
      </c>
      <c r="B136" s="355" t="s">
        <v>162</v>
      </c>
      <c r="C136" s="59" t="s">
        <v>175</v>
      </c>
      <c r="D136" s="169" t="s">
        <v>74</v>
      </c>
      <c r="E136" s="169" t="s">
        <v>182</v>
      </c>
      <c r="F136" s="262">
        <f>VLOOKUP($A136,'Price setting'!$E$448:$O$466,COLUMN()-1,FALSE)</f>
        <v>0</v>
      </c>
      <c r="G136" s="263">
        <f>VLOOKUP($A136,'Price setting'!$E$448:$O$466,COLUMN()-1,FALSE)</f>
        <v>0</v>
      </c>
      <c r="H136" s="263">
        <f ca="1">VLOOKUP($A136,'Price setting'!$E$448:$O$466,COLUMN()-1,FALSE)</f>
        <v>149.27391074188338</v>
      </c>
      <c r="I136" s="263">
        <f ca="1">VLOOKUP($A136,'Price setting'!$E$448:$O$466,COLUMN()-1,FALSE)</f>
        <v>150.54493283612354</v>
      </c>
      <c r="J136" s="263">
        <f ca="1">VLOOKUP($A136,'Price setting'!$E$448:$O$466,COLUMN()-1,FALSE)</f>
        <v>153.93541196603474</v>
      </c>
      <c r="K136" s="263">
        <f ca="1">VLOOKUP($A136,'Price setting'!$E$448:$O$466,COLUMN()-1,FALSE)</f>
        <v>155.63692334206993</v>
      </c>
      <c r="L136" s="264">
        <f ca="1">VLOOKUP($A136,'Price setting'!$E$448:$O$466,COLUMN()-1,FALSE)</f>
        <v>160.04141298422405</v>
      </c>
    </row>
    <row r="137" spans="1:12" s="53" customFormat="1">
      <c r="A137" s="60" t="s">
        <v>49</v>
      </c>
      <c r="B137" s="355" t="s">
        <v>163</v>
      </c>
      <c r="C137" s="59" t="s">
        <v>118</v>
      </c>
      <c r="D137" s="168" t="s">
        <v>75</v>
      </c>
      <c r="E137" s="169" t="s">
        <v>182</v>
      </c>
      <c r="F137" s="316">
        <f>VLOOKUP($A137,'Price setting'!$E$213:$O$231,COLUMN()-1,FALSE)</f>
        <v>0</v>
      </c>
      <c r="G137" s="317">
        <f>VLOOKUP($A137,'Price setting'!$E$213:$O$231,COLUMN()-1,FALSE)</f>
        <v>0</v>
      </c>
      <c r="H137" s="317">
        <f ca="1">VLOOKUP($A137,'Price setting'!$E$213:$O$231,COLUMN()-1,FALSE)</f>
        <v>20.735627401299965</v>
      </c>
      <c r="I137" s="317">
        <f ca="1">VLOOKUP($A137,'Price setting'!$E$213:$O$231,COLUMN()-1,FALSE)</f>
        <v>20.747846346020747</v>
      </c>
      <c r="J137" s="317">
        <f ca="1">VLOOKUP($A137,'Price setting'!$E$213:$O$231,COLUMN()-1,FALSE)</f>
        <v>21.114471137511412</v>
      </c>
      <c r="K137" s="317">
        <f ca="1">VLOOKUP($A137,'Price setting'!$E$213:$O$231,COLUMN()-1,FALSE)</f>
        <v>21.306893995130356</v>
      </c>
      <c r="L137" s="323">
        <f ca="1">VLOOKUP($A137,'Price setting'!$E$213:$O$231,COLUMN()-1,FALSE)</f>
        <v>21.613590228716141</v>
      </c>
    </row>
    <row r="138" spans="1:12" s="53" customFormat="1">
      <c r="A138" s="60" t="s">
        <v>49</v>
      </c>
      <c r="B138" s="355" t="s">
        <v>164</v>
      </c>
      <c r="C138" s="59" t="s">
        <v>119</v>
      </c>
      <c r="D138" s="168" t="s">
        <v>75</v>
      </c>
      <c r="E138" s="169" t="s">
        <v>182</v>
      </c>
      <c r="F138" s="316">
        <f>VLOOKUP($A138,'Price setting'!$E$278:$O$296,COLUMN()-1,FALSE)+VLOOKUP($A137,'Price setting'!$E$213:$O$231,COLUMN()-1,FALSE)</f>
        <v>0</v>
      </c>
      <c r="G138" s="317">
        <f>VLOOKUP($A138,'Price setting'!$E$278:$O$296,COLUMN()-1,FALSE)+VLOOKUP($A137,'Price setting'!$E$213:$O$231,COLUMN()-1,FALSE)</f>
        <v>0</v>
      </c>
      <c r="H138" s="317">
        <f ca="1">VLOOKUP($A138,'Price setting'!$E$278:$O$296,COLUMN()-1,FALSE)+VLOOKUP($A137,'Price setting'!$E$213:$O$231,COLUMN()-1,FALSE)</f>
        <v>28.623863985844785</v>
      </c>
      <c r="I138" s="317">
        <f ca="1">VLOOKUP($A138,'Price setting'!$E$278:$O$296,COLUMN()-1,FALSE)+VLOOKUP($A137,'Price setting'!$E$213:$O$231,COLUMN()-1,FALSE)</f>
        <v>27.936978066338149</v>
      </c>
      <c r="J138" s="317">
        <f ca="1">VLOOKUP($A138,'Price setting'!$E$278:$O$296,COLUMN()-1,FALSE)+VLOOKUP($A137,'Price setting'!$E$213:$O$231,COLUMN()-1,FALSE)</f>
        <v>27.604497993601392</v>
      </c>
      <c r="K138" s="317">
        <f ca="1">VLOOKUP($A138,'Price setting'!$E$278:$O$296,COLUMN()-1,FALSE)+VLOOKUP($A137,'Price setting'!$E$213:$O$231,COLUMN()-1,FALSE)</f>
        <v>27.097815986992916</v>
      </c>
      <c r="L138" s="323">
        <f ca="1">VLOOKUP($A138,'Price setting'!$E$278:$O$296,COLUMN()-1,FALSE)+VLOOKUP($A137,'Price setting'!$E$213:$O$231,COLUMN()-1,FALSE)</f>
        <v>27.404512220578702</v>
      </c>
    </row>
    <row r="139" spans="1:12" s="53" customFormat="1">
      <c r="A139" s="60" t="s">
        <v>49</v>
      </c>
      <c r="B139" s="355" t="s">
        <v>165</v>
      </c>
      <c r="C139" s="59" t="s">
        <v>120</v>
      </c>
      <c r="D139" s="168" t="s">
        <v>75</v>
      </c>
      <c r="E139" s="169" t="s">
        <v>182</v>
      </c>
      <c r="F139" s="316">
        <f>VLOOKUP($A139,'Price setting'!$E$343:$O$361,COLUMN()-1,FALSE)+VLOOKUP($A137,'Price setting'!$E$213:$O$231,COLUMN()-1,FALSE)</f>
        <v>0</v>
      </c>
      <c r="G139" s="317">
        <f>VLOOKUP($A139,'Price setting'!$E$343:$O$361,COLUMN()-1,FALSE)+VLOOKUP($A137,'Price setting'!$E$213:$O$231,COLUMN()-1,FALSE)</f>
        <v>0</v>
      </c>
      <c r="H139" s="317">
        <f ca="1">VLOOKUP($A139,'Price setting'!$E$343:$O$361,COLUMN()-1,FALSE)+VLOOKUP($A137,'Price setting'!$E$213:$O$231,COLUMN()-1,FALSE)</f>
        <v>25.641954838770516</v>
      </c>
      <c r="I139" s="317">
        <f ca="1">VLOOKUP($A139,'Price setting'!$E$343:$O$361,COLUMN()-1,FALSE)+VLOOKUP($A137,'Price setting'!$E$213:$O$231,COLUMN()-1,FALSE)</f>
        <v>25.376736949243941</v>
      </c>
      <c r="J139" s="317">
        <f ca="1">VLOOKUP($A139,'Price setting'!$E$343:$O$361,COLUMN()-1,FALSE)+VLOOKUP($A137,'Price setting'!$E$213:$O$231,COLUMN()-1,FALSE)</f>
        <v>25.341946377961911</v>
      </c>
      <c r="K139" s="317">
        <f ca="1">VLOOKUP($A139,'Price setting'!$E$343:$O$361,COLUMN()-1,FALSE)+VLOOKUP($A137,'Price setting'!$E$213:$O$231,COLUMN()-1,FALSE)</f>
        <v>24.940743547257263</v>
      </c>
      <c r="L139" s="323">
        <f ca="1">VLOOKUP($A139,'Price setting'!$E$343:$O$361,COLUMN()-1,FALSE)+VLOOKUP($A137,'Price setting'!$E$213:$O$231,COLUMN()-1,FALSE)</f>
        <v>24.844924432083488</v>
      </c>
    </row>
    <row r="140" spans="1:12" s="53" customFormat="1">
      <c r="A140" s="60" t="s">
        <v>49</v>
      </c>
      <c r="B140" s="355" t="s">
        <v>166</v>
      </c>
      <c r="C140" s="59" t="s">
        <v>124</v>
      </c>
      <c r="D140" s="168" t="s">
        <v>75</v>
      </c>
      <c r="E140" s="169" t="s">
        <v>182</v>
      </c>
      <c r="F140" s="316">
        <f>VLOOKUP($A140,'Price setting'!$E$408:$O$426,COLUMN()-1,FALSE)+VLOOKUP($A137,'Price setting'!$E$213:$O$231,COLUMN()-1,FALSE)</f>
        <v>0</v>
      </c>
      <c r="G140" s="317">
        <f>VLOOKUP($A140,'Price setting'!$E$408:$O$426,COLUMN()-1,FALSE)+VLOOKUP($A137,'Price setting'!$E$213:$O$231,COLUMN()-1,FALSE)</f>
        <v>0</v>
      </c>
      <c r="H140" s="317">
        <f ca="1">VLOOKUP($A140,'Price setting'!$E$408:$O$426,COLUMN()-1,FALSE)+VLOOKUP($A137,'Price setting'!$E$213:$O$231,COLUMN()-1,FALSE)</f>
        <v>28.397343180356678</v>
      </c>
      <c r="I140" s="317">
        <f ca="1">VLOOKUP($A140,'Price setting'!$E$408:$O$426,COLUMN()-1,FALSE)+VLOOKUP($A137,'Price setting'!$E$213:$O$231,COLUMN()-1,FALSE)</f>
        <v>27.483936455361945</v>
      </c>
      <c r="J140" s="317">
        <f ca="1">VLOOKUP($A140,'Price setting'!$E$408:$O$426,COLUMN()-1,FALSE)+VLOOKUP($A137,'Price setting'!$E$213:$O$231,COLUMN()-1,FALSE)</f>
        <v>26.924935577137095</v>
      </c>
      <c r="K140" s="317">
        <f ca="1">VLOOKUP($A140,'Price setting'!$E$408:$O$426,COLUMN()-1,FALSE)+VLOOKUP($A137,'Price setting'!$E$213:$O$231,COLUMN()-1,FALSE)</f>
        <v>26.191732765040523</v>
      </c>
      <c r="L140" s="323">
        <f ca="1">VLOOKUP($A140,'Price setting'!$E$408:$O$426,COLUMN()-1,FALSE)+VLOOKUP($A137,'Price setting'!$E$213:$O$231,COLUMN()-1,FALSE)</f>
        <v>26.498428998626309</v>
      </c>
    </row>
    <row r="141" spans="1:12" s="53" customFormat="1">
      <c r="A141" s="60" t="s">
        <v>49</v>
      </c>
      <c r="B141" s="355" t="s">
        <v>167</v>
      </c>
      <c r="C141" s="59" t="s">
        <v>122</v>
      </c>
      <c r="D141" s="170" t="s">
        <v>88</v>
      </c>
      <c r="E141" s="169" t="s">
        <v>182</v>
      </c>
      <c r="F141" s="262">
        <f>INDEX(TMS,ROW(Input!B$23)-5,COLUMN()+1)*Input!$H$441</f>
        <v>2925.5018</v>
      </c>
      <c r="G141" s="263">
        <f>INDEX(TMS,ROW(Input!C$23)-5,COLUMN()+1)*Input!$H$441</f>
        <v>2891.5328</v>
      </c>
      <c r="H141" s="263">
        <f>INDEX(TMS,ROW(Input!D$23)-5,COLUMN()+1)*Input!$H$441</f>
        <v>2801.1139000000003</v>
      </c>
      <c r="I141" s="263">
        <f>INDEX(TMS,ROW(Input!E$23)-5,COLUMN()+1)*Input!$H$441</f>
        <v>2691.2626000000005</v>
      </c>
      <c r="J141" s="263">
        <f>INDEX(TMS,ROW(Input!F$23)-5,COLUMN()+1)*Input!$H$441</f>
        <v>2543.9634999999998</v>
      </c>
      <c r="K141" s="263">
        <f>INDEX(TMS,ROW(Input!G$23)-5,COLUMN()+1)*Input!$H$441</f>
        <v>2374.8946000000001</v>
      </c>
      <c r="L141" s="264">
        <f>INDEX(TMS,ROW(Input!H$23)-5,COLUMN()+1)*Input!$H$441</f>
        <v>2201.9243999999999</v>
      </c>
    </row>
    <row r="142" spans="1:12" s="53" customFormat="1">
      <c r="A142" s="60" t="s">
        <v>49</v>
      </c>
      <c r="B142" s="355" t="s">
        <v>168</v>
      </c>
      <c r="C142" s="59" t="s">
        <v>123</v>
      </c>
      <c r="D142" s="170" t="s">
        <v>88</v>
      </c>
      <c r="E142" s="169" t="s">
        <v>182</v>
      </c>
      <c r="F142" s="262">
        <f>+INDEX(TMS,ROW(Input!B$24)-5,COLUMN()+1)*Input!$H$441</f>
        <v>1419.8080000000002</v>
      </c>
      <c r="G142" s="263">
        <f>+INDEX(TMS,ROW(Input!C$24)-5,COLUMN()+1)*Input!$H$441</f>
        <v>1472.0809999999999</v>
      </c>
      <c r="H142" s="263">
        <f>+INDEX(TMS,ROW(Input!D$24)-5,COLUMN()+1)*Input!$H$441</f>
        <v>1635.2999</v>
      </c>
      <c r="I142" s="263">
        <f>+INDEX(TMS,ROW(Input!E$24)-5,COLUMN()+1)*Input!$H$441</f>
        <v>1790.2612000000001</v>
      </c>
      <c r="J142" s="263">
        <f>+INDEX(TMS,ROW(Input!F$24)-5,COLUMN()+1)*Input!$H$441</f>
        <v>1985.3821000000003</v>
      </c>
      <c r="K142" s="263">
        <f>+INDEX(TMS,ROW(Input!G$24)-5,COLUMN()+1)*Input!$H$441</f>
        <v>2202.5054999999998</v>
      </c>
      <c r="L142" s="264">
        <f>+INDEX(TMS,ROW(Input!H$24)-5,COLUMN()+1)*Input!$H$441</f>
        <v>2422.8555000000001</v>
      </c>
    </row>
    <row r="143" spans="1:12" s="53" customFormat="1">
      <c r="A143" s="60" t="s">
        <v>49</v>
      </c>
      <c r="B143" s="355" t="s">
        <v>169</v>
      </c>
      <c r="C143" s="59" t="s">
        <v>139</v>
      </c>
      <c r="D143" s="170" t="s">
        <v>74</v>
      </c>
      <c r="E143" s="169" t="s">
        <v>182</v>
      </c>
      <c r="F143" s="262">
        <f>VLOOKUP($A143,'Price setting'!$E$488:$O$506,COLUMN()-1,FALSE)</f>
        <v>0</v>
      </c>
      <c r="G143" s="263">
        <f>VLOOKUP($A143,'Price setting'!$E$488:$O$506,COLUMN()-1,FALSE)</f>
        <v>0</v>
      </c>
      <c r="H143" s="263">
        <f ca="1">VLOOKUP($A143,'Price setting'!$E$488:$O$506,COLUMN()-1,FALSE)</f>
        <v>0.72562487444767521</v>
      </c>
      <c r="I143" s="263">
        <f ca="1">VLOOKUP($A143,'Price setting'!$E$488:$O$506,COLUMN()-1,FALSE)</f>
        <v>2.6552265488195936</v>
      </c>
      <c r="J143" s="263">
        <f ca="1">VLOOKUP($A143,'Price setting'!$E$488:$O$506,COLUMN()-1,FALSE)</f>
        <v>5.4586062247627138</v>
      </c>
      <c r="K143" s="263">
        <f ca="1">VLOOKUP($A143,'Price setting'!$E$488:$O$506,COLUMN()-1,FALSE)</f>
        <v>8.0907290655784028</v>
      </c>
      <c r="L143" s="264">
        <f ca="1">VLOOKUP($A143,'Price setting'!$E$488:$O$506,COLUMN()-1,FALSE)</f>
        <v>10.033398669290458</v>
      </c>
    </row>
    <row r="144" spans="1:12" s="53" customFormat="1">
      <c r="A144" s="60" t="str">
        <f>+A143</f>
        <v>TMS</v>
      </c>
      <c r="B144" s="355" t="s">
        <v>170</v>
      </c>
      <c r="C144" s="59" t="s">
        <v>67</v>
      </c>
      <c r="D144" s="170" t="s">
        <v>171</v>
      </c>
      <c r="E144" s="169" t="s">
        <v>182</v>
      </c>
      <c r="F144" s="320">
        <f>+Input!$H$441</f>
        <v>1.3</v>
      </c>
      <c r="G144" s="321">
        <f>+Input!$H$441</f>
        <v>1.3</v>
      </c>
      <c r="H144" s="321">
        <f>+Input!$H$441</f>
        <v>1.3</v>
      </c>
      <c r="I144" s="321">
        <f>+Input!$H$441</f>
        <v>1.3</v>
      </c>
      <c r="J144" s="321">
        <f>+Input!$H$441</f>
        <v>1.3</v>
      </c>
      <c r="K144" s="321">
        <f>+Input!$H$441</f>
        <v>1.3</v>
      </c>
      <c r="L144" s="322">
        <f>+Input!$H$441</f>
        <v>1.3</v>
      </c>
    </row>
    <row r="145" spans="1:12" s="53" customFormat="1">
      <c r="A145" s="60" t="str">
        <f t="shared" ref="A145:A157" si="5">+A144</f>
        <v>TMS</v>
      </c>
      <c r="B145" s="355" t="s">
        <v>194</v>
      </c>
      <c r="C145" s="50" t="s">
        <v>185</v>
      </c>
      <c r="D145" s="168" t="s">
        <v>75</v>
      </c>
      <c r="E145" s="169" t="s">
        <v>182</v>
      </c>
      <c r="F145" s="316">
        <f ca="1">VLOOKUP(A145,'Price setting'!$E$89:$I$106,COLUMN()-1,FALSE)</f>
        <v>21.735919836764477</v>
      </c>
      <c r="G145" s="317"/>
      <c r="H145" s="317"/>
      <c r="I145" s="317"/>
      <c r="J145" s="317"/>
      <c r="K145" s="317"/>
      <c r="L145" s="323"/>
    </row>
    <row r="146" spans="1:12" s="53" customFormat="1">
      <c r="A146" s="60" t="str">
        <f t="shared" si="5"/>
        <v>TMS</v>
      </c>
      <c r="B146" s="355" t="s">
        <v>195</v>
      </c>
      <c r="C146" s="50" t="s">
        <v>186</v>
      </c>
      <c r="D146" s="168" t="s">
        <v>75</v>
      </c>
      <c r="E146" s="169" t="s">
        <v>182</v>
      </c>
      <c r="F146" s="316">
        <f ca="1">VLOOKUP(A146,'Price setting'!E$254:I$271,COLUMN()-1,FALSE)+VLOOKUP(A145,'Price setting'!$E$89:$I$106,COLUMN()-1,FALSE)</f>
        <v>30.323261285536717</v>
      </c>
      <c r="G146" s="317"/>
      <c r="H146" s="317"/>
      <c r="I146" s="317"/>
      <c r="J146" s="317"/>
      <c r="K146" s="317"/>
      <c r="L146" s="323"/>
    </row>
    <row r="147" spans="1:12" s="53" customFormat="1">
      <c r="A147" s="60" t="str">
        <f t="shared" si="5"/>
        <v>TMS</v>
      </c>
      <c r="B147" s="355" t="s">
        <v>196</v>
      </c>
      <c r="C147" s="50" t="s">
        <v>187</v>
      </c>
      <c r="D147" s="168" t="s">
        <v>75</v>
      </c>
      <c r="E147" s="169" t="s">
        <v>182</v>
      </c>
      <c r="F147" s="316">
        <f ca="1">VLOOKUP(A147,'Price setting'!E$319:I$336,COLUMN()-1,FALSE)+VLOOKUP(A145,'Price setting'!$E$89:$I$106,COLUMN()-1,FALSE)</f>
        <v>26.919684108482382</v>
      </c>
      <c r="G147" s="317"/>
      <c r="H147" s="317"/>
      <c r="I147" s="317"/>
      <c r="J147" s="317"/>
      <c r="K147" s="317"/>
      <c r="L147" s="323"/>
    </row>
    <row r="148" spans="1:12" s="53" customFormat="1">
      <c r="A148" s="60" t="str">
        <f t="shared" si="5"/>
        <v>TMS</v>
      </c>
      <c r="B148" s="355" t="s">
        <v>197</v>
      </c>
      <c r="C148" s="50" t="s">
        <v>188</v>
      </c>
      <c r="D148" s="168" t="s">
        <v>75</v>
      </c>
      <c r="E148" s="169" t="s">
        <v>182</v>
      </c>
      <c r="F148" s="316">
        <f ca="1">(VLOOKUP(A148,'Price setting'!E$384:I$401,COLUMN()-1,FALSE)+VLOOKUP(A145,'Price setting'!$E$89:$I$106,COLUMN()-1,FALSE))*+Input!$H$441</f>
        <v>39.42023967119772</v>
      </c>
      <c r="G148" s="317"/>
      <c r="H148" s="317"/>
      <c r="I148" s="317"/>
      <c r="J148" s="317"/>
      <c r="K148" s="317"/>
      <c r="L148" s="323"/>
    </row>
    <row r="149" spans="1:12" s="53" customFormat="1">
      <c r="A149" s="60" t="str">
        <f t="shared" si="5"/>
        <v>TMS</v>
      </c>
      <c r="B149" s="355" t="s">
        <v>198</v>
      </c>
      <c r="C149" s="50" t="s">
        <v>189</v>
      </c>
      <c r="D149" s="168" t="s">
        <v>75</v>
      </c>
      <c r="E149" s="169" t="s">
        <v>182</v>
      </c>
      <c r="F149" s="316">
        <f ca="1">VLOOKUP(A149,'Price setting'!E$89:I$106,COLUMN()-1,FALSE)*+Input!$H$441</f>
        <v>28.25669578779382</v>
      </c>
      <c r="G149" s="317"/>
      <c r="H149" s="317"/>
      <c r="I149" s="317"/>
      <c r="J149" s="317"/>
      <c r="K149" s="317"/>
      <c r="L149" s="323"/>
    </row>
    <row r="150" spans="1:12" s="53" customFormat="1">
      <c r="A150" s="60" t="str">
        <f t="shared" si="5"/>
        <v>TMS</v>
      </c>
      <c r="B150" s="356" t="s">
        <v>204</v>
      </c>
      <c r="C150" s="50" t="s">
        <v>203</v>
      </c>
      <c r="D150" s="168" t="s">
        <v>75</v>
      </c>
      <c r="E150" s="169" t="s">
        <v>182</v>
      </c>
      <c r="F150" s="316"/>
      <c r="G150" s="317"/>
      <c r="H150" s="317">
        <f ca="1">VLOOKUP($A150,'Price setting'!$E$213:$O$230,COLUMN()-1,FALSE)</f>
        <v>20.735627401299965</v>
      </c>
      <c r="I150" s="317">
        <f ca="1">VLOOKUP($A150,'Price setting'!$E$213:$O$230,COLUMN()-1,FALSE)</f>
        <v>20.747846346020747</v>
      </c>
      <c r="J150" s="317">
        <f ca="1">VLOOKUP($A150,'Price setting'!$E$213:$O$230,COLUMN()-1,FALSE)</f>
        <v>21.114471137511412</v>
      </c>
      <c r="K150" s="317">
        <f ca="1">VLOOKUP($A150,'Price setting'!$E$213:$O$230,COLUMN()-1,FALSE)</f>
        <v>21.306893995130356</v>
      </c>
      <c r="L150" s="323">
        <f ca="1">VLOOKUP($A150,'Price setting'!$E$213:$O$230,COLUMN()-1,FALSE)</f>
        <v>21.613590228716141</v>
      </c>
    </row>
    <row r="151" spans="1:12" s="53" customFormat="1">
      <c r="A151" s="60" t="str">
        <f t="shared" si="5"/>
        <v>TMS</v>
      </c>
      <c r="B151" s="355" t="s">
        <v>199</v>
      </c>
      <c r="C151" s="50" t="s">
        <v>190</v>
      </c>
      <c r="D151" s="168" t="s">
        <v>75</v>
      </c>
      <c r="E151" s="169" t="s">
        <v>182</v>
      </c>
      <c r="F151" s="316"/>
      <c r="G151" s="317"/>
      <c r="H151" s="317">
        <f ca="1">VLOOKUP($A150,'Price setting'!$E$213:$O$230,COLUMN()-1,FALSE)*+Input!$H$441</f>
        <v>26.956315621689956</v>
      </c>
      <c r="I151" s="317">
        <f ca="1">VLOOKUP($A150,'Price setting'!$E$213:$O$230,COLUMN()-1,FALSE)*+Input!$H$441</f>
        <v>26.972200249826972</v>
      </c>
      <c r="J151" s="317">
        <f ca="1">VLOOKUP($A150,'Price setting'!$E$213:$O$230,COLUMN()-1,FALSE)*+Input!$H$441</f>
        <v>27.448812478764836</v>
      </c>
      <c r="K151" s="317">
        <f ca="1">VLOOKUP($A150,'Price setting'!$E$213:$O$230,COLUMN()-1,FALSE)*+Input!$H$441</f>
        <v>27.698962193669463</v>
      </c>
      <c r="L151" s="323">
        <f ca="1">VLOOKUP($A150,'Price setting'!$E$213:$O$230,COLUMN()-1,FALSE)*+Input!$H$441</f>
        <v>28.097667297330986</v>
      </c>
    </row>
    <row r="152" spans="1:12" s="53" customFormat="1">
      <c r="A152" s="60" t="str">
        <f t="shared" si="5"/>
        <v>TMS</v>
      </c>
      <c r="B152" s="355" t="s">
        <v>200</v>
      </c>
      <c r="C152" s="50" t="s">
        <v>191</v>
      </c>
      <c r="D152" s="168" t="s">
        <v>75</v>
      </c>
      <c r="E152" s="169" t="s">
        <v>182</v>
      </c>
      <c r="F152" s="316"/>
      <c r="G152" s="317"/>
      <c r="H152" s="317">
        <f ca="1">VLOOKUP($A152,'Price setting'!$E$278:$O$295,COLUMN()-1,FALSE)+VLOOKUP($A150,'Price setting'!$E$213:$O$230,COLUMN()-1,FALSE)</f>
        <v>28.623863985844785</v>
      </c>
      <c r="I152" s="317">
        <f ca="1">VLOOKUP($A152,'Price setting'!$E$278:$O$295,COLUMN()-1,FALSE)+VLOOKUP($A150,'Price setting'!$E$213:$O$230,COLUMN()-1,FALSE)</f>
        <v>27.936978066338149</v>
      </c>
      <c r="J152" s="317">
        <f ca="1">VLOOKUP($A152,'Price setting'!$E$278:$O$295,COLUMN()-1,FALSE)+VLOOKUP($A150,'Price setting'!$E$213:$O$230,COLUMN()-1,FALSE)</f>
        <v>27.604497993601392</v>
      </c>
      <c r="K152" s="317">
        <f ca="1">VLOOKUP($A152,'Price setting'!$E$278:$O$295,COLUMN()-1,FALSE)+VLOOKUP($A150,'Price setting'!$E$213:$O$230,COLUMN()-1,FALSE)</f>
        <v>27.097815986992916</v>
      </c>
      <c r="L152" s="323">
        <f ca="1">VLOOKUP($A152,'Price setting'!$E$278:$O$295,COLUMN()-1,FALSE)+VLOOKUP($A150,'Price setting'!$E$213:$O$230,COLUMN()-1,FALSE)</f>
        <v>27.404512220578702</v>
      </c>
    </row>
    <row r="153" spans="1:12" s="53" customFormat="1">
      <c r="A153" s="60" t="str">
        <f t="shared" si="5"/>
        <v>TMS</v>
      </c>
      <c r="B153" s="355" t="s">
        <v>201</v>
      </c>
      <c r="C153" s="50" t="s">
        <v>192</v>
      </c>
      <c r="D153" s="168" t="s">
        <v>75</v>
      </c>
      <c r="E153" s="169" t="s">
        <v>182</v>
      </c>
      <c r="F153" s="316"/>
      <c r="G153" s="317"/>
      <c r="H153" s="317">
        <f ca="1">VLOOKUP($A153,'Price setting'!$E$343:$O$360,COLUMN()-1,FALSE)+VLOOKUP($A150,'Price setting'!$E$213:$O$230,COLUMN()-1,FALSE)</f>
        <v>25.641954838770516</v>
      </c>
      <c r="I153" s="317">
        <f ca="1">VLOOKUP($A153,'Price setting'!$E$343:$O$360,COLUMN()-1,FALSE)+VLOOKUP($A150,'Price setting'!$E$213:$O$230,COLUMN()-1,FALSE)</f>
        <v>25.376736949243941</v>
      </c>
      <c r="J153" s="317">
        <f ca="1">VLOOKUP($A153,'Price setting'!$E$343:$O$360,COLUMN()-1,FALSE)+VLOOKUP($A150,'Price setting'!$E$213:$O$230,COLUMN()-1,FALSE)</f>
        <v>25.341946377961911</v>
      </c>
      <c r="K153" s="317">
        <f ca="1">VLOOKUP($A153,'Price setting'!$E$343:$O$360,COLUMN()-1,FALSE)+VLOOKUP($A150,'Price setting'!$E$213:$O$230,COLUMN()-1,FALSE)</f>
        <v>24.940743547257263</v>
      </c>
      <c r="L153" s="323">
        <f ca="1">VLOOKUP($A153,'Price setting'!$E$343:$O$360,COLUMN()-1,FALSE)+VLOOKUP($A150,'Price setting'!$E$213:$O$230,COLUMN()-1,FALSE)</f>
        <v>24.844924432083488</v>
      </c>
    </row>
    <row r="154" spans="1:12" s="53" customFormat="1">
      <c r="A154" s="60" t="str">
        <f t="shared" si="5"/>
        <v>TMS</v>
      </c>
      <c r="B154" s="355" t="s">
        <v>202</v>
      </c>
      <c r="C154" s="50" t="s">
        <v>193</v>
      </c>
      <c r="D154" s="168" t="s">
        <v>75</v>
      </c>
      <c r="E154" s="169" t="s">
        <v>182</v>
      </c>
      <c r="F154" s="316"/>
      <c r="G154" s="317"/>
      <c r="H154" s="317">
        <f ca="1">(VLOOKUP($A154,'Price setting'!$E$408:$O$425,COLUMN()-1,FALSE)+VLOOKUP($A150,'Price setting'!$E$213:$O$230,COLUMN()-1,FALSE))*+Input!$H$441</f>
        <v>36.91654613446368</v>
      </c>
      <c r="I154" s="317">
        <f ca="1">(VLOOKUP($A154,'Price setting'!$E$408:$O$425,COLUMN()-1,FALSE)+VLOOKUP($A150,'Price setting'!$E$213:$O$230,COLUMN()-1,FALSE))*+Input!$H$441</f>
        <v>35.729117391970533</v>
      </c>
      <c r="J154" s="317">
        <f ca="1">(VLOOKUP($A154,'Price setting'!$E$408:$O$425,COLUMN()-1,FALSE)+VLOOKUP($A150,'Price setting'!$E$213:$O$230,COLUMN()-1,FALSE))*+Input!$H$441</f>
        <v>35.002416250278223</v>
      </c>
      <c r="K154" s="317">
        <f ca="1">(VLOOKUP($A154,'Price setting'!$E$408:$O$425,COLUMN()-1,FALSE)+VLOOKUP($A150,'Price setting'!$E$213:$O$230,COLUMN()-1,FALSE))*+Input!$H$441</f>
        <v>34.049252594552684</v>
      </c>
      <c r="L154" s="323">
        <f ca="1">(VLOOKUP($A154,'Price setting'!$E$408:$O$425,COLUMN()-1,FALSE)+VLOOKUP($A150,'Price setting'!$E$213:$O$230,COLUMN()-1,FALSE))*+Input!$H$441</f>
        <v>34.447957698214204</v>
      </c>
    </row>
    <row r="155" spans="1:12" s="53" customFormat="1">
      <c r="A155" s="60" t="str">
        <f t="shared" si="5"/>
        <v>TMS</v>
      </c>
      <c r="B155" s="355" t="s">
        <v>208</v>
      </c>
      <c r="C155" s="21" t="s">
        <v>205</v>
      </c>
      <c r="D155" s="168" t="s">
        <v>75</v>
      </c>
      <c r="E155" s="169" t="s">
        <v>182</v>
      </c>
      <c r="F155" s="262">
        <f ca="1">VLOOKUP($A155,'Price setting'!$E$49:$I$66,COLUMN()-1,FALSE)</f>
        <v>0.27588007791236174</v>
      </c>
      <c r="G155" s="263"/>
      <c r="H155" s="263"/>
      <c r="I155" s="263"/>
      <c r="J155" s="263"/>
      <c r="K155" s="263"/>
      <c r="L155" s="264"/>
    </row>
    <row r="156" spans="1:12" s="53" customFormat="1">
      <c r="A156" s="60" t="str">
        <f t="shared" si="5"/>
        <v>TMS</v>
      </c>
      <c r="B156" s="355" t="s">
        <v>206</v>
      </c>
      <c r="C156" s="21" t="s">
        <v>132</v>
      </c>
      <c r="D156" s="168" t="s">
        <v>74</v>
      </c>
      <c r="E156" s="169" t="s">
        <v>182</v>
      </c>
      <c r="F156" s="262">
        <f ca="1">'Used inputs'!I94</f>
        <v>147.95719591789685</v>
      </c>
      <c r="G156" s="263">
        <f>'Used inputs'!J94</f>
        <v>133.26809234522213</v>
      </c>
      <c r="H156" s="263">
        <f ca="1">'Used inputs'!K94</f>
        <v>150.43119919385472</v>
      </c>
      <c r="I156" s="263">
        <f ca="1">'Used inputs'!L94</f>
        <v>155.56020598544231</v>
      </c>
      <c r="J156" s="263">
        <f ca="1">'Used inputs'!M94</f>
        <v>155.87120639725376</v>
      </c>
      <c r="K156" s="263">
        <f ca="1">'Used inputs'!N94</f>
        <v>157.45720849736313</v>
      </c>
      <c r="L156" s="264">
        <f ca="1">'Used inputs'!O94</f>
        <v>153.12720276377453</v>
      </c>
    </row>
    <row r="157" spans="1:12" s="53" customFormat="1">
      <c r="A157" s="60" t="str">
        <f t="shared" si="5"/>
        <v>TMS</v>
      </c>
      <c r="B157" s="355" t="s">
        <v>207</v>
      </c>
      <c r="C157" s="21" t="s">
        <v>157</v>
      </c>
      <c r="D157" s="168" t="s">
        <v>74</v>
      </c>
      <c r="E157" s="169" t="s">
        <v>182</v>
      </c>
      <c r="F157" s="262">
        <f>'Used inputs'!I107</f>
        <v>1.6461564660604204</v>
      </c>
      <c r="G157" s="263">
        <f>'Used inputs'!J107</f>
        <v>22.752114249330734</v>
      </c>
      <c r="H157" s="263">
        <f>'Used inputs'!K107</f>
        <v>1.6742845552360341</v>
      </c>
      <c r="I157" s="263">
        <f>'Used inputs'!L107</f>
        <v>1.6742845552360341</v>
      </c>
      <c r="J157" s="263">
        <f>'Used inputs'!M107</f>
        <v>1.6742845552360341</v>
      </c>
      <c r="K157" s="263">
        <f>'Used inputs'!N107</f>
        <v>1.6742845552360341</v>
      </c>
      <c r="L157" s="264">
        <f>'Used inputs'!O107</f>
        <v>1.6742845552360341</v>
      </c>
    </row>
    <row r="158" spans="1:12" s="53" customFormat="1">
      <c r="A158" s="60" t="s">
        <v>50</v>
      </c>
      <c r="B158" s="355" t="s">
        <v>162</v>
      </c>
      <c r="C158" s="59" t="s">
        <v>175</v>
      </c>
      <c r="D158" s="169" t="s">
        <v>74</v>
      </c>
      <c r="E158" s="169" t="s">
        <v>182</v>
      </c>
      <c r="F158" s="262">
        <f>VLOOKUP($A158,'Price setting'!$E$448:$O$466,COLUMN()-1,FALSE)</f>
        <v>0</v>
      </c>
      <c r="G158" s="263">
        <f>VLOOKUP($A158,'Price setting'!$E$448:$O$466,COLUMN()-1,FALSE)</f>
        <v>0</v>
      </c>
      <c r="H158" s="263">
        <f ca="1">VLOOKUP($A158,'Price setting'!$E$448:$O$466,COLUMN()-1,FALSE)</f>
        <v>120.29221404369375</v>
      </c>
      <c r="I158" s="263">
        <f ca="1">VLOOKUP($A158,'Price setting'!$E$448:$O$466,COLUMN()-1,FALSE)</f>
        <v>115.37487067643964</v>
      </c>
      <c r="J158" s="263">
        <f ca="1">VLOOKUP($A158,'Price setting'!$E$448:$O$466,COLUMN()-1,FALSE)</f>
        <v>108.7895466700997</v>
      </c>
      <c r="K158" s="263">
        <f ca="1">VLOOKUP($A158,'Price setting'!$E$448:$O$466,COLUMN()-1,FALSE)</f>
        <v>103.39247221078831</v>
      </c>
      <c r="L158" s="264">
        <f ca="1">VLOOKUP($A158,'Price setting'!$E$448:$O$466,COLUMN()-1,FALSE)</f>
        <v>105.36942163260737</v>
      </c>
    </row>
    <row r="159" spans="1:12" s="53" customFormat="1">
      <c r="A159" s="60" t="s">
        <v>50</v>
      </c>
      <c r="B159" s="355" t="s">
        <v>163</v>
      </c>
      <c r="C159" s="59" t="s">
        <v>118</v>
      </c>
      <c r="D159" s="168" t="s">
        <v>75</v>
      </c>
      <c r="E159" s="169" t="s">
        <v>182</v>
      </c>
      <c r="F159" s="316">
        <f>VLOOKUP($A159,'Price setting'!$E$213:$O$231,COLUMN()-1,FALSE)</f>
        <v>0</v>
      </c>
      <c r="G159" s="317">
        <f>VLOOKUP($A159,'Price setting'!$E$213:$O$231,COLUMN()-1,FALSE)</f>
        <v>0</v>
      </c>
      <c r="H159" s="317">
        <f ca="1">VLOOKUP($A159,'Price setting'!$E$213:$O$231,COLUMN()-1,FALSE)</f>
        <v>29.854776521890596</v>
      </c>
      <c r="I159" s="317">
        <f ca="1">VLOOKUP($A159,'Price setting'!$E$213:$O$231,COLUMN()-1,FALSE)</f>
        <v>28.30893186884477</v>
      </c>
      <c r="J159" s="317">
        <f ca="1">VLOOKUP($A159,'Price setting'!$E$213:$O$231,COLUMN()-1,FALSE)</f>
        <v>26.539104411740741</v>
      </c>
      <c r="K159" s="317">
        <f ca="1">VLOOKUP($A159,'Price setting'!$E$213:$O$231,COLUMN()-1,FALSE)</f>
        <v>25.114029153459995</v>
      </c>
      <c r="L159" s="323">
        <f ca="1">VLOOKUP($A159,'Price setting'!$E$213:$O$231,COLUMN()-1,FALSE)</f>
        <v>25.555839322333448</v>
      </c>
    </row>
    <row r="160" spans="1:12" s="53" customFormat="1">
      <c r="A160" s="60" t="s">
        <v>50</v>
      </c>
      <c r="B160" s="355" t="s">
        <v>164</v>
      </c>
      <c r="C160" s="59" t="s">
        <v>119</v>
      </c>
      <c r="D160" s="168" t="s">
        <v>75</v>
      </c>
      <c r="E160" s="169" t="s">
        <v>182</v>
      </c>
      <c r="F160" s="316">
        <f>VLOOKUP($A160,'Price setting'!$E$278:$O$296,COLUMN()-1,FALSE)+VLOOKUP($A159,'Price setting'!$E$213:$O$231,COLUMN()-1,FALSE)</f>
        <v>0</v>
      </c>
      <c r="G160" s="317">
        <f>VLOOKUP($A160,'Price setting'!$E$278:$O$296,COLUMN()-1,FALSE)+VLOOKUP($A159,'Price setting'!$E$213:$O$231,COLUMN()-1,FALSE)</f>
        <v>0</v>
      </c>
      <c r="H160" s="317">
        <f ca="1">VLOOKUP($A160,'Price setting'!$E$278:$O$296,COLUMN()-1,FALSE)+VLOOKUP($A159,'Price setting'!$E$213:$O$231,COLUMN()-1,FALSE)</f>
        <v>35.64569851375316</v>
      </c>
      <c r="I160" s="317">
        <f ca="1">VLOOKUP($A160,'Price setting'!$E$278:$O$296,COLUMN()-1,FALSE)+VLOOKUP($A159,'Price setting'!$E$213:$O$231,COLUMN()-1,FALSE)</f>
        <v>34.099853860707334</v>
      </c>
      <c r="J160" s="317">
        <f ca="1">VLOOKUP($A160,'Price setting'!$E$278:$O$296,COLUMN()-1,FALSE)+VLOOKUP($A159,'Price setting'!$E$213:$O$231,COLUMN()-1,FALSE)</f>
        <v>32.262474241766519</v>
      </c>
      <c r="K160" s="317">
        <f ca="1">VLOOKUP($A160,'Price setting'!$E$278:$O$296,COLUMN()-1,FALSE)+VLOOKUP($A159,'Price setting'!$E$213:$O$231,COLUMN()-1,FALSE)</f>
        <v>30.213467348744018</v>
      </c>
      <c r="L160" s="323">
        <f ca="1">VLOOKUP($A160,'Price setting'!$E$278:$O$296,COLUMN()-1,FALSE)+VLOOKUP($A159,'Price setting'!$E$213:$O$231,COLUMN()-1,FALSE)</f>
        <v>30.246201625486385</v>
      </c>
    </row>
    <row r="161" spans="1:12" s="53" customFormat="1">
      <c r="A161" s="60" t="s">
        <v>50</v>
      </c>
      <c r="B161" s="355" t="s">
        <v>165</v>
      </c>
      <c r="C161" s="59" t="s">
        <v>120</v>
      </c>
      <c r="D161" s="168" t="s">
        <v>75</v>
      </c>
      <c r="E161" s="169" t="s">
        <v>182</v>
      </c>
      <c r="F161" s="316">
        <f>VLOOKUP($A161,'Price setting'!$E$343:$O$361,COLUMN()-1,FALSE)+VLOOKUP($A159,'Price setting'!$E$213:$O$231,COLUMN()-1,FALSE)</f>
        <v>0</v>
      </c>
      <c r="G161" s="317">
        <f>VLOOKUP($A161,'Price setting'!$E$343:$O$361,COLUMN()-1,FALSE)+VLOOKUP($A159,'Price setting'!$E$213:$O$231,COLUMN()-1,FALSE)</f>
        <v>0</v>
      </c>
      <c r="H161" s="317">
        <f ca="1">VLOOKUP($A161,'Price setting'!$E$343:$O$361,COLUMN()-1,FALSE)+VLOOKUP($A159,'Price setting'!$E$213:$O$231,COLUMN()-1,FALSE)</f>
        <v>33.841706827322461</v>
      </c>
      <c r="I161" s="317">
        <f ca="1">VLOOKUP($A161,'Price setting'!$E$343:$O$361,COLUMN()-1,FALSE)+VLOOKUP($A159,'Price setting'!$E$213:$O$231,COLUMN()-1,FALSE)</f>
        <v>32.243418822495833</v>
      </c>
      <c r="J161" s="317">
        <f ca="1">VLOOKUP($A161,'Price setting'!$E$343:$O$361,COLUMN()-1,FALSE)+VLOOKUP($A159,'Price setting'!$E$213:$O$231,COLUMN()-1,FALSE)</f>
        <v>30.381870363549993</v>
      </c>
      <c r="K161" s="317">
        <f ca="1">VLOOKUP($A161,'Price setting'!$E$343:$O$361,COLUMN()-1,FALSE)+VLOOKUP($A159,'Price setting'!$E$213:$O$231,COLUMN()-1,FALSE)</f>
        <v>28.86544878418815</v>
      </c>
      <c r="L161" s="323">
        <f ca="1">VLOOKUP($A161,'Price setting'!$E$343:$O$361,COLUMN()-1,FALSE)+VLOOKUP($A159,'Price setting'!$E$213:$O$231,COLUMN()-1,FALSE)</f>
        <v>29.403801334660191</v>
      </c>
    </row>
    <row r="162" spans="1:12" s="53" customFormat="1">
      <c r="A162" s="60" t="s">
        <v>50</v>
      </c>
      <c r="B162" s="355" t="s">
        <v>166</v>
      </c>
      <c r="C162" s="59" t="s">
        <v>124</v>
      </c>
      <c r="D162" s="168" t="s">
        <v>75</v>
      </c>
      <c r="E162" s="169" t="s">
        <v>182</v>
      </c>
      <c r="F162" s="316">
        <f>VLOOKUP($A162,'Price setting'!$E$408:$O$426,COLUMN()-1,FALSE)+VLOOKUP($A159,'Price setting'!$E$213:$O$231,COLUMN()-1,FALSE)</f>
        <v>0</v>
      </c>
      <c r="G162" s="317">
        <f>VLOOKUP($A162,'Price setting'!$E$408:$O$426,COLUMN()-1,FALSE)+VLOOKUP($A159,'Price setting'!$E$213:$O$231,COLUMN()-1,FALSE)</f>
        <v>0</v>
      </c>
      <c r="H162" s="317">
        <f ca="1">VLOOKUP($A162,'Price setting'!$E$408:$O$426,COLUMN()-1,FALSE)+VLOOKUP($A159,'Price setting'!$E$213:$O$231,COLUMN()-1,FALSE)</f>
        <v>34.73961529180076</v>
      </c>
      <c r="I162" s="317">
        <f ca="1">VLOOKUP($A162,'Price setting'!$E$408:$O$426,COLUMN()-1,FALSE)+VLOOKUP($A159,'Price setting'!$E$213:$O$231,COLUMN()-1,FALSE)</f>
        <v>33.193770638754934</v>
      </c>
      <c r="J162" s="317">
        <f ca="1">VLOOKUP($A162,'Price setting'!$E$408:$O$426,COLUMN()-1,FALSE)+VLOOKUP($A159,'Price setting'!$E$213:$O$231,COLUMN()-1,FALSE)</f>
        <v>30.944562635766179</v>
      </c>
      <c r="K162" s="317">
        <f ca="1">VLOOKUP($A162,'Price setting'!$E$408:$O$426,COLUMN()-1,FALSE)+VLOOKUP($A159,'Price setting'!$E$213:$O$231,COLUMN()-1,FALSE)</f>
        <v>29.044841029827214</v>
      </c>
      <c r="L162" s="323">
        <f ca="1">VLOOKUP($A162,'Price setting'!$E$408:$O$426,COLUMN()-1,FALSE)+VLOOKUP($A159,'Price setting'!$E$213:$O$231,COLUMN()-1,FALSE)</f>
        <v>29.171837656551332</v>
      </c>
    </row>
    <row r="163" spans="1:12" s="53" customFormat="1">
      <c r="A163" s="60" t="s">
        <v>50</v>
      </c>
      <c r="B163" s="355" t="s">
        <v>167</v>
      </c>
      <c r="C163" s="59" t="s">
        <v>122</v>
      </c>
      <c r="D163" s="170" t="s">
        <v>88</v>
      </c>
      <c r="E163" s="169" t="s">
        <v>182</v>
      </c>
      <c r="F163" s="262">
        <f>INDEX(NWT,ROW(Input!B$23)-5,COLUMN()+1)*Input!$H$441</f>
        <v>2331.4499000000001</v>
      </c>
      <c r="G163" s="263">
        <f>INDEX(NWT,ROW(Input!C$23)-5,COLUMN()+1)*Input!$H$441</f>
        <v>2257.9440000000004</v>
      </c>
      <c r="H163" s="263">
        <f>INDEX(NWT,ROW(Input!D$23)-5,COLUMN()+1)*Input!$H$441</f>
        <v>2181.6392000000001</v>
      </c>
      <c r="I163" s="263">
        <f>INDEX(NWT,ROW(Input!E$23)-5,COLUMN()+1)*Input!$H$441</f>
        <v>2101.8868000000002</v>
      </c>
      <c r="J163" s="263">
        <f>INDEX(NWT,ROW(Input!F$23)-5,COLUMN()+1)*Input!$H$441</f>
        <v>2025.5326000000002</v>
      </c>
      <c r="K163" s="263">
        <f>INDEX(NWT,ROW(Input!G$23)-5,COLUMN()+1)*Input!$H$441</f>
        <v>1957.5517</v>
      </c>
      <c r="L163" s="264">
        <f>INDEX(NWT,ROW(Input!H$23)-5,COLUMN()+1)*Input!$H$441</f>
        <v>1896.9262000000001</v>
      </c>
    </row>
    <row r="164" spans="1:12" s="53" customFormat="1">
      <c r="A164" s="60" t="s">
        <v>50</v>
      </c>
      <c r="B164" s="355" t="s">
        <v>168</v>
      </c>
      <c r="C164" s="59" t="s">
        <v>123</v>
      </c>
      <c r="D164" s="170" t="s">
        <v>88</v>
      </c>
      <c r="E164" s="169" t="s">
        <v>182</v>
      </c>
      <c r="F164" s="262">
        <f>+INDEX(NWT,ROW(Input!B$24)-5,COLUMN()+1)*Input!$H$441</f>
        <v>1308.8049000000001</v>
      </c>
      <c r="G164" s="263">
        <f>+INDEX(NWT,ROW(Input!C$24)-5,COLUMN()+1)*Input!$H$441</f>
        <v>1394.0966000000001</v>
      </c>
      <c r="H164" s="263">
        <f>+INDEX(NWT,ROW(Input!D$24)-5,COLUMN()+1)*Input!$H$441</f>
        <v>1484.6559</v>
      </c>
      <c r="I164" s="263">
        <f>+INDEX(NWT,ROW(Input!E$24)-5,COLUMN()+1)*Input!$H$441</f>
        <v>1580.2592000000002</v>
      </c>
      <c r="J164" s="263">
        <f>+INDEX(NWT,ROW(Input!F$24)-5,COLUMN()+1)*Input!$H$441</f>
        <v>1674.2661000000001</v>
      </c>
      <c r="K164" s="263">
        <f>+INDEX(NWT,ROW(Input!G$24)-5,COLUMN()+1)*Input!$H$441</f>
        <v>1761.9082000000001</v>
      </c>
      <c r="L164" s="264">
        <f>+INDEX(NWT,ROW(Input!H$24)-5,COLUMN()+1)*Input!$H$441</f>
        <v>1843.6314000000002</v>
      </c>
    </row>
    <row r="165" spans="1:12" s="53" customFormat="1">
      <c r="A165" s="60" t="s">
        <v>50</v>
      </c>
      <c r="B165" s="355" t="s">
        <v>169</v>
      </c>
      <c r="C165" s="59" t="s">
        <v>139</v>
      </c>
      <c r="D165" s="170" t="s">
        <v>74</v>
      </c>
      <c r="E165" s="169" t="s">
        <v>182</v>
      </c>
      <c r="F165" s="262">
        <f>VLOOKUP($A165,'Price setting'!$E$488:$O$506,COLUMN()-1,FALSE)</f>
        <v>0</v>
      </c>
      <c r="G165" s="263">
        <f>VLOOKUP($A165,'Price setting'!$E$488:$O$506,COLUMN()-1,FALSE)</f>
        <v>0</v>
      </c>
      <c r="H165" s="263">
        <f ca="1">VLOOKUP($A165,'Price setting'!$E$488:$O$506,COLUMN()-1,FALSE)</f>
        <v>1.0769001879612252</v>
      </c>
      <c r="I165" s="263">
        <f ca="1">VLOOKUP($A165,'Price setting'!$E$488:$O$506,COLUMN()-1,FALSE)</f>
        <v>2.257121208387094</v>
      </c>
      <c r="J165" s="263">
        <f ca="1">VLOOKUP($A165,'Price setting'!$E$488:$O$506,COLUMN()-1,FALSE)</f>
        <v>3.0320547025106035</v>
      </c>
      <c r="K165" s="263">
        <f ca="1">VLOOKUP($A165,'Price setting'!$E$488:$O$506,COLUMN()-1,FALSE)</f>
        <v>5.7436271246888042</v>
      </c>
      <c r="L165" s="264">
        <f ca="1">VLOOKUP($A165,'Price setting'!$E$488:$O$506,COLUMN()-1,FALSE)</f>
        <v>8.6067256620669266</v>
      </c>
    </row>
    <row r="166" spans="1:12" s="53" customFormat="1">
      <c r="A166" s="60" t="str">
        <f>+A165</f>
        <v>NWT</v>
      </c>
      <c r="B166" s="355" t="s">
        <v>170</v>
      </c>
      <c r="C166" s="59" t="s">
        <v>67</v>
      </c>
      <c r="D166" s="170" t="s">
        <v>171</v>
      </c>
      <c r="E166" s="169" t="s">
        <v>182</v>
      </c>
      <c r="F166" s="320">
        <f>+Input!$H$441</f>
        <v>1.3</v>
      </c>
      <c r="G166" s="321">
        <f>+Input!$H$441</f>
        <v>1.3</v>
      </c>
      <c r="H166" s="321">
        <f>+Input!$H$441</f>
        <v>1.3</v>
      </c>
      <c r="I166" s="321">
        <f>+Input!$H$441</f>
        <v>1.3</v>
      </c>
      <c r="J166" s="321">
        <f>+Input!$H$441</f>
        <v>1.3</v>
      </c>
      <c r="K166" s="321">
        <f>+Input!$H$441</f>
        <v>1.3</v>
      </c>
      <c r="L166" s="322">
        <f>+Input!$H$441</f>
        <v>1.3</v>
      </c>
    </row>
    <row r="167" spans="1:12" s="53" customFormat="1">
      <c r="A167" s="60" t="str">
        <f t="shared" ref="A167:A179" si="6">+A166</f>
        <v>NWT</v>
      </c>
      <c r="B167" s="355" t="s">
        <v>194</v>
      </c>
      <c r="C167" s="50" t="s">
        <v>185</v>
      </c>
      <c r="D167" s="168" t="s">
        <v>75</v>
      </c>
      <c r="E167" s="169" t="s">
        <v>182</v>
      </c>
      <c r="F167" s="316">
        <f ca="1">VLOOKUP(A167,'Price setting'!$E$89:$I$106,COLUMN()-1,FALSE)</f>
        <v>28.945668218930372</v>
      </c>
      <c r="G167" s="317"/>
      <c r="H167" s="317"/>
      <c r="I167" s="317"/>
      <c r="J167" s="317"/>
      <c r="K167" s="317"/>
      <c r="L167" s="323"/>
    </row>
    <row r="168" spans="1:12" s="53" customFormat="1">
      <c r="A168" s="60" t="str">
        <f t="shared" si="6"/>
        <v>NWT</v>
      </c>
      <c r="B168" s="355" t="s">
        <v>195</v>
      </c>
      <c r="C168" s="50" t="s">
        <v>186</v>
      </c>
      <c r="D168" s="168" t="s">
        <v>75</v>
      </c>
      <c r="E168" s="169" t="s">
        <v>182</v>
      </c>
      <c r="F168" s="316">
        <f ca="1">VLOOKUP(A168,'Price setting'!E$254:I$271,COLUMN()-1,FALSE)+VLOOKUP(A167,'Price setting'!$E$89:$I$106,COLUMN()-1,FALSE)</f>
        <v>33.86455633394548</v>
      </c>
      <c r="G168" s="317"/>
      <c r="H168" s="317"/>
      <c r="I168" s="317"/>
      <c r="J168" s="317"/>
      <c r="K168" s="317"/>
      <c r="L168" s="323"/>
    </row>
    <row r="169" spans="1:12" s="53" customFormat="1">
      <c r="A169" s="60" t="str">
        <f t="shared" si="6"/>
        <v>NWT</v>
      </c>
      <c r="B169" s="355" t="s">
        <v>196</v>
      </c>
      <c r="C169" s="50" t="s">
        <v>187</v>
      </c>
      <c r="D169" s="168" t="s">
        <v>75</v>
      </c>
      <c r="E169" s="169" t="s">
        <v>182</v>
      </c>
      <c r="F169" s="316">
        <f ca="1">VLOOKUP(A169,'Price setting'!E$319:I$336,COLUMN()-1,FALSE)+VLOOKUP(A167,'Price setting'!$E$89:$I$106,COLUMN()-1,FALSE)</f>
        <v>30.205131779215062</v>
      </c>
      <c r="G169" s="317"/>
      <c r="H169" s="317"/>
      <c r="I169" s="317"/>
      <c r="J169" s="317"/>
      <c r="K169" s="317"/>
      <c r="L169" s="323"/>
    </row>
    <row r="170" spans="1:12" s="53" customFormat="1">
      <c r="A170" s="60" t="str">
        <f t="shared" si="6"/>
        <v>NWT</v>
      </c>
      <c r="B170" s="355" t="s">
        <v>197</v>
      </c>
      <c r="C170" s="50" t="s">
        <v>188</v>
      </c>
      <c r="D170" s="168" t="s">
        <v>75</v>
      </c>
      <c r="E170" s="169" t="s">
        <v>182</v>
      </c>
      <c r="F170" s="316">
        <f ca="1">(VLOOKUP(A170,'Price setting'!E$384:I$401,COLUMN()-1,FALSE)+VLOOKUP(A167,'Price setting'!$E$89:$I$106,COLUMN()-1,FALSE))*+Input!$H$441</f>
        <v>42.935437752445281</v>
      </c>
      <c r="G170" s="317"/>
      <c r="H170" s="317"/>
      <c r="I170" s="317"/>
      <c r="J170" s="317"/>
      <c r="K170" s="317"/>
      <c r="L170" s="323"/>
    </row>
    <row r="171" spans="1:12" s="53" customFormat="1">
      <c r="A171" s="60" t="str">
        <f t="shared" si="6"/>
        <v>NWT</v>
      </c>
      <c r="B171" s="355" t="s">
        <v>198</v>
      </c>
      <c r="C171" s="50" t="s">
        <v>189</v>
      </c>
      <c r="D171" s="168" t="s">
        <v>75</v>
      </c>
      <c r="E171" s="169" t="s">
        <v>182</v>
      </c>
      <c r="F171" s="316">
        <f ca="1">VLOOKUP(A171,'Price setting'!E$89:I$106,COLUMN()-1,FALSE)*+Input!$H$441</f>
        <v>37.629368684609481</v>
      </c>
      <c r="G171" s="317"/>
      <c r="H171" s="317"/>
      <c r="I171" s="317"/>
      <c r="J171" s="317"/>
      <c r="K171" s="317"/>
      <c r="L171" s="323"/>
    </row>
    <row r="172" spans="1:12" s="53" customFormat="1">
      <c r="A172" s="60" t="str">
        <f t="shared" si="6"/>
        <v>NWT</v>
      </c>
      <c r="B172" s="356" t="s">
        <v>204</v>
      </c>
      <c r="C172" s="50" t="s">
        <v>203</v>
      </c>
      <c r="D172" s="168" t="s">
        <v>75</v>
      </c>
      <c r="E172" s="169" t="s">
        <v>182</v>
      </c>
      <c r="F172" s="316"/>
      <c r="G172" s="317"/>
      <c r="H172" s="317">
        <f ca="1">VLOOKUP($A172,'Price setting'!$E$213:$O$230,COLUMN()-1,FALSE)</f>
        <v>29.854776521890596</v>
      </c>
      <c r="I172" s="317">
        <f ca="1">VLOOKUP($A172,'Price setting'!$E$213:$O$230,COLUMN()-1,FALSE)</f>
        <v>28.30893186884477</v>
      </c>
      <c r="J172" s="317">
        <f ca="1">VLOOKUP($A172,'Price setting'!$E$213:$O$230,COLUMN()-1,FALSE)</f>
        <v>26.539104411740741</v>
      </c>
      <c r="K172" s="317">
        <f ca="1">VLOOKUP($A172,'Price setting'!$E$213:$O$230,COLUMN()-1,FALSE)</f>
        <v>25.114029153459995</v>
      </c>
      <c r="L172" s="323">
        <f ca="1">VLOOKUP($A172,'Price setting'!$E$213:$O$230,COLUMN()-1,FALSE)</f>
        <v>25.555839322333448</v>
      </c>
    </row>
    <row r="173" spans="1:12" s="53" customFormat="1">
      <c r="A173" s="60" t="str">
        <f t="shared" si="6"/>
        <v>NWT</v>
      </c>
      <c r="B173" s="355" t="s">
        <v>199</v>
      </c>
      <c r="C173" s="50" t="s">
        <v>190</v>
      </c>
      <c r="D173" s="168" t="s">
        <v>75</v>
      </c>
      <c r="E173" s="169" t="s">
        <v>182</v>
      </c>
      <c r="F173" s="316"/>
      <c r="G173" s="317"/>
      <c r="H173" s="317">
        <f ca="1">VLOOKUP($A172,'Price setting'!$E$213:$O$230,COLUMN()-1,FALSE)*+Input!$H$441</f>
        <v>38.811209478457776</v>
      </c>
      <c r="I173" s="317">
        <f ca="1">VLOOKUP($A172,'Price setting'!$E$213:$O$230,COLUMN()-1,FALSE)*+Input!$H$441</f>
        <v>36.801611429498202</v>
      </c>
      <c r="J173" s="317">
        <f ca="1">VLOOKUP($A172,'Price setting'!$E$213:$O$230,COLUMN()-1,FALSE)*+Input!$H$441</f>
        <v>34.500835735262967</v>
      </c>
      <c r="K173" s="317">
        <f ca="1">VLOOKUP($A172,'Price setting'!$E$213:$O$230,COLUMN()-1,FALSE)*+Input!$H$441</f>
        <v>32.648237899497992</v>
      </c>
      <c r="L173" s="323">
        <f ca="1">VLOOKUP($A172,'Price setting'!$E$213:$O$230,COLUMN()-1,FALSE)*+Input!$H$441</f>
        <v>33.222591119033481</v>
      </c>
    </row>
    <row r="174" spans="1:12" s="53" customFormat="1">
      <c r="A174" s="60" t="str">
        <f t="shared" si="6"/>
        <v>NWT</v>
      </c>
      <c r="B174" s="355" t="s">
        <v>200</v>
      </c>
      <c r="C174" s="50" t="s">
        <v>191</v>
      </c>
      <c r="D174" s="168" t="s">
        <v>75</v>
      </c>
      <c r="E174" s="169" t="s">
        <v>182</v>
      </c>
      <c r="F174" s="316"/>
      <c r="G174" s="317"/>
      <c r="H174" s="317">
        <f ca="1">VLOOKUP($A174,'Price setting'!$E$278:$O$295,COLUMN()-1,FALSE)+VLOOKUP($A172,'Price setting'!$E$213:$O$230,COLUMN()-1,FALSE)</f>
        <v>35.64569851375316</v>
      </c>
      <c r="I174" s="317">
        <f ca="1">VLOOKUP($A174,'Price setting'!$E$278:$O$295,COLUMN()-1,FALSE)+VLOOKUP($A172,'Price setting'!$E$213:$O$230,COLUMN()-1,FALSE)</f>
        <v>34.099853860707334</v>
      </c>
      <c r="J174" s="317">
        <f ca="1">VLOOKUP($A174,'Price setting'!$E$278:$O$295,COLUMN()-1,FALSE)+VLOOKUP($A172,'Price setting'!$E$213:$O$230,COLUMN()-1,FALSE)</f>
        <v>32.262474241766519</v>
      </c>
      <c r="K174" s="317">
        <f ca="1">VLOOKUP($A174,'Price setting'!$E$278:$O$295,COLUMN()-1,FALSE)+VLOOKUP($A172,'Price setting'!$E$213:$O$230,COLUMN()-1,FALSE)</f>
        <v>30.213467348744018</v>
      </c>
      <c r="L174" s="323">
        <f ca="1">VLOOKUP($A174,'Price setting'!$E$278:$O$295,COLUMN()-1,FALSE)+VLOOKUP($A172,'Price setting'!$E$213:$O$230,COLUMN()-1,FALSE)</f>
        <v>30.246201625486385</v>
      </c>
    </row>
    <row r="175" spans="1:12" s="53" customFormat="1">
      <c r="A175" s="60" t="str">
        <f t="shared" si="6"/>
        <v>NWT</v>
      </c>
      <c r="B175" s="355" t="s">
        <v>201</v>
      </c>
      <c r="C175" s="50" t="s">
        <v>192</v>
      </c>
      <c r="D175" s="168" t="s">
        <v>75</v>
      </c>
      <c r="E175" s="169" t="s">
        <v>182</v>
      </c>
      <c r="F175" s="316"/>
      <c r="G175" s="317"/>
      <c r="H175" s="317">
        <f ca="1">VLOOKUP($A175,'Price setting'!$E$343:$O$360,COLUMN()-1,FALSE)+VLOOKUP($A172,'Price setting'!$E$213:$O$230,COLUMN()-1,FALSE)</f>
        <v>33.841706827322461</v>
      </c>
      <c r="I175" s="317">
        <f ca="1">VLOOKUP($A175,'Price setting'!$E$343:$O$360,COLUMN()-1,FALSE)+VLOOKUP($A172,'Price setting'!$E$213:$O$230,COLUMN()-1,FALSE)</f>
        <v>32.243418822495833</v>
      </c>
      <c r="J175" s="317">
        <f ca="1">VLOOKUP($A175,'Price setting'!$E$343:$O$360,COLUMN()-1,FALSE)+VLOOKUP($A172,'Price setting'!$E$213:$O$230,COLUMN()-1,FALSE)</f>
        <v>30.381870363549993</v>
      </c>
      <c r="K175" s="317">
        <f ca="1">VLOOKUP($A175,'Price setting'!$E$343:$O$360,COLUMN()-1,FALSE)+VLOOKUP($A172,'Price setting'!$E$213:$O$230,COLUMN()-1,FALSE)</f>
        <v>28.86544878418815</v>
      </c>
      <c r="L175" s="323">
        <f ca="1">VLOOKUP($A175,'Price setting'!$E$343:$O$360,COLUMN()-1,FALSE)+VLOOKUP($A172,'Price setting'!$E$213:$O$230,COLUMN()-1,FALSE)</f>
        <v>29.403801334660191</v>
      </c>
    </row>
    <row r="176" spans="1:12" s="53" customFormat="1">
      <c r="A176" s="60" t="str">
        <f t="shared" si="6"/>
        <v>NWT</v>
      </c>
      <c r="B176" s="355" t="s">
        <v>202</v>
      </c>
      <c r="C176" s="50" t="s">
        <v>193</v>
      </c>
      <c r="D176" s="168" t="s">
        <v>75</v>
      </c>
      <c r="E176" s="169" t="s">
        <v>182</v>
      </c>
      <c r="F176" s="316"/>
      <c r="G176" s="317"/>
      <c r="H176" s="317">
        <f ca="1">(VLOOKUP($A176,'Price setting'!$E$408:$O$425,COLUMN()-1,FALSE)+VLOOKUP($A172,'Price setting'!$E$213:$O$230,COLUMN()-1,FALSE))*+Input!$H$441</f>
        <v>45.161499879340987</v>
      </c>
      <c r="I176" s="317">
        <f ca="1">(VLOOKUP($A176,'Price setting'!$E$408:$O$425,COLUMN()-1,FALSE)+VLOOKUP($A172,'Price setting'!$E$213:$O$230,COLUMN()-1,FALSE))*+Input!$H$441</f>
        <v>43.151901830381419</v>
      </c>
      <c r="J176" s="317">
        <f ca="1">(VLOOKUP($A176,'Price setting'!$E$408:$O$425,COLUMN()-1,FALSE)+VLOOKUP($A172,'Price setting'!$E$213:$O$230,COLUMN()-1,FALSE))*+Input!$H$441</f>
        <v>40.227931426496035</v>
      </c>
      <c r="K176" s="317">
        <f ca="1">(VLOOKUP($A176,'Price setting'!$E$408:$O$425,COLUMN()-1,FALSE)+VLOOKUP($A172,'Price setting'!$E$213:$O$230,COLUMN()-1,FALSE))*+Input!$H$441</f>
        <v>37.758293338775381</v>
      </c>
      <c r="L176" s="323">
        <f ca="1">(VLOOKUP($A176,'Price setting'!$E$408:$O$425,COLUMN()-1,FALSE)+VLOOKUP($A172,'Price setting'!$E$213:$O$230,COLUMN()-1,FALSE))*+Input!$H$441</f>
        <v>37.923388953516735</v>
      </c>
    </row>
    <row r="177" spans="1:12" s="53" customFormat="1">
      <c r="A177" s="60" t="str">
        <f t="shared" si="6"/>
        <v>NWT</v>
      </c>
      <c r="B177" s="355" t="s">
        <v>208</v>
      </c>
      <c r="C177" s="21" t="s">
        <v>205</v>
      </c>
      <c r="D177" s="168" t="s">
        <v>75</v>
      </c>
      <c r="E177" s="169" t="s">
        <v>182</v>
      </c>
      <c r="F177" s="262">
        <f ca="1">VLOOKUP($A177,'Price setting'!$E$49:$I$66,COLUMN()-1,FALSE)</f>
        <v>0.50976237183687023</v>
      </c>
      <c r="G177" s="263"/>
      <c r="H177" s="263"/>
      <c r="I177" s="263"/>
      <c r="J177" s="263"/>
      <c r="K177" s="263"/>
      <c r="L177" s="264"/>
    </row>
    <row r="178" spans="1:12" s="53" customFormat="1">
      <c r="A178" s="60" t="str">
        <f t="shared" si="6"/>
        <v>NWT</v>
      </c>
      <c r="B178" s="355" t="s">
        <v>206</v>
      </c>
      <c r="C178" s="21" t="s">
        <v>132</v>
      </c>
      <c r="D178" s="168" t="s">
        <v>74</v>
      </c>
      <c r="E178" s="169" t="s">
        <v>182</v>
      </c>
      <c r="F178" s="262">
        <f ca="1">'Used inputs'!I109</f>
        <v>98.814844019894181</v>
      </c>
      <c r="G178" s="263">
        <f>'Used inputs'!J109</f>
        <v>98.899036461398794</v>
      </c>
      <c r="H178" s="263">
        <f ca="1">'Used inputs'!K109</f>
        <v>101.42004208699682</v>
      </c>
      <c r="I178" s="263">
        <f ca="1">'Used inputs'!L109</f>
        <v>104.24687705707251</v>
      </c>
      <c r="J178" s="263">
        <f ca="1">'Used inputs'!M109</f>
        <v>105.9019377297992</v>
      </c>
      <c r="K178" s="263">
        <f ca="1">'Used inputs'!N109</f>
        <v>103.61351661468181</v>
      </c>
      <c r="L178" s="264">
        <f ca="1">'Used inputs'!O109</f>
        <v>104.02979871323124</v>
      </c>
    </row>
    <row r="179" spans="1:12" s="53" customFormat="1">
      <c r="A179" s="60" t="str">
        <f t="shared" si="6"/>
        <v>NWT</v>
      </c>
      <c r="B179" s="355" t="s">
        <v>207</v>
      </c>
      <c r="C179" s="21" t="s">
        <v>157</v>
      </c>
      <c r="D179" s="168" t="s">
        <v>74</v>
      </c>
      <c r="E179" s="169" t="s">
        <v>182</v>
      </c>
      <c r="F179" s="262">
        <f>'Used inputs'!I122</f>
        <v>19.96047148942958</v>
      </c>
      <c r="G179" s="263">
        <f>'Used inputs'!J122</f>
        <v>21.365775681752314</v>
      </c>
      <c r="H179" s="263">
        <f>'Used inputs'!K122</f>
        <v>21.263261769110137</v>
      </c>
      <c r="I179" s="263">
        <f>'Used inputs'!L122</f>
        <v>21.263261769110137</v>
      </c>
      <c r="J179" s="263">
        <f>'Used inputs'!M122</f>
        <v>21.263261769110137</v>
      </c>
      <c r="K179" s="263">
        <f>'Used inputs'!N122</f>
        <v>21.263261769110137</v>
      </c>
      <c r="L179" s="264">
        <f>'Used inputs'!O122</f>
        <v>21.263261769110137</v>
      </c>
    </row>
    <row r="180" spans="1:12" s="53" customFormat="1">
      <c r="A180" s="60" t="s">
        <v>51</v>
      </c>
      <c r="B180" s="355" t="s">
        <v>162</v>
      </c>
      <c r="C180" s="59" t="s">
        <v>175</v>
      </c>
      <c r="D180" s="169" t="s">
        <v>74</v>
      </c>
      <c r="E180" s="169" t="s">
        <v>182</v>
      </c>
      <c r="F180" s="262">
        <f>VLOOKUP($A180,'Price setting'!$E$448:$O$466,COLUMN()-1,FALSE)</f>
        <v>0</v>
      </c>
      <c r="G180" s="263">
        <f>VLOOKUP($A180,'Price setting'!$E$448:$O$466,COLUMN()-1,FALSE)</f>
        <v>0</v>
      </c>
      <c r="H180" s="263">
        <f ca="1">VLOOKUP($A180,'Price setting'!$E$448:$O$466,COLUMN()-1,FALSE)</f>
        <v>29.401890538933309</v>
      </c>
      <c r="I180" s="263">
        <f ca="1">VLOOKUP($A180,'Price setting'!$E$448:$O$466,COLUMN()-1,FALSE)</f>
        <v>30.426535909715533</v>
      </c>
      <c r="J180" s="263">
        <f ca="1">VLOOKUP($A180,'Price setting'!$E$448:$O$466,COLUMN()-1,FALSE)</f>
        <v>31.60795531344084</v>
      </c>
      <c r="K180" s="263">
        <f ca="1">VLOOKUP($A180,'Price setting'!$E$448:$O$466,COLUMN()-1,FALSE)</f>
        <v>32.635464309549022</v>
      </c>
      <c r="L180" s="264">
        <f ca="1">VLOOKUP($A180,'Price setting'!$E$448:$O$466,COLUMN()-1,FALSE)</f>
        <v>33.818081814128597</v>
      </c>
    </row>
    <row r="181" spans="1:12" s="53" customFormat="1">
      <c r="A181" s="60" t="s">
        <v>51</v>
      </c>
      <c r="B181" s="355" t="s">
        <v>163</v>
      </c>
      <c r="C181" s="59" t="s">
        <v>118</v>
      </c>
      <c r="D181" s="168" t="s">
        <v>75</v>
      </c>
      <c r="E181" s="169" t="s">
        <v>182</v>
      </c>
      <c r="F181" s="316">
        <f>VLOOKUP($A181,'Price setting'!$E$213:$O$231,COLUMN()-1,FALSE)</f>
        <v>0</v>
      </c>
      <c r="G181" s="317">
        <f>VLOOKUP($A181,'Price setting'!$E$213:$O$231,COLUMN()-1,FALSE)</f>
        <v>0</v>
      </c>
      <c r="H181" s="317">
        <f ca="1">VLOOKUP($A181,'Price setting'!$E$213:$O$231,COLUMN()-1,FALSE)</f>
        <v>19.576183166731937</v>
      </c>
      <c r="I181" s="317">
        <f ca="1">VLOOKUP($A181,'Price setting'!$E$213:$O$231,COLUMN()-1,FALSE)</f>
        <v>20.020489303953717</v>
      </c>
      <c r="J181" s="317">
        <f ca="1">VLOOKUP($A181,'Price setting'!$E$213:$O$231,COLUMN()-1,FALSE)</f>
        <v>20.604249886212031</v>
      </c>
      <c r="K181" s="317">
        <f ca="1">VLOOKUP($A181,'Price setting'!$E$213:$O$231,COLUMN()-1,FALSE)</f>
        <v>21.09838573485543</v>
      </c>
      <c r="L181" s="323">
        <f ca="1">VLOOKUP($A181,'Price setting'!$E$213:$O$231,COLUMN()-1,FALSE)</f>
        <v>21.593989148119011</v>
      </c>
    </row>
    <row r="182" spans="1:12" s="53" customFormat="1">
      <c r="A182" s="60" t="s">
        <v>51</v>
      </c>
      <c r="B182" s="355" t="s">
        <v>164</v>
      </c>
      <c r="C182" s="59" t="s">
        <v>119</v>
      </c>
      <c r="D182" s="168" t="s">
        <v>75</v>
      </c>
      <c r="E182" s="169" t="s">
        <v>182</v>
      </c>
      <c r="F182" s="316">
        <f>VLOOKUP($A182,'Price setting'!$E$278:$O$296,COLUMN()-1,FALSE)+VLOOKUP($A181,'Price setting'!$E$213:$O$231,COLUMN()-1,FALSE)</f>
        <v>0</v>
      </c>
      <c r="G182" s="317">
        <f>VLOOKUP($A182,'Price setting'!$E$278:$O$296,COLUMN()-1,FALSE)+VLOOKUP($A181,'Price setting'!$E$213:$O$231,COLUMN()-1,FALSE)</f>
        <v>0</v>
      </c>
      <c r="H182" s="317">
        <f ca="1">VLOOKUP($A182,'Price setting'!$E$278:$O$296,COLUMN()-1,FALSE)+VLOOKUP($A181,'Price setting'!$E$213:$O$231,COLUMN()-1,FALSE)</f>
        <v>24.452182881185223</v>
      </c>
      <c r="I182" s="317">
        <f ca="1">VLOOKUP($A182,'Price setting'!$E$278:$O$296,COLUMN()-1,FALSE)+VLOOKUP($A181,'Price setting'!$E$213:$O$231,COLUMN()-1,FALSE)</f>
        <v>24.896489018407003</v>
      </c>
      <c r="J182" s="317">
        <f ca="1">VLOOKUP($A182,'Price setting'!$E$278:$O$296,COLUMN()-1,FALSE)+VLOOKUP($A181,'Price setting'!$E$213:$O$231,COLUMN()-1,FALSE)</f>
        <v>25.480249600665317</v>
      </c>
      <c r="K182" s="317">
        <f ca="1">VLOOKUP($A182,'Price setting'!$E$278:$O$296,COLUMN()-1,FALSE)+VLOOKUP($A181,'Price setting'!$E$213:$O$231,COLUMN()-1,FALSE)</f>
        <v>25.974385449308713</v>
      </c>
      <c r="L182" s="323">
        <f ca="1">VLOOKUP($A182,'Price setting'!$E$278:$O$296,COLUMN()-1,FALSE)+VLOOKUP($A181,'Price setting'!$E$213:$O$231,COLUMN()-1,FALSE)</f>
        <v>26.469988862572293</v>
      </c>
    </row>
    <row r="183" spans="1:12" s="53" customFormat="1">
      <c r="A183" s="60" t="s">
        <v>51</v>
      </c>
      <c r="B183" s="355" t="s">
        <v>165</v>
      </c>
      <c r="C183" s="59" t="s">
        <v>120</v>
      </c>
      <c r="D183" s="168" t="s">
        <v>75</v>
      </c>
      <c r="E183" s="169" t="s">
        <v>182</v>
      </c>
      <c r="F183" s="316">
        <f>VLOOKUP($A183,'Price setting'!$E$343:$O$361,COLUMN()-1,FALSE)+VLOOKUP($A181,'Price setting'!$E$213:$O$231,COLUMN()-1,FALSE)</f>
        <v>0</v>
      </c>
      <c r="G183" s="317">
        <f>VLOOKUP($A183,'Price setting'!$E$343:$O$361,COLUMN()-1,FALSE)+VLOOKUP($A181,'Price setting'!$E$213:$O$231,COLUMN()-1,FALSE)</f>
        <v>0</v>
      </c>
      <c r="H183" s="317">
        <f ca="1">VLOOKUP($A183,'Price setting'!$E$343:$O$361,COLUMN()-1,FALSE)+VLOOKUP($A181,'Price setting'!$E$213:$O$231,COLUMN()-1,FALSE)</f>
        <v>24.250419366728206</v>
      </c>
      <c r="I183" s="317">
        <f ca="1">VLOOKUP($A183,'Price setting'!$E$343:$O$361,COLUMN()-1,FALSE)+VLOOKUP($A181,'Price setting'!$E$213:$O$231,COLUMN()-1,FALSE)</f>
        <v>24.494652415527391</v>
      </c>
      <c r="J183" s="317">
        <f ca="1">VLOOKUP($A183,'Price setting'!$E$343:$O$361,COLUMN()-1,FALSE)+VLOOKUP($A181,'Price setting'!$E$213:$O$231,COLUMN()-1,FALSE)</f>
        <v>24.878339909363106</v>
      </c>
      <c r="K183" s="317">
        <f ca="1">VLOOKUP($A183,'Price setting'!$E$343:$O$361,COLUMN()-1,FALSE)+VLOOKUP($A181,'Price setting'!$E$213:$O$231,COLUMN()-1,FALSE)</f>
        <v>25.17240266958391</v>
      </c>
      <c r="L183" s="323">
        <f ca="1">VLOOKUP($A183,'Price setting'!$E$343:$O$361,COLUMN()-1,FALSE)+VLOOKUP($A181,'Price setting'!$E$213:$O$231,COLUMN()-1,FALSE)</f>
        <v>25.668006082847491</v>
      </c>
    </row>
    <row r="184" spans="1:12" s="53" customFormat="1">
      <c r="A184" s="60" t="s">
        <v>51</v>
      </c>
      <c r="B184" s="355" t="s">
        <v>166</v>
      </c>
      <c r="C184" s="59" t="s">
        <v>124</v>
      </c>
      <c r="D184" s="168" t="s">
        <v>75</v>
      </c>
      <c r="E184" s="169" t="s">
        <v>182</v>
      </c>
      <c r="F184" s="316">
        <f>VLOOKUP($A184,'Price setting'!$E$408:$O$426,COLUMN()-1,FALSE)+VLOOKUP($A181,'Price setting'!$E$213:$O$231,COLUMN()-1,FALSE)</f>
        <v>0</v>
      </c>
      <c r="G184" s="317">
        <f>VLOOKUP($A184,'Price setting'!$E$408:$O$426,COLUMN()-1,FALSE)+VLOOKUP($A181,'Price setting'!$E$213:$O$231,COLUMN()-1,FALSE)</f>
        <v>0</v>
      </c>
      <c r="H184" s="317">
        <f ca="1">VLOOKUP($A184,'Price setting'!$E$408:$O$426,COLUMN()-1,FALSE)+VLOOKUP($A181,'Price setting'!$E$213:$O$231,COLUMN()-1,FALSE)</f>
        <v>24.988501742217611</v>
      </c>
      <c r="I184" s="317">
        <f ca="1">VLOOKUP($A184,'Price setting'!$E$408:$O$426,COLUMN()-1,FALSE)+VLOOKUP($A181,'Price setting'!$E$213:$O$231,COLUMN()-1,FALSE)</f>
        <v>25.256981277580891</v>
      </c>
      <c r="J184" s="317">
        <f ca="1">VLOOKUP($A184,'Price setting'!$E$408:$O$426,COLUMN()-1,FALSE)+VLOOKUP($A181,'Price setting'!$E$213:$O$231,COLUMN()-1,FALSE)</f>
        <v>25.664915257980702</v>
      </c>
      <c r="K184" s="317">
        <f ca="1">VLOOKUP($A184,'Price setting'!$E$408:$O$426,COLUMN()-1,FALSE)+VLOOKUP($A181,'Price setting'!$E$213:$O$231,COLUMN()-1,FALSE)</f>
        <v>25.983224504765598</v>
      </c>
      <c r="L184" s="323">
        <f ca="1">VLOOKUP($A184,'Price setting'!$E$408:$O$426,COLUMN()-1,FALSE)+VLOOKUP($A181,'Price setting'!$E$213:$O$231,COLUMN()-1,FALSE)</f>
        <v>26.478827918029179</v>
      </c>
    </row>
    <row r="185" spans="1:12" s="53" customFormat="1">
      <c r="A185" s="60" t="s">
        <v>51</v>
      </c>
      <c r="B185" s="355" t="s">
        <v>167</v>
      </c>
      <c r="C185" s="59" t="s">
        <v>122</v>
      </c>
      <c r="D185" s="170" t="s">
        <v>88</v>
      </c>
      <c r="E185" s="169" t="s">
        <v>182</v>
      </c>
      <c r="F185" s="262">
        <f>INDEX(WSX,ROW(Input!B$23)-5,COLUMN()+1)*Input!$H$441</f>
        <v>273.68509999999998</v>
      </c>
      <c r="G185" s="263">
        <f>INDEX(WSX,ROW(Input!C$23)-5,COLUMN()+1)*Input!$H$441</f>
        <v>260.83038219091361</v>
      </c>
      <c r="H185" s="263">
        <f>INDEX(WSX,ROW(Input!D$23)-5,COLUMN()+1)*Input!$H$441</f>
        <v>224.88310000000001</v>
      </c>
      <c r="I185" s="263">
        <f>INDEX(WSX,ROW(Input!E$23)-5,COLUMN()+1)*Input!$H$441</f>
        <v>193.29310000000001</v>
      </c>
      <c r="J185" s="263">
        <f>INDEX(WSX,ROW(Input!F$23)-5,COLUMN()+1)*Input!$H$441</f>
        <v>165.94110000000001</v>
      </c>
      <c r="K185" s="263">
        <f>INDEX(WSX,ROW(Input!G$23)-5,COLUMN()+1)*Input!$H$441</f>
        <v>142.23820000000001</v>
      </c>
      <c r="L185" s="264">
        <f>INDEX(WSX,ROW(Input!H$23)-5,COLUMN()+1)*Input!$H$441</f>
        <v>121.67870000000001</v>
      </c>
    </row>
    <row r="186" spans="1:12" s="53" customFormat="1">
      <c r="A186" s="60" t="s">
        <v>51</v>
      </c>
      <c r="B186" s="355" t="s">
        <v>168</v>
      </c>
      <c r="C186" s="59" t="s">
        <v>123</v>
      </c>
      <c r="D186" s="170" t="s">
        <v>88</v>
      </c>
      <c r="E186" s="169" t="s">
        <v>182</v>
      </c>
      <c r="F186" s="262">
        <f>+INDEX(WSX,ROW(Input!B$24)-5,COLUMN()+1)*Input!$H$441</f>
        <v>364.34320000000002</v>
      </c>
      <c r="G186" s="263">
        <f>+INDEX(WSX,ROW(Input!C$24)-5,COLUMN()+1)*Input!$H$441</f>
        <v>383.24291780908641</v>
      </c>
      <c r="H186" s="263">
        <f>+INDEX(WSX,ROW(Input!D$24)-5,COLUMN()+1)*Input!$H$441</f>
        <v>426.25700000000001</v>
      </c>
      <c r="I186" s="263">
        <f>+INDEX(WSX,ROW(Input!E$24)-5,COLUMN()+1)*Input!$H$441</f>
        <v>464.08700000000005</v>
      </c>
      <c r="J186" s="263">
        <f>+INDEX(WSX,ROW(Input!F$24)-5,COLUMN()+1)*Input!$H$441</f>
        <v>497.67899999999997</v>
      </c>
      <c r="K186" s="263">
        <f>+INDEX(WSX,ROW(Input!G$24)-5,COLUMN()+1)*Input!$H$441</f>
        <v>527.62189999999998</v>
      </c>
      <c r="L186" s="264">
        <f>+INDEX(WSX,ROW(Input!H$24)-5,COLUMN()+1)*Input!$H$441</f>
        <v>554.42140000000006</v>
      </c>
    </row>
    <row r="187" spans="1:12" s="53" customFormat="1">
      <c r="A187" s="60" t="s">
        <v>51</v>
      </c>
      <c r="B187" s="355" t="s">
        <v>169</v>
      </c>
      <c r="C187" s="59" t="s">
        <v>139</v>
      </c>
      <c r="D187" s="170" t="s">
        <v>74</v>
      </c>
      <c r="E187" s="169" t="s">
        <v>182</v>
      </c>
      <c r="F187" s="262">
        <f>VLOOKUP($A187,'Price setting'!$E$488:$O$506,COLUMN()-1,FALSE)</f>
        <v>0</v>
      </c>
      <c r="G187" s="263">
        <f>VLOOKUP($A187,'Price setting'!$E$488:$O$506,COLUMN()-1,FALSE)</f>
        <v>0</v>
      </c>
      <c r="H187" s="263">
        <f ca="1">VLOOKUP($A187,'Price setting'!$E$488:$O$506,COLUMN()-1,FALSE)</f>
        <v>0.49635807387573916</v>
      </c>
      <c r="I187" s="263">
        <f ca="1">VLOOKUP($A187,'Price setting'!$E$488:$O$506,COLUMN()-1,FALSE)</f>
        <v>0.47000210179617852</v>
      </c>
      <c r="J187" s="263">
        <f ca="1">VLOOKUP($A187,'Price setting'!$E$488:$O$506,COLUMN()-1,FALSE)</f>
        <v>0.59329664812194283</v>
      </c>
      <c r="K187" s="263">
        <f ca="1">VLOOKUP($A187,'Price setting'!$E$488:$O$506,COLUMN()-1,FALSE)</f>
        <v>0.57213809103597535</v>
      </c>
      <c r="L187" s="264">
        <f ca="1">VLOOKUP($A187,'Price setting'!$E$488:$O$506,COLUMN()-1,FALSE)</f>
        <v>0.52725936934663575</v>
      </c>
    </row>
    <row r="188" spans="1:12" s="53" customFormat="1">
      <c r="A188" s="60" t="str">
        <f>+A187</f>
        <v>WSX</v>
      </c>
      <c r="B188" s="355" t="s">
        <v>170</v>
      </c>
      <c r="C188" s="59" t="s">
        <v>67</v>
      </c>
      <c r="D188" s="170" t="s">
        <v>171</v>
      </c>
      <c r="E188" s="169" t="s">
        <v>182</v>
      </c>
      <c r="F188" s="320">
        <f>+Input!$H$441</f>
        <v>1.3</v>
      </c>
      <c r="G188" s="321">
        <f>+Input!$H$441</f>
        <v>1.3</v>
      </c>
      <c r="H188" s="321">
        <f>+Input!$H$441</f>
        <v>1.3</v>
      </c>
      <c r="I188" s="321">
        <f>+Input!$H$441</f>
        <v>1.3</v>
      </c>
      <c r="J188" s="321">
        <f>+Input!$H$441</f>
        <v>1.3</v>
      </c>
      <c r="K188" s="321">
        <f>+Input!$H$441</f>
        <v>1.3</v>
      </c>
      <c r="L188" s="322">
        <f>+Input!$H$441</f>
        <v>1.3</v>
      </c>
    </row>
    <row r="189" spans="1:12" s="53" customFormat="1">
      <c r="A189" s="60" t="str">
        <f t="shared" ref="A189:A201" si="7">+A188</f>
        <v>WSX</v>
      </c>
      <c r="B189" s="355" t="s">
        <v>194</v>
      </c>
      <c r="C189" s="50" t="s">
        <v>185</v>
      </c>
      <c r="D189" s="168" t="s">
        <v>75</v>
      </c>
      <c r="E189" s="169" t="s">
        <v>182</v>
      </c>
      <c r="F189" s="316">
        <f ca="1">VLOOKUP(A189,'Price setting'!$E$89:$I$106,COLUMN()-1,FALSE)</f>
        <v>19.063371633673388</v>
      </c>
      <c r="G189" s="317"/>
      <c r="H189" s="317"/>
      <c r="I189" s="317"/>
      <c r="J189" s="317"/>
      <c r="K189" s="317"/>
      <c r="L189" s="323"/>
    </row>
    <row r="190" spans="1:12" s="53" customFormat="1">
      <c r="A190" s="60" t="str">
        <f t="shared" si="7"/>
        <v>WSX</v>
      </c>
      <c r="B190" s="355" t="s">
        <v>195</v>
      </c>
      <c r="C190" s="50" t="s">
        <v>186</v>
      </c>
      <c r="D190" s="168" t="s">
        <v>75</v>
      </c>
      <c r="E190" s="169" t="s">
        <v>182</v>
      </c>
      <c r="F190" s="316">
        <f ca="1">VLOOKUP(A190,'Price setting'!E$254:I$271,COLUMN()-1,FALSE)+VLOOKUP(A189,'Price setting'!$E$89:$I$106,COLUMN()-1,FALSE)</f>
        <v>23.93937134812667</v>
      </c>
      <c r="G190" s="317"/>
      <c r="H190" s="317"/>
      <c r="I190" s="317"/>
      <c r="J190" s="317"/>
      <c r="K190" s="317"/>
      <c r="L190" s="323"/>
    </row>
    <row r="191" spans="1:12" s="53" customFormat="1">
      <c r="A191" s="60" t="str">
        <f t="shared" si="7"/>
        <v>WSX</v>
      </c>
      <c r="B191" s="355" t="s">
        <v>196</v>
      </c>
      <c r="C191" s="50" t="s">
        <v>187</v>
      </c>
      <c r="D191" s="168" t="s">
        <v>75</v>
      </c>
      <c r="E191" s="169" t="s">
        <v>182</v>
      </c>
      <c r="F191" s="316">
        <f ca="1">VLOOKUP(A191,'Price setting'!E$319:I$336,COLUMN()-1,FALSE)+VLOOKUP(A189,'Price setting'!$E$89:$I$106,COLUMN()-1,FALSE)</f>
        <v>23.937680922092255</v>
      </c>
      <c r="G191" s="317"/>
      <c r="H191" s="317"/>
      <c r="I191" s="317"/>
      <c r="J191" s="317"/>
      <c r="K191" s="317"/>
      <c r="L191" s="323"/>
    </row>
    <row r="192" spans="1:12" s="53" customFormat="1">
      <c r="A192" s="60" t="str">
        <f t="shared" si="7"/>
        <v>WSX</v>
      </c>
      <c r="B192" s="355" t="s">
        <v>197</v>
      </c>
      <c r="C192" s="50" t="s">
        <v>188</v>
      </c>
      <c r="D192" s="168" t="s">
        <v>75</v>
      </c>
      <c r="E192" s="169" t="s">
        <v>182</v>
      </c>
      <c r="F192" s="316">
        <f ca="1">(VLOOKUP(A192,'Price setting'!E$384:I$401,COLUMN()-1,FALSE)+VLOOKUP(A189,'Price setting'!$E$89:$I$106,COLUMN()-1,FALSE))*+Input!$H$441</f>
        <v>32.046971854322834</v>
      </c>
      <c r="G192" s="317"/>
      <c r="H192" s="317"/>
      <c r="I192" s="317"/>
      <c r="J192" s="317"/>
      <c r="K192" s="317"/>
      <c r="L192" s="323"/>
    </row>
    <row r="193" spans="1:12" s="53" customFormat="1">
      <c r="A193" s="60" t="str">
        <f t="shared" si="7"/>
        <v>WSX</v>
      </c>
      <c r="B193" s="355" t="s">
        <v>198</v>
      </c>
      <c r="C193" s="50" t="s">
        <v>189</v>
      </c>
      <c r="D193" s="168" t="s">
        <v>75</v>
      </c>
      <c r="E193" s="169" t="s">
        <v>182</v>
      </c>
      <c r="F193" s="316">
        <f ca="1">VLOOKUP(A193,'Price setting'!E$89:I$106,COLUMN()-1,FALSE)*+Input!$H$441</f>
        <v>24.782383123775404</v>
      </c>
      <c r="G193" s="317"/>
      <c r="H193" s="317"/>
      <c r="I193" s="317"/>
      <c r="J193" s="317"/>
      <c r="K193" s="317"/>
      <c r="L193" s="323"/>
    </row>
    <row r="194" spans="1:12" s="53" customFormat="1">
      <c r="A194" s="60" t="str">
        <f t="shared" si="7"/>
        <v>WSX</v>
      </c>
      <c r="B194" s="356" t="s">
        <v>204</v>
      </c>
      <c r="C194" s="50" t="s">
        <v>203</v>
      </c>
      <c r="D194" s="168" t="s">
        <v>75</v>
      </c>
      <c r="E194" s="169" t="s">
        <v>182</v>
      </c>
      <c r="F194" s="316"/>
      <c r="G194" s="317"/>
      <c r="H194" s="317">
        <f ca="1">VLOOKUP($A194,'Price setting'!$E$213:$O$230,COLUMN()-1,FALSE)</f>
        <v>19.576183166731937</v>
      </c>
      <c r="I194" s="317">
        <f ca="1">VLOOKUP($A194,'Price setting'!$E$213:$O$230,COLUMN()-1,FALSE)</f>
        <v>20.020489303953717</v>
      </c>
      <c r="J194" s="317">
        <f ca="1">VLOOKUP($A194,'Price setting'!$E$213:$O$230,COLUMN()-1,FALSE)</f>
        <v>20.604249886212031</v>
      </c>
      <c r="K194" s="317">
        <f ca="1">VLOOKUP($A194,'Price setting'!$E$213:$O$230,COLUMN()-1,FALSE)</f>
        <v>21.09838573485543</v>
      </c>
      <c r="L194" s="323">
        <f ca="1">VLOOKUP($A194,'Price setting'!$E$213:$O$230,COLUMN()-1,FALSE)</f>
        <v>21.593989148119011</v>
      </c>
    </row>
    <row r="195" spans="1:12" s="53" customFormat="1" ht="12" customHeight="1">
      <c r="A195" s="60" t="str">
        <f t="shared" si="7"/>
        <v>WSX</v>
      </c>
      <c r="B195" s="355" t="s">
        <v>199</v>
      </c>
      <c r="C195" s="50" t="s">
        <v>190</v>
      </c>
      <c r="D195" s="168" t="s">
        <v>75</v>
      </c>
      <c r="E195" s="169" t="s">
        <v>182</v>
      </c>
      <c r="F195" s="316"/>
      <c r="G195" s="317"/>
      <c r="H195" s="317">
        <f ca="1">VLOOKUP($A194,'Price setting'!$E$213:$O$230,COLUMN()-1,FALSE)*+Input!$H$441</f>
        <v>25.44903811675152</v>
      </c>
      <c r="I195" s="317">
        <f ca="1">VLOOKUP($A194,'Price setting'!$E$213:$O$230,COLUMN()-1,FALSE)*+Input!$H$441</f>
        <v>26.026636095139832</v>
      </c>
      <c r="J195" s="317">
        <f ca="1">VLOOKUP($A194,'Price setting'!$E$213:$O$230,COLUMN()-1,FALSE)*+Input!$H$441</f>
        <v>26.785524852075643</v>
      </c>
      <c r="K195" s="317">
        <f ca="1">VLOOKUP($A194,'Price setting'!$E$213:$O$230,COLUMN()-1,FALSE)*+Input!$H$441</f>
        <v>27.42790145531206</v>
      </c>
      <c r="L195" s="323">
        <f ca="1">VLOOKUP($A194,'Price setting'!$E$213:$O$230,COLUMN()-1,FALSE)*+Input!$H$441</f>
        <v>28.072185892554714</v>
      </c>
    </row>
    <row r="196" spans="1:12" s="53" customFormat="1" ht="12" customHeight="1">
      <c r="A196" s="60" t="str">
        <f t="shared" si="7"/>
        <v>WSX</v>
      </c>
      <c r="B196" s="355" t="s">
        <v>200</v>
      </c>
      <c r="C196" s="50" t="s">
        <v>191</v>
      </c>
      <c r="D196" s="168" t="s">
        <v>75</v>
      </c>
      <c r="E196" s="169" t="s">
        <v>182</v>
      </c>
      <c r="F196" s="316"/>
      <c r="G196" s="317"/>
      <c r="H196" s="317">
        <f ca="1">VLOOKUP($A196,'Price setting'!$E$278:$O$295,COLUMN()-1,FALSE)+VLOOKUP($A194,'Price setting'!$E$213:$O$230,COLUMN()-1,FALSE)</f>
        <v>24.452182881185223</v>
      </c>
      <c r="I196" s="317">
        <f ca="1">VLOOKUP($A196,'Price setting'!$E$278:$O$295,COLUMN()-1,FALSE)+VLOOKUP($A194,'Price setting'!$E$213:$O$230,COLUMN()-1,FALSE)</f>
        <v>24.896489018407003</v>
      </c>
      <c r="J196" s="317">
        <f ca="1">VLOOKUP($A196,'Price setting'!$E$278:$O$295,COLUMN()-1,FALSE)+VLOOKUP($A194,'Price setting'!$E$213:$O$230,COLUMN()-1,FALSE)</f>
        <v>25.480249600665317</v>
      </c>
      <c r="K196" s="317">
        <f ca="1">VLOOKUP($A196,'Price setting'!$E$278:$O$295,COLUMN()-1,FALSE)+VLOOKUP($A194,'Price setting'!$E$213:$O$230,COLUMN()-1,FALSE)</f>
        <v>25.974385449308713</v>
      </c>
      <c r="L196" s="323">
        <f ca="1">VLOOKUP($A196,'Price setting'!$E$278:$O$295,COLUMN()-1,FALSE)+VLOOKUP($A194,'Price setting'!$E$213:$O$230,COLUMN()-1,FALSE)</f>
        <v>26.469988862572293</v>
      </c>
    </row>
    <row r="197" spans="1:12" s="53" customFormat="1" ht="12" customHeight="1">
      <c r="A197" s="60" t="str">
        <f t="shared" si="7"/>
        <v>WSX</v>
      </c>
      <c r="B197" s="355" t="s">
        <v>201</v>
      </c>
      <c r="C197" s="50" t="s">
        <v>192</v>
      </c>
      <c r="D197" s="168" t="s">
        <v>75</v>
      </c>
      <c r="E197" s="169" t="s">
        <v>182</v>
      </c>
      <c r="F197" s="316"/>
      <c r="G197" s="317"/>
      <c r="H197" s="317">
        <f ca="1">VLOOKUP($A197,'Price setting'!$E$343:$O$360,COLUMN()-1,FALSE)+VLOOKUP($A194,'Price setting'!$E$213:$O$230,COLUMN()-1,FALSE)</f>
        <v>24.250419366728206</v>
      </c>
      <c r="I197" s="317">
        <f ca="1">VLOOKUP($A197,'Price setting'!$E$343:$O$360,COLUMN()-1,FALSE)+VLOOKUP($A194,'Price setting'!$E$213:$O$230,COLUMN()-1,FALSE)</f>
        <v>24.494652415527391</v>
      </c>
      <c r="J197" s="317">
        <f ca="1">VLOOKUP($A197,'Price setting'!$E$343:$O$360,COLUMN()-1,FALSE)+VLOOKUP($A194,'Price setting'!$E$213:$O$230,COLUMN()-1,FALSE)</f>
        <v>24.878339909363106</v>
      </c>
      <c r="K197" s="317">
        <f ca="1">VLOOKUP($A197,'Price setting'!$E$343:$O$360,COLUMN()-1,FALSE)+VLOOKUP($A194,'Price setting'!$E$213:$O$230,COLUMN()-1,FALSE)</f>
        <v>25.17240266958391</v>
      </c>
      <c r="L197" s="323">
        <f ca="1">VLOOKUP($A197,'Price setting'!$E$343:$O$360,COLUMN()-1,FALSE)+VLOOKUP($A194,'Price setting'!$E$213:$O$230,COLUMN()-1,FALSE)</f>
        <v>25.668006082847491</v>
      </c>
    </row>
    <row r="198" spans="1:12" s="53" customFormat="1" ht="12" customHeight="1">
      <c r="A198" s="60" t="str">
        <f t="shared" si="7"/>
        <v>WSX</v>
      </c>
      <c r="B198" s="355" t="s">
        <v>202</v>
      </c>
      <c r="C198" s="50" t="s">
        <v>193</v>
      </c>
      <c r="D198" s="168" t="s">
        <v>75</v>
      </c>
      <c r="E198" s="169" t="s">
        <v>182</v>
      </c>
      <c r="F198" s="316"/>
      <c r="G198" s="317"/>
      <c r="H198" s="317">
        <f ca="1">(VLOOKUP($A198,'Price setting'!$E$408:$O$425,COLUMN()-1,FALSE)+VLOOKUP($A194,'Price setting'!$E$213:$O$230,COLUMN()-1,FALSE))*+Input!$H$441</f>
        <v>32.485052264882896</v>
      </c>
      <c r="I198" s="317">
        <f ca="1">(VLOOKUP($A198,'Price setting'!$E$408:$O$425,COLUMN()-1,FALSE)+VLOOKUP($A194,'Price setting'!$E$213:$O$230,COLUMN()-1,FALSE))*+Input!$H$441</f>
        <v>32.834075660855163</v>
      </c>
      <c r="J198" s="317">
        <f ca="1">(VLOOKUP($A198,'Price setting'!$E$408:$O$425,COLUMN()-1,FALSE)+VLOOKUP($A194,'Price setting'!$E$213:$O$230,COLUMN()-1,FALSE))*+Input!$H$441</f>
        <v>33.364389835374915</v>
      </c>
      <c r="K198" s="317">
        <f ca="1">(VLOOKUP($A198,'Price setting'!$E$408:$O$425,COLUMN()-1,FALSE)+VLOOKUP($A194,'Price setting'!$E$213:$O$230,COLUMN()-1,FALSE))*+Input!$H$441</f>
        <v>33.778191856195278</v>
      </c>
      <c r="L198" s="323">
        <f ca="1">(VLOOKUP($A198,'Price setting'!$E$408:$O$425,COLUMN()-1,FALSE)+VLOOKUP($A194,'Price setting'!$E$213:$O$230,COLUMN()-1,FALSE))*+Input!$H$441</f>
        <v>34.422476293437931</v>
      </c>
    </row>
    <row r="199" spans="1:12" s="53" customFormat="1" ht="12" customHeight="1">
      <c r="A199" s="60" t="str">
        <f t="shared" si="7"/>
        <v>WSX</v>
      </c>
      <c r="B199" s="355" t="s">
        <v>208</v>
      </c>
      <c r="C199" s="21" t="s">
        <v>205</v>
      </c>
      <c r="D199" s="168" t="s">
        <v>75</v>
      </c>
      <c r="E199" s="169" t="s">
        <v>182</v>
      </c>
      <c r="F199" s="262">
        <f ca="1">VLOOKUP($A199,'Price setting'!$E$49:$I$66,COLUMN()-1,FALSE)</f>
        <v>0.48186732647182223</v>
      </c>
      <c r="G199" s="263"/>
      <c r="H199" s="263"/>
      <c r="I199" s="263"/>
      <c r="J199" s="263"/>
      <c r="K199" s="263"/>
      <c r="L199" s="264"/>
    </row>
    <row r="200" spans="1:12" s="53" customFormat="1" ht="12" customHeight="1">
      <c r="A200" s="60" t="str">
        <f t="shared" si="7"/>
        <v>WSX</v>
      </c>
      <c r="B200" s="355" t="s">
        <v>206</v>
      </c>
      <c r="C200" s="21" t="s">
        <v>132</v>
      </c>
      <c r="D200" s="168" t="s">
        <v>74</v>
      </c>
      <c r="E200" s="169" t="s">
        <v>182</v>
      </c>
      <c r="F200" s="262">
        <f ca="1">'Used inputs'!I124</f>
        <v>26.500035090088808</v>
      </c>
      <c r="G200" s="263">
        <f>'Used inputs'!J124</f>
        <v>26.923035650206145</v>
      </c>
      <c r="H200" s="263">
        <f ca="1">'Used inputs'!K124</f>
        <v>27.518036438077957</v>
      </c>
      <c r="I200" s="263">
        <f ca="1">'Used inputs'!L124</f>
        <v>28.111037223301437</v>
      </c>
      <c r="J200" s="263">
        <f ca="1">'Used inputs'!M124</f>
        <v>28.688037987338415</v>
      </c>
      <c r="K200" s="263">
        <f ca="1">'Used inputs'!N124</f>
        <v>29.237038714299143</v>
      </c>
      <c r="L200" s="264">
        <f ca="1">'Used inputs'!O124</f>
        <v>29.760039406831837</v>
      </c>
    </row>
    <row r="201" spans="1:12" s="53" customFormat="1" ht="12" customHeight="1">
      <c r="A201" s="60" t="str">
        <f t="shared" si="7"/>
        <v>WSX</v>
      </c>
      <c r="B201" s="355" t="s">
        <v>207</v>
      </c>
      <c r="C201" s="21" t="s">
        <v>157</v>
      </c>
      <c r="D201" s="168" t="s">
        <v>74</v>
      </c>
      <c r="E201" s="169" t="s">
        <v>182</v>
      </c>
      <c r="F201" s="262">
        <f>'Used inputs'!I137</f>
        <v>0.45115259675464298</v>
      </c>
      <c r="G201" s="263">
        <f>'Used inputs'!J137</f>
        <v>0.5390007137191658</v>
      </c>
      <c r="H201" s="263">
        <f>'Used inputs'!K137</f>
        <v>1.5238729350550329</v>
      </c>
      <c r="I201" s="263">
        <f>'Used inputs'!L137</f>
        <v>2.1448729350550333</v>
      </c>
      <c r="J201" s="263">
        <f>'Used inputs'!M137</f>
        <v>2.8088729350550325</v>
      </c>
      <c r="K201" s="263">
        <f>'Used inputs'!N137</f>
        <v>3.514872935055033</v>
      </c>
      <c r="L201" s="264">
        <f>'Used inputs'!O137</f>
        <v>4.2618729350550328</v>
      </c>
    </row>
    <row r="202" spans="1:12" s="53" customFormat="1">
      <c r="A202" s="60" t="s">
        <v>52</v>
      </c>
      <c r="B202" s="355" t="s">
        <v>162</v>
      </c>
      <c r="C202" s="59" t="s">
        <v>175</v>
      </c>
      <c r="D202" s="169" t="s">
        <v>74</v>
      </c>
      <c r="E202" s="169" t="s">
        <v>182</v>
      </c>
      <c r="F202" s="262">
        <f>VLOOKUP($A202,'Price setting'!$E$448:$O$466,COLUMN()-1,FALSE)</f>
        <v>0</v>
      </c>
      <c r="G202" s="263">
        <f>VLOOKUP($A202,'Price setting'!$E$448:$O$466,COLUMN()-1,FALSE)</f>
        <v>0</v>
      </c>
      <c r="H202" s="263">
        <f ca="1">VLOOKUP($A202,'Price setting'!$E$448:$O$466,COLUMN()-1,FALSE)</f>
        <v>51.773516277613879</v>
      </c>
      <c r="I202" s="263">
        <f ca="1">VLOOKUP($A202,'Price setting'!$E$448:$O$466,COLUMN()-1,FALSE)</f>
        <v>53.243877186477626</v>
      </c>
      <c r="J202" s="263">
        <f ca="1">VLOOKUP($A202,'Price setting'!$E$448:$O$466,COLUMN()-1,FALSE)</f>
        <v>54.916822106802741</v>
      </c>
      <c r="K202" s="263">
        <f ca="1">VLOOKUP($A202,'Price setting'!$E$448:$O$466,COLUMN()-1,FALSE)</f>
        <v>56.716900341790591</v>
      </c>
      <c r="L202" s="264">
        <f ca="1">VLOOKUP($A202,'Price setting'!$E$448:$O$466,COLUMN()-1,FALSE)</f>
        <v>58.595779342575653</v>
      </c>
    </row>
    <row r="203" spans="1:12" s="53" customFormat="1">
      <c r="A203" s="60" t="s">
        <v>52</v>
      </c>
      <c r="B203" s="355" t="s">
        <v>163</v>
      </c>
      <c r="C203" s="59" t="s">
        <v>118</v>
      </c>
      <c r="D203" s="168" t="s">
        <v>75</v>
      </c>
      <c r="E203" s="169" t="s">
        <v>182</v>
      </c>
      <c r="F203" s="316">
        <f>VLOOKUP($A203,'Price setting'!$E$213:$O$231,COLUMN()-1,FALSE)</f>
        <v>0</v>
      </c>
      <c r="G203" s="317">
        <f>VLOOKUP($A203,'Price setting'!$E$213:$O$231,COLUMN()-1,FALSE)</f>
        <v>0</v>
      </c>
      <c r="H203" s="317">
        <f ca="1">VLOOKUP($A203,'Price setting'!$E$213:$O$231,COLUMN()-1,FALSE)</f>
        <v>16.920410990440981</v>
      </c>
      <c r="I203" s="317">
        <f ca="1">VLOOKUP($A203,'Price setting'!$E$213:$O$231,COLUMN()-1,FALSE)</f>
        <v>17.211425919571642</v>
      </c>
      <c r="J203" s="317">
        <f ca="1">VLOOKUP($A203,'Price setting'!$E$213:$O$231,COLUMN()-1,FALSE)</f>
        <v>17.513819995984726</v>
      </c>
      <c r="K203" s="317">
        <f ca="1">VLOOKUP($A203,'Price setting'!$E$213:$O$231,COLUMN()-1,FALSE)</f>
        <v>17.817850088260617</v>
      </c>
      <c r="L203" s="323">
        <f ca="1">VLOOKUP($A203,'Price setting'!$E$213:$O$231,COLUMN()-1,FALSE)</f>
        <v>18.111275961428369</v>
      </c>
    </row>
    <row r="204" spans="1:12" s="53" customFormat="1">
      <c r="A204" s="60" t="s">
        <v>52</v>
      </c>
      <c r="B204" s="355" t="s">
        <v>164</v>
      </c>
      <c r="C204" s="59" t="s">
        <v>119</v>
      </c>
      <c r="D204" s="168" t="s">
        <v>75</v>
      </c>
      <c r="E204" s="169" t="s">
        <v>182</v>
      </c>
      <c r="F204" s="316">
        <f>VLOOKUP($A204,'Price setting'!$E$278:$O$296,COLUMN()-1,FALSE)+VLOOKUP($A203,'Price setting'!$E$213:$O$231,COLUMN()-1,FALSE)</f>
        <v>0</v>
      </c>
      <c r="G204" s="317">
        <f>VLOOKUP($A204,'Price setting'!$E$278:$O$296,COLUMN()-1,FALSE)+VLOOKUP($A203,'Price setting'!$E$213:$O$231,COLUMN()-1,FALSE)</f>
        <v>0</v>
      </c>
      <c r="H204" s="317">
        <f ca="1">VLOOKUP($A204,'Price setting'!$E$278:$O$296,COLUMN()-1,FALSE)+VLOOKUP($A203,'Price setting'!$E$213:$O$231,COLUMN()-1,FALSE)</f>
        <v>21.740818810577117</v>
      </c>
      <c r="I204" s="317">
        <f ca="1">VLOOKUP($A204,'Price setting'!$E$278:$O$296,COLUMN()-1,FALSE)+VLOOKUP($A203,'Price setting'!$E$213:$O$231,COLUMN()-1,FALSE)</f>
        <v>22.019577572991906</v>
      </c>
      <c r="J204" s="317">
        <f ca="1">VLOOKUP($A204,'Price setting'!$E$278:$O$296,COLUMN()-1,FALSE)+VLOOKUP($A203,'Price setting'!$E$213:$O$231,COLUMN()-1,FALSE)</f>
        <v>22.331291848089499</v>
      </c>
      <c r="K204" s="317">
        <f ca="1">VLOOKUP($A204,'Price setting'!$E$278:$O$296,COLUMN()-1,FALSE)+VLOOKUP($A203,'Price setting'!$E$213:$O$231,COLUMN()-1,FALSE)</f>
        <v>22.65923961329807</v>
      </c>
      <c r="L204" s="323">
        <f ca="1">VLOOKUP($A204,'Price setting'!$E$278:$O$296,COLUMN()-1,FALSE)+VLOOKUP($A203,'Price setting'!$E$213:$O$231,COLUMN()-1,FALSE)</f>
        <v>23.015791357309723</v>
      </c>
    </row>
    <row r="205" spans="1:12" s="53" customFormat="1">
      <c r="A205" s="60" t="s">
        <v>52</v>
      </c>
      <c r="B205" s="355" t="s">
        <v>165</v>
      </c>
      <c r="C205" s="59" t="s">
        <v>120</v>
      </c>
      <c r="D205" s="168" t="s">
        <v>75</v>
      </c>
      <c r="E205" s="169" t="s">
        <v>182</v>
      </c>
      <c r="F205" s="316">
        <f>VLOOKUP($A205,'Price setting'!$E$343:$O$361,COLUMN()-1,FALSE)+VLOOKUP($A203,'Price setting'!$E$213:$O$231,COLUMN()-1,FALSE)</f>
        <v>0</v>
      </c>
      <c r="G205" s="317">
        <f>VLOOKUP($A205,'Price setting'!$E$343:$O$361,COLUMN()-1,FALSE)+VLOOKUP($A203,'Price setting'!$E$213:$O$231,COLUMN()-1,FALSE)</f>
        <v>0</v>
      </c>
      <c r="H205" s="317">
        <f ca="1">VLOOKUP($A205,'Price setting'!$E$343:$O$361,COLUMN()-1,FALSE)+VLOOKUP($A203,'Price setting'!$E$213:$O$231,COLUMN()-1,FALSE)</f>
        <v>22.147153931545379</v>
      </c>
      <c r="I205" s="317">
        <f ca="1">VLOOKUP($A205,'Price setting'!$E$343:$O$361,COLUMN()-1,FALSE)+VLOOKUP($A203,'Price setting'!$E$213:$O$231,COLUMN()-1,FALSE)</f>
        <v>22.173799188453806</v>
      </c>
      <c r="J205" s="317">
        <f ca="1">VLOOKUP($A205,'Price setting'!$E$343:$O$361,COLUMN()-1,FALSE)+VLOOKUP($A203,'Price setting'!$E$213:$O$231,COLUMN()-1,FALSE)</f>
        <v>22.032015097790048</v>
      </c>
      <c r="K205" s="317">
        <f ca="1">VLOOKUP($A205,'Price setting'!$E$343:$O$361,COLUMN()-1,FALSE)+VLOOKUP($A203,'Price setting'!$E$213:$O$231,COLUMN()-1,FALSE)</f>
        <v>21.891867022989096</v>
      </c>
      <c r="L205" s="323">
        <f ca="1">VLOOKUP($A205,'Price setting'!$E$343:$O$361,COLUMN()-1,FALSE)+VLOOKUP($A203,'Price setting'!$E$213:$O$231,COLUMN()-1,FALSE)</f>
        <v>22.185292896156849</v>
      </c>
    </row>
    <row r="206" spans="1:12" s="53" customFormat="1">
      <c r="A206" s="60" t="s">
        <v>52</v>
      </c>
      <c r="B206" s="355" t="s">
        <v>166</v>
      </c>
      <c r="C206" s="59" t="s">
        <v>124</v>
      </c>
      <c r="D206" s="168" t="s">
        <v>75</v>
      </c>
      <c r="E206" s="169" t="s">
        <v>182</v>
      </c>
      <c r="F206" s="316">
        <f>VLOOKUP($A206,'Price setting'!$E$408:$O$426,COLUMN()-1,FALSE)+VLOOKUP($A203,'Price setting'!$E$213:$O$231,COLUMN()-1,FALSE)</f>
        <v>0</v>
      </c>
      <c r="G206" s="317">
        <f>VLOOKUP($A206,'Price setting'!$E$408:$O$426,COLUMN()-1,FALSE)+VLOOKUP($A203,'Price setting'!$E$213:$O$231,COLUMN()-1,FALSE)</f>
        <v>0</v>
      </c>
      <c r="H206" s="317">
        <f ca="1">VLOOKUP($A206,'Price setting'!$E$408:$O$426,COLUMN()-1,FALSE)+VLOOKUP($A203,'Price setting'!$E$213:$O$231,COLUMN()-1,FALSE)</f>
        <v>21.331994659816608</v>
      </c>
      <c r="I206" s="317">
        <f ca="1">VLOOKUP($A206,'Price setting'!$E$408:$O$426,COLUMN()-1,FALSE)+VLOOKUP($A203,'Price setting'!$E$213:$O$231,COLUMN()-1,FALSE)</f>
        <v>21.637446926249254</v>
      </c>
      <c r="J206" s="317">
        <f ca="1">VLOOKUP($A206,'Price setting'!$E$408:$O$426,COLUMN()-1,FALSE)+VLOOKUP($A203,'Price setting'!$E$213:$O$231,COLUMN()-1,FALSE)</f>
        <v>21.963762214772906</v>
      </c>
      <c r="K206" s="317">
        <f ca="1">VLOOKUP($A206,'Price setting'!$E$408:$O$426,COLUMN()-1,FALSE)+VLOOKUP($A203,'Price setting'!$E$213:$O$231,COLUMN()-1,FALSE)</f>
        <v>22.319545567696878</v>
      </c>
      <c r="L206" s="323">
        <f ca="1">VLOOKUP($A206,'Price setting'!$E$408:$O$426,COLUMN()-1,FALSE)+VLOOKUP($A203,'Price setting'!$E$213:$O$231,COLUMN()-1,FALSE)</f>
        <v>22.67778275418237</v>
      </c>
    </row>
    <row r="207" spans="1:12" s="53" customFormat="1">
      <c r="A207" s="60" t="s">
        <v>52</v>
      </c>
      <c r="B207" s="355" t="s">
        <v>167</v>
      </c>
      <c r="C207" s="59" t="s">
        <v>122</v>
      </c>
      <c r="D207" s="170" t="s">
        <v>88</v>
      </c>
      <c r="E207" s="169" t="s">
        <v>182</v>
      </c>
      <c r="F207" s="262">
        <f>INDEX(YKY,ROW(Input!B$23)-5,COLUMN()+1)*Input!$H$441</f>
        <v>1327.7173</v>
      </c>
      <c r="G207" s="263">
        <f>INDEX(YKY,ROW(Input!C$23)-5,COLUMN()+1)*Input!$H$441</f>
        <v>1283.1403</v>
      </c>
      <c r="H207" s="263">
        <f>INDEX(YKY,ROW(Input!D$23)-5,COLUMN()+1)*Input!$H$441</f>
        <v>1229.9573</v>
      </c>
      <c r="I207" s="263">
        <f>INDEX(YKY,ROW(Input!E$23)-5,COLUMN()+1)*Input!$H$441</f>
        <v>1180.8263999999999</v>
      </c>
      <c r="J207" s="263">
        <f>INDEX(YKY,ROW(Input!F$23)-5,COLUMN()+1)*Input!$H$441</f>
        <v>1126.7828</v>
      </c>
      <c r="K207" s="263">
        <f>INDEX(YKY,ROW(Input!G$23)-5,COLUMN()+1)*Input!$H$441</f>
        <v>1075.1962000000001</v>
      </c>
      <c r="L207" s="264">
        <f>INDEX(YKY,ROW(Input!H$23)-5,COLUMN()+1)*Input!$H$441</f>
        <v>1028.5223000000001</v>
      </c>
    </row>
    <row r="208" spans="1:12" s="53" customFormat="1">
      <c r="A208" s="60" t="s">
        <v>52</v>
      </c>
      <c r="B208" s="355" t="s">
        <v>168</v>
      </c>
      <c r="C208" s="59" t="s">
        <v>123</v>
      </c>
      <c r="D208" s="170" t="s">
        <v>88</v>
      </c>
      <c r="E208" s="169" t="s">
        <v>182</v>
      </c>
      <c r="F208" s="262">
        <f>+INDEX(YKY,ROW(Input!B$24)-5,COLUMN()+1)*Input!$H$441</f>
        <v>1131.2470000000001</v>
      </c>
      <c r="G208" s="263">
        <f>+INDEX(YKY,ROW(Input!C$24)-5,COLUMN()+1)*Input!$H$441</f>
        <v>1189.6897999999999</v>
      </c>
      <c r="H208" s="263">
        <f>+INDEX(YKY,ROW(Input!D$24)-5,COLUMN()+1)*Input!$H$441</f>
        <v>1256.0795000000001</v>
      </c>
      <c r="I208" s="263">
        <f>+INDEX(YKY,ROW(Input!E$24)-5,COLUMN()+1)*Input!$H$441</f>
        <v>1324.9768999999999</v>
      </c>
      <c r="J208" s="263">
        <f>+INDEX(YKY,ROW(Input!F$24)-5,COLUMN()+1)*Input!$H$441</f>
        <v>1404.3925999999999</v>
      </c>
      <c r="K208" s="263">
        <f>+INDEX(YKY,ROW(Input!G$24)-5,COLUMN()+1)*Input!$H$441</f>
        <v>1484.4557</v>
      </c>
      <c r="L208" s="264">
        <f>+INDEX(YKY,ROW(Input!H$24)-5,COLUMN()+1)*Input!$H$441</f>
        <v>1561.9539</v>
      </c>
    </row>
    <row r="209" spans="1:12" s="53" customFormat="1">
      <c r="A209" s="60" t="s">
        <v>52</v>
      </c>
      <c r="B209" s="355" t="s">
        <v>169</v>
      </c>
      <c r="C209" s="59" t="s">
        <v>139</v>
      </c>
      <c r="D209" s="170" t="s">
        <v>74</v>
      </c>
      <c r="E209" s="169" t="s">
        <v>182</v>
      </c>
      <c r="F209" s="262">
        <f>VLOOKUP($A209,'Price setting'!$E$488:$O$506,COLUMN()-1,FALSE)</f>
        <v>0</v>
      </c>
      <c r="G209" s="263">
        <f>VLOOKUP($A209,'Price setting'!$E$488:$O$506,COLUMN()-1,FALSE)</f>
        <v>0</v>
      </c>
      <c r="H209" s="263">
        <f ca="1">VLOOKUP($A209,'Price setting'!$E$488:$O$506,COLUMN()-1,FALSE)</f>
        <v>7.0584323309140176E-2</v>
      </c>
      <c r="I209" s="263">
        <f ca="1">VLOOKUP($A209,'Price setting'!$E$488:$O$506,COLUMN()-1,FALSE)</f>
        <v>0.21970019974084554</v>
      </c>
      <c r="J209" s="263">
        <f ca="1">VLOOKUP($A209,'Price setting'!$E$488:$O$506,COLUMN()-1,FALSE)</f>
        <v>0.38233389383346805</v>
      </c>
      <c r="K209" s="263">
        <f ca="1">VLOOKUP($A209,'Price setting'!$E$488:$O$506,COLUMN()-1,FALSE)</f>
        <v>0.54621082122793074</v>
      </c>
      <c r="L209" s="264">
        <f ca="1">VLOOKUP($A209,'Price setting'!$E$488:$O$506,COLUMN()-1,FALSE)</f>
        <v>0.7042939108270676</v>
      </c>
    </row>
    <row r="210" spans="1:12" s="53" customFormat="1">
      <c r="A210" s="60" t="str">
        <f>+A209</f>
        <v>YKY</v>
      </c>
      <c r="B210" s="355" t="s">
        <v>170</v>
      </c>
      <c r="C210" s="59" t="s">
        <v>67</v>
      </c>
      <c r="D210" s="170" t="s">
        <v>171</v>
      </c>
      <c r="E210" s="169" t="s">
        <v>182</v>
      </c>
      <c r="F210" s="320">
        <f>+Input!$H$441</f>
        <v>1.3</v>
      </c>
      <c r="G210" s="321">
        <f>+Input!$H$441</f>
        <v>1.3</v>
      </c>
      <c r="H210" s="321">
        <f>+Input!$H$441</f>
        <v>1.3</v>
      </c>
      <c r="I210" s="321">
        <f>+Input!$H$441</f>
        <v>1.3</v>
      </c>
      <c r="J210" s="321">
        <f>+Input!$H$441</f>
        <v>1.3</v>
      </c>
      <c r="K210" s="321">
        <f>+Input!$H$441</f>
        <v>1.3</v>
      </c>
      <c r="L210" s="322">
        <f>+Input!$H$441</f>
        <v>1.3</v>
      </c>
    </row>
    <row r="211" spans="1:12" s="53" customFormat="1">
      <c r="A211" s="60" t="str">
        <f t="shared" ref="A211:A223" si="8">+A210</f>
        <v>YKY</v>
      </c>
      <c r="B211" s="355" t="s">
        <v>194</v>
      </c>
      <c r="C211" s="50" t="s">
        <v>185</v>
      </c>
      <c r="D211" s="168" t="s">
        <v>75</v>
      </c>
      <c r="E211" s="169" t="s">
        <v>182</v>
      </c>
      <c r="F211" s="316">
        <f ca="1">VLOOKUP(A211,'Price setting'!$E$89:$I$106,COLUMN()-1,FALSE)</f>
        <v>18.207570466011109</v>
      </c>
      <c r="G211" s="317"/>
      <c r="H211" s="317"/>
      <c r="I211" s="317"/>
      <c r="J211" s="317"/>
      <c r="K211" s="317"/>
      <c r="L211" s="323"/>
    </row>
    <row r="212" spans="1:12" s="53" customFormat="1">
      <c r="A212" s="60" t="str">
        <f t="shared" si="8"/>
        <v>YKY</v>
      </c>
      <c r="B212" s="355" t="s">
        <v>195</v>
      </c>
      <c r="C212" s="50" t="s">
        <v>186</v>
      </c>
      <c r="D212" s="168" t="s">
        <v>75</v>
      </c>
      <c r="E212" s="169" t="s">
        <v>182</v>
      </c>
      <c r="F212" s="316">
        <f ca="1">VLOOKUP(A212,'Price setting'!E$254:I$271,COLUMN()-1,FALSE)+VLOOKUP(A211,'Price setting'!$E$89:$I$106,COLUMN()-1,FALSE)</f>
        <v>23.591714232097619</v>
      </c>
      <c r="G212" s="317"/>
      <c r="H212" s="317"/>
      <c r="I212" s="317"/>
      <c r="J212" s="317"/>
      <c r="K212" s="317"/>
      <c r="L212" s="323"/>
    </row>
    <row r="213" spans="1:12" s="53" customFormat="1">
      <c r="A213" s="60" t="str">
        <f t="shared" si="8"/>
        <v>YKY</v>
      </c>
      <c r="B213" s="355" t="s">
        <v>196</v>
      </c>
      <c r="C213" s="50" t="s">
        <v>187</v>
      </c>
      <c r="D213" s="168" t="s">
        <v>75</v>
      </c>
      <c r="E213" s="169" t="s">
        <v>182</v>
      </c>
      <c r="F213" s="316">
        <f ca="1">VLOOKUP(A213,'Price setting'!E$319:I$336,COLUMN()-1,FALSE)+VLOOKUP(A211,'Price setting'!$E$89:$I$106,COLUMN()-1,FALSE)</f>
        <v>24.058300069046958</v>
      </c>
      <c r="G213" s="317"/>
      <c r="H213" s="317"/>
      <c r="I213" s="317"/>
      <c r="J213" s="317"/>
      <c r="K213" s="317"/>
      <c r="L213" s="323"/>
    </row>
    <row r="214" spans="1:12" s="53" customFormat="1">
      <c r="A214" s="60" t="str">
        <f t="shared" si="8"/>
        <v>YKY</v>
      </c>
      <c r="B214" s="355" t="s">
        <v>197</v>
      </c>
      <c r="C214" s="50" t="s">
        <v>188</v>
      </c>
      <c r="D214" s="168" t="s">
        <v>75</v>
      </c>
      <c r="E214" s="169" t="s">
        <v>182</v>
      </c>
      <c r="F214" s="316">
        <f ca="1">(VLOOKUP(A214,'Price setting'!E$384:I$401,COLUMN()-1,FALSE)+VLOOKUP(A211,'Price setting'!$E$89:$I$106,COLUMN()-1,FALSE))*+Input!$H$441</f>
        <v>29.82365078192732</v>
      </c>
      <c r="G214" s="317"/>
      <c r="H214" s="317"/>
      <c r="I214" s="317"/>
      <c r="J214" s="317"/>
      <c r="K214" s="317"/>
      <c r="L214" s="323"/>
    </row>
    <row r="215" spans="1:12" s="53" customFormat="1">
      <c r="A215" s="60" t="str">
        <f t="shared" si="8"/>
        <v>YKY</v>
      </c>
      <c r="B215" s="355" t="s">
        <v>198</v>
      </c>
      <c r="C215" s="50" t="s">
        <v>189</v>
      </c>
      <c r="D215" s="168" t="s">
        <v>75</v>
      </c>
      <c r="E215" s="169" t="s">
        <v>182</v>
      </c>
      <c r="F215" s="316">
        <f ca="1">VLOOKUP(A215,'Price setting'!E$89:I$106,COLUMN()-1,FALSE)*+Input!$H$441</f>
        <v>23.669841605814444</v>
      </c>
      <c r="G215" s="317"/>
      <c r="H215" s="317"/>
      <c r="I215" s="317"/>
      <c r="J215" s="317"/>
      <c r="K215" s="317"/>
      <c r="L215" s="323"/>
    </row>
    <row r="216" spans="1:12" s="53" customFormat="1">
      <c r="A216" s="60" t="str">
        <f t="shared" si="8"/>
        <v>YKY</v>
      </c>
      <c r="B216" s="356" t="s">
        <v>204</v>
      </c>
      <c r="C216" s="50" t="s">
        <v>203</v>
      </c>
      <c r="D216" s="168" t="s">
        <v>75</v>
      </c>
      <c r="E216" s="169" t="s">
        <v>182</v>
      </c>
      <c r="F216" s="316"/>
      <c r="G216" s="317"/>
      <c r="H216" s="317">
        <f ca="1">VLOOKUP($A216,'Price setting'!$E$213:$O$230,COLUMN()-1,FALSE)</f>
        <v>16.920410990440981</v>
      </c>
      <c r="I216" s="317">
        <f ca="1">VLOOKUP($A216,'Price setting'!$E$213:$O$230,COLUMN()-1,FALSE)</f>
        <v>17.211425919571642</v>
      </c>
      <c r="J216" s="317">
        <f ca="1">VLOOKUP($A216,'Price setting'!$E$213:$O$230,COLUMN()-1,FALSE)</f>
        <v>17.513819995984726</v>
      </c>
      <c r="K216" s="317">
        <f ca="1">VLOOKUP($A216,'Price setting'!$E$213:$O$230,COLUMN()-1,FALSE)</f>
        <v>17.817850088260617</v>
      </c>
      <c r="L216" s="323">
        <f ca="1">VLOOKUP($A216,'Price setting'!$E$213:$O$230,COLUMN()-1,FALSE)</f>
        <v>18.111275961428369</v>
      </c>
    </row>
    <row r="217" spans="1:12" s="53" customFormat="1">
      <c r="A217" s="60" t="str">
        <f t="shared" si="8"/>
        <v>YKY</v>
      </c>
      <c r="B217" s="355" t="s">
        <v>199</v>
      </c>
      <c r="C217" s="50" t="s">
        <v>190</v>
      </c>
      <c r="D217" s="168" t="s">
        <v>75</v>
      </c>
      <c r="E217" s="169" t="s">
        <v>182</v>
      </c>
      <c r="F217" s="316"/>
      <c r="G217" s="317"/>
      <c r="H217" s="317">
        <f ca="1">VLOOKUP($A216,'Price setting'!$E$213:$O$230,COLUMN()-1,FALSE)*+Input!$H$441</f>
        <v>21.996534287573276</v>
      </c>
      <c r="I217" s="317">
        <f ca="1">VLOOKUP($A216,'Price setting'!$E$213:$O$230,COLUMN()-1,FALSE)*+Input!$H$441</f>
        <v>22.374853695443136</v>
      </c>
      <c r="J217" s="317">
        <f ca="1">VLOOKUP($A216,'Price setting'!$E$213:$O$230,COLUMN()-1,FALSE)*+Input!$H$441</f>
        <v>22.767965994780145</v>
      </c>
      <c r="K217" s="317">
        <f ca="1">VLOOKUP($A216,'Price setting'!$E$213:$O$230,COLUMN()-1,FALSE)*+Input!$H$441</f>
        <v>23.163205114738801</v>
      </c>
      <c r="L217" s="323">
        <f ca="1">VLOOKUP($A216,'Price setting'!$E$213:$O$230,COLUMN()-1,FALSE)*+Input!$H$441</f>
        <v>23.544658749856879</v>
      </c>
    </row>
    <row r="218" spans="1:12" s="53" customFormat="1">
      <c r="A218" s="60" t="str">
        <f t="shared" si="8"/>
        <v>YKY</v>
      </c>
      <c r="B218" s="355" t="s">
        <v>200</v>
      </c>
      <c r="C218" s="50" t="s">
        <v>191</v>
      </c>
      <c r="D218" s="168" t="s">
        <v>75</v>
      </c>
      <c r="E218" s="169" t="s">
        <v>182</v>
      </c>
      <c r="F218" s="316"/>
      <c r="G218" s="317"/>
      <c r="H218" s="317">
        <f ca="1">VLOOKUP($A218,'Price setting'!$E$278:$O$295,COLUMN()-1,FALSE)+VLOOKUP($A216,'Price setting'!$E$213:$O$230,COLUMN()-1,FALSE)</f>
        <v>21.740818810577117</v>
      </c>
      <c r="I218" s="317">
        <f ca="1">VLOOKUP($A218,'Price setting'!$E$278:$O$295,COLUMN()-1,FALSE)+VLOOKUP($A216,'Price setting'!$E$213:$O$230,COLUMN()-1,FALSE)</f>
        <v>22.019577572991906</v>
      </c>
      <c r="J218" s="317">
        <f ca="1">VLOOKUP($A218,'Price setting'!$E$278:$O$295,COLUMN()-1,FALSE)+VLOOKUP($A216,'Price setting'!$E$213:$O$230,COLUMN()-1,FALSE)</f>
        <v>22.331291848089499</v>
      </c>
      <c r="K218" s="317">
        <f ca="1">VLOOKUP($A218,'Price setting'!$E$278:$O$295,COLUMN()-1,FALSE)+VLOOKUP($A216,'Price setting'!$E$213:$O$230,COLUMN()-1,FALSE)</f>
        <v>22.65923961329807</v>
      </c>
      <c r="L218" s="323">
        <f ca="1">VLOOKUP($A218,'Price setting'!$E$278:$O$295,COLUMN()-1,FALSE)+VLOOKUP($A216,'Price setting'!$E$213:$O$230,COLUMN()-1,FALSE)</f>
        <v>23.015791357309723</v>
      </c>
    </row>
    <row r="219" spans="1:12" s="53" customFormat="1">
      <c r="A219" s="60" t="str">
        <f t="shared" si="8"/>
        <v>YKY</v>
      </c>
      <c r="B219" s="355" t="s">
        <v>201</v>
      </c>
      <c r="C219" s="50" t="s">
        <v>192</v>
      </c>
      <c r="D219" s="168" t="s">
        <v>75</v>
      </c>
      <c r="E219" s="169" t="s">
        <v>182</v>
      </c>
      <c r="F219" s="316"/>
      <c r="G219" s="317"/>
      <c r="H219" s="317">
        <f ca="1">VLOOKUP($A219,'Price setting'!$E$343:$O$360,COLUMN()-1,FALSE)+VLOOKUP($A216,'Price setting'!$E$213:$O$230,COLUMN()-1,FALSE)</f>
        <v>22.147153931545379</v>
      </c>
      <c r="I219" s="317">
        <f ca="1">VLOOKUP($A219,'Price setting'!$E$343:$O$360,COLUMN()-1,FALSE)+VLOOKUP($A216,'Price setting'!$E$213:$O$230,COLUMN()-1,FALSE)</f>
        <v>22.173799188453806</v>
      </c>
      <c r="J219" s="317">
        <f ca="1">VLOOKUP($A219,'Price setting'!$E$343:$O$360,COLUMN()-1,FALSE)+VLOOKUP($A216,'Price setting'!$E$213:$O$230,COLUMN()-1,FALSE)</f>
        <v>22.032015097790048</v>
      </c>
      <c r="K219" s="317">
        <f ca="1">VLOOKUP($A219,'Price setting'!$E$343:$O$360,COLUMN()-1,FALSE)+VLOOKUP($A216,'Price setting'!$E$213:$O$230,COLUMN()-1,FALSE)</f>
        <v>21.891867022989096</v>
      </c>
      <c r="L219" s="323">
        <f ca="1">VLOOKUP($A219,'Price setting'!$E$343:$O$360,COLUMN()-1,FALSE)+VLOOKUP($A216,'Price setting'!$E$213:$O$230,COLUMN()-1,FALSE)</f>
        <v>22.185292896156849</v>
      </c>
    </row>
    <row r="220" spans="1:12" s="53" customFormat="1">
      <c r="A220" s="60" t="str">
        <f t="shared" si="8"/>
        <v>YKY</v>
      </c>
      <c r="B220" s="355" t="s">
        <v>202</v>
      </c>
      <c r="C220" s="50" t="s">
        <v>193</v>
      </c>
      <c r="D220" s="168" t="s">
        <v>75</v>
      </c>
      <c r="E220" s="169" t="s">
        <v>182</v>
      </c>
      <c r="F220" s="316"/>
      <c r="G220" s="317"/>
      <c r="H220" s="317">
        <f ca="1">(VLOOKUP($A220,'Price setting'!$E$408:$O$425,COLUMN()-1,FALSE)+VLOOKUP($A216,'Price setting'!$E$213:$O$230,COLUMN()-1,FALSE))*+Input!$H$441</f>
        <v>27.731593057761593</v>
      </c>
      <c r="I220" s="317">
        <f ca="1">(VLOOKUP($A220,'Price setting'!$E$408:$O$425,COLUMN()-1,FALSE)+VLOOKUP($A216,'Price setting'!$E$213:$O$230,COLUMN()-1,FALSE))*+Input!$H$441</f>
        <v>28.128681004124029</v>
      </c>
      <c r="J220" s="317">
        <f ca="1">(VLOOKUP($A220,'Price setting'!$E$408:$O$425,COLUMN()-1,FALSE)+VLOOKUP($A216,'Price setting'!$E$213:$O$230,COLUMN()-1,FALSE))*+Input!$H$441</f>
        <v>28.552890879204778</v>
      </c>
      <c r="K220" s="317">
        <f ca="1">(VLOOKUP($A220,'Price setting'!$E$408:$O$425,COLUMN()-1,FALSE)+VLOOKUP($A216,'Price setting'!$E$213:$O$230,COLUMN()-1,FALSE))*+Input!$H$441</f>
        <v>29.01540923800594</v>
      </c>
      <c r="L220" s="323">
        <f ca="1">(VLOOKUP($A220,'Price setting'!$E$408:$O$425,COLUMN()-1,FALSE)+VLOOKUP($A216,'Price setting'!$E$213:$O$230,COLUMN()-1,FALSE))*+Input!$H$441</f>
        <v>29.481117580437083</v>
      </c>
    </row>
    <row r="221" spans="1:12" s="53" customFormat="1">
      <c r="A221" s="60" t="str">
        <f t="shared" si="8"/>
        <v>YKY</v>
      </c>
      <c r="B221" s="355" t="s">
        <v>208</v>
      </c>
      <c r="C221" s="21" t="s">
        <v>205</v>
      </c>
      <c r="D221" s="168" t="s">
        <v>75</v>
      </c>
      <c r="E221" s="169" t="s">
        <v>182</v>
      </c>
      <c r="F221" s="262">
        <f ca="1">VLOOKUP($A221,'Price setting'!$E$49:$I$66,COLUMN()-1,FALSE)</f>
        <v>0</v>
      </c>
      <c r="G221" s="263"/>
      <c r="H221" s="263"/>
      <c r="I221" s="263"/>
      <c r="J221" s="263"/>
      <c r="K221" s="263"/>
      <c r="L221" s="264"/>
    </row>
    <row r="222" spans="1:12" s="53" customFormat="1">
      <c r="A222" s="60" t="str">
        <f t="shared" si="8"/>
        <v>YKY</v>
      </c>
      <c r="B222" s="355" t="s">
        <v>206</v>
      </c>
      <c r="C222" s="21" t="s">
        <v>132</v>
      </c>
      <c r="D222" s="168" t="s">
        <v>74</v>
      </c>
      <c r="E222" s="169" t="s">
        <v>182</v>
      </c>
      <c r="F222" s="262">
        <f ca="1">'Used inputs'!I139</f>
        <v>48.732924056400336</v>
      </c>
      <c r="G222" s="263">
        <f>'Used inputs'!J139</f>
        <v>48.93993649587442</v>
      </c>
      <c r="H222" s="263">
        <f ca="1">'Used inputs'!K139</f>
        <v>48.913922244020377</v>
      </c>
      <c r="I222" s="263">
        <f ca="1">'Used inputs'!L139</f>
        <v>49.311734956059055</v>
      </c>
      <c r="J222" s="263">
        <f ca="1">'Used inputs'!M139</f>
        <v>49.868753011469551</v>
      </c>
      <c r="K222" s="263">
        <f ca="1">'Used inputs'!N139</f>
        <v>50.509161053252413</v>
      </c>
      <c r="L222" s="264">
        <f ca="1">'Used inputs'!O139</f>
        <v>51.167467402717818</v>
      </c>
    </row>
    <row r="223" spans="1:12" s="53" customFormat="1">
      <c r="A223" s="60" t="str">
        <f t="shared" si="8"/>
        <v>YKY</v>
      </c>
      <c r="B223" s="355" t="s">
        <v>207</v>
      </c>
      <c r="C223" s="21" t="s">
        <v>157</v>
      </c>
      <c r="D223" s="168" t="s">
        <v>74</v>
      </c>
      <c r="E223" s="169" t="s">
        <v>182</v>
      </c>
      <c r="F223" s="262">
        <f>'Used inputs'!I152</f>
        <v>0.97843424951466229</v>
      </c>
      <c r="G223" s="263">
        <f>'Used inputs'!J152</f>
        <v>0.95579959810633164</v>
      </c>
      <c r="H223" s="263">
        <f>'Used inputs'!K152</f>
        <v>2.7890097102843634</v>
      </c>
      <c r="I223" s="263">
        <f>'Used inputs'!L152</f>
        <v>3.7250097102843633</v>
      </c>
      <c r="J223" s="263">
        <f>'Used inputs'!M152</f>
        <v>4.7030097102843635</v>
      </c>
      <c r="K223" s="263">
        <f>'Used inputs'!N152</f>
        <v>5.7270097102843645</v>
      </c>
      <c r="L223" s="264">
        <f>'Used inputs'!O152</f>
        <v>6.7950097102843641</v>
      </c>
    </row>
    <row r="224" spans="1:12">
      <c r="A224" s="60" t="s">
        <v>53</v>
      </c>
      <c r="B224" s="355" t="s">
        <v>162</v>
      </c>
      <c r="C224" s="59" t="s">
        <v>175</v>
      </c>
      <c r="D224" s="169" t="s">
        <v>74</v>
      </c>
      <c r="E224" s="169" t="s">
        <v>182</v>
      </c>
      <c r="F224" s="262">
        <f>VLOOKUP($A224,'Price setting'!$E$448:$O$466,COLUMN()-1,FALSE)</f>
        <v>0</v>
      </c>
      <c r="G224" s="263">
        <f>VLOOKUP($A224,'Price setting'!$E$448:$O$466,COLUMN()-1,FALSE)</f>
        <v>0</v>
      </c>
      <c r="H224" s="263">
        <f ca="1">VLOOKUP($A224,'Price setting'!$E$448:$O$466,COLUMN()-1,FALSE)</f>
        <v>26.475074447779704</v>
      </c>
      <c r="I224" s="263">
        <f ca="1">VLOOKUP($A224,'Price setting'!$E$448:$O$466,COLUMN()-1,FALSE)</f>
        <v>26.392290805440886</v>
      </c>
      <c r="J224" s="263">
        <f ca="1">VLOOKUP($A224,'Price setting'!$E$448:$O$466,COLUMN()-1,FALSE)</f>
        <v>26.249996507232837</v>
      </c>
      <c r="K224" s="263">
        <f ca="1">VLOOKUP($A224,'Price setting'!$E$448:$O$466,COLUMN()-1,FALSE)</f>
        <v>26.007951525860435</v>
      </c>
      <c r="L224" s="264">
        <f ca="1">VLOOKUP($A224,'Price setting'!$E$448:$O$466,COLUMN()-1,FALSE)</f>
        <v>26.374537454855908</v>
      </c>
    </row>
    <row r="225" spans="1:12">
      <c r="A225" s="60" t="s">
        <v>53</v>
      </c>
      <c r="B225" s="355" t="s">
        <v>163</v>
      </c>
      <c r="C225" s="59" t="s">
        <v>118</v>
      </c>
      <c r="D225" s="168" t="s">
        <v>75</v>
      </c>
      <c r="E225" s="169" t="s">
        <v>182</v>
      </c>
      <c r="F225" s="316">
        <f>VLOOKUP($A225,'Price setting'!$E$213:$O$231,COLUMN()-1,FALSE)</f>
        <v>0</v>
      </c>
      <c r="G225" s="317">
        <f>VLOOKUP($A225,'Price setting'!$E$213:$O$231,COLUMN()-1,FALSE)</f>
        <v>0</v>
      </c>
      <c r="H225" s="317">
        <f ca="1">VLOOKUP($A225,'Price setting'!$E$213:$O$231,COLUMN()-1,FALSE)</f>
        <v>15.524307402404016</v>
      </c>
      <c r="I225" s="317">
        <f ca="1">VLOOKUP($A225,'Price setting'!$E$213:$O$231,COLUMN()-1,FALSE)</f>
        <v>15.299049081007851</v>
      </c>
      <c r="J225" s="317">
        <f ca="1">VLOOKUP($A225,'Price setting'!$E$213:$O$231,COLUMN()-1,FALSE)</f>
        <v>15.065393096959511</v>
      </c>
      <c r="K225" s="317">
        <f ca="1">VLOOKUP($A225,'Price setting'!$E$213:$O$231,COLUMN()-1,FALSE)</f>
        <v>14.843616329615967</v>
      </c>
      <c r="L225" s="323">
        <f ca="1">VLOOKUP($A225,'Price setting'!$E$213:$O$231,COLUMN()-1,FALSE)</f>
        <v>14.742128211932606</v>
      </c>
    </row>
    <row r="226" spans="1:12">
      <c r="A226" s="60" t="s">
        <v>53</v>
      </c>
      <c r="B226" s="355" t="s">
        <v>164</v>
      </c>
      <c r="C226" s="59" t="s">
        <v>119</v>
      </c>
      <c r="D226" s="168" t="s">
        <v>75</v>
      </c>
      <c r="E226" s="169" t="s">
        <v>182</v>
      </c>
      <c r="F226" s="316">
        <f>VLOOKUP($A226,'Price setting'!$E$278:$O$296,COLUMN()-1,FALSE)+VLOOKUP($A225,'Price setting'!$E$213:$O$231,COLUMN()-1,FALSE)</f>
        <v>0</v>
      </c>
      <c r="G226" s="317">
        <f>VLOOKUP($A226,'Price setting'!$E$278:$O$296,COLUMN()-1,FALSE)+VLOOKUP($A225,'Price setting'!$E$213:$O$231,COLUMN()-1,FALSE)</f>
        <v>0</v>
      </c>
      <c r="H226" s="317">
        <f ca="1">VLOOKUP($A226,'Price setting'!$E$278:$O$296,COLUMN()-1,FALSE)+VLOOKUP($A225,'Price setting'!$E$213:$O$231,COLUMN()-1,FALSE)</f>
        <v>23.11313664315794</v>
      </c>
      <c r="I226" s="317">
        <f ca="1">VLOOKUP($A226,'Price setting'!$E$278:$O$296,COLUMN()-1,FALSE)+VLOOKUP($A225,'Price setting'!$E$213:$O$231,COLUMN()-1,FALSE)</f>
        <v>22.288575905464654</v>
      </c>
      <c r="J226" s="317">
        <f ca="1">VLOOKUP($A226,'Price setting'!$E$278:$O$296,COLUMN()-1,FALSE)+VLOOKUP($A225,'Price setting'!$E$213:$O$231,COLUMN()-1,FALSE)</f>
        <v>21.455617505119193</v>
      </c>
      <c r="K226" s="317">
        <f ca="1">VLOOKUP($A226,'Price setting'!$E$278:$O$296,COLUMN()-1,FALSE)+VLOOKUP($A225,'Price setting'!$E$213:$O$231,COLUMN()-1,FALSE)</f>
        <v>20.63453832147853</v>
      </c>
      <c r="L226" s="323">
        <f ca="1">VLOOKUP($A226,'Price setting'!$E$278:$O$296,COLUMN()-1,FALSE)+VLOOKUP($A225,'Price setting'!$E$213:$O$231,COLUMN()-1,FALSE)</f>
        <v>20.533050203795167</v>
      </c>
    </row>
    <row r="227" spans="1:12">
      <c r="A227" s="60" t="s">
        <v>53</v>
      </c>
      <c r="B227" s="355" t="s">
        <v>165</v>
      </c>
      <c r="C227" s="59" t="s">
        <v>120</v>
      </c>
      <c r="D227" s="168" t="s">
        <v>75</v>
      </c>
      <c r="E227" s="169" t="s">
        <v>182</v>
      </c>
      <c r="F227" s="316">
        <f>VLOOKUP($A227,'Price setting'!$E$343:$O$361,COLUMN()-1,FALSE)+VLOOKUP($A225,'Price setting'!$E$213:$O$231,COLUMN()-1,FALSE)</f>
        <v>0</v>
      </c>
      <c r="G227" s="317">
        <f>VLOOKUP($A227,'Price setting'!$E$343:$O$361,COLUMN()-1,FALSE)+VLOOKUP($A225,'Price setting'!$E$213:$O$231,COLUMN()-1,FALSE)</f>
        <v>0</v>
      </c>
      <c r="H227" s="317">
        <f ca="1">VLOOKUP($A227,'Price setting'!$E$343:$O$361,COLUMN()-1,FALSE)+VLOOKUP($A225,'Price setting'!$E$213:$O$231,COLUMN()-1,FALSE)</f>
        <v>15.524307402404016</v>
      </c>
      <c r="I227" s="317">
        <f ca="1">VLOOKUP($A227,'Price setting'!$E$343:$O$361,COLUMN()-1,FALSE)+VLOOKUP($A225,'Price setting'!$E$213:$O$231,COLUMN()-1,FALSE)</f>
        <v>15.299049081007851</v>
      </c>
      <c r="J227" s="317">
        <f ca="1">VLOOKUP($A227,'Price setting'!$E$343:$O$361,COLUMN()-1,FALSE)+VLOOKUP($A225,'Price setting'!$E$213:$O$231,COLUMN()-1,FALSE)</f>
        <v>15.065393096959511</v>
      </c>
      <c r="K227" s="317">
        <f ca="1">VLOOKUP($A227,'Price setting'!$E$343:$O$361,COLUMN()-1,FALSE)+VLOOKUP($A225,'Price setting'!$E$213:$O$231,COLUMN()-1,FALSE)</f>
        <v>14.843616329615967</v>
      </c>
      <c r="L227" s="323">
        <f ca="1">VLOOKUP($A227,'Price setting'!$E$343:$O$361,COLUMN()-1,FALSE)+VLOOKUP($A225,'Price setting'!$E$213:$O$231,COLUMN()-1,FALSE)</f>
        <v>14.742128211932606</v>
      </c>
    </row>
    <row r="228" spans="1:12">
      <c r="A228" s="60" t="s">
        <v>53</v>
      </c>
      <c r="B228" s="355" t="s">
        <v>166</v>
      </c>
      <c r="C228" s="59" t="s">
        <v>124</v>
      </c>
      <c r="D228" s="168" t="s">
        <v>75</v>
      </c>
      <c r="E228" s="169" t="s">
        <v>182</v>
      </c>
      <c r="F228" s="316">
        <f>VLOOKUP($A228,'Price setting'!$E$408:$O$426,COLUMN()-1,FALSE)+VLOOKUP($A225,'Price setting'!$E$213:$O$231,COLUMN()-1,FALSE)</f>
        <v>0</v>
      </c>
      <c r="G228" s="317">
        <f>VLOOKUP($A228,'Price setting'!$E$408:$O$426,COLUMN()-1,FALSE)+VLOOKUP($A225,'Price setting'!$E$213:$O$231,COLUMN()-1,FALSE)</f>
        <v>0</v>
      </c>
      <c r="H228" s="317">
        <f ca="1">VLOOKUP($A228,'Price setting'!$E$408:$O$426,COLUMN()-1,FALSE)+VLOOKUP($A225,'Price setting'!$E$213:$O$231,COLUMN()-1,FALSE)</f>
        <v>15.524307402404016</v>
      </c>
      <c r="I228" s="317">
        <f ca="1">VLOOKUP($A228,'Price setting'!$E$408:$O$426,COLUMN()-1,FALSE)+VLOOKUP($A225,'Price setting'!$E$213:$O$231,COLUMN()-1,FALSE)</f>
        <v>15.299049081007851</v>
      </c>
      <c r="J228" s="317">
        <f ca="1">VLOOKUP($A228,'Price setting'!$E$408:$O$426,COLUMN()-1,FALSE)+VLOOKUP($A225,'Price setting'!$E$213:$O$231,COLUMN()-1,FALSE)</f>
        <v>15.065393096959511</v>
      </c>
      <c r="K228" s="317">
        <f ca="1">VLOOKUP($A228,'Price setting'!$E$408:$O$426,COLUMN()-1,FALSE)+VLOOKUP($A225,'Price setting'!$E$213:$O$231,COLUMN()-1,FALSE)</f>
        <v>14.843616329615967</v>
      </c>
      <c r="L228" s="323">
        <f ca="1">VLOOKUP($A228,'Price setting'!$E$408:$O$426,COLUMN()-1,FALSE)+VLOOKUP($A225,'Price setting'!$E$213:$O$231,COLUMN()-1,FALSE)</f>
        <v>14.742128211932606</v>
      </c>
    </row>
    <row r="229" spans="1:12">
      <c r="A229" s="60" t="s">
        <v>53</v>
      </c>
      <c r="B229" s="355" t="s">
        <v>167</v>
      </c>
      <c r="C229" s="59" t="s">
        <v>122</v>
      </c>
      <c r="D229" s="170" t="s">
        <v>88</v>
      </c>
      <c r="E229" s="169" t="s">
        <v>182</v>
      </c>
      <c r="F229" s="262">
        <f>INDEX(AFW,ROW(Input!B$23)-5,COLUMN()+1)*Input!$H$441</f>
        <v>0</v>
      </c>
      <c r="G229" s="263">
        <f>INDEX(AFW,ROW(Input!C$23)-5,COLUMN()+1)*Input!$H$441</f>
        <v>0</v>
      </c>
      <c r="H229" s="263">
        <f>INDEX(AFW,ROW(Input!D$23)-5,COLUMN()+1)*Input!$H$441</f>
        <v>0</v>
      </c>
      <c r="I229" s="263">
        <f>INDEX(AFW,ROW(Input!E$23)-5,COLUMN()+1)*Input!$H$441</f>
        <v>0</v>
      </c>
      <c r="J229" s="263">
        <f>INDEX(AFW,ROW(Input!F$23)-5,COLUMN()+1)*Input!$H$441</f>
        <v>0</v>
      </c>
      <c r="K229" s="263">
        <f>INDEX(AFW,ROW(Input!G$23)-5,COLUMN()+1)*Input!$H$441</f>
        <v>0</v>
      </c>
      <c r="L229" s="264">
        <f>INDEX(AFW,ROW(Input!H$23)-5,COLUMN()+1)*Input!$H$441</f>
        <v>0</v>
      </c>
    </row>
    <row r="230" spans="1:12">
      <c r="A230" s="60" t="s">
        <v>53</v>
      </c>
      <c r="B230" s="355" t="s">
        <v>168</v>
      </c>
      <c r="C230" s="59" t="s">
        <v>123</v>
      </c>
      <c r="D230" s="170" t="s">
        <v>88</v>
      </c>
      <c r="E230" s="169" t="s">
        <v>182</v>
      </c>
      <c r="F230" s="262">
        <f>+INDEX(AFW,ROW(Input!B$24)-5,COLUMN()+1)*Input!$H$441</f>
        <v>0</v>
      </c>
      <c r="G230" s="263">
        <f>+INDEX(AFW,ROW(Input!C$24)-5,COLUMN()+1)*Input!$H$441</f>
        <v>0</v>
      </c>
      <c r="H230" s="263">
        <f>+INDEX(AFW,ROW(Input!D$24)-5,COLUMN()+1)*Input!$H$441</f>
        <v>0</v>
      </c>
      <c r="I230" s="263">
        <f>+INDEX(AFW,ROW(Input!E$24)-5,COLUMN()+1)*Input!$H$441</f>
        <v>0</v>
      </c>
      <c r="J230" s="263">
        <f>+INDEX(AFW,ROW(Input!F$24)-5,COLUMN()+1)*Input!$H$441</f>
        <v>0</v>
      </c>
      <c r="K230" s="263">
        <f>+INDEX(AFW,ROW(Input!G$24)-5,COLUMN()+1)*Input!$H$441</f>
        <v>0</v>
      </c>
      <c r="L230" s="264">
        <f>+INDEX(AFW,ROW(Input!H$24)-5,COLUMN()+1)*Input!$H$441</f>
        <v>0</v>
      </c>
    </row>
    <row r="231" spans="1:12">
      <c r="A231" s="60" t="s">
        <v>53</v>
      </c>
      <c r="B231" s="355" t="s">
        <v>169</v>
      </c>
      <c r="C231" s="59" t="s">
        <v>139</v>
      </c>
      <c r="D231" s="170" t="s">
        <v>74</v>
      </c>
      <c r="E231" s="169" t="s">
        <v>182</v>
      </c>
      <c r="F231" s="262">
        <f>VLOOKUP($A231,'Price setting'!$E$488:$O$506,COLUMN()-1,FALSE)</f>
        <v>0</v>
      </c>
      <c r="G231" s="263">
        <f>VLOOKUP($A231,'Price setting'!$E$488:$O$506,COLUMN()-1,FALSE)</f>
        <v>0</v>
      </c>
      <c r="H231" s="263">
        <f ca="1">VLOOKUP($A231,'Price setting'!$E$488:$O$506,COLUMN()-1,FALSE)</f>
        <v>0.23192383326211125</v>
      </c>
      <c r="I231" s="263">
        <f ca="1">VLOOKUP($A231,'Price setting'!$E$488:$O$506,COLUMN()-1,FALSE)</f>
        <v>0.45377993665203736</v>
      </c>
      <c r="J231" s="263">
        <f ca="1">VLOOKUP($A231,'Price setting'!$E$488:$O$506,COLUMN()-1,FALSE)</f>
        <v>0.66464300287633349</v>
      </c>
      <c r="K231" s="263">
        <f ca="1">VLOOKUP($A231,'Price setting'!$E$488:$O$506,COLUMN()-1,FALSE)</f>
        <v>0.86376989098191526</v>
      </c>
      <c r="L231" s="264">
        <f ca="1">VLOOKUP($A231,'Price setting'!$E$488:$O$506,COLUMN()-1,FALSE)</f>
        <v>1.076837708562985</v>
      </c>
    </row>
    <row r="232" spans="1:12">
      <c r="A232" s="60" t="str">
        <f>+A231</f>
        <v>AFW</v>
      </c>
      <c r="B232" s="355" t="s">
        <v>170</v>
      </c>
      <c r="C232" s="59" t="s">
        <v>67</v>
      </c>
      <c r="D232" s="170" t="s">
        <v>171</v>
      </c>
      <c r="E232" s="169" t="s">
        <v>182</v>
      </c>
      <c r="F232" s="320">
        <f>+Input!$H$441</f>
        <v>1.3</v>
      </c>
      <c r="G232" s="321">
        <f>+Input!$H$441</f>
        <v>1.3</v>
      </c>
      <c r="H232" s="321">
        <f>+Input!$H$441</f>
        <v>1.3</v>
      </c>
      <c r="I232" s="321">
        <f>+Input!$H$441</f>
        <v>1.3</v>
      </c>
      <c r="J232" s="321">
        <f>+Input!$H$441</f>
        <v>1.3</v>
      </c>
      <c r="K232" s="321">
        <f>+Input!$H$441</f>
        <v>1.3</v>
      </c>
      <c r="L232" s="322">
        <f>+Input!$H$441</f>
        <v>1.3</v>
      </c>
    </row>
    <row r="233" spans="1:12">
      <c r="A233" s="60" t="str">
        <f t="shared" ref="A233:A245" si="9">+A232</f>
        <v>AFW</v>
      </c>
      <c r="B233" s="355" t="s">
        <v>194</v>
      </c>
      <c r="C233" s="50" t="s">
        <v>185</v>
      </c>
      <c r="D233" s="168" t="s">
        <v>75</v>
      </c>
      <c r="E233" s="169" t="s">
        <v>182</v>
      </c>
      <c r="F233" s="316">
        <f ca="1">VLOOKUP(A233,'Price setting'!$E$89:$I$106,COLUMN()-1,FALSE)</f>
        <v>15.982236522173521</v>
      </c>
      <c r="G233" s="317"/>
      <c r="H233" s="317"/>
      <c r="I233" s="317"/>
      <c r="J233" s="317"/>
      <c r="K233" s="317"/>
      <c r="L233" s="323"/>
    </row>
    <row r="234" spans="1:12">
      <c r="A234" s="60" t="str">
        <f t="shared" si="9"/>
        <v>AFW</v>
      </c>
      <c r="B234" s="355" t="s">
        <v>195</v>
      </c>
      <c r="C234" s="50" t="s">
        <v>186</v>
      </c>
      <c r="D234" s="168" t="s">
        <v>75</v>
      </c>
      <c r="E234" s="169" t="s">
        <v>182</v>
      </c>
      <c r="F234" s="316">
        <f ca="1">VLOOKUP(A234,'Price setting'!E$254:I$271,COLUMN()-1,FALSE)+VLOOKUP(A233,'Price setting'!$E$89:$I$106,COLUMN()-1,FALSE)</f>
        <v>24.170368179224564</v>
      </c>
      <c r="G234" s="317"/>
      <c r="H234" s="317"/>
      <c r="I234" s="317"/>
      <c r="J234" s="317"/>
      <c r="K234" s="317"/>
      <c r="L234" s="323"/>
    </row>
    <row r="235" spans="1:12">
      <c r="A235" s="60" t="str">
        <f t="shared" si="9"/>
        <v>AFW</v>
      </c>
      <c r="B235" s="355" t="s">
        <v>196</v>
      </c>
      <c r="C235" s="50" t="s">
        <v>187</v>
      </c>
      <c r="D235" s="168" t="s">
        <v>75</v>
      </c>
      <c r="E235" s="169" t="s">
        <v>182</v>
      </c>
      <c r="F235" s="316">
        <f ca="1">VLOOKUP(A235,'Price setting'!E$319:I$336,COLUMN()-1,FALSE)+VLOOKUP(A233,'Price setting'!$E$89:$I$106,COLUMN()-1,FALSE)</f>
        <v>15.982236522173521</v>
      </c>
      <c r="G235" s="317"/>
      <c r="H235" s="317"/>
      <c r="I235" s="317"/>
      <c r="J235" s="317"/>
      <c r="K235" s="317"/>
      <c r="L235" s="323"/>
    </row>
    <row r="236" spans="1:12">
      <c r="A236" s="60" t="str">
        <f t="shared" si="9"/>
        <v>AFW</v>
      </c>
      <c r="B236" s="355" t="s">
        <v>197</v>
      </c>
      <c r="C236" s="50" t="s">
        <v>188</v>
      </c>
      <c r="D236" s="168" t="s">
        <v>75</v>
      </c>
      <c r="E236" s="169" t="s">
        <v>182</v>
      </c>
      <c r="F236" s="316">
        <f ca="1">(VLOOKUP(A236,'Price setting'!E$384:I$401,COLUMN()-1,FALSE)+VLOOKUP(A233,'Price setting'!$E$89:$I$106,COLUMN()-1,FALSE))*+Input!$H$441</f>
        <v>20.776907478825578</v>
      </c>
      <c r="G236" s="317"/>
      <c r="H236" s="317"/>
      <c r="I236" s="317"/>
      <c r="J236" s="317"/>
      <c r="K236" s="317"/>
      <c r="L236" s="323"/>
    </row>
    <row r="237" spans="1:12">
      <c r="A237" s="60" t="str">
        <f t="shared" si="9"/>
        <v>AFW</v>
      </c>
      <c r="B237" s="355" t="s">
        <v>198</v>
      </c>
      <c r="C237" s="50" t="s">
        <v>189</v>
      </c>
      <c r="D237" s="168" t="s">
        <v>75</v>
      </c>
      <c r="E237" s="169" t="s">
        <v>182</v>
      </c>
      <c r="F237" s="316">
        <f ca="1">VLOOKUP(A237,'Price setting'!E$89:I$106,COLUMN()-1,FALSE)*+Input!$H$441</f>
        <v>20.776907478825578</v>
      </c>
      <c r="G237" s="317"/>
      <c r="H237" s="317"/>
      <c r="I237" s="317"/>
      <c r="J237" s="317"/>
      <c r="K237" s="317"/>
      <c r="L237" s="323"/>
    </row>
    <row r="238" spans="1:12" s="53" customFormat="1">
      <c r="A238" s="60" t="str">
        <f t="shared" si="9"/>
        <v>AFW</v>
      </c>
      <c r="B238" s="356" t="s">
        <v>204</v>
      </c>
      <c r="C238" s="50" t="s">
        <v>203</v>
      </c>
      <c r="D238" s="168" t="s">
        <v>75</v>
      </c>
      <c r="E238" s="169" t="s">
        <v>182</v>
      </c>
      <c r="F238" s="316"/>
      <c r="G238" s="317"/>
      <c r="H238" s="317">
        <f ca="1">VLOOKUP($A238,'Price setting'!$E$213:$O$230,COLUMN()-1,FALSE)</f>
        <v>15.524307402404016</v>
      </c>
      <c r="I238" s="317">
        <f ca="1">VLOOKUP($A238,'Price setting'!$E$213:$O$230,COLUMN()-1,FALSE)</f>
        <v>15.299049081007851</v>
      </c>
      <c r="J238" s="317">
        <f ca="1">VLOOKUP($A238,'Price setting'!$E$213:$O$230,COLUMN()-1,FALSE)</f>
        <v>15.065393096959511</v>
      </c>
      <c r="K238" s="317">
        <f ca="1">VLOOKUP($A238,'Price setting'!$E$213:$O$230,COLUMN()-1,FALSE)</f>
        <v>14.843616329615967</v>
      </c>
      <c r="L238" s="323">
        <f ca="1">VLOOKUP($A238,'Price setting'!$E$213:$O$230,COLUMN()-1,FALSE)</f>
        <v>14.742128211932606</v>
      </c>
    </row>
    <row r="239" spans="1:12">
      <c r="A239" s="60" t="str">
        <f t="shared" si="9"/>
        <v>AFW</v>
      </c>
      <c r="B239" s="355" t="s">
        <v>199</v>
      </c>
      <c r="C239" s="50" t="s">
        <v>190</v>
      </c>
      <c r="D239" s="168" t="s">
        <v>75</v>
      </c>
      <c r="E239" s="169" t="s">
        <v>182</v>
      </c>
      <c r="F239" s="316"/>
      <c r="G239" s="317"/>
      <c r="H239" s="317">
        <f ca="1">VLOOKUP($A238,'Price setting'!$E$213:$O$230,COLUMN()-1,FALSE)*+Input!$H$441</f>
        <v>20.181599623125223</v>
      </c>
      <c r="I239" s="317">
        <f ca="1">VLOOKUP($A238,'Price setting'!$E$213:$O$230,COLUMN()-1,FALSE)*+Input!$H$441</f>
        <v>19.888763805310209</v>
      </c>
      <c r="J239" s="317">
        <f ca="1">VLOOKUP($A238,'Price setting'!$E$213:$O$230,COLUMN()-1,FALSE)*+Input!$H$441</f>
        <v>19.585011026047365</v>
      </c>
      <c r="K239" s="317">
        <f ca="1">VLOOKUP($A238,'Price setting'!$E$213:$O$230,COLUMN()-1,FALSE)*+Input!$H$441</f>
        <v>19.296701228500758</v>
      </c>
      <c r="L239" s="323">
        <f ca="1">VLOOKUP($A238,'Price setting'!$E$213:$O$230,COLUMN()-1,FALSE)*+Input!$H$441</f>
        <v>19.164766675512389</v>
      </c>
    </row>
    <row r="240" spans="1:12">
      <c r="A240" s="60" t="str">
        <f t="shared" si="9"/>
        <v>AFW</v>
      </c>
      <c r="B240" s="355" t="s">
        <v>200</v>
      </c>
      <c r="C240" s="50" t="s">
        <v>191</v>
      </c>
      <c r="D240" s="168" t="s">
        <v>75</v>
      </c>
      <c r="E240" s="169" t="s">
        <v>182</v>
      </c>
      <c r="F240" s="316"/>
      <c r="G240" s="317"/>
      <c r="H240" s="317">
        <f ca="1">VLOOKUP($A240,'Price setting'!$E$278:$O$295,COLUMN()-1,FALSE)+VLOOKUP($A238,'Price setting'!$E$213:$O$230,COLUMN()-1,FALSE)</f>
        <v>23.11313664315794</v>
      </c>
      <c r="I240" s="317">
        <f ca="1">VLOOKUP($A240,'Price setting'!$E$278:$O$295,COLUMN()-1,FALSE)+VLOOKUP($A238,'Price setting'!$E$213:$O$230,COLUMN()-1,FALSE)</f>
        <v>22.288575905464654</v>
      </c>
      <c r="J240" s="317">
        <f ca="1">VLOOKUP($A240,'Price setting'!$E$278:$O$295,COLUMN()-1,FALSE)+VLOOKUP($A238,'Price setting'!$E$213:$O$230,COLUMN()-1,FALSE)</f>
        <v>21.455617505119193</v>
      </c>
      <c r="K240" s="317">
        <f ca="1">VLOOKUP($A240,'Price setting'!$E$278:$O$295,COLUMN()-1,FALSE)+VLOOKUP($A238,'Price setting'!$E$213:$O$230,COLUMN()-1,FALSE)</f>
        <v>20.63453832147853</v>
      </c>
      <c r="L240" s="323">
        <f ca="1">VLOOKUP($A240,'Price setting'!$E$278:$O$295,COLUMN()-1,FALSE)+VLOOKUP($A238,'Price setting'!$E$213:$O$230,COLUMN()-1,FALSE)</f>
        <v>20.533050203795167</v>
      </c>
    </row>
    <row r="241" spans="1:12">
      <c r="A241" s="60" t="str">
        <f t="shared" si="9"/>
        <v>AFW</v>
      </c>
      <c r="B241" s="355" t="s">
        <v>201</v>
      </c>
      <c r="C241" s="50" t="s">
        <v>192</v>
      </c>
      <c r="D241" s="168" t="s">
        <v>75</v>
      </c>
      <c r="E241" s="169" t="s">
        <v>182</v>
      </c>
      <c r="F241" s="316"/>
      <c r="G241" s="317"/>
      <c r="H241" s="317">
        <f ca="1">VLOOKUP($A241,'Price setting'!$E$343:$O$360,COLUMN()-1,FALSE)+VLOOKUP($A238,'Price setting'!$E$213:$O$230,COLUMN()-1,FALSE)</f>
        <v>15.524307402404016</v>
      </c>
      <c r="I241" s="317">
        <f ca="1">VLOOKUP($A241,'Price setting'!$E$343:$O$360,COLUMN()-1,FALSE)+VLOOKUP($A238,'Price setting'!$E$213:$O$230,COLUMN()-1,FALSE)</f>
        <v>15.299049081007851</v>
      </c>
      <c r="J241" s="317">
        <f ca="1">VLOOKUP($A241,'Price setting'!$E$343:$O$360,COLUMN()-1,FALSE)+VLOOKUP($A238,'Price setting'!$E$213:$O$230,COLUMN()-1,FALSE)</f>
        <v>15.065393096959511</v>
      </c>
      <c r="K241" s="317">
        <f ca="1">VLOOKUP($A241,'Price setting'!$E$343:$O$360,COLUMN()-1,FALSE)+VLOOKUP($A238,'Price setting'!$E$213:$O$230,COLUMN()-1,FALSE)</f>
        <v>14.843616329615967</v>
      </c>
      <c r="L241" s="323">
        <f ca="1">VLOOKUP($A241,'Price setting'!$E$343:$O$360,COLUMN()-1,FALSE)+VLOOKUP($A238,'Price setting'!$E$213:$O$230,COLUMN()-1,FALSE)</f>
        <v>14.742128211932606</v>
      </c>
    </row>
    <row r="242" spans="1:12">
      <c r="A242" s="60" t="str">
        <f t="shared" si="9"/>
        <v>AFW</v>
      </c>
      <c r="B242" s="355" t="s">
        <v>202</v>
      </c>
      <c r="C242" s="50" t="s">
        <v>193</v>
      </c>
      <c r="D242" s="168" t="s">
        <v>75</v>
      </c>
      <c r="E242" s="169" t="s">
        <v>182</v>
      </c>
      <c r="F242" s="316"/>
      <c r="G242" s="317"/>
      <c r="H242" s="317">
        <f ca="1">(VLOOKUP($A242,'Price setting'!$E$408:$O$425,COLUMN()-1,FALSE)+VLOOKUP($A238,'Price setting'!$E$213:$O$230,COLUMN()-1,FALSE))*+Input!$H$441</f>
        <v>20.181599623125223</v>
      </c>
      <c r="I242" s="317">
        <f ca="1">(VLOOKUP($A242,'Price setting'!$E$408:$O$425,COLUMN()-1,FALSE)+VLOOKUP($A238,'Price setting'!$E$213:$O$230,COLUMN()-1,FALSE))*+Input!$H$441</f>
        <v>19.888763805310209</v>
      </c>
      <c r="J242" s="317">
        <f ca="1">(VLOOKUP($A242,'Price setting'!$E$408:$O$425,COLUMN()-1,FALSE)+VLOOKUP($A238,'Price setting'!$E$213:$O$230,COLUMN()-1,FALSE))*+Input!$H$441</f>
        <v>19.585011026047365</v>
      </c>
      <c r="K242" s="317">
        <f ca="1">(VLOOKUP($A242,'Price setting'!$E$408:$O$425,COLUMN()-1,FALSE)+VLOOKUP($A238,'Price setting'!$E$213:$O$230,COLUMN()-1,FALSE))*+Input!$H$441</f>
        <v>19.296701228500758</v>
      </c>
      <c r="L242" s="323">
        <f ca="1">(VLOOKUP($A242,'Price setting'!$E$408:$O$425,COLUMN()-1,FALSE)+VLOOKUP($A238,'Price setting'!$E$213:$O$230,COLUMN()-1,FALSE))*+Input!$H$441</f>
        <v>19.164766675512389</v>
      </c>
    </row>
    <row r="243" spans="1:12">
      <c r="A243" s="60" t="str">
        <f t="shared" si="9"/>
        <v>AFW</v>
      </c>
      <c r="B243" s="355" t="s">
        <v>208</v>
      </c>
      <c r="C243" s="21" t="s">
        <v>205</v>
      </c>
      <c r="D243" s="168" t="s">
        <v>75</v>
      </c>
      <c r="E243" s="169" t="s">
        <v>182</v>
      </c>
      <c r="F243" s="262">
        <f ca="1">VLOOKUP($A243,'Price setting'!$E$49:$I$66,COLUMN()-1,FALSE)</f>
        <v>0</v>
      </c>
      <c r="G243" s="263"/>
      <c r="H243" s="263"/>
      <c r="I243" s="263"/>
      <c r="J243" s="263"/>
      <c r="K243" s="263"/>
      <c r="L243" s="264"/>
    </row>
    <row r="244" spans="1:12">
      <c r="A244" s="60" t="str">
        <f t="shared" si="9"/>
        <v>AFW</v>
      </c>
      <c r="B244" s="355" t="s">
        <v>206</v>
      </c>
      <c r="C244" s="21" t="s">
        <v>132</v>
      </c>
      <c r="D244" s="168" t="s">
        <v>74</v>
      </c>
      <c r="E244" s="169" t="s">
        <v>182</v>
      </c>
      <c r="F244" s="262">
        <f ca="1">'Used inputs'!I154</f>
        <v>26.468181195592294</v>
      </c>
      <c r="G244" s="263">
        <f>'Used inputs'!J154</f>
        <v>26.733039464752135</v>
      </c>
      <c r="H244" s="263">
        <f ca="1">'Used inputs'!K154</f>
        <v>26.423385417530223</v>
      </c>
      <c r="I244" s="263">
        <f ca="1">'Used inputs'!L154</f>
        <v>26.344466058252397</v>
      </c>
      <c r="J244" s="263">
        <f ca="1">'Used inputs'!M154</f>
        <v>26.257163182696079</v>
      </c>
      <c r="K244" s="263">
        <f ca="1">'Used inputs'!N154</f>
        <v>26.11580659206567</v>
      </c>
      <c r="L244" s="264">
        <f ca="1">'Used inputs'!O154</f>
        <v>26.008070672951824</v>
      </c>
    </row>
    <row r="245" spans="1:12">
      <c r="A245" s="60" t="str">
        <f t="shared" si="9"/>
        <v>AFW</v>
      </c>
      <c r="B245" s="355" t="s">
        <v>207</v>
      </c>
      <c r="C245" s="21" t="s">
        <v>157</v>
      </c>
      <c r="D245" s="168" t="s">
        <v>74</v>
      </c>
      <c r="E245" s="169" t="s">
        <v>182</v>
      </c>
      <c r="F245" s="262">
        <f>'Used inputs'!I167</f>
        <v>0.1395734913660979</v>
      </c>
      <c r="G245" s="263">
        <f>'Used inputs'!J167</f>
        <v>0.1395734913660979</v>
      </c>
      <c r="H245" s="263">
        <f>'Used inputs'!K167</f>
        <v>0.12001563764024484</v>
      </c>
      <c r="I245" s="263">
        <f>'Used inputs'!L167</f>
        <v>0.12001563764024484</v>
      </c>
      <c r="J245" s="263">
        <f>'Used inputs'!M167</f>
        <v>0.12001563764024484</v>
      </c>
      <c r="K245" s="263">
        <f>'Used inputs'!N167</f>
        <v>0.12001563764024484</v>
      </c>
      <c r="L245" s="264">
        <f>'Used inputs'!O167</f>
        <v>0.12001563764024484</v>
      </c>
    </row>
    <row r="246" spans="1:12">
      <c r="A246" s="60" t="s">
        <v>54</v>
      </c>
      <c r="B246" s="355" t="s">
        <v>162</v>
      </c>
      <c r="C246" s="59" t="s">
        <v>175</v>
      </c>
      <c r="D246" s="169" t="s">
        <v>74</v>
      </c>
      <c r="E246" s="169" t="s">
        <v>182</v>
      </c>
      <c r="F246" s="262">
        <f>VLOOKUP($A246,'Price setting'!$E$448:$O$466,COLUMN()-1,FALSE)</f>
        <v>0</v>
      </c>
      <c r="G246" s="263">
        <f>VLOOKUP($A246,'Price setting'!$E$448:$O$466,COLUMN()-1,FALSE)</f>
        <v>0</v>
      </c>
      <c r="H246" s="263">
        <f ca="1">VLOOKUP($A246,'Price setting'!$E$448:$O$466,COLUMN()-1,FALSE)</f>
        <v>9.5856814954396761</v>
      </c>
      <c r="I246" s="263">
        <f ca="1">VLOOKUP($A246,'Price setting'!$E$448:$O$466,COLUMN()-1,FALSE)</f>
        <v>10.054459891616021</v>
      </c>
      <c r="J246" s="263">
        <f ca="1">VLOOKUP($A246,'Price setting'!$E$448:$O$466,COLUMN()-1,FALSE)</f>
        <v>10.514556763213719</v>
      </c>
      <c r="K246" s="263">
        <f ca="1">VLOOKUP($A246,'Price setting'!$E$448:$O$466,COLUMN()-1,FALSE)</f>
        <v>10.968285668791907</v>
      </c>
      <c r="L246" s="264">
        <f ca="1">VLOOKUP($A246,'Price setting'!$E$448:$O$466,COLUMN()-1,FALSE)</f>
        <v>11.563227443664548</v>
      </c>
    </row>
    <row r="247" spans="1:12">
      <c r="A247" s="60" t="s">
        <v>54</v>
      </c>
      <c r="B247" s="355" t="s">
        <v>163</v>
      </c>
      <c r="C247" s="59" t="s">
        <v>118</v>
      </c>
      <c r="D247" s="168" t="s">
        <v>75</v>
      </c>
      <c r="E247" s="169" t="s">
        <v>182</v>
      </c>
      <c r="F247" s="316">
        <f>VLOOKUP($A247,'Price setting'!$E$213:$O$231,COLUMN()-1,FALSE)</f>
        <v>0</v>
      </c>
      <c r="G247" s="317">
        <f>VLOOKUP($A247,'Price setting'!$E$213:$O$231,COLUMN()-1,FALSE)</f>
        <v>0</v>
      </c>
      <c r="H247" s="317">
        <f ca="1">VLOOKUP($A247,'Price setting'!$E$213:$O$231,COLUMN()-1,FALSE)</f>
        <v>16.360960579726299</v>
      </c>
      <c r="I247" s="317">
        <f ca="1">VLOOKUP($A247,'Price setting'!$E$213:$O$231,COLUMN()-1,FALSE)</f>
        <v>17.015344295858444</v>
      </c>
      <c r="J247" s="317">
        <f ca="1">VLOOKUP($A247,'Price setting'!$E$213:$O$231,COLUMN()-1,FALSE)</f>
        <v>17.699193606060053</v>
      </c>
      <c r="K247" s="317">
        <f ca="1">VLOOKUP($A247,'Price setting'!$E$213:$O$231,COLUMN()-1,FALSE)</f>
        <v>18.415145058023018</v>
      </c>
      <c r="L247" s="323">
        <f ca="1">VLOOKUP($A247,'Price setting'!$E$213:$O$231,COLUMN()-1,FALSE)</f>
        <v>19.161863339698254</v>
      </c>
    </row>
    <row r="248" spans="1:12">
      <c r="A248" s="60" t="s">
        <v>54</v>
      </c>
      <c r="B248" s="355" t="s">
        <v>164</v>
      </c>
      <c r="C248" s="59" t="s">
        <v>119</v>
      </c>
      <c r="D248" s="168" t="s">
        <v>75</v>
      </c>
      <c r="E248" s="169" t="s">
        <v>182</v>
      </c>
      <c r="F248" s="316">
        <f>VLOOKUP($A248,'Price setting'!$E$278:$O$296,COLUMN()-1,FALSE)+VLOOKUP($A247,'Price setting'!$E$213:$O$231,COLUMN()-1,FALSE)</f>
        <v>0</v>
      </c>
      <c r="G248" s="317">
        <f>VLOOKUP($A248,'Price setting'!$E$278:$O$296,COLUMN()-1,FALSE)+VLOOKUP($A247,'Price setting'!$E$213:$O$231,COLUMN()-1,FALSE)</f>
        <v>0</v>
      </c>
      <c r="H248" s="317">
        <f ca="1">VLOOKUP($A248,'Price setting'!$E$278:$O$296,COLUMN()-1,FALSE)+VLOOKUP($A247,'Price setting'!$E$213:$O$231,COLUMN()-1,FALSE)</f>
        <v>23.484369599761454</v>
      </c>
      <c r="I248" s="317">
        <f ca="1">VLOOKUP($A248,'Price setting'!$E$278:$O$296,COLUMN()-1,FALSE)+VLOOKUP($A247,'Price setting'!$E$213:$O$231,COLUMN()-1,FALSE)</f>
        <v>23.694590973169401</v>
      </c>
      <c r="J248" s="317">
        <f ca="1">VLOOKUP($A248,'Price setting'!$E$278:$O$296,COLUMN()-1,FALSE)+VLOOKUP($A247,'Price setting'!$E$213:$O$231,COLUMN()-1,FALSE)</f>
        <v>23.934277940646812</v>
      </c>
      <c r="K248" s="317">
        <f ca="1">VLOOKUP($A248,'Price setting'!$E$278:$O$296,COLUMN()-1,FALSE)+VLOOKUP($A247,'Price setting'!$E$213:$O$231,COLUMN()-1,FALSE)</f>
        <v>24.206067049885579</v>
      </c>
      <c r="L248" s="323">
        <f ca="1">VLOOKUP($A248,'Price setting'!$E$278:$O$296,COLUMN()-1,FALSE)+VLOOKUP($A247,'Price setting'!$E$213:$O$231,COLUMN()-1,FALSE)</f>
        <v>24.952785331560815</v>
      </c>
    </row>
    <row r="249" spans="1:12">
      <c r="A249" s="60" t="s">
        <v>54</v>
      </c>
      <c r="B249" s="355" t="s">
        <v>165</v>
      </c>
      <c r="C249" s="59" t="s">
        <v>120</v>
      </c>
      <c r="D249" s="168" t="s">
        <v>75</v>
      </c>
      <c r="E249" s="169" t="s">
        <v>182</v>
      </c>
      <c r="F249" s="316">
        <f>VLOOKUP($A249,'Price setting'!$E$343:$O$361,COLUMN()-1,FALSE)+VLOOKUP($A247,'Price setting'!$E$213:$O$231,COLUMN()-1,FALSE)</f>
        <v>0</v>
      </c>
      <c r="G249" s="317">
        <f>VLOOKUP($A249,'Price setting'!$E$343:$O$361,COLUMN()-1,FALSE)+VLOOKUP($A247,'Price setting'!$E$213:$O$231,COLUMN()-1,FALSE)</f>
        <v>0</v>
      </c>
      <c r="H249" s="317">
        <f ca="1">VLOOKUP($A249,'Price setting'!$E$343:$O$361,COLUMN()-1,FALSE)+VLOOKUP($A247,'Price setting'!$E$213:$O$231,COLUMN()-1,FALSE)</f>
        <v>16.360960579726299</v>
      </c>
      <c r="I249" s="317">
        <f ca="1">VLOOKUP($A249,'Price setting'!$E$343:$O$361,COLUMN()-1,FALSE)+VLOOKUP($A247,'Price setting'!$E$213:$O$231,COLUMN()-1,FALSE)</f>
        <v>17.015344295858444</v>
      </c>
      <c r="J249" s="317">
        <f ca="1">VLOOKUP($A249,'Price setting'!$E$343:$O$361,COLUMN()-1,FALSE)+VLOOKUP($A247,'Price setting'!$E$213:$O$231,COLUMN()-1,FALSE)</f>
        <v>17.699193606060053</v>
      </c>
      <c r="K249" s="317">
        <f ca="1">VLOOKUP($A249,'Price setting'!$E$343:$O$361,COLUMN()-1,FALSE)+VLOOKUP($A247,'Price setting'!$E$213:$O$231,COLUMN()-1,FALSE)</f>
        <v>18.415145058023018</v>
      </c>
      <c r="L249" s="323">
        <f ca="1">VLOOKUP($A249,'Price setting'!$E$343:$O$361,COLUMN()-1,FALSE)+VLOOKUP($A247,'Price setting'!$E$213:$O$231,COLUMN()-1,FALSE)</f>
        <v>19.161863339698254</v>
      </c>
    </row>
    <row r="250" spans="1:12">
      <c r="A250" s="60" t="s">
        <v>54</v>
      </c>
      <c r="B250" s="355" t="s">
        <v>166</v>
      </c>
      <c r="C250" s="59" t="s">
        <v>124</v>
      </c>
      <c r="D250" s="168" t="s">
        <v>75</v>
      </c>
      <c r="E250" s="169" t="s">
        <v>182</v>
      </c>
      <c r="F250" s="316">
        <f>VLOOKUP($A250,'Price setting'!$E$408:$O$426,COLUMN()-1,FALSE)+VLOOKUP($A247,'Price setting'!$E$213:$O$231,COLUMN()-1,FALSE)</f>
        <v>0</v>
      </c>
      <c r="G250" s="317">
        <f>VLOOKUP($A250,'Price setting'!$E$408:$O$426,COLUMN()-1,FALSE)+VLOOKUP($A247,'Price setting'!$E$213:$O$231,COLUMN()-1,FALSE)</f>
        <v>0</v>
      </c>
      <c r="H250" s="317">
        <f ca="1">VLOOKUP($A250,'Price setting'!$E$408:$O$426,COLUMN()-1,FALSE)+VLOOKUP($A247,'Price setting'!$E$213:$O$231,COLUMN()-1,FALSE)</f>
        <v>16.360960579726299</v>
      </c>
      <c r="I250" s="317">
        <f ca="1">VLOOKUP($A250,'Price setting'!$E$408:$O$426,COLUMN()-1,FALSE)+VLOOKUP($A247,'Price setting'!$E$213:$O$231,COLUMN()-1,FALSE)</f>
        <v>17.015344295858444</v>
      </c>
      <c r="J250" s="317">
        <f ca="1">VLOOKUP($A250,'Price setting'!$E$408:$O$426,COLUMN()-1,FALSE)+VLOOKUP($A247,'Price setting'!$E$213:$O$231,COLUMN()-1,FALSE)</f>
        <v>17.699193606060053</v>
      </c>
      <c r="K250" s="317">
        <f ca="1">VLOOKUP($A250,'Price setting'!$E$408:$O$426,COLUMN()-1,FALSE)+VLOOKUP($A247,'Price setting'!$E$213:$O$231,COLUMN()-1,FALSE)</f>
        <v>18.415145058023018</v>
      </c>
      <c r="L250" s="323">
        <f ca="1">VLOOKUP($A250,'Price setting'!$E$408:$O$426,COLUMN()-1,FALSE)+VLOOKUP($A247,'Price setting'!$E$213:$O$231,COLUMN()-1,FALSE)</f>
        <v>19.161863339698254</v>
      </c>
    </row>
    <row r="251" spans="1:12">
      <c r="A251" s="60" t="s">
        <v>54</v>
      </c>
      <c r="B251" s="355" t="s">
        <v>167</v>
      </c>
      <c r="C251" s="59" t="s">
        <v>122</v>
      </c>
      <c r="D251" s="170" t="s">
        <v>88</v>
      </c>
      <c r="E251" s="169" t="s">
        <v>182</v>
      </c>
      <c r="F251" s="262">
        <f>INDEX(BRL,ROW(Input!B$23)-5,COLUMN()+1)*Input!$H$441</f>
        <v>0</v>
      </c>
      <c r="G251" s="263">
        <f>INDEX(BRL,ROW(Input!C$23)-5,COLUMN()+1)*Input!$H$441</f>
        <v>0</v>
      </c>
      <c r="H251" s="263">
        <f>INDEX(BRL,ROW(Input!D$23)-5,COLUMN()+1)*Input!$H$441</f>
        <v>0</v>
      </c>
      <c r="I251" s="263">
        <f>INDEX(BRL,ROW(Input!E$23)-5,COLUMN()+1)*Input!$H$441</f>
        <v>0</v>
      </c>
      <c r="J251" s="263">
        <f>INDEX(BRL,ROW(Input!F$23)-5,COLUMN()+1)*Input!$H$441</f>
        <v>0</v>
      </c>
      <c r="K251" s="263">
        <f>INDEX(BRL,ROW(Input!G$23)-5,COLUMN()+1)*Input!$H$441</f>
        <v>0</v>
      </c>
      <c r="L251" s="264">
        <f>INDEX(BRL,ROW(Input!H$23)-5,COLUMN()+1)*Input!$H$441</f>
        <v>0</v>
      </c>
    </row>
    <row r="252" spans="1:12">
      <c r="A252" s="60" t="s">
        <v>54</v>
      </c>
      <c r="B252" s="355" t="s">
        <v>168</v>
      </c>
      <c r="C252" s="59" t="s">
        <v>123</v>
      </c>
      <c r="D252" s="170" t="s">
        <v>88</v>
      </c>
      <c r="E252" s="169" t="s">
        <v>182</v>
      </c>
      <c r="F252" s="262">
        <f>+INDEX(BRL,ROW(Input!B$24)-5,COLUMN()+1)*Input!$H$441</f>
        <v>0</v>
      </c>
      <c r="G252" s="263">
        <f>+INDEX(BRL,ROW(Input!C$24)-5,COLUMN()+1)*Input!$H$441</f>
        <v>0</v>
      </c>
      <c r="H252" s="263">
        <f>+INDEX(BRL,ROW(Input!D$24)-5,COLUMN()+1)*Input!$H$441</f>
        <v>0</v>
      </c>
      <c r="I252" s="263">
        <f>+INDEX(BRL,ROW(Input!E$24)-5,COLUMN()+1)*Input!$H$441</f>
        <v>0</v>
      </c>
      <c r="J252" s="263">
        <f>+INDEX(BRL,ROW(Input!F$24)-5,COLUMN()+1)*Input!$H$441</f>
        <v>0</v>
      </c>
      <c r="K252" s="263">
        <f>+INDEX(BRL,ROW(Input!G$24)-5,COLUMN()+1)*Input!$H$441</f>
        <v>0</v>
      </c>
      <c r="L252" s="264">
        <f>+INDEX(BRL,ROW(Input!H$24)-5,COLUMN()+1)*Input!$H$441</f>
        <v>0</v>
      </c>
    </row>
    <row r="253" spans="1:12">
      <c r="A253" s="60" t="s">
        <v>54</v>
      </c>
      <c r="B253" s="355" t="s">
        <v>169</v>
      </c>
      <c r="C253" s="59" t="s">
        <v>139</v>
      </c>
      <c r="D253" s="170" t="s">
        <v>74</v>
      </c>
      <c r="E253" s="169" t="s">
        <v>182</v>
      </c>
      <c r="F253" s="262">
        <f>VLOOKUP($A253,'Price setting'!$E$488:$O$506,COLUMN()-1,FALSE)</f>
        <v>0</v>
      </c>
      <c r="G253" s="263">
        <f>VLOOKUP($A253,'Price setting'!$E$488:$O$506,COLUMN()-1,FALSE)</f>
        <v>0</v>
      </c>
      <c r="H253" s="263">
        <f ca="1">VLOOKUP($A253,'Price setting'!$E$488:$O$506,COLUMN()-1,FALSE)</f>
        <v>9.7290099318025694E-2</v>
      </c>
      <c r="I253" s="263">
        <f ca="1">VLOOKUP($A253,'Price setting'!$E$488:$O$506,COLUMN()-1,FALSE)</f>
        <v>0.29395182163047079</v>
      </c>
      <c r="J253" s="263">
        <f ca="1">VLOOKUP($A253,'Price setting'!$E$488:$O$506,COLUMN()-1,FALSE)</f>
        <v>0.49290808202042813</v>
      </c>
      <c r="K253" s="263">
        <f ca="1">VLOOKUP($A253,'Price setting'!$E$488:$O$506,COLUMN()-1,FALSE)</f>
        <v>0.69343641370138698</v>
      </c>
      <c r="L253" s="264">
        <f ca="1">VLOOKUP($A253,'Price setting'!$E$488:$O$506,COLUMN()-1,FALSE)</f>
        <v>0.90705041009063914</v>
      </c>
    </row>
    <row r="254" spans="1:12">
      <c r="A254" s="60" t="str">
        <f>+A253</f>
        <v>BRL</v>
      </c>
      <c r="B254" s="355" t="s">
        <v>170</v>
      </c>
      <c r="C254" s="59" t="s">
        <v>67</v>
      </c>
      <c r="D254" s="170" t="s">
        <v>171</v>
      </c>
      <c r="E254" s="169" t="s">
        <v>182</v>
      </c>
      <c r="F254" s="320">
        <f>+Input!$H$441</f>
        <v>1.3</v>
      </c>
      <c r="G254" s="321">
        <f>+Input!$H$441</f>
        <v>1.3</v>
      </c>
      <c r="H254" s="321">
        <f>+Input!$H$441</f>
        <v>1.3</v>
      </c>
      <c r="I254" s="321">
        <f>+Input!$H$441</f>
        <v>1.3</v>
      </c>
      <c r="J254" s="321">
        <f>+Input!$H$441</f>
        <v>1.3</v>
      </c>
      <c r="K254" s="321">
        <f>+Input!$H$441</f>
        <v>1.3</v>
      </c>
      <c r="L254" s="322">
        <f>+Input!$H$441</f>
        <v>1.3</v>
      </c>
    </row>
    <row r="255" spans="1:12">
      <c r="A255" s="60" t="str">
        <f t="shared" ref="A255:A267" si="10">+A254</f>
        <v>BRL</v>
      </c>
      <c r="B255" s="355" t="s">
        <v>194</v>
      </c>
      <c r="C255" s="50" t="s">
        <v>185</v>
      </c>
      <c r="D255" s="168" t="s">
        <v>75</v>
      </c>
      <c r="E255" s="169" t="s">
        <v>182</v>
      </c>
      <c r="F255" s="316">
        <f ca="1">VLOOKUP(A255,'Price setting'!$E$89:$I$106,COLUMN()-1,FALSE)</f>
        <v>16.48773988180065</v>
      </c>
      <c r="G255" s="317"/>
      <c r="H255" s="317"/>
      <c r="I255" s="317"/>
      <c r="J255" s="317"/>
      <c r="K255" s="317"/>
      <c r="L255" s="323"/>
    </row>
    <row r="256" spans="1:12">
      <c r="A256" s="60" t="str">
        <f t="shared" si="10"/>
        <v>BRL</v>
      </c>
      <c r="B256" s="355" t="s">
        <v>195</v>
      </c>
      <c r="C256" s="50" t="s">
        <v>186</v>
      </c>
      <c r="D256" s="168" t="s">
        <v>75</v>
      </c>
      <c r="E256" s="169" t="s">
        <v>182</v>
      </c>
      <c r="F256" s="316">
        <f ca="1">VLOOKUP(A256,'Price setting'!E$254:I$271,COLUMN()-1,FALSE)+VLOOKUP(A255,'Price setting'!$E$89:$I$106,COLUMN()-1,FALSE)</f>
        <v>24.055311244560002</v>
      </c>
      <c r="G256" s="317"/>
      <c r="H256" s="317"/>
      <c r="I256" s="317"/>
      <c r="J256" s="317"/>
      <c r="K256" s="317"/>
      <c r="L256" s="323"/>
    </row>
    <row r="257" spans="1:12">
      <c r="A257" s="60" t="str">
        <f t="shared" si="10"/>
        <v>BRL</v>
      </c>
      <c r="B257" s="355" t="s">
        <v>196</v>
      </c>
      <c r="C257" s="50" t="s">
        <v>187</v>
      </c>
      <c r="D257" s="168" t="s">
        <v>75</v>
      </c>
      <c r="E257" s="169" t="s">
        <v>182</v>
      </c>
      <c r="F257" s="316">
        <f ca="1">VLOOKUP(A257,'Price setting'!E$319:I$336,COLUMN()-1,FALSE)+VLOOKUP(A255,'Price setting'!$E$89:$I$106,COLUMN()-1,FALSE)</f>
        <v>16.48773988180065</v>
      </c>
      <c r="G257" s="317"/>
      <c r="H257" s="317"/>
      <c r="I257" s="317"/>
      <c r="J257" s="317"/>
      <c r="K257" s="317"/>
      <c r="L257" s="323"/>
    </row>
    <row r="258" spans="1:12">
      <c r="A258" s="60" t="str">
        <f t="shared" si="10"/>
        <v>BRL</v>
      </c>
      <c r="B258" s="355" t="s">
        <v>197</v>
      </c>
      <c r="C258" s="50" t="s">
        <v>188</v>
      </c>
      <c r="D258" s="168" t="s">
        <v>75</v>
      </c>
      <c r="E258" s="169" t="s">
        <v>182</v>
      </c>
      <c r="F258" s="316">
        <f ca="1">(VLOOKUP(A258,'Price setting'!E$384:I$401,COLUMN()-1,FALSE)+VLOOKUP(A255,'Price setting'!$E$89:$I$106,COLUMN()-1,FALSE))*+Input!$H$441</f>
        <v>21.434061846340846</v>
      </c>
      <c r="G258" s="317"/>
      <c r="H258" s="317"/>
      <c r="I258" s="317"/>
      <c r="J258" s="317"/>
      <c r="K258" s="317"/>
      <c r="L258" s="323"/>
    </row>
    <row r="259" spans="1:12">
      <c r="A259" s="60" t="str">
        <f t="shared" si="10"/>
        <v>BRL</v>
      </c>
      <c r="B259" s="355" t="s">
        <v>198</v>
      </c>
      <c r="C259" s="50" t="s">
        <v>189</v>
      </c>
      <c r="D259" s="168" t="s">
        <v>75</v>
      </c>
      <c r="E259" s="169" t="s">
        <v>182</v>
      </c>
      <c r="F259" s="316">
        <f ca="1">VLOOKUP(A259,'Price setting'!E$89:I$106,COLUMN()-1,FALSE)*+Input!$H$441</f>
        <v>21.434061846340846</v>
      </c>
      <c r="G259" s="317"/>
      <c r="H259" s="317"/>
      <c r="I259" s="317"/>
      <c r="J259" s="317"/>
      <c r="K259" s="317"/>
      <c r="L259" s="323"/>
    </row>
    <row r="260" spans="1:12" s="53" customFormat="1">
      <c r="A260" s="60" t="str">
        <f t="shared" si="10"/>
        <v>BRL</v>
      </c>
      <c r="B260" s="356" t="s">
        <v>204</v>
      </c>
      <c r="C260" s="50" t="s">
        <v>203</v>
      </c>
      <c r="D260" s="168" t="s">
        <v>75</v>
      </c>
      <c r="E260" s="169" t="s">
        <v>182</v>
      </c>
      <c r="F260" s="316"/>
      <c r="G260" s="317"/>
      <c r="H260" s="317">
        <f ca="1">VLOOKUP($A260,'Price setting'!$E$213:$O$230,COLUMN()-1,FALSE)</f>
        <v>16.360960579726299</v>
      </c>
      <c r="I260" s="317">
        <f ca="1">VLOOKUP($A260,'Price setting'!$E$213:$O$230,COLUMN()-1,FALSE)</f>
        <v>17.015344295858444</v>
      </c>
      <c r="J260" s="317">
        <f ca="1">VLOOKUP($A260,'Price setting'!$E$213:$O$230,COLUMN()-1,FALSE)</f>
        <v>17.699193606060053</v>
      </c>
      <c r="K260" s="317">
        <f ca="1">VLOOKUP($A260,'Price setting'!$E$213:$O$230,COLUMN()-1,FALSE)</f>
        <v>18.415145058023018</v>
      </c>
      <c r="L260" s="323">
        <f ca="1">VLOOKUP($A260,'Price setting'!$E$213:$O$230,COLUMN()-1,FALSE)</f>
        <v>19.161863339698254</v>
      </c>
    </row>
    <row r="261" spans="1:12">
      <c r="A261" s="60" t="str">
        <f t="shared" si="10"/>
        <v>BRL</v>
      </c>
      <c r="B261" s="355" t="s">
        <v>199</v>
      </c>
      <c r="C261" s="50" t="s">
        <v>190</v>
      </c>
      <c r="D261" s="168" t="s">
        <v>75</v>
      </c>
      <c r="E261" s="169" t="s">
        <v>182</v>
      </c>
      <c r="F261" s="316"/>
      <c r="G261" s="317"/>
      <c r="H261" s="317">
        <f ca="1">VLOOKUP($A260,'Price setting'!$E$213:$O$230,COLUMN()-1,FALSE)*+Input!$H$441</f>
        <v>21.269248753644192</v>
      </c>
      <c r="I261" s="317">
        <f ca="1">VLOOKUP($A260,'Price setting'!$E$213:$O$230,COLUMN()-1,FALSE)*+Input!$H$441</f>
        <v>22.119947584615979</v>
      </c>
      <c r="J261" s="317">
        <f ca="1">VLOOKUP($A260,'Price setting'!$E$213:$O$230,COLUMN()-1,FALSE)*+Input!$H$441</f>
        <v>23.008951687878071</v>
      </c>
      <c r="K261" s="317">
        <f ca="1">VLOOKUP($A260,'Price setting'!$E$213:$O$230,COLUMN()-1,FALSE)*+Input!$H$441</f>
        <v>23.939688575429926</v>
      </c>
      <c r="L261" s="323">
        <f ca="1">VLOOKUP($A260,'Price setting'!$E$213:$O$230,COLUMN()-1,FALSE)*+Input!$H$441</f>
        <v>24.910422341607731</v>
      </c>
    </row>
    <row r="262" spans="1:12">
      <c r="A262" s="60" t="str">
        <f t="shared" si="10"/>
        <v>BRL</v>
      </c>
      <c r="B262" s="355" t="s">
        <v>200</v>
      </c>
      <c r="C262" s="50" t="s">
        <v>191</v>
      </c>
      <c r="D262" s="168" t="s">
        <v>75</v>
      </c>
      <c r="E262" s="169" t="s">
        <v>182</v>
      </c>
      <c r="F262" s="316"/>
      <c r="G262" s="317"/>
      <c r="H262" s="317">
        <f ca="1">VLOOKUP($A262,'Price setting'!$E$278:$O$295,COLUMN()-1,FALSE)+VLOOKUP($A260,'Price setting'!$E$213:$O$230,COLUMN()-1,FALSE)</f>
        <v>23.484369599761454</v>
      </c>
      <c r="I262" s="317">
        <f ca="1">VLOOKUP($A262,'Price setting'!$E$278:$O$295,COLUMN()-1,FALSE)+VLOOKUP($A260,'Price setting'!$E$213:$O$230,COLUMN()-1,FALSE)</f>
        <v>23.694590973169401</v>
      </c>
      <c r="J262" s="317">
        <f ca="1">VLOOKUP($A262,'Price setting'!$E$278:$O$295,COLUMN()-1,FALSE)+VLOOKUP($A260,'Price setting'!$E$213:$O$230,COLUMN()-1,FALSE)</f>
        <v>23.934277940646812</v>
      </c>
      <c r="K262" s="317">
        <f ca="1">VLOOKUP($A262,'Price setting'!$E$278:$O$295,COLUMN()-1,FALSE)+VLOOKUP($A260,'Price setting'!$E$213:$O$230,COLUMN()-1,FALSE)</f>
        <v>24.206067049885579</v>
      </c>
      <c r="L262" s="323">
        <f ca="1">VLOOKUP($A262,'Price setting'!$E$278:$O$295,COLUMN()-1,FALSE)+VLOOKUP($A260,'Price setting'!$E$213:$O$230,COLUMN()-1,FALSE)</f>
        <v>24.952785331560815</v>
      </c>
    </row>
    <row r="263" spans="1:12">
      <c r="A263" s="60" t="str">
        <f t="shared" si="10"/>
        <v>BRL</v>
      </c>
      <c r="B263" s="355" t="s">
        <v>201</v>
      </c>
      <c r="C263" s="50" t="s">
        <v>192</v>
      </c>
      <c r="D263" s="168" t="s">
        <v>75</v>
      </c>
      <c r="E263" s="169" t="s">
        <v>182</v>
      </c>
      <c r="F263" s="316"/>
      <c r="G263" s="317"/>
      <c r="H263" s="317">
        <f ca="1">VLOOKUP($A263,'Price setting'!$E$343:$O$360,COLUMN()-1,FALSE)+VLOOKUP($A260,'Price setting'!$E$213:$O$230,COLUMN()-1,FALSE)</f>
        <v>16.360960579726299</v>
      </c>
      <c r="I263" s="317">
        <f ca="1">VLOOKUP($A263,'Price setting'!$E$343:$O$360,COLUMN()-1,FALSE)+VLOOKUP($A260,'Price setting'!$E$213:$O$230,COLUMN()-1,FALSE)</f>
        <v>17.015344295858444</v>
      </c>
      <c r="J263" s="317">
        <f ca="1">VLOOKUP($A263,'Price setting'!$E$343:$O$360,COLUMN()-1,FALSE)+VLOOKUP($A260,'Price setting'!$E$213:$O$230,COLUMN()-1,FALSE)</f>
        <v>17.699193606060053</v>
      </c>
      <c r="K263" s="317">
        <f ca="1">VLOOKUP($A263,'Price setting'!$E$343:$O$360,COLUMN()-1,FALSE)+VLOOKUP($A260,'Price setting'!$E$213:$O$230,COLUMN()-1,FALSE)</f>
        <v>18.415145058023018</v>
      </c>
      <c r="L263" s="323">
        <f ca="1">VLOOKUP($A263,'Price setting'!$E$343:$O$360,COLUMN()-1,FALSE)+VLOOKUP($A260,'Price setting'!$E$213:$O$230,COLUMN()-1,FALSE)</f>
        <v>19.161863339698254</v>
      </c>
    </row>
    <row r="264" spans="1:12">
      <c r="A264" s="60" t="str">
        <f t="shared" si="10"/>
        <v>BRL</v>
      </c>
      <c r="B264" s="355" t="s">
        <v>202</v>
      </c>
      <c r="C264" s="50" t="s">
        <v>193</v>
      </c>
      <c r="D264" s="168" t="s">
        <v>75</v>
      </c>
      <c r="E264" s="169" t="s">
        <v>182</v>
      </c>
      <c r="F264" s="316"/>
      <c r="G264" s="317"/>
      <c r="H264" s="317">
        <f ca="1">(VLOOKUP($A264,'Price setting'!$E$408:$O$425,COLUMN()-1,FALSE)+VLOOKUP($A260,'Price setting'!$E$213:$O$230,COLUMN()-1,FALSE))*+Input!$H$441</f>
        <v>21.269248753644192</v>
      </c>
      <c r="I264" s="317">
        <f ca="1">(VLOOKUP($A264,'Price setting'!$E$408:$O$425,COLUMN()-1,FALSE)+VLOOKUP($A260,'Price setting'!$E$213:$O$230,COLUMN()-1,FALSE))*+Input!$H$441</f>
        <v>22.119947584615979</v>
      </c>
      <c r="J264" s="317">
        <f ca="1">(VLOOKUP($A264,'Price setting'!$E$408:$O$425,COLUMN()-1,FALSE)+VLOOKUP($A260,'Price setting'!$E$213:$O$230,COLUMN()-1,FALSE))*+Input!$H$441</f>
        <v>23.008951687878071</v>
      </c>
      <c r="K264" s="317">
        <f ca="1">(VLOOKUP($A264,'Price setting'!$E$408:$O$425,COLUMN()-1,FALSE)+VLOOKUP($A260,'Price setting'!$E$213:$O$230,COLUMN()-1,FALSE))*+Input!$H$441</f>
        <v>23.939688575429926</v>
      </c>
      <c r="L264" s="323">
        <f ca="1">(VLOOKUP($A264,'Price setting'!$E$408:$O$425,COLUMN()-1,FALSE)+VLOOKUP($A260,'Price setting'!$E$213:$O$230,COLUMN()-1,FALSE))*+Input!$H$441</f>
        <v>24.910422341607731</v>
      </c>
    </row>
    <row r="265" spans="1:12">
      <c r="A265" s="60" t="str">
        <f t="shared" si="10"/>
        <v>BRL</v>
      </c>
      <c r="B265" s="355" t="s">
        <v>208</v>
      </c>
      <c r="C265" s="21" t="s">
        <v>205</v>
      </c>
      <c r="D265" s="168" t="s">
        <v>75</v>
      </c>
      <c r="E265" s="169" t="s">
        <v>182</v>
      </c>
      <c r="F265" s="262">
        <f ca="1">VLOOKUP($A265,'Price setting'!$E$49:$I$66,COLUMN()-1,FALSE)</f>
        <v>0.36795105723845112</v>
      </c>
      <c r="G265" s="263"/>
      <c r="H265" s="263"/>
      <c r="I265" s="263"/>
      <c r="J265" s="263"/>
      <c r="K265" s="263"/>
      <c r="L265" s="264"/>
    </row>
    <row r="266" spans="1:12">
      <c r="A266" s="60" t="str">
        <f t="shared" si="10"/>
        <v>BRL</v>
      </c>
      <c r="B266" s="355" t="s">
        <v>206</v>
      </c>
      <c r="C266" s="21" t="s">
        <v>132</v>
      </c>
      <c r="D266" s="168" t="s">
        <v>74</v>
      </c>
      <c r="E266" s="169" t="s">
        <v>182</v>
      </c>
      <c r="F266" s="262">
        <f ca="1">'Used inputs'!I169</f>
        <v>8.5756592827682798</v>
      </c>
      <c r="G266" s="263">
        <f>'Used inputs'!J169</f>
        <v>8.7356873670377073</v>
      </c>
      <c r="H266" s="263">
        <f ca="1">'Used inputs'!K169</f>
        <v>8.9461905253797678</v>
      </c>
      <c r="I266" s="263">
        <f ca="1">'Used inputs'!L169</f>
        <v>9.1477358732706886</v>
      </c>
      <c r="J266" s="263">
        <f ca="1">'Used inputs'!M169</f>
        <v>9.3388226816469881</v>
      </c>
      <c r="K266" s="263">
        <f ca="1">'Used inputs'!N169</f>
        <v>9.5204670940674596</v>
      </c>
      <c r="L266" s="264">
        <f ca="1">'Used inputs'!O169</f>
        <v>9.6927089191770381</v>
      </c>
    </row>
    <row r="267" spans="1:12">
      <c r="A267" s="60" t="str">
        <f t="shared" si="10"/>
        <v>BRL</v>
      </c>
      <c r="B267" s="355" t="s">
        <v>207</v>
      </c>
      <c r="C267" s="21" t="s">
        <v>157</v>
      </c>
      <c r="D267" s="168" t="s">
        <v>74</v>
      </c>
      <c r="E267" s="169" t="s">
        <v>182</v>
      </c>
      <c r="F267" s="262">
        <f>'Used inputs'!I182</f>
        <v>0.97843424951466229</v>
      </c>
      <c r="G267" s="263">
        <f>'Used inputs'!J182</f>
        <v>0.48180368510640226</v>
      </c>
      <c r="H267" s="263">
        <f>'Used inputs'!K182</f>
        <v>0.6463998207151761</v>
      </c>
      <c r="I267" s="263">
        <f>'Used inputs'!L182</f>
        <v>0.83853379717082932</v>
      </c>
      <c r="J267" s="263">
        <f>'Used inputs'!M182</f>
        <v>1.0451276737228996</v>
      </c>
      <c r="K267" s="263">
        <f>'Used inputs'!N182</f>
        <v>1.2660575941593641</v>
      </c>
      <c r="L267" s="264">
        <f>'Used inputs'!O182</f>
        <v>1.5010982331417249</v>
      </c>
    </row>
    <row r="268" spans="1:12">
      <c r="A268" s="60" t="s">
        <v>66</v>
      </c>
      <c r="B268" s="355" t="s">
        <v>162</v>
      </c>
      <c r="C268" s="59" t="s">
        <v>175</v>
      </c>
      <c r="D268" s="169" t="s">
        <v>74</v>
      </c>
      <c r="E268" s="169" t="s">
        <v>182</v>
      </c>
      <c r="F268" s="262">
        <f>VLOOKUP($A268,'Price setting'!$E$448:$O$466,COLUMN()-1,FALSE)</f>
        <v>0</v>
      </c>
      <c r="G268" s="263">
        <f>VLOOKUP($A268,'Price setting'!$E$448:$O$466,COLUMN()-1,FALSE)</f>
        <v>0</v>
      </c>
      <c r="H268" s="263">
        <f ca="1">VLOOKUP($A268,'Price setting'!$E$448:$O$466,COLUMN()-1,FALSE)</f>
        <v>13.906445228695809</v>
      </c>
      <c r="I268" s="263">
        <f ca="1">VLOOKUP($A268,'Price setting'!$E$448:$O$466,COLUMN()-1,FALSE)</f>
        <v>14.172319409430177</v>
      </c>
      <c r="J268" s="263">
        <f ca="1">VLOOKUP($A268,'Price setting'!$E$448:$O$466,COLUMN()-1,FALSE)</f>
        <v>14.681235485238476</v>
      </c>
      <c r="K268" s="263">
        <f ca="1">VLOOKUP($A268,'Price setting'!$E$448:$O$466,COLUMN()-1,FALSE)</f>
        <v>15.511407516512822</v>
      </c>
      <c r="L268" s="264">
        <f ca="1">VLOOKUP($A268,'Price setting'!$E$448:$O$466,COLUMN()-1,FALSE)</f>
        <v>15.834536663396054</v>
      </c>
    </row>
    <row r="269" spans="1:12">
      <c r="A269" s="60" t="s">
        <v>66</v>
      </c>
      <c r="B269" s="355" t="s">
        <v>163</v>
      </c>
      <c r="C269" s="59" t="s">
        <v>118</v>
      </c>
      <c r="D269" s="168" t="s">
        <v>75</v>
      </c>
      <c r="E269" s="169" t="s">
        <v>182</v>
      </c>
      <c r="F269" s="316">
        <f>VLOOKUP($A269,'Price setting'!$E$213:$O$231,COLUMN()-1,FALSE)</f>
        <v>0</v>
      </c>
      <c r="G269" s="317">
        <f>VLOOKUP($A269,'Price setting'!$E$213:$O$231,COLUMN()-1,FALSE)</f>
        <v>0</v>
      </c>
      <c r="H269" s="317">
        <f ca="1">VLOOKUP($A269,'Price setting'!$E$213:$O$231,COLUMN()-1,FALSE)</f>
        <v>18.925662827167361</v>
      </c>
      <c r="I269" s="317">
        <f ca="1">VLOOKUP($A269,'Price setting'!$E$213:$O$231,COLUMN()-1,FALSE)</f>
        <v>19.118883996092649</v>
      </c>
      <c r="J269" s="317">
        <f ca="1">VLOOKUP($A269,'Price setting'!$E$213:$O$231,COLUMN()-1,FALSE)</f>
        <v>19.670714855000266</v>
      </c>
      <c r="K269" s="317">
        <f ca="1">VLOOKUP($A269,'Price setting'!$E$213:$O$231,COLUMN()-1,FALSE)</f>
        <v>20.692638099430511</v>
      </c>
      <c r="L269" s="323">
        <f ca="1">VLOOKUP($A269,'Price setting'!$E$213:$O$231,COLUMN()-1,FALSE)</f>
        <v>20.941767957299199</v>
      </c>
    </row>
    <row r="270" spans="1:12">
      <c r="A270" s="60" t="s">
        <v>66</v>
      </c>
      <c r="B270" s="355" t="s">
        <v>164</v>
      </c>
      <c r="C270" s="59" t="s">
        <v>119</v>
      </c>
      <c r="D270" s="168" t="s">
        <v>75</v>
      </c>
      <c r="E270" s="169" t="s">
        <v>182</v>
      </c>
      <c r="F270" s="316">
        <f>VLOOKUP($A270,'Price setting'!$E$278:$O$296,COLUMN()-1,FALSE)+VLOOKUP($A269,'Price setting'!$E$213:$O$231,COLUMN()-1,FALSE)</f>
        <v>0</v>
      </c>
      <c r="G270" s="317">
        <f>VLOOKUP($A270,'Price setting'!$E$278:$O$296,COLUMN()-1,FALSE)+VLOOKUP($A269,'Price setting'!$E$213:$O$231,COLUMN()-1,FALSE)</f>
        <v>0</v>
      </c>
      <c r="H270" s="317">
        <f ca="1">VLOOKUP($A270,'Price setting'!$E$278:$O$296,COLUMN()-1,FALSE)+VLOOKUP($A269,'Price setting'!$E$213:$O$231,COLUMN()-1,FALSE)</f>
        <v>24.519724629972561</v>
      </c>
      <c r="I270" s="317">
        <f ca="1">VLOOKUP($A270,'Price setting'!$E$278:$O$296,COLUMN()-1,FALSE)+VLOOKUP($A269,'Price setting'!$E$213:$O$231,COLUMN()-1,FALSE)</f>
        <v>24.714386003297662</v>
      </c>
      <c r="J270" s="317">
        <f ca="1">VLOOKUP($A270,'Price setting'!$E$278:$O$296,COLUMN()-1,FALSE)+VLOOKUP($A269,'Price setting'!$E$213:$O$231,COLUMN()-1,FALSE)</f>
        <v>25.267438913121129</v>
      </c>
      <c r="K270" s="317">
        <f ca="1">VLOOKUP($A270,'Price setting'!$E$278:$O$296,COLUMN()-1,FALSE)+VLOOKUP($A269,'Price setting'!$E$213:$O$231,COLUMN()-1,FALSE)</f>
        <v>26.290256023815779</v>
      </c>
      <c r="L270" s="323">
        <f ca="1">VLOOKUP($A270,'Price setting'!$E$278:$O$296,COLUMN()-1,FALSE)+VLOOKUP($A269,'Price setting'!$E$213:$O$231,COLUMN()-1,FALSE)</f>
        <v>26.540089467717806</v>
      </c>
    </row>
    <row r="271" spans="1:12">
      <c r="A271" s="60" t="s">
        <v>66</v>
      </c>
      <c r="B271" s="355" t="s">
        <v>165</v>
      </c>
      <c r="C271" s="59" t="s">
        <v>120</v>
      </c>
      <c r="D271" s="168" t="s">
        <v>75</v>
      </c>
      <c r="E271" s="169" t="s">
        <v>182</v>
      </c>
      <c r="F271" s="316">
        <f>VLOOKUP($A271,'Price setting'!$E$343:$O$361,COLUMN()-1,FALSE)+VLOOKUP($A269,'Price setting'!$E$213:$O$231,COLUMN()-1,FALSE)</f>
        <v>0</v>
      </c>
      <c r="G271" s="317">
        <f>VLOOKUP($A271,'Price setting'!$E$343:$O$361,COLUMN()-1,FALSE)+VLOOKUP($A269,'Price setting'!$E$213:$O$231,COLUMN()-1,FALSE)</f>
        <v>0</v>
      </c>
      <c r="H271" s="317">
        <f ca="1">VLOOKUP($A271,'Price setting'!$E$343:$O$361,COLUMN()-1,FALSE)+VLOOKUP($A269,'Price setting'!$E$213:$O$231,COLUMN()-1,FALSE)</f>
        <v>18.925662827167361</v>
      </c>
      <c r="I271" s="317">
        <f ca="1">VLOOKUP($A271,'Price setting'!$E$343:$O$361,COLUMN()-1,FALSE)+VLOOKUP($A269,'Price setting'!$E$213:$O$231,COLUMN()-1,FALSE)</f>
        <v>19.118883996092649</v>
      </c>
      <c r="J271" s="317">
        <f ca="1">VLOOKUP($A271,'Price setting'!$E$343:$O$361,COLUMN()-1,FALSE)+VLOOKUP($A269,'Price setting'!$E$213:$O$231,COLUMN()-1,FALSE)</f>
        <v>19.670714855000266</v>
      </c>
      <c r="K271" s="317">
        <f ca="1">VLOOKUP($A271,'Price setting'!$E$343:$O$361,COLUMN()-1,FALSE)+VLOOKUP($A269,'Price setting'!$E$213:$O$231,COLUMN()-1,FALSE)</f>
        <v>20.692638099430511</v>
      </c>
      <c r="L271" s="323">
        <f ca="1">VLOOKUP($A271,'Price setting'!$E$343:$O$361,COLUMN()-1,FALSE)+VLOOKUP($A269,'Price setting'!$E$213:$O$231,COLUMN()-1,FALSE)</f>
        <v>20.941767957299199</v>
      </c>
    </row>
    <row r="272" spans="1:12">
      <c r="A272" s="60" t="s">
        <v>66</v>
      </c>
      <c r="B272" s="355" t="s">
        <v>166</v>
      </c>
      <c r="C272" s="59" t="s">
        <v>124</v>
      </c>
      <c r="D272" s="168" t="s">
        <v>75</v>
      </c>
      <c r="E272" s="169" t="s">
        <v>182</v>
      </c>
      <c r="F272" s="316">
        <f>VLOOKUP($A272,'Price setting'!$E$408:$O$426,COLUMN()-1,FALSE)+VLOOKUP($A269,'Price setting'!$E$213:$O$231,COLUMN()-1,FALSE)</f>
        <v>0</v>
      </c>
      <c r="G272" s="317">
        <f>VLOOKUP($A272,'Price setting'!$E$408:$O$426,COLUMN()-1,FALSE)+VLOOKUP($A269,'Price setting'!$E$213:$O$231,COLUMN()-1,FALSE)</f>
        <v>0</v>
      </c>
      <c r="H272" s="317">
        <f ca="1">VLOOKUP($A272,'Price setting'!$E$408:$O$426,COLUMN()-1,FALSE)+VLOOKUP($A269,'Price setting'!$E$213:$O$231,COLUMN()-1,FALSE)</f>
        <v>18.925662827167361</v>
      </c>
      <c r="I272" s="317">
        <f ca="1">VLOOKUP($A272,'Price setting'!$E$408:$O$426,COLUMN()-1,FALSE)+VLOOKUP($A269,'Price setting'!$E$213:$O$231,COLUMN()-1,FALSE)</f>
        <v>19.118883996092649</v>
      </c>
      <c r="J272" s="317">
        <f ca="1">VLOOKUP($A272,'Price setting'!$E$408:$O$426,COLUMN()-1,FALSE)+VLOOKUP($A269,'Price setting'!$E$213:$O$231,COLUMN()-1,FALSE)</f>
        <v>19.670714855000266</v>
      </c>
      <c r="K272" s="317">
        <f ca="1">VLOOKUP($A272,'Price setting'!$E$408:$O$426,COLUMN()-1,FALSE)+VLOOKUP($A269,'Price setting'!$E$213:$O$231,COLUMN()-1,FALSE)</f>
        <v>20.692638099430511</v>
      </c>
      <c r="L272" s="323">
        <f ca="1">VLOOKUP($A272,'Price setting'!$E$408:$O$426,COLUMN()-1,FALSE)+VLOOKUP($A269,'Price setting'!$E$213:$O$231,COLUMN()-1,FALSE)</f>
        <v>20.941767957299199</v>
      </c>
    </row>
    <row r="273" spans="1:12">
      <c r="A273" s="60" t="s">
        <v>66</v>
      </c>
      <c r="B273" s="355" t="s">
        <v>167</v>
      </c>
      <c r="C273" s="59" t="s">
        <v>122</v>
      </c>
      <c r="D273" s="170" t="s">
        <v>88</v>
      </c>
      <c r="E273" s="169" t="s">
        <v>182</v>
      </c>
      <c r="F273" s="262">
        <f>INDEX(SSC,ROW(Input!B$23)-5,COLUMN()+1)*Input!$H$441</f>
        <v>0</v>
      </c>
      <c r="G273" s="263">
        <f>INDEX(SSC,ROW(Input!C$23)-5,COLUMN()+1)*Input!$H$441</f>
        <v>0</v>
      </c>
      <c r="H273" s="263">
        <f>INDEX(SSC,ROW(Input!D$23)-5,COLUMN()+1)*Input!$H$441</f>
        <v>0</v>
      </c>
      <c r="I273" s="263">
        <f>INDEX(SSC,ROW(Input!E$23)-5,COLUMN()+1)*Input!$H$441</f>
        <v>0</v>
      </c>
      <c r="J273" s="263">
        <f>INDEX(SSC,ROW(Input!F$23)-5,COLUMN()+1)*Input!$H$441</f>
        <v>0</v>
      </c>
      <c r="K273" s="263">
        <f>INDEX(SSC,ROW(Input!G$23)-5,COLUMN()+1)*Input!$H$441</f>
        <v>0</v>
      </c>
      <c r="L273" s="264">
        <f>INDEX(SSC,ROW(Input!H$23)-5,COLUMN()+1)*Input!$H$441</f>
        <v>0</v>
      </c>
    </row>
    <row r="274" spans="1:12">
      <c r="A274" s="60" t="s">
        <v>66</v>
      </c>
      <c r="B274" s="355" t="s">
        <v>168</v>
      </c>
      <c r="C274" s="59" t="s">
        <v>123</v>
      </c>
      <c r="D274" s="170" t="s">
        <v>88</v>
      </c>
      <c r="E274" s="169" t="s">
        <v>182</v>
      </c>
      <c r="F274" s="262">
        <f>+INDEX(SSC,ROW(Input!B$24)-5,COLUMN()+1)*Input!$H$441</f>
        <v>0</v>
      </c>
      <c r="G274" s="263">
        <f>+INDEX(SSC,ROW(Input!C$24)-5,COLUMN()+1)*Input!$H$441</f>
        <v>0</v>
      </c>
      <c r="H274" s="263">
        <f>+INDEX(SSC,ROW(Input!D$24)-5,COLUMN()+1)*Input!$H$441</f>
        <v>0</v>
      </c>
      <c r="I274" s="263">
        <f>+INDEX(SSC,ROW(Input!E$24)-5,COLUMN()+1)*Input!$H$441</f>
        <v>0</v>
      </c>
      <c r="J274" s="263">
        <f>+INDEX(SSC,ROW(Input!F$24)-5,COLUMN()+1)*Input!$H$441</f>
        <v>0</v>
      </c>
      <c r="K274" s="263">
        <f>+INDEX(SSC,ROW(Input!G$24)-5,COLUMN()+1)*Input!$H$441</f>
        <v>0</v>
      </c>
      <c r="L274" s="264">
        <f>+INDEX(SSC,ROW(Input!H$24)-5,COLUMN()+1)*Input!$H$441</f>
        <v>0</v>
      </c>
    </row>
    <row r="275" spans="1:12">
      <c r="A275" s="60" t="s">
        <v>66</v>
      </c>
      <c r="B275" s="355" t="s">
        <v>169</v>
      </c>
      <c r="C275" s="59" t="s">
        <v>139</v>
      </c>
      <c r="D275" s="170" t="s">
        <v>74</v>
      </c>
      <c r="E275" s="169" t="s">
        <v>182</v>
      </c>
      <c r="F275" s="262">
        <f>VLOOKUP($A275,'Price setting'!$E$488:$O$506,COLUMN()-1,FALSE)</f>
        <v>0</v>
      </c>
      <c r="G275" s="263">
        <f>VLOOKUP($A275,'Price setting'!$E$488:$O$506,COLUMN()-1,FALSE)</f>
        <v>0</v>
      </c>
      <c r="H275" s="263">
        <f ca="1">VLOOKUP($A275,'Price setting'!$E$488:$O$506,COLUMN()-1,FALSE)</f>
        <v>0.20640147867952005</v>
      </c>
      <c r="I275" s="263">
        <f ca="1">VLOOKUP($A275,'Price setting'!$E$488:$O$506,COLUMN()-1,FALSE)</f>
        <v>0.40500223564403426</v>
      </c>
      <c r="J275" s="263">
        <f ca="1">VLOOKUP($A275,'Price setting'!$E$488:$O$506,COLUMN()-1,FALSE)</f>
        <v>0.62154746780035008</v>
      </c>
      <c r="K275" s="263">
        <f ca="1">VLOOKUP($A275,'Price setting'!$E$488:$O$506,COLUMN()-1,FALSE)</f>
        <v>0.84107221700378243</v>
      </c>
      <c r="L275" s="264">
        <f ca="1">VLOOKUP($A275,'Price setting'!$E$488:$O$506,COLUMN()-1,FALSE)</f>
        <v>0.9821440632926044</v>
      </c>
    </row>
    <row r="276" spans="1:12">
      <c r="A276" s="60" t="str">
        <f>+A275</f>
        <v>SSC</v>
      </c>
      <c r="B276" s="355" t="s">
        <v>170</v>
      </c>
      <c r="C276" s="59" t="s">
        <v>67</v>
      </c>
      <c r="D276" s="170" t="s">
        <v>171</v>
      </c>
      <c r="E276" s="169" t="s">
        <v>182</v>
      </c>
      <c r="F276" s="320">
        <f>+Input!$H$441</f>
        <v>1.3</v>
      </c>
      <c r="G276" s="321">
        <f>+Input!$H$441</f>
        <v>1.3</v>
      </c>
      <c r="H276" s="321">
        <f>+Input!$H$441</f>
        <v>1.3</v>
      </c>
      <c r="I276" s="321">
        <f>+Input!$H$441</f>
        <v>1.3</v>
      </c>
      <c r="J276" s="321">
        <f>+Input!$H$441</f>
        <v>1.3</v>
      </c>
      <c r="K276" s="321">
        <f>+Input!$H$441</f>
        <v>1.3</v>
      </c>
      <c r="L276" s="322">
        <f>+Input!$H$441</f>
        <v>1.3</v>
      </c>
    </row>
    <row r="277" spans="1:12">
      <c r="A277" s="60" t="str">
        <f t="shared" ref="A277:A289" si="11">+A276</f>
        <v>SSC</v>
      </c>
      <c r="B277" s="355" t="s">
        <v>194</v>
      </c>
      <c r="C277" s="50" t="s">
        <v>185</v>
      </c>
      <c r="D277" s="168" t="s">
        <v>75</v>
      </c>
      <c r="E277" s="169" t="s">
        <v>182</v>
      </c>
      <c r="F277" s="316">
        <f ca="1">VLOOKUP(A277,'Price setting'!$E$89:$I$106,COLUMN()-1,FALSE)</f>
        <v>22.457304912371423</v>
      </c>
      <c r="G277" s="317"/>
      <c r="H277" s="317"/>
      <c r="I277" s="317"/>
      <c r="J277" s="317"/>
      <c r="K277" s="317"/>
      <c r="L277" s="323"/>
    </row>
    <row r="278" spans="1:12">
      <c r="A278" s="60" t="str">
        <f t="shared" si="11"/>
        <v>SSC</v>
      </c>
      <c r="B278" s="355" t="s">
        <v>195</v>
      </c>
      <c r="C278" s="50" t="s">
        <v>186</v>
      </c>
      <c r="D278" s="168" t="s">
        <v>75</v>
      </c>
      <c r="E278" s="169" t="s">
        <v>182</v>
      </c>
      <c r="F278" s="316">
        <f ca="1">VLOOKUP(A278,'Price setting'!E$254:I$271,COLUMN()-1,FALSE)+VLOOKUP(A277,'Price setting'!$E$89:$I$106,COLUMN()-1,FALSE)</f>
        <v>27.510941610067132</v>
      </c>
      <c r="G278" s="317"/>
      <c r="H278" s="317"/>
      <c r="I278" s="317"/>
      <c r="J278" s="317"/>
      <c r="K278" s="317"/>
      <c r="L278" s="323"/>
    </row>
    <row r="279" spans="1:12">
      <c r="A279" s="60" t="str">
        <f t="shared" si="11"/>
        <v>SSC</v>
      </c>
      <c r="B279" s="355" t="s">
        <v>196</v>
      </c>
      <c r="C279" s="50" t="s">
        <v>187</v>
      </c>
      <c r="D279" s="168" t="s">
        <v>75</v>
      </c>
      <c r="E279" s="169" t="s">
        <v>182</v>
      </c>
      <c r="F279" s="316">
        <f ca="1">VLOOKUP(A279,'Price setting'!E$319:I$336,COLUMN()-1,FALSE)+VLOOKUP(A277,'Price setting'!$E$89:$I$106,COLUMN()-1,FALSE)</f>
        <v>22.457304912371423</v>
      </c>
      <c r="G279" s="317"/>
      <c r="H279" s="317"/>
      <c r="I279" s="317"/>
      <c r="J279" s="317"/>
      <c r="K279" s="317"/>
      <c r="L279" s="323"/>
    </row>
    <row r="280" spans="1:12">
      <c r="A280" s="60" t="str">
        <f t="shared" si="11"/>
        <v>SSC</v>
      </c>
      <c r="B280" s="355" t="s">
        <v>197</v>
      </c>
      <c r="C280" s="50" t="s">
        <v>188</v>
      </c>
      <c r="D280" s="168" t="s">
        <v>75</v>
      </c>
      <c r="E280" s="169" t="s">
        <v>182</v>
      </c>
      <c r="F280" s="316">
        <f ca="1">(VLOOKUP(A280,'Price setting'!E$384:I$401,COLUMN()-1,FALSE)+VLOOKUP(A277,'Price setting'!$E$89:$I$106,COLUMN()-1,FALSE))*+Input!$H$441</f>
        <v>29.19449638608285</v>
      </c>
      <c r="G280" s="317"/>
      <c r="H280" s="317"/>
      <c r="I280" s="317"/>
      <c r="J280" s="317"/>
      <c r="K280" s="317"/>
      <c r="L280" s="323"/>
    </row>
    <row r="281" spans="1:12">
      <c r="A281" s="60" t="str">
        <f t="shared" si="11"/>
        <v>SSC</v>
      </c>
      <c r="B281" s="355" t="s">
        <v>198</v>
      </c>
      <c r="C281" s="50" t="s">
        <v>189</v>
      </c>
      <c r="D281" s="168" t="s">
        <v>75</v>
      </c>
      <c r="E281" s="169" t="s">
        <v>182</v>
      </c>
      <c r="F281" s="316">
        <f ca="1">VLOOKUP(A281,'Price setting'!E$89:I$106,COLUMN()-1,FALSE)*+Input!$H$441</f>
        <v>29.19449638608285</v>
      </c>
      <c r="G281" s="317"/>
      <c r="H281" s="317"/>
      <c r="I281" s="317"/>
      <c r="J281" s="317"/>
      <c r="K281" s="317"/>
      <c r="L281" s="323"/>
    </row>
    <row r="282" spans="1:12" s="53" customFormat="1">
      <c r="A282" s="60" t="str">
        <f t="shared" si="11"/>
        <v>SSC</v>
      </c>
      <c r="B282" s="356" t="s">
        <v>204</v>
      </c>
      <c r="C282" s="50" t="s">
        <v>203</v>
      </c>
      <c r="D282" s="168" t="s">
        <v>75</v>
      </c>
      <c r="E282" s="169" t="s">
        <v>182</v>
      </c>
      <c r="F282" s="316"/>
      <c r="G282" s="317"/>
      <c r="H282" s="317">
        <f ca="1">VLOOKUP($A282,'Price setting'!$E$213:$O$230,COLUMN()-1,FALSE)</f>
        <v>18.925662827167361</v>
      </c>
      <c r="I282" s="317">
        <f ca="1">VLOOKUP($A282,'Price setting'!$E$213:$O$230,COLUMN()-1,FALSE)</f>
        <v>19.118883996092649</v>
      </c>
      <c r="J282" s="317">
        <f ca="1">VLOOKUP($A282,'Price setting'!$E$213:$O$230,COLUMN()-1,FALSE)</f>
        <v>19.670714855000266</v>
      </c>
      <c r="K282" s="317">
        <f ca="1">VLOOKUP($A282,'Price setting'!$E$213:$O$230,COLUMN()-1,FALSE)</f>
        <v>20.692638099430511</v>
      </c>
      <c r="L282" s="323">
        <f ca="1">VLOOKUP($A282,'Price setting'!$E$213:$O$230,COLUMN()-1,FALSE)</f>
        <v>20.941767957299199</v>
      </c>
    </row>
    <row r="283" spans="1:12">
      <c r="A283" s="60" t="str">
        <f t="shared" si="11"/>
        <v>SSC</v>
      </c>
      <c r="B283" s="355" t="s">
        <v>199</v>
      </c>
      <c r="C283" s="50" t="s">
        <v>190</v>
      </c>
      <c r="D283" s="168" t="s">
        <v>75</v>
      </c>
      <c r="E283" s="169" t="s">
        <v>182</v>
      </c>
      <c r="F283" s="316"/>
      <c r="G283" s="317"/>
      <c r="H283" s="317">
        <f ca="1">VLOOKUP($A282,'Price setting'!$E$213:$O$230,COLUMN()-1,FALSE)*+Input!$H$441</f>
        <v>24.603361675317572</v>
      </c>
      <c r="I283" s="317">
        <f ca="1">VLOOKUP($A282,'Price setting'!$E$213:$O$230,COLUMN()-1,FALSE)*+Input!$H$441</f>
        <v>24.854549194920445</v>
      </c>
      <c r="J283" s="317">
        <f ca="1">VLOOKUP($A282,'Price setting'!$E$213:$O$230,COLUMN()-1,FALSE)*+Input!$H$441</f>
        <v>25.571929311500348</v>
      </c>
      <c r="K283" s="317">
        <f ca="1">VLOOKUP($A282,'Price setting'!$E$213:$O$230,COLUMN()-1,FALSE)*+Input!$H$441</f>
        <v>26.900429529259664</v>
      </c>
      <c r="L283" s="323">
        <f ca="1">VLOOKUP($A282,'Price setting'!$E$213:$O$230,COLUMN()-1,FALSE)*+Input!$H$441</f>
        <v>27.224298344488957</v>
      </c>
    </row>
    <row r="284" spans="1:12">
      <c r="A284" s="60" t="str">
        <f t="shared" si="11"/>
        <v>SSC</v>
      </c>
      <c r="B284" s="355" t="s">
        <v>200</v>
      </c>
      <c r="C284" s="50" t="s">
        <v>191</v>
      </c>
      <c r="D284" s="168" t="s">
        <v>75</v>
      </c>
      <c r="E284" s="169" t="s">
        <v>182</v>
      </c>
      <c r="F284" s="316"/>
      <c r="G284" s="317"/>
      <c r="H284" s="317">
        <f ca="1">VLOOKUP($A284,'Price setting'!$E$278:$O$295,COLUMN()-1,FALSE)+VLOOKUP($A282,'Price setting'!$E$213:$O$230,COLUMN()-1,FALSE)</f>
        <v>24.519724629972561</v>
      </c>
      <c r="I284" s="317">
        <f ca="1">VLOOKUP($A284,'Price setting'!$E$278:$O$295,COLUMN()-1,FALSE)+VLOOKUP($A282,'Price setting'!$E$213:$O$230,COLUMN()-1,FALSE)</f>
        <v>24.714386003297662</v>
      </c>
      <c r="J284" s="317">
        <f ca="1">VLOOKUP($A284,'Price setting'!$E$278:$O$295,COLUMN()-1,FALSE)+VLOOKUP($A282,'Price setting'!$E$213:$O$230,COLUMN()-1,FALSE)</f>
        <v>25.267438913121129</v>
      </c>
      <c r="K284" s="317">
        <f ca="1">VLOOKUP($A284,'Price setting'!$E$278:$O$295,COLUMN()-1,FALSE)+VLOOKUP($A282,'Price setting'!$E$213:$O$230,COLUMN()-1,FALSE)</f>
        <v>26.290256023815779</v>
      </c>
      <c r="L284" s="323">
        <f ca="1">VLOOKUP($A284,'Price setting'!$E$278:$O$295,COLUMN()-1,FALSE)+VLOOKUP($A282,'Price setting'!$E$213:$O$230,COLUMN()-1,FALSE)</f>
        <v>26.540089467717806</v>
      </c>
    </row>
    <row r="285" spans="1:12">
      <c r="A285" s="60" t="str">
        <f t="shared" si="11"/>
        <v>SSC</v>
      </c>
      <c r="B285" s="355" t="s">
        <v>201</v>
      </c>
      <c r="C285" s="50" t="s">
        <v>192</v>
      </c>
      <c r="D285" s="168" t="s">
        <v>75</v>
      </c>
      <c r="E285" s="169" t="s">
        <v>182</v>
      </c>
      <c r="F285" s="316"/>
      <c r="G285" s="317"/>
      <c r="H285" s="317">
        <f ca="1">VLOOKUP($A285,'Price setting'!$E$343:$O$360,COLUMN()-1,FALSE)+VLOOKUP($A282,'Price setting'!$E$213:$O$230,COLUMN()-1,FALSE)</f>
        <v>18.925662827167361</v>
      </c>
      <c r="I285" s="317">
        <f ca="1">VLOOKUP($A285,'Price setting'!$E$343:$O$360,COLUMN()-1,FALSE)+VLOOKUP($A282,'Price setting'!$E$213:$O$230,COLUMN()-1,FALSE)</f>
        <v>19.118883996092649</v>
      </c>
      <c r="J285" s="317">
        <f ca="1">VLOOKUP($A285,'Price setting'!$E$343:$O$360,COLUMN()-1,FALSE)+VLOOKUP($A282,'Price setting'!$E$213:$O$230,COLUMN()-1,FALSE)</f>
        <v>19.670714855000266</v>
      </c>
      <c r="K285" s="317">
        <f ca="1">VLOOKUP($A285,'Price setting'!$E$343:$O$360,COLUMN()-1,FALSE)+VLOOKUP($A282,'Price setting'!$E$213:$O$230,COLUMN()-1,FALSE)</f>
        <v>20.692638099430511</v>
      </c>
      <c r="L285" s="323">
        <f ca="1">VLOOKUP($A285,'Price setting'!$E$343:$O$360,COLUMN()-1,FALSE)+VLOOKUP($A282,'Price setting'!$E$213:$O$230,COLUMN()-1,FALSE)</f>
        <v>20.941767957299199</v>
      </c>
    </row>
    <row r="286" spans="1:12">
      <c r="A286" s="60" t="str">
        <f t="shared" si="11"/>
        <v>SSC</v>
      </c>
      <c r="B286" s="355" t="s">
        <v>202</v>
      </c>
      <c r="C286" s="50" t="s">
        <v>193</v>
      </c>
      <c r="D286" s="168" t="s">
        <v>75</v>
      </c>
      <c r="E286" s="169" t="s">
        <v>182</v>
      </c>
      <c r="F286" s="316"/>
      <c r="G286" s="317"/>
      <c r="H286" s="317">
        <f ca="1">(VLOOKUP($A286,'Price setting'!$E$408:$O$425,COLUMN()-1,FALSE)+VLOOKUP($A282,'Price setting'!$E$213:$O$230,COLUMN()-1,FALSE))*+Input!$H$441</f>
        <v>24.603361675317572</v>
      </c>
      <c r="I286" s="317">
        <f ca="1">(VLOOKUP($A286,'Price setting'!$E$408:$O$425,COLUMN()-1,FALSE)+VLOOKUP($A282,'Price setting'!$E$213:$O$230,COLUMN()-1,FALSE))*+Input!$H$441</f>
        <v>24.854549194920445</v>
      </c>
      <c r="J286" s="317">
        <f ca="1">(VLOOKUP($A286,'Price setting'!$E$408:$O$425,COLUMN()-1,FALSE)+VLOOKUP($A282,'Price setting'!$E$213:$O$230,COLUMN()-1,FALSE))*+Input!$H$441</f>
        <v>25.571929311500348</v>
      </c>
      <c r="K286" s="317">
        <f ca="1">(VLOOKUP($A286,'Price setting'!$E$408:$O$425,COLUMN()-1,FALSE)+VLOOKUP($A282,'Price setting'!$E$213:$O$230,COLUMN()-1,FALSE))*+Input!$H$441</f>
        <v>26.900429529259664</v>
      </c>
      <c r="L286" s="323">
        <f ca="1">(VLOOKUP($A286,'Price setting'!$E$408:$O$425,COLUMN()-1,FALSE)+VLOOKUP($A282,'Price setting'!$E$213:$O$230,COLUMN()-1,FALSE))*+Input!$H$441</f>
        <v>27.224298344488957</v>
      </c>
    </row>
    <row r="287" spans="1:12">
      <c r="A287" s="60" t="str">
        <f t="shared" si="11"/>
        <v>SSC</v>
      </c>
      <c r="B287" s="355" t="s">
        <v>208</v>
      </c>
      <c r="C287" s="21" t="s">
        <v>205</v>
      </c>
      <c r="D287" s="168" t="s">
        <v>75</v>
      </c>
      <c r="E287" s="169" t="s">
        <v>182</v>
      </c>
      <c r="F287" s="262">
        <f ca="1">VLOOKUP($A287,'Price setting'!$E$49:$I$66,COLUMN()-1,FALSE)</f>
        <v>0.53109261843789102</v>
      </c>
      <c r="G287" s="263"/>
      <c r="H287" s="263"/>
      <c r="I287" s="263"/>
      <c r="J287" s="263"/>
      <c r="K287" s="263"/>
      <c r="L287" s="264"/>
    </row>
    <row r="288" spans="1:12">
      <c r="A288" s="60" t="str">
        <f t="shared" si="11"/>
        <v>SSC</v>
      </c>
      <c r="B288" s="355" t="s">
        <v>206</v>
      </c>
      <c r="C288" s="21" t="s">
        <v>132</v>
      </c>
      <c r="D288" s="168" t="s">
        <v>74</v>
      </c>
      <c r="E288" s="169" t="s">
        <v>182</v>
      </c>
      <c r="F288" s="262">
        <f ca="1">'Used inputs'!I184</f>
        <v>13.722970409762651</v>
      </c>
      <c r="G288" s="263">
        <f>'Used inputs'!J184</f>
        <v>12.964774199921823</v>
      </c>
      <c r="H288" s="263">
        <f ca="1">'Used inputs'!K184</f>
        <v>13.993608596781998</v>
      </c>
      <c r="I288" s="263">
        <f ca="1">'Used inputs'!L184</f>
        <v>14.131472684983999</v>
      </c>
      <c r="J288" s="263">
        <f ca="1">'Used inputs'!M184</f>
        <v>14.271751031220774</v>
      </c>
      <c r="K288" s="263">
        <f ca="1">'Used inputs'!N184</f>
        <v>14.413518209729252</v>
      </c>
      <c r="L288" s="264">
        <f ca="1">'Used inputs'!O184</f>
        <v>14.556273384917079</v>
      </c>
    </row>
    <row r="289" spans="1:12">
      <c r="A289" s="60" t="str">
        <f t="shared" si="11"/>
        <v>SSC</v>
      </c>
      <c r="B289" s="355" t="s">
        <v>207</v>
      </c>
      <c r="C289" s="21" t="s">
        <v>157</v>
      </c>
      <c r="D289" s="168" t="s">
        <v>74</v>
      </c>
      <c r="E289" s="169" t="s">
        <v>182</v>
      </c>
      <c r="F289" s="262">
        <f>'Used inputs'!I197</f>
        <v>0.40257510854015643</v>
      </c>
      <c r="G289" s="263">
        <f>'Used inputs'!J197</f>
        <v>1.2174413167768778</v>
      </c>
      <c r="H289" s="263">
        <f>'Used inputs'!K197</f>
        <v>0.29611921518637185</v>
      </c>
      <c r="I289" s="263">
        <f>'Used inputs'!L197</f>
        <v>0.29611921518637185</v>
      </c>
      <c r="J289" s="263">
        <f>'Used inputs'!M197</f>
        <v>0.29611921518637185</v>
      </c>
      <c r="K289" s="263">
        <f>'Used inputs'!N197</f>
        <v>0.29611921518637185</v>
      </c>
      <c r="L289" s="264">
        <f>'Used inputs'!O197</f>
        <v>0.29611921518637185</v>
      </c>
    </row>
    <row r="290" spans="1:12">
      <c r="A290" s="60" t="s">
        <v>55</v>
      </c>
      <c r="B290" s="355" t="s">
        <v>162</v>
      </c>
      <c r="C290" s="59" t="s">
        <v>175</v>
      </c>
      <c r="D290" s="169" t="s">
        <v>74</v>
      </c>
      <c r="E290" s="169" t="s">
        <v>182</v>
      </c>
      <c r="F290" s="262">
        <f>VLOOKUP($A290,'Price setting'!$E$448:$O$466,COLUMN()-1,FALSE)</f>
        <v>0</v>
      </c>
      <c r="G290" s="263">
        <f>VLOOKUP($A290,'Price setting'!$E$448:$O$466,COLUMN()-1,FALSE)</f>
        <v>0</v>
      </c>
      <c r="H290" s="263">
        <f ca="1">VLOOKUP($A290,'Price setting'!$E$448:$O$466,COLUMN()-1,FALSE)</f>
        <v>2.7216690878172898</v>
      </c>
      <c r="I290" s="263">
        <f ca="1">VLOOKUP($A290,'Price setting'!$E$448:$O$466,COLUMN()-1,FALSE)</f>
        <v>2.7515056737646351</v>
      </c>
      <c r="J290" s="263">
        <f ca="1">VLOOKUP($A290,'Price setting'!$E$448:$O$466,COLUMN()-1,FALSE)</f>
        <v>2.7766315048484347</v>
      </c>
      <c r="K290" s="263">
        <f ca="1">VLOOKUP($A290,'Price setting'!$E$448:$O$466,COLUMN()-1,FALSE)</f>
        <v>2.8009599388989055</v>
      </c>
      <c r="L290" s="264">
        <f ca="1">VLOOKUP($A290,'Price setting'!$E$448:$O$466,COLUMN()-1,FALSE)</f>
        <v>2.8294283352020151</v>
      </c>
    </row>
    <row r="291" spans="1:12">
      <c r="A291" s="60" t="s">
        <v>55</v>
      </c>
      <c r="B291" s="355" t="s">
        <v>163</v>
      </c>
      <c r="C291" s="59" t="s">
        <v>118</v>
      </c>
      <c r="D291" s="168" t="s">
        <v>75</v>
      </c>
      <c r="E291" s="169" t="s">
        <v>182</v>
      </c>
      <c r="F291" s="316">
        <f>VLOOKUP($A291,'Price setting'!$E$213:$O$231,COLUMN()-1,FALSE)</f>
        <v>0</v>
      </c>
      <c r="G291" s="317">
        <f>VLOOKUP($A291,'Price setting'!$E$213:$O$231,COLUMN()-1,FALSE)</f>
        <v>0</v>
      </c>
      <c r="H291" s="317">
        <f ca="1">VLOOKUP($A291,'Price setting'!$E$213:$O$231,COLUMN()-1,FALSE)</f>
        <v>21.426787053594879</v>
      </c>
      <c r="I291" s="317">
        <f ca="1">VLOOKUP($A291,'Price setting'!$E$213:$O$231,COLUMN()-1,FALSE)</f>
        <v>21.437742250156031</v>
      </c>
      <c r="J291" s="317">
        <f ca="1">VLOOKUP($A291,'Price setting'!$E$213:$O$231,COLUMN()-1,FALSE)</f>
        <v>21.410108586266308</v>
      </c>
      <c r="K291" s="317">
        <f ca="1">VLOOKUP($A291,'Price setting'!$E$213:$O$231,COLUMN()-1,FALSE)</f>
        <v>21.37626107326491</v>
      </c>
      <c r="L291" s="323">
        <f ca="1">VLOOKUP($A291,'Price setting'!$E$213:$O$231,COLUMN()-1,FALSE)</f>
        <v>21.376971264147361</v>
      </c>
    </row>
    <row r="292" spans="1:12">
      <c r="A292" s="60" t="s">
        <v>55</v>
      </c>
      <c r="B292" s="355" t="s">
        <v>164</v>
      </c>
      <c r="C292" s="59" t="s">
        <v>119</v>
      </c>
      <c r="D292" s="168" t="s">
        <v>75</v>
      </c>
      <c r="E292" s="169" t="s">
        <v>182</v>
      </c>
      <c r="F292" s="316">
        <f>VLOOKUP($A292,'Price setting'!$E$278:$O$296,COLUMN()-1,FALSE)+VLOOKUP($A291,'Price setting'!$E$213:$O$231,COLUMN()-1,FALSE)</f>
        <v>0</v>
      </c>
      <c r="G292" s="317">
        <f>VLOOKUP($A292,'Price setting'!$E$278:$O$296,COLUMN()-1,FALSE)+VLOOKUP($A291,'Price setting'!$E$213:$O$231,COLUMN()-1,FALSE)</f>
        <v>0</v>
      </c>
      <c r="H292" s="317">
        <f ca="1">VLOOKUP($A292,'Price setting'!$E$278:$O$296,COLUMN()-1,FALSE)+VLOOKUP($A291,'Price setting'!$E$213:$O$231,COLUMN()-1,FALSE)</f>
        <v>24.430653967898184</v>
      </c>
      <c r="I292" s="317">
        <f ca="1">VLOOKUP($A292,'Price setting'!$E$278:$O$296,COLUMN()-1,FALSE)+VLOOKUP($A291,'Price setting'!$E$213:$O$231,COLUMN()-1,FALSE)</f>
        <v>24.454314761119193</v>
      </c>
      <c r="J292" s="317">
        <f ca="1">VLOOKUP($A292,'Price setting'!$E$278:$O$296,COLUMN()-1,FALSE)+VLOOKUP($A291,'Price setting'!$E$213:$O$231,COLUMN()-1,FALSE)</f>
        <v>24.438751075633483</v>
      </c>
      <c r="K292" s="317">
        <f ca="1">VLOOKUP($A292,'Price setting'!$E$278:$O$296,COLUMN()-1,FALSE)+VLOOKUP($A291,'Price setting'!$E$213:$O$231,COLUMN()-1,FALSE)</f>
        <v>24.418124988260121</v>
      </c>
      <c r="L292" s="323">
        <f ca="1">VLOOKUP($A292,'Price setting'!$E$278:$O$296,COLUMN()-1,FALSE)+VLOOKUP($A291,'Price setting'!$E$213:$O$231,COLUMN()-1,FALSE)</f>
        <v>24.432986111160403</v>
      </c>
    </row>
    <row r="293" spans="1:12">
      <c r="A293" s="60" t="s">
        <v>55</v>
      </c>
      <c r="B293" s="355" t="s">
        <v>165</v>
      </c>
      <c r="C293" s="59" t="s">
        <v>120</v>
      </c>
      <c r="D293" s="168" t="s">
        <v>75</v>
      </c>
      <c r="E293" s="169" t="s">
        <v>182</v>
      </c>
      <c r="F293" s="316">
        <f>VLOOKUP($A293,'Price setting'!$E$343:$O$361,COLUMN()-1,FALSE)+VLOOKUP($A291,'Price setting'!$E$213:$O$231,COLUMN()-1,FALSE)</f>
        <v>0</v>
      </c>
      <c r="G293" s="317">
        <f>VLOOKUP($A293,'Price setting'!$E$343:$O$361,COLUMN()-1,FALSE)+VLOOKUP($A291,'Price setting'!$E$213:$O$231,COLUMN()-1,FALSE)</f>
        <v>0</v>
      </c>
      <c r="H293" s="317">
        <f ca="1">VLOOKUP($A293,'Price setting'!$E$343:$O$361,COLUMN()-1,FALSE)+VLOOKUP($A291,'Price setting'!$E$213:$O$231,COLUMN()-1,FALSE)</f>
        <v>21.426787053594879</v>
      </c>
      <c r="I293" s="317">
        <f ca="1">VLOOKUP($A293,'Price setting'!$E$343:$O$361,COLUMN()-1,FALSE)+VLOOKUP($A291,'Price setting'!$E$213:$O$231,COLUMN()-1,FALSE)</f>
        <v>21.437742250156031</v>
      </c>
      <c r="J293" s="317">
        <f ca="1">VLOOKUP($A293,'Price setting'!$E$343:$O$361,COLUMN()-1,FALSE)+VLOOKUP($A291,'Price setting'!$E$213:$O$231,COLUMN()-1,FALSE)</f>
        <v>21.410108586266308</v>
      </c>
      <c r="K293" s="317">
        <f ca="1">VLOOKUP($A293,'Price setting'!$E$343:$O$361,COLUMN()-1,FALSE)+VLOOKUP($A291,'Price setting'!$E$213:$O$231,COLUMN()-1,FALSE)</f>
        <v>21.37626107326491</v>
      </c>
      <c r="L293" s="323">
        <f ca="1">VLOOKUP($A293,'Price setting'!$E$343:$O$361,COLUMN()-1,FALSE)+VLOOKUP($A291,'Price setting'!$E$213:$O$231,COLUMN()-1,FALSE)</f>
        <v>21.376971264147361</v>
      </c>
    </row>
    <row r="294" spans="1:12">
      <c r="A294" s="60" t="s">
        <v>55</v>
      </c>
      <c r="B294" s="355" t="s">
        <v>166</v>
      </c>
      <c r="C294" s="59" t="s">
        <v>124</v>
      </c>
      <c r="D294" s="168" t="s">
        <v>75</v>
      </c>
      <c r="E294" s="169" t="s">
        <v>182</v>
      </c>
      <c r="F294" s="316">
        <f>VLOOKUP($A294,'Price setting'!$E$408:$O$426,COLUMN()-1,FALSE)+VLOOKUP($A291,'Price setting'!$E$213:$O$231,COLUMN()-1,FALSE)</f>
        <v>0</v>
      </c>
      <c r="G294" s="317">
        <f>VLOOKUP($A294,'Price setting'!$E$408:$O$426,COLUMN()-1,FALSE)+VLOOKUP($A291,'Price setting'!$E$213:$O$231,COLUMN()-1,FALSE)</f>
        <v>0</v>
      </c>
      <c r="H294" s="317">
        <f ca="1">VLOOKUP($A294,'Price setting'!$E$408:$O$426,COLUMN()-1,FALSE)+VLOOKUP($A291,'Price setting'!$E$213:$O$231,COLUMN()-1,FALSE)</f>
        <v>21.426787053594879</v>
      </c>
      <c r="I294" s="317">
        <f ca="1">VLOOKUP($A294,'Price setting'!$E$408:$O$426,COLUMN()-1,FALSE)+VLOOKUP($A291,'Price setting'!$E$213:$O$231,COLUMN()-1,FALSE)</f>
        <v>21.437742250156031</v>
      </c>
      <c r="J294" s="317">
        <f ca="1">VLOOKUP($A294,'Price setting'!$E$408:$O$426,COLUMN()-1,FALSE)+VLOOKUP($A291,'Price setting'!$E$213:$O$231,COLUMN()-1,FALSE)</f>
        <v>21.410108586266308</v>
      </c>
      <c r="K294" s="317">
        <f ca="1">VLOOKUP($A294,'Price setting'!$E$408:$O$426,COLUMN()-1,FALSE)+VLOOKUP($A291,'Price setting'!$E$213:$O$231,COLUMN()-1,FALSE)</f>
        <v>21.37626107326491</v>
      </c>
      <c r="L294" s="323">
        <f ca="1">VLOOKUP($A294,'Price setting'!$E$408:$O$426,COLUMN()-1,FALSE)+VLOOKUP($A291,'Price setting'!$E$213:$O$231,COLUMN()-1,FALSE)</f>
        <v>21.376971264147361</v>
      </c>
    </row>
    <row r="295" spans="1:12">
      <c r="A295" s="60" t="s">
        <v>55</v>
      </c>
      <c r="B295" s="355" t="s">
        <v>167</v>
      </c>
      <c r="C295" s="59" t="s">
        <v>122</v>
      </c>
      <c r="D295" s="170" t="s">
        <v>88</v>
      </c>
      <c r="E295" s="169" t="s">
        <v>182</v>
      </c>
      <c r="F295" s="262">
        <f>INDEX(DVW,ROW(Input!B$23)-5,COLUMN()+1)*Input!$H$441</f>
        <v>0</v>
      </c>
      <c r="G295" s="263">
        <f>INDEX(DVW,ROW(Input!C$23)-5,COLUMN()+1)*Input!$H$441</f>
        <v>0</v>
      </c>
      <c r="H295" s="263">
        <f>INDEX(DVW,ROW(Input!D$23)-5,COLUMN()+1)*Input!$H$441</f>
        <v>0</v>
      </c>
      <c r="I295" s="263">
        <f>INDEX(DVW,ROW(Input!E$23)-5,COLUMN()+1)*Input!$H$441</f>
        <v>0</v>
      </c>
      <c r="J295" s="263">
        <f>INDEX(DVW,ROW(Input!F$23)-5,COLUMN()+1)*Input!$H$441</f>
        <v>0</v>
      </c>
      <c r="K295" s="263">
        <f>INDEX(DVW,ROW(Input!G$23)-5,COLUMN()+1)*Input!$H$441</f>
        <v>0</v>
      </c>
      <c r="L295" s="264">
        <f>INDEX(DVW,ROW(Input!H$23)-5,COLUMN()+1)*Input!$H$441</f>
        <v>0</v>
      </c>
    </row>
    <row r="296" spans="1:12">
      <c r="A296" s="60" t="s">
        <v>55</v>
      </c>
      <c r="B296" s="355" t="s">
        <v>168</v>
      </c>
      <c r="C296" s="59" t="s">
        <v>123</v>
      </c>
      <c r="D296" s="170" t="s">
        <v>88</v>
      </c>
      <c r="E296" s="169" t="s">
        <v>182</v>
      </c>
      <c r="F296" s="262">
        <f>+INDEX(DVW,ROW(Input!B$24)-5,COLUMN()+1)*Input!$H$441</f>
        <v>0</v>
      </c>
      <c r="G296" s="263">
        <f>+INDEX(DVW,ROW(Input!C$24)-5,COLUMN()+1)*Input!$H$441</f>
        <v>0</v>
      </c>
      <c r="H296" s="263">
        <f>+INDEX(DVW,ROW(Input!D$24)-5,COLUMN()+1)*Input!$H$441</f>
        <v>0</v>
      </c>
      <c r="I296" s="263">
        <f>+INDEX(DVW,ROW(Input!E$24)-5,COLUMN()+1)*Input!$H$441</f>
        <v>0</v>
      </c>
      <c r="J296" s="263">
        <f>+INDEX(DVW,ROW(Input!F$24)-5,COLUMN()+1)*Input!$H$441</f>
        <v>0</v>
      </c>
      <c r="K296" s="263">
        <f>+INDEX(DVW,ROW(Input!G$24)-5,COLUMN()+1)*Input!$H$441</f>
        <v>0</v>
      </c>
      <c r="L296" s="264">
        <f>+INDEX(DVW,ROW(Input!H$24)-5,COLUMN()+1)*Input!$H$441</f>
        <v>0</v>
      </c>
    </row>
    <row r="297" spans="1:12">
      <c r="A297" s="60" t="s">
        <v>55</v>
      </c>
      <c r="B297" s="355" t="s">
        <v>169</v>
      </c>
      <c r="C297" s="59" t="s">
        <v>139</v>
      </c>
      <c r="D297" s="170" t="s">
        <v>74</v>
      </c>
      <c r="E297" s="169" t="s">
        <v>182</v>
      </c>
      <c r="F297" s="262">
        <f>VLOOKUP($A297,'Price setting'!$E$488:$O$506,COLUMN()-1,FALSE)</f>
        <v>0</v>
      </c>
      <c r="G297" s="263">
        <f>VLOOKUP($A297,'Price setting'!$E$488:$O$506,COLUMN()-1,FALSE)</f>
        <v>0</v>
      </c>
      <c r="H297" s="263">
        <f ca="1">VLOOKUP($A297,'Price setting'!$E$488:$O$506,COLUMN()-1,FALSE)</f>
        <v>3.4980824903783944E-2</v>
      </c>
      <c r="I297" s="263">
        <f ca="1">VLOOKUP($A297,'Price setting'!$E$488:$O$506,COLUMN()-1,FALSE)</f>
        <v>6.5846258642416833E-2</v>
      </c>
      <c r="J297" s="263">
        <f ca="1">VLOOKUP($A297,'Price setting'!$E$488:$O$506,COLUMN()-1,FALSE)</f>
        <v>8.459260874423967E-2</v>
      </c>
      <c r="K297" s="263">
        <f ca="1">VLOOKUP($A297,'Price setting'!$E$488:$O$506,COLUMN()-1,FALSE)</f>
        <v>9.8087265952177968E-2</v>
      </c>
      <c r="L297" s="264">
        <f ca="1">VLOOKUP($A297,'Price setting'!$E$488:$O$506,COLUMN()-1,FALSE)</f>
        <v>0.11271167931659776</v>
      </c>
    </row>
    <row r="298" spans="1:12">
      <c r="A298" s="60" t="str">
        <f>+A297</f>
        <v>DVW</v>
      </c>
      <c r="B298" s="355" t="s">
        <v>170</v>
      </c>
      <c r="C298" s="59" t="s">
        <v>67</v>
      </c>
      <c r="D298" s="170" t="s">
        <v>171</v>
      </c>
      <c r="E298" s="169" t="s">
        <v>182</v>
      </c>
      <c r="F298" s="320">
        <f>+Input!$H$441</f>
        <v>1.3</v>
      </c>
      <c r="G298" s="321">
        <f>+Input!$H$441</f>
        <v>1.3</v>
      </c>
      <c r="H298" s="321">
        <f>+Input!$H$441</f>
        <v>1.3</v>
      </c>
      <c r="I298" s="321">
        <f>+Input!$H$441</f>
        <v>1.3</v>
      </c>
      <c r="J298" s="321">
        <f>+Input!$H$441</f>
        <v>1.3</v>
      </c>
      <c r="K298" s="321">
        <f>+Input!$H$441</f>
        <v>1.3</v>
      </c>
      <c r="L298" s="322">
        <f>+Input!$H$441</f>
        <v>1.3</v>
      </c>
    </row>
    <row r="299" spans="1:12">
      <c r="A299" s="60" t="str">
        <f t="shared" ref="A299:A311" si="12">+A298</f>
        <v>DVW</v>
      </c>
      <c r="B299" s="355" t="s">
        <v>194</v>
      </c>
      <c r="C299" s="50" t="s">
        <v>185</v>
      </c>
      <c r="D299" s="168" t="s">
        <v>75</v>
      </c>
      <c r="E299" s="169" t="s">
        <v>182</v>
      </c>
      <c r="F299" s="316">
        <f ca="1">VLOOKUP(A299,'Price setting'!$E$89:$I$106,COLUMN()-1,FALSE)</f>
        <v>21.605703293472612</v>
      </c>
      <c r="G299" s="317"/>
      <c r="H299" s="317"/>
      <c r="I299" s="317"/>
      <c r="J299" s="317"/>
      <c r="K299" s="317"/>
      <c r="L299" s="323"/>
    </row>
    <row r="300" spans="1:12">
      <c r="A300" s="60" t="str">
        <f t="shared" si="12"/>
        <v>DVW</v>
      </c>
      <c r="B300" s="355" t="s">
        <v>195</v>
      </c>
      <c r="C300" s="50" t="s">
        <v>186</v>
      </c>
      <c r="D300" s="168" t="s">
        <v>75</v>
      </c>
      <c r="E300" s="169" t="s">
        <v>182</v>
      </c>
      <c r="F300" s="316">
        <f ca="1">VLOOKUP(A300,'Price setting'!E$254:I$271,COLUMN()-1,FALSE)+VLOOKUP(A299,'Price setting'!$E$89:$I$106,COLUMN()-1,FALSE)</f>
        <v>24.615697273404393</v>
      </c>
      <c r="G300" s="317"/>
      <c r="H300" s="317"/>
      <c r="I300" s="317"/>
      <c r="J300" s="317"/>
      <c r="K300" s="317"/>
      <c r="L300" s="323"/>
    </row>
    <row r="301" spans="1:12">
      <c r="A301" s="60" t="str">
        <f t="shared" si="12"/>
        <v>DVW</v>
      </c>
      <c r="B301" s="355" t="s">
        <v>196</v>
      </c>
      <c r="C301" s="50" t="s">
        <v>187</v>
      </c>
      <c r="D301" s="168" t="s">
        <v>75</v>
      </c>
      <c r="E301" s="169" t="s">
        <v>182</v>
      </c>
      <c r="F301" s="316">
        <f ca="1">VLOOKUP(A301,'Price setting'!E$319:I$336,COLUMN()-1,FALSE)+VLOOKUP(A299,'Price setting'!$E$89:$I$106,COLUMN()-1,FALSE)</f>
        <v>21.605703293472612</v>
      </c>
      <c r="G301" s="317"/>
      <c r="H301" s="317"/>
      <c r="I301" s="317"/>
      <c r="J301" s="317"/>
      <c r="K301" s="317"/>
      <c r="L301" s="323"/>
    </row>
    <row r="302" spans="1:12">
      <c r="A302" s="60" t="str">
        <f t="shared" si="12"/>
        <v>DVW</v>
      </c>
      <c r="B302" s="355" t="s">
        <v>197</v>
      </c>
      <c r="C302" s="50" t="s">
        <v>188</v>
      </c>
      <c r="D302" s="168" t="s">
        <v>75</v>
      </c>
      <c r="E302" s="169" t="s">
        <v>182</v>
      </c>
      <c r="F302" s="316">
        <f ca="1">(VLOOKUP(A302,'Price setting'!E$384:I$401,COLUMN()-1,FALSE)+VLOOKUP(A299,'Price setting'!$E$89:$I$106,COLUMN()-1,FALSE))*+Input!$H$441</f>
        <v>28.087414281514395</v>
      </c>
      <c r="G302" s="317"/>
      <c r="H302" s="317"/>
      <c r="I302" s="317"/>
      <c r="J302" s="317"/>
      <c r="K302" s="317"/>
      <c r="L302" s="323"/>
    </row>
    <row r="303" spans="1:12">
      <c r="A303" s="60" t="str">
        <f t="shared" si="12"/>
        <v>DVW</v>
      </c>
      <c r="B303" s="355" t="s">
        <v>198</v>
      </c>
      <c r="C303" s="50" t="s">
        <v>189</v>
      </c>
      <c r="D303" s="168" t="s">
        <v>75</v>
      </c>
      <c r="E303" s="169" t="s">
        <v>182</v>
      </c>
      <c r="F303" s="316">
        <f ca="1">VLOOKUP(A303,'Price setting'!E$89:I$106,COLUMN()-1,FALSE)*+Input!$H$441</f>
        <v>28.087414281514395</v>
      </c>
      <c r="G303" s="317"/>
      <c r="H303" s="317"/>
      <c r="I303" s="317"/>
      <c r="J303" s="317"/>
      <c r="K303" s="317"/>
      <c r="L303" s="323"/>
    </row>
    <row r="304" spans="1:12" s="53" customFormat="1">
      <c r="A304" s="60" t="str">
        <f t="shared" si="12"/>
        <v>DVW</v>
      </c>
      <c r="B304" s="356" t="s">
        <v>204</v>
      </c>
      <c r="C304" s="50" t="s">
        <v>203</v>
      </c>
      <c r="D304" s="168" t="s">
        <v>75</v>
      </c>
      <c r="E304" s="169" t="s">
        <v>182</v>
      </c>
      <c r="F304" s="316"/>
      <c r="G304" s="317"/>
      <c r="H304" s="317">
        <f ca="1">VLOOKUP($A304,'Price setting'!$E$213:$O$230,COLUMN()-1,FALSE)</f>
        <v>21.426787053594879</v>
      </c>
      <c r="I304" s="317">
        <f ca="1">VLOOKUP($A304,'Price setting'!$E$213:$O$230,COLUMN()-1,FALSE)</f>
        <v>21.437742250156031</v>
      </c>
      <c r="J304" s="317">
        <f ca="1">VLOOKUP($A304,'Price setting'!$E$213:$O$230,COLUMN()-1,FALSE)</f>
        <v>21.410108586266308</v>
      </c>
      <c r="K304" s="317">
        <f ca="1">VLOOKUP($A304,'Price setting'!$E$213:$O$230,COLUMN()-1,FALSE)</f>
        <v>21.37626107326491</v>
      </c>
      <c r="L304" s="323">
        <f ca="1">VLOOKUP($A304,'Price setting'!$E$213:$O$230,COLUMN()-1,FALSE)</f>
        <v>21.376971264147361</v>
      </c>
    </row>
    <row r="305" spans="1:12">
      <c r="A305" s="60" t="str">
        <f t="shared" si="12"/>
        <v>DVW</v>
      </c>
      <c r="B305" s="355" t="s">
        <v>199</v>
      </c>
      <c r="C305" s="50" t="s">
        <v>190</v>
      </c>
      <c r="D305" s="168" t="s">
        <v>75</v>
      </c>
      <c r="E305" s="169" t="s">
        <v>182</v>
      </c>
      <c r="F305" s="316"/>
      <c r="G305" s="317"/>
      <c r="H305" s="317">
        <f ca="1">VLOOKUP($A304,'Price setting'!$E$213:$O$230,COLUMN()-1,FALSE)*+Input!$H$441</f>
        <v>27.854823169673342</v>
      </c>
      <c r="I305" s="317">
        <f ca="1">VLOOKUP($A304,'Price setting'!$E$213:$O$230,COLUMN()-1,FALSE)*+Input!$H$441</f>
        <v>27.869064925202842</v>
      </c>
      <c r="J305" s="317">
        <f ca="1">VLOOKUP($A304,'Price setting'!$E$213:$O$230,COLUMN()-1,FALSE)*+Input!$H$441</f>
        <v>27.833141162146202</v>
      </c>
      <c r="K305" s="317">
        <f ca="1">VLOOKUP($A304,'Price setting'!$E$213:$O$230,COLUMN()-1,FALSE)*+Input!$H$441</f>
        <v>27.789139395244383</v>
      </c>
      <c r="L305" s="323">
        <f ca="1">VLOOKUP($A304,'Price setting'!$E$213:$O$230,COLUMN()-1,FALSE)*+Input!$H$441</f>
        <v>27.790062643391572</v>
      </c>
    </row>
    <row r="306" spans="1:12">
      <c r="A306" s="60" t="str">
        <f t="shared" si="12"/>
        <v>DVW</v>
      </c>
      <c r="B306" s="355" t="s">
        <v>200</v>
      </c>
      <c r="C306" s="50" t="s">
        <v>191</v>
      </c>
      <c r="D306" s="168" t="s">
        <v>75</v>
      </c>
      <c r="E306" s="169" t="s">
        <v>182</v>
      </c>
      <c r="F306" s="316"/>
      <c r="G306" s="317"/>
      <c r="H306" s="317">
        <f ca="1">VLOOKUP($A306,'Price setting'!$E$278:$O$295,COLUMN()-1,FALSE)+VLOOKUP($A304,'Price setting'!$E$213:$O$230,COLUMN()-1,FALSE)</f>
        <v>24.430653967898184</v>
      </c>
      <c r="I306" s="317">
        <f ca="1">VLOOKUP($A306,'Price setting'!$E$278:$O$295,COLUMN()-1,FALSE)+VLOOKUP($A304,'Price setting'!$E$213:$O$230,COLUMN()-1,FALSE)</f>
        <v>24.454314761119193</v>
      </c>
      <c r="J306" s="317">
        <f ca="1">VLOOKUP($A306,'Price setting'!$E$278:$O$295,COLUMN()-1,FALSE)+VLOOKUP($A304,'Price setting'!$E$213:$O$230,COLUMN()-1,FALSE)</f>
        <v>24.438751075633483</v>
      </c>
      <c r="K306" s="317">
        <f ca="1">VLOOKUP($A306,'Price setting'!$E$278:$O$295,COLUMN()-1,FALSE)+VLOOKUP($A304,'Price setting'!$E$213:$O$230,COLUMN()-1,FALSE)</f>
        <v>24.418124988260121</v>
      </c>
      <c r="L306" s="323">
        <f ca="1">VLOOKUP($A306,'Price setting'!$E$278:$O$295,COLUMN()-1,FALSE)+VLOOKUP($A304,'Price setting'!$E$213:$O$230,COLUMN()-1,FALSE)</f>
        <v>24.432986111160403</v>
      </c>
    </row>
    <row r="307" spans="1:12">
      <c r="A307" s="60" t="str">
        <f t="shared" si="12"/>
        <v>DVW</v>
      </c>
      <c r="B307" s="355" t="s">
        <v>201</v>
      </c>
      <c r="C307" s="50" t="s">
        <v>192</v>
      </c>
      <c r="D307" s="168" t="s">
        <v>75</v>
      </c>
      <c r="E307" s="169" t="s">
        <v>182</v>
      </c>
      <c r="F307" s="316"/>
      <c r="G307" s="317"/>
      <c r="H307" s="317">
        <f ca="1">VLOOKUP($A307,'Price setting'!$E$343:$O$360,COLUMN()-1,FALSE)+VLOOKUP($A304,'Price setting'!$E$213:$O$230,COLUMN()-1,FALSE)</f>
        <v>21.426787053594879</v>
      </c>
      <c r="I307" s="317">
        <f ca="1">VLOOKUP($A307,'Price setting'!$E$343:$O$360,COLUMN()-1,FALSE)+VLOOKUP($A304,'Price setting'!$E$213:$O$230,COLUMN()-1,FALSE)</f>
        <v>21.437742250156031</v>
      </c>
      <c r="J307" s="317">
        <f ca="1">VLOOKUP($A307,'Price setting'!$E$343:$O$360,COLUMN()-1,FALSE)+VLOOKUP($A304,'Price setting'!$E$213:$O$230,COLUMN()-1,FALSE)</f>
        <v>21.410108586266308</v>
      </c>
      <c r="K307" s="317">
        <f ca="1">VLOOKUP($A307,'Price setting'!$E$343:$O$360,COLUMN()-1,FALSE)+VLOOKUP($A304,'Price setting'!$E$213:$O$230,COLUMN()-1,FALSE)</f>
        <v>21.37626107326491</v>
      </c>
      <c r="L307" s="323">
        <f ca="1">VLOOKUP($A307,'Price setting'!$E$343:$O$360,COLUMN()-1,FALSE)+VLOOKUP($A304,'Price setting'!$E$213:$O$230,COLUMN()-1,FALSE)</f>
        <v>21.376971264147361</v>
      </c>
    </row>
    <row r="308" spans="1:12">
      <c r="A308" s="60" t="str">
        <f t="shared" si="12"/>
        <v>DVW</v>
      </c>
      <c r="B308" s="355" t="s">
        <v>202</v>
      </c>
      <c r="C308" s="50" t="s">
        <v>193</v>
      </c>
      <c r="D308" s="168" t="s">
        <v>75</v>
      </c>
      <c r="E308" s="169" t="s">
        <v>182</v>
      </c>
      <c r="F308" s="316"/>
      <c r="G308" s="317"/>
      <c r="H308" s="317">
        <f ca="1">(VLOOKUP($A308,'Price setting'!$E$408:$O$425,COLUMN()-1,FALSE)+VLOOKUP($A304,'Price setting'!$E$213:$O$230,COLUMN()-1,FALSE))*+Input!$H$441</f>
        <v>27.854823169673342</v>
      </c>
      <c r="I308" s="317">
        <f ca="1">(VLOOKUP($A308,'Price setting'!$E$408:$O$425,COLUMN()-1,FALSE)+VLOOKUP($A304,'Price setting'!$E$213:$O$230,COLUMN()-1,FALSE))*+Input!$H$441</f>
        <v>27.869064925202842</v>
      </c>
      <c r="J308" s="317">
        <f ca="1">(VLOOKUP($A308,'Price setting'!$E$408:$O$425,COLUMN()-1,FALSE)+VLOOKUP($A304,'Price setting'!$E$213:$O$230,COLUMN()-1,FALSE))*+Input!$H$441</f>
        <v>27.833141162146202</v>
      </c>
      <c r="K308" s="317">
        <f ca="1">(VLOOKUP($A308,'Price setting'!$E$408:$O$425,COLUMN()-1,FALSE)+VLOOKUP($A304,'Price setting'!$E$213:$O$230,COLUMN()-1,FALSE))*+Input!$H$441</f>
        <v>27.789139395244383</v>
      </c>
      <c r="L308" s="323">
        <f ca="1">(VLOOKUP($A308,'Price setting'!$E$408:$O$425,COLUMN()-1,FALSE)+VLOOKUP($A304,'Price setting'!$E$213:$O$230,COLUMN()-1,FALSE))*+Input!$H$441</f>
        <v>27.790062643391572</v>
      </c>
    </row>
    <row r="309" spans="1:12">
      <c r="A309" s="60" t="str">
        <f t="shared" si="12"/>
        <v>DVW</v>
      </c>
      <c r="B309" s="355" t="s">
        <v>208</v>
      </c>
      <c r="C309" s="21" t="s">
        <v>205</v>
      </c>
      <c r="D309" s="168" t="s">
        <v>75</v>
      </c>
      <c r="E309" s="169" t="s">
        <v>182</v>
      </c>
      <c r="F309" s="262">
        <f ca="1">VLOOKUP($A309,'Price setting'!$E$49:$I$66,COLUMN()-1,FALSE)</f>
        <v>0.14495652946354529</v>
      </c>
      <c r="G309" s="263"/>
      <c r="H309" s="263"/>
      <c r="I309" s="263"/>
      <c r="J309" s="263"/>
      <c r="K309" s="263"/>
      <c r="L309" s="264"/>
    </row>
    <row r="310" spans="1:12">
      <c r="A310" s="60" t="str">
        <f t="shared" si="12"/>
        <v>DVW</v>
      </c>
      <c r="B310" s="355" t="s">
        <v>206</v>
      </c>
      <c r="C310" s="21" t="s">
        <v>132</v>
      </c>
      <c r="D310" s="168" t="s">
        <v>74</v>
      </c>
      <c r="E310" s="169" t="s">
        <v>182</v>
      </c>
      <c r="F310" s="262">
        <f ca="1">'Used inputs'!I199</f>
        <v>2.5782925649671333</v>
      </c>
      <c r="G310" s="263">
        <f>'Used inputs'!J199</f>
        <v>2.5422828922720617</v>
      </c>
      <c r="H310" s="263">
        <f ca="1">'Used inputs'!K199</f>
        <v>2.6482542147747017</v>
      </c>
      <c r="I310" s="263">
        <f ca="1">'Used inputs'!L199</f>
        <v>2.647225366983414</v>
      </c>
      <c r="J310" s="263">
        <f ca="1">'Used inputs'!M199</f>
        <v>2.6791196485133342</v>
      </c>
      <c r="K310" s="263">
        <f ca="1">'Used inputs'!N199</f>
        <v>2.6832350396784852</v>
      </c>
      <c r="L310" s="264">
        <f ca="1">'Used inputs'!O199</f>
        <v>2.689408126426212</v>
      </c>
    </row>
    <row r="311" spans="1:12">
      <c r="A311" s="60" t="str">
        <f t="shared" si="12"/>
        <v>DVW</v>
      </c>
      <c r="B311" s="355" t="s">
        <v>207</v>
      </c>
      <c r="C311" s="21" t="s">
        <v>157</v>
      </c>
      <c r="D311" s="168" t="s">
        <v>74</v>
      </c>
      <c r="E311" s="169" t="s">
        <v>182</v>
      </c>
      <c r="F311" s="262">
        <f>'Used inputs'!I212</f>
        <v>4.1153911651510507E-2</v>
      </c>
      <c r="G311" s="263">
        <f>'Used inputs'!J212</f>
        <v>0.13580790844998469</v>
      </c>
      <c r="H311" s="263">
        <f>'Used inputs'!K212</f>
        <v>3.84340481388038E-2</v>
      </c>
      <c r="I311" s="263">
        <f>'Used inputs'!L212</f>
        <v>3.84340481388038E-2</v>
      </c>
      <c r="J311" s="263">
        <f>'Used inputs'!M212</f>
        <v>3.84340481388038E-2</v>
      </c>
      <c r="K311" s="263">
        <f>'Used inputs'!N212</f>
        <v>3.84340481388038E-2</v>
      </c>
      <c r="L311" s="264">
        <f>'Used inputs'!O212</f>
        <v>3.84340481388038E-2</v>
      </c>
    </row>
    <row r="312" spans="1:12">
      <c r="A312" s="60" t="s">
        <v>56</v>
      </c>
      <c r="B312" s="355" t="s">
        <v>162</v>
      </c>
      <c r="C312" s="59" t="s">
        <v>175</v>
      </c>
      <c r="D312" s="169" t="s">
        <v>74</v>
      </c>
      <c r="E312" s="169" t="s">
        <v>182</v>
      </c>
      <c r="F312" s="262">
        <f>VLOOKUP($A312,'Price setting'!$E$448:$O$466,COLUMN()-1,FALSE)</f>
        <v>0</v>
      </c>
      <c r="G312" s="263">
        <f>VLOOKUP($A312,'Price setting'!$E$448:$O$466,COLUMN()-1,FALSE)</f>
        <v>0</v>
      </c>
      <c r="H312" s="263">
        <f ca="1">VLOOKUP($A312,'Price setting'!$E$448:$O$466,COLUMN()-1,FALSE)</f>
        <v>4.237093184837029</v>
      </c>
      <c r="I312" s="263">
        <f ca="1">VLOOKUP($A312,'Price setting'!$E$448:$O$466,COLUMN()-1,FALSE)</f>
        <v>4.3123336398624028</v>
      </c>
      <c r="J312" s="263">
        <f ca="1">VLOOKUP($A312,'Price setting'!$E$448:$O$466,COLUMN()-1,FALSE)</f>
        <v>4.3875740948877766</v>
      </c>
      <c r="K312" s="263">
        <f ca="1">VLOOKUP($A312,'Price setting'!$E$448:$O$466,COLUMN()-1,FALSE)</f>
        <v>4.4679299410783013</v>
      </c>
      <c r="L312" s="264">
        <f ca="1">VLOOKUP($A312,'Price setting'!$E$448:$O$466,COLUMN()-1,FALSE)</f>
        <v>4.546228091686249</v>
      </c>
    </row>
    <row r="313" spans="1:12">
      <c r="A313" s="60" t="s">
        <v>56</v>
      </c>
      <c r="B313" s="355" t="s">
        <v>163</v>
      </c>
      <c r="C313" s="59" t="s">
        <v>118</v>
      </c>
      <c r="D313" s="168" t="s">
        <v>75</v>
      </c>
      <c r="E313" s="169" t="s">
        <v>182</v>
      </c>
      <c r="F313" s="316">
        <f>VLOOKUP($A313,'Price setting'!$E$213:$O$231,COLUMN()-1,FALSE)</f>
        <v>0</v>
      </c>
      <c r="G313" s="317">
        <f>VLOOKUP($A313,'Price setting'!$E$213:$O$231,COLUMN()-1,FALSE)</f>
        <v>0</v>
      </c>
      <c r="H313" s="317">
        <f ca="1">VLOOKUP($A313,'Price setting'!$E$213:$O$231,COLUMN()-1,FALSE)</f>
        <v>13.50120242642045</v>
      </c>
      <c r="I313" s="317">
        <f ca="1">VLOOKUP($A313,'Price setting'!$E$213:$O$231,COLUMN()-1,FALSE)</f>
        <v>13.550059083974048</v>
      </c>
      <c r="J313" s="317">
        <f ca="1">VLOOKUP($A313,'Price setting'!$E$213:$O$231,COLUMN()-1,FALSE)</f>
        <v>13.58180138228199</v>
      </c>
      <c r="K313" s="317">
        <f ca="1">VLOOKUP($A313,'Price setting'!$E$213:$O$231,COLUMN()-1,FALSE)</f>
        <v>13.597313445913137</v>
      </c>
      <c r="L313" s="323">
        <f ca="1">VLOOKUP($A313,'Price setting'!$E$213:$O$231,COLUMN()-1,FALSE)</f>
        <v>13.61203164017804</v>
      </c>
    </row>
    <row r="314" spans="1:12">
      <c r="A314" s="60" t="s">
        <v>56</v>
      </c>
      <c r="B314" s="355" t="s">
        <v>164</v>
      </c>
      <c r="C314" s="59" t="s">
        <v>119</v>
      </c>
      <c r="D314" s="168" t="s">
        <v>75</v>
      </c>
      <c r="E314" s="169" t="s">
        <v>182</v>
      </c>
      <c r="F314" s="316">
        <f>VLOOKUP($A314,'Price setting'!$E$278:$O$296,COLUMN()-1,FALSE)+VLOOKUP($A313,'Price setting'!$E$213:$O$231,COLUMN()-1,FALSE)</f>
        <v>0</v>
      </c>
      <c r="G314" s="317">
        <f>VLOOKUP($A314,'Price setting'!$E$278:$O$296,COLUMN()-1,FALSE)+VLOOKUP($A313,'Price setting'!$E$213:$O$231,COLUMN()-1,FALSE)</f>
        <v>0</v>
      </c>
      <c r="H314" s="317">
        <f ca="1">VLOOKUP($A314,'Price setting'!$E$278:$O$296,COLUMN()-1,FALSE)+VLOOKUP($A313,'Price setting'!$E$213:$O$231,COLUMN()-1,FALSE)</f>
        <v>17.812213724417091</v>
      </c>
      <c r="I314" s="317">
        <f ca="1">VLOOKUP($A314,'Price setting'!$E$278:$O$296,COLUMN()-1,FALSE)+VLOOKUP($A313,'Price setting'!$E$213:$O$231,COLUMN()-1,FALSE)</f>
        <v>17.872800897187158</v>
      </c>
      <c r="J314" s="317">
        <f ca="1">VLOOKUP($A314,'Price setting'!$E$278:$O$296,COLUMN()-1,FALSE)+VLOOKUP($A313,'Price setting'!$E$213:$O$231,COLUMN()-1,FALSE)</f>
        <v>17.898418298410459</v>
      </c>
      <c r="K314" s="317">
        <f ca="1">VLOOKUP($A314,'Price setting'!$E$278:$O$296,COLUMN()-1,FALSE)+VLOOKUP($A313,'Price setting'!$E$213:$O$231,COLUMN()-1,FALSE)</f>
        <v>17.918148859311401</v>
      </c>
      <c r="L314" s="323">
        <f ca="1">VLOOKUP($A314,'Price setting'!$E$278:$O$296,COLUMN()-1,FALSE)+VLOOKUP($A313,'Price setting'!$E$213:$O$231,COLUMN()-1,FALSE)</f>
        <v>17.929743753182223</v>
      </c>
    </row>
    <row r="315" spans="1:12">
      <c r="A315" s="60" t="s">
        <v>56</v>
      </c>
      <c r="B315" s="355" t="s">
        <v>165</v>
      </c>
      <c r="C315" s="59" t="s">
        <v>120</v>
      </c>
      <c r="D315" s="168" t="s">
        <v>75</v>
      </c>
      <c r="E315" s="169" t="s">
        <v>182</v>
      </c>
      <c r="F315" s="316">
        <f>VLOOKUP($A315,'Price setting'!$E$343:$O$361,COLUMN()-1,FALSE)+VLOOKUP($A313,'Price setting'!$E$213:$O$231,COLUMN()-1,FALSE)</f>
        <v>0</v>
      </c>
      <c r="G315" s="317">
        <f>VLOOKUP($A315,'Price setting'!$E$343:$O$361,COLUMN()-1,FALSE)+VLOOKUP($A313,'Price setting'!$E$213:$O$231,COLUMN()-1,FALSE)</f>
        <v>0</v>
      </c>
      <c r="H315" s="317">
        <f ca="1">VLOOKUP($A315,'Price setting'!$E$343:$O$361,COLUMN()-1,FALSE)+VLOOKUP($A313,'Price setting'!$E$213:$O$231,COLUMN()-1,FALSE)</f>
        <v>13.50120242642045</v>
      </c>
      <c r="I315" s="317">
        <f ca="1">VLOOKUP($A315,'Price setting'!$E$343:$O$361,COLUMN()-1,FALSE)+VLOOKUP($A313,'Price setting'!$E$213:$O$231,COLUMN()-1,FALSE)</f>
        <v>13.550059083974048</v>
      </c>
      <c r="J315" s="317">
        <f ca="1">VLOOKUP($A315,'Price setting'!$E$343:$O$361,COLUMN()-1,FALSE)+VLOOKUP($A313,'Price setting'!$E$213:$O$231,COLUMN()-1,FALSE)</f>
        <v>13.58180138228199</v>
      </c>
      <c r="K315" s="317">
        <f ca="1">VLOOKUP($A315,'Price setting'!$E$343:$O$361,COLUMN()-1,FALSE)+VLOOKUP($A313,'Price setting'!$E$213:$O$231,COLUMN()-1,FALSE)</f>
        <v>13.597313445913137</v>
      </c>
      <c r="L315" s="323">
        <f ca="1">VLOOKUP($A315,'Price setting'!$E$343:$O$361,COLUMN()-1,FALSE)+VLOOKUP($A313,'Price setting'!$E$213:$O$231,COLUMN()-1,FALSE)</f>
        <v>13.61203164017804</v>
      </c>
    </row>
    <row r="316" spans="1:12">
      <c r="A316" s="60" t="s">
        <v>56</v>
      </c>
      <c r="B316" s="355" t="s">
        <v>166</v>
      </c>
      <c r="C316" s="59" t="s">
        <v>124</v>
      </c>
      <c r="D316" s="168" t="s">
        <v>75</v>
      </c>
      <c r="E316" s="169" t="s">
        <v>182</v>
      </c>
      <c r="F316" s="316">
        <f>VLOOKUP($A316,'Price setting'!$E$408:$O$426,COLUMN()-1,FALSE)+VLOOKUP($A313,'Price setting'!$E$213:$O$231,COLUMN()-1,FALSE)</f>
        <v>0</v>
      </c>
      <c r="G316" s="317">
        <f>VLOOKUP($A316,'Price setting'!$E$408:$O$426,COLUMN()-1,FALSE)+VLOOKUP($A313,'Price setting'!$E$213:$O$231,COLUMN()-1,FALSE)</f>
        <v>0</v>
      </c>
      <c r="H316" s="317">
        <f ca="1">VLOOKUP($A316,'Price setting'!$E$408:$O$426,COLUMN()-1,FALSE)+VLOOKUP($A313,'Price setting'!$E$213:$O$231,COLUMN()-1,FALSE)</f>
        <v>13.50120242642045</v>
      </c>
      <c r="I316" s="317">
        <f ca="1">VLOOKUP($A316,'Price setting'!$E$408:$O$426,COLUMN()-1,FALSE)+VLOOKUP($A313,'Price setting'!$E$213:$O$231,COLUMN()-1,FALSE)</f>
        <v>13.550059083974048</v>
      </c>
      <c r="J316" s="317">
        <f ca="1">VLOOKUP($A316,'Price setting'!$E$408:$O$426,COLUMN()-1,FALSE)+VLOOKUP($A313,'Price setting'!$E$213:$O$231,COLUMN()-1,FALSE)</f>
        <v>13.58180138228199</v>
      </c>
      <c r="K316" s="317">
        <f ca="1">VLOOKUP($A316,'Price setting'!$E$408:$O$426,COLUMN()-1,FALSE)+VLOOKUP($A313,'Price setting'!$E$213:$O$231,COLUMN()-1,FALSE)</f>
        <v>13.597313445913137</v>
      </c>
      <c r="L316" s="323">
        <f ca="1">VLOOKUP($A316,'Price setting'!$E$408:$O$426,COLUMN()-1,FALSE)+VLOOKUP($A313,'Price setting'!$E$213:$O$231,COLUMN()-1,FALSE)</f>
        <v>13.61203164017804</v>
      </c>
    </row>
    <row r="317" spans="1:12">
      <c r="A317" s="60" t="s">
        <v>56</v>
      </c>
      <c r="B317" s="355" t="s">
        <v>167</v>
      </c>
      <c r="C317" s="59" t="s">
        <v>122</v>
      </c>
      <c r="D317" s="170" t="s">
        <v>88</v>
      </c>
      <c r="E317" s="169" t="s">
        <v>182</v>
      </c>
      <c r="F317" s="262">
        <f>INDEX(PRT,ROW(Input!B$23)-5,COLUMN()+1)*Input!$H$441</f>
        <v>0</v>
      </c>
      <c r="G317" s="263">
        <f>INDEX(PRT,ROW(Input!C$23)-5,COLUMN()+1)*Input!$H$441</f>
        <v>0</v>
      </c>
      <c r="H317" s="263">
        <f>INDEX(PRT,ROW(Input!D$23)-5,COLUMN()+1)*Input!$H$441</f>
        <v>0</v>
      </c>
      <c r="I317" s="263">
        <f>INDEX(PRT,ROW(Input!E$23)-5,COLUMN()+1)*Input!$H$441</f>
        <v>0</v>
      </c>
      <c r="J317" s="263">
        <f>INDEX(PRT,ROW(Input!F$23)-5,COLUMN()+1)*Input!$H$441</f>
        <v>0</v>
      </c>
      <c r="K317" s="263">
        <f>INDEX(PRT,ROW(Input!G$23)-5,COLUMN()+1)*Input!$H$441</f>
        <v>0</v>
      </c>
      <c r="L317" s="264">
        <f>INDEX(PRT,ROW(Input!H$23)-5,COLUMN()+1)*Input!$H$441</f>
        <v>0</v>
      </c>
    </row>
    <row r="318" spans="1:12">
      <c r="A318" s="60" t="s">
        <v>56</v>
      </c>
      <c r="B318" s="355" t="s">
        <v>168</v>
      </c>
      <c r="C318" s="59" t="s">
        <v>123</v>
      </c>
      <c r="D318" s="170" t="s">
        <v>88</v>
      </c>
      <c r="E318" s="169" t="s">
        <v>182</v>
      </c>
      <c r="F318" s="262">
        <f>+INDEX(PRT,ROW(Input!B$24)-5,COLUMN()+1)*Input!$H$441</f>
        <v>0</v>
      </c>
      <c r="G318" s="263">
        <f>+INDEX(PRT,ROW(Input!C$24)-5,COLUMN()+1)*Input!$H$441</f>
        <v>0</v>
      </c>
      <c r="H318" s="263">
        <f>+INDEX(PRT,ROW(Input!D$24)-5,COLUMN()+1)*Input!$H$441</f>
        <v>0</v>
      </c>
      <c r="I318" s="263">
        <f>+INDEX(PRT,ROW(Input!E$24)-5,COLUMN()+1)*Input!$H$441</f>
        <v>0</v>
      </c>
      <c r="J318" s="263">
        <f>+INDEX(PRT,ROW(Input!F$24)-5,COLUMN()+1)*Input!$H$441</f>
        <v>0</v>
      </c>
      <c r="K318" s="263">
        <f>+INDEX(PRT,ROW(Input!G$24)-5,COLUMN()+1)*Input!$H$441</f>
        <v>0</v>
      </c>
      <c r="L318" s="264">
        <f>+INDEX(PRT,ROW(Input!H$24)-5,COLUMN()+1)*Input!$H$441</f>
        <v>0</v>
      </c>
    </row>
    <row r="319" spans="1:12">
      <c r="A319" s="60" t="s">
        <v>56</v>
      </c>
      <c r="B319" s="355" t="s">
        <v>169</v>
      </c>
      <c r="C319" s="59" t="s">
        <v>139</v>
      </c>
      <c r="D319" s="170" t="s">
        <v>74</v>
      </c>
      <c r="E319" s="169" t="s">
        <v>182</v>
      </c>
      <c r="F319" s="262">
        <f>VLOOKUP($A319,'Price setting'!$E$488:$O$506,COLUMN()-1,FALSE)</f>
        <v>0</v>
      </c>
      <c r="G319" s="263">
        <f>VLOOKUP($A319,'Price setting'!$E$488:$O$506,COLUMN()-1,FALSE)</f>
        <v>0</v>
      </c>
      <c r="H319" s="263">
        <f ca="1">VLOOKUP($A319,'Price setting'!$E$488:$O$506,COLUMN()-1,FALSE)</f>
        <v>1.2346173495453153E-2</v>
      </c>
      <c r="I319" s="263">
        <f ca="1">VLOOKUP($A319,'Price setting'!$E$488:$O$506,COLUMN()-1,FALSE)</f>
        <v>2.4692346990906305E-2</v>
      </c>
      <c r="J319" s="263">
        <f ca="1">VLOOKUP($A319,'Price setting'!$E$488:$O$506,COLUMN()-1,FALSE)</f>
        <v>3.7038520486359465E-2</v>
      </c>
      <c r="K319" s="263">
        <f ca="1">VLOOKUP($A319,'Price setting'!$E$488:$O$506,COLUMN()-1,FALSE)</f>
        <v>5.0413541773100368E-2</v>
      </c>
      <c r="L319" s="264">
        <f ca="1">VLOOKUP($A319,'Price setting'!$E$488:$O$506,COLUMN()-1,FALSE)</f>
        <v>6.2759715268553493E-2</v>
      </c>
    </row>
    <row r="320" spans="1:12">
      <c r="A320" s="60" t="str">
        <f>+A319</f>
        <v>PRT</v>
      </c>
      <c r="B320" s="355" t="s">
        <v>170</v>
      </c>
      <c r="C320" s="59" t="s">
        <v>67</v>
      </c>
      <c r="D320" s="170" t="s">
        <v>171</v>
      </c>
      <c r="E320" s="169" t="s">
        <v>182</v>
      </c>
      <c r="F320" s="320">
        <f>+Input!$H$441</f>
        <v>1.3</v>
      </c>
      <c r="G320" s="321">
        <f>+Input!$H$441</f>
        <v>1.3</v>
      </c>
      <c r="H320" s="321">
        <f>+Input!$H$441</f>
        <v>1.3</v>
      </c>
      <c r="I320" s="321">
        <f>+Input!$H$441</f>
        <v>1.3</v>
      </c>
      <c r="J320" s="321">
        <f>+Input!$H$441</f>
        <v>1.3</v>
      </c>
      <c r="K320" s="321">
        <f>+Input!$H$441</f>
        <v>1.3</v>
      </c>
      <c r="L320" s="322">
        <f>+Input!$H$441</f>
        <v>1.3</v>
      </c>
    </row>
    <row r="321" spans="1:12">
      <c r="A321" s="60" t="str">
        <f t="shared" ref="A321:A333" si="13">+A320</f>
        <v>PRT</v>
      </c>
      <c r="B321" s="355" t="s">
        <v>194</v>
      </c>
      <c r="C321" s="50" t="s">
        <v>185</v>
      </c>
      <c r="D321" s="168" t="s">
        <v>75</v>
      </c>
      <c r="E321" s="169" t="s">
        <v>182</v>
      </c>
      <c r="F321" s="316">
        <f ca="1">VLOOKUP(A321,'Price setting'!$E$89:$I$106,COLUMN()-1,FALSE)</f>
        <v>13.961230018213664</v>
      </c>
      <c r="G321" s="317"/>
      <c r="H321" s="317"/>
      <c r="I321" s="317"/>
      <c r="J321" s="317"/>
      <c r="K321" s="317"/>
      <c r="L321" s="323"/>
    </row>
    <row r="322" spans="1:12">
      <c r="A322" s="60" t="str">
        <f t="shared" si="13"/>
        <v>PRT</v>
      </c>
      <c r="B322" s="355" t="s">
        <v>195</v>
      </c>
      <c r="C322" s="50" t="s">
        <v>186</v>
      </c>
      <c r="D322" s="168" t="s">
        <v>75</v>
      </c>
      <c r="E322" s="169" t="s">
        <v>182</v>
      </c>
      <c r="F322" s="316">
        <f ca="1">VLOOKUP(A322,'Price setting'!E$254:I$271,COLUMN()-1,FALSE)+VLOOKUP(A321,'Price setting'!$E$89:$I$106,COLUMN()-1,FALSE)</f>
        <v>18.2784634518536</v>
      </c>
      <c r="G322" s="317"/>
      <c r="H322" s="317"/>
      <c r="I322" s="317"/>
      <c r="J322" s="317"/>
      <c r="K322" s="317"/>
      <c r="L322" s="323"/>
    </row>
    <row r="323" spans="1:12">
      <c r="A323" s="60" t="str">
        <f t="shared" si="13"/>
        <v>PRT</v>
      </c>
      <c r="B323" s="355" t="s">
        <v>196</v>
      </c>
      <c r="C323" s="50" t="s">
        <v>187</v>
      </c>
      <c r="D323" s="168" t="s">
        <v>75</v>
      </c>
      <c r="E323" s="169" t="s">
        <v>182</v>
      </c>
      <c r="F323" s="316">
        <f ca="1">VLOOKUP(A323,'Price setting'!E$319:I$336,COLUMN()-1,FALSE)+VLOOKUP(A321,'Price setting'!$E$89:$I$106,COLUMN()-1,FALSE)</f>
        <v>13.961230018213664</v>
      </c>
      <c r="G323" s="317"/>
      <c r="H323" s="317"/>
      <c r="I323" s="317"/>
      <c r="J323" s="317"/>
      <c r="K323" s="317"/>
      <c r="L323" s="323"/>
    </row>
    <row r="324" spans="1:12">
      <c r="A324" s="60" t="str">
        <f t="shared" si="13"/>
        <v>PRT</v>
      </c>
      <c r="B324" s="355" t="s">
        <v>197</v>
      </c>
      <c r="C324" s="50" t="s">
        <v>188</v>
      </c>
      <c r="D324" s="168" t="s">
        <v>75</v>
      </c>
      <c r="E324" s="169" t="s">
        <v>182</v>
      </c>
      <c r="F324" s="316">
        <f ca="1">(VLOOKUP(A324,'Price setting'!E$384:I$401,COLUMN()-1,FALSE)+VLOOKUP(A321,'Price setting'!$E$89:$I$106,COLUMN()-1,FALSE))*+Input!$H$441</f>
        <v>18.149599023677762</v>
      </c>
      <c r="G324" s="317"/>
      <c r="H324" s="317"/>
      <c r="I324" s="317"/>
      <c r="J324" s="317"/>
      <c r="K324" s="317"/>
      <c r="L324" s="323"/>
    </row>
    <row r="325" spans="1:12">
      <c r="A325" s="60" t="str">
        <f t="shared" si="13"/>
        <v>PRT</v>
      </c>
      <c r="B325" s="355" t="s">
        <v>198</v>
      </c>
      <c r="C325" s="50" t="s">
        <v>189</v>
      </c>
      <c r="D325" s="168" t="s">
        <v>75</v>
      </c>
      <c r="E325" s="169" t="s">
        <v>182</v>
      </c>
      <c r="F325" s="316">
        <f ca="1">VLOOKUP(A325,'Price setting'!E$89:I$106,COLUMN()-1,FALSE)*+Input!$H$441</f>
        <v>18.149599023677762</v>
      </c>
      <c r="G325" s="317"/>
      <c r="H325" s="317"/>
      <c r="I325" s="317"/>
      <c r="J325" s="317"/>
      <c r="K325" s="317"/>
      <c r="L325" s="323"/>
    </row>
    <row r="326" spans="1:12" s="53" customFormat="1">
      <c r="A326" s="60" t="str">
        <f t="shared" si="13"/>
        <v>PRT</v>
      </c>
      <c r="B326" s="356" t="s">
        <v>204</v>
      </c>
      <c r="C326" s="50" t="s">
        <v>203</v>
      </c>
      <c r="D326" s="168" t="s">
        <v>75</v>
      </c>
      <c r="E326" s="169" t="s">
        <v>182</v>
      </c>
      <c r="F326" s="316"/>
      <c r="G326" s="317"/>
      <c r="H326" s="317">
        <f ca="1">VLOOKUP($A326,'Price setting'!$E$213:$O$230,COLUMN()-1,FALSE)</f>
        <v>13.50120242642045</v>
      </c>
      <c r="I326" s="317">
        <f ca="1">VLOOKUP($A326,'Price setting'!$E$213:$O$230,COLUMN()-1,FALSE)</f>
        <v>13.550059083974048</v>
      </c>
      <c r="J326" s="317">
        <f ca="1">VLOOKUP($A326,'Price setting'!$E$213:$O$230,COLUMN()-1,FALSE)</f>
        <v>13.58180138228199</v>
      </c>
      <c r="K326" s="317">
        <f ca="1">VLOOKUP($A326,'Price setting'!$E$213:$O$230,COLUMN()-1,FALSE)</f>
        <v>13.597313445913137</v>
      </c>
      <c r="L326" s="323">
        <f ca="1">VLOOKUP($A326,'Price setting'!$E$213:$O$230,COLUMN()-1,FALSE)</f>
        <v>13.61203164017804</v>
      </c>
    </row>
    <row r="327" spans="1:12">
      <c r="A327" s="60" t="str">
        <f t="shared" si="13"/>
        <v>PRT</v>
      </c>
      <c r="B327" s="355" t="s">
        <v>199</v>
      </c>
      <c r="C327" s="50" t="s">
        <v>190</v>
      </c>
      <c r="D327" s="168" t="s">
        <v>75</v>
      </c>
      <c r="E327" s="169" t="s">
        <v>182</v>
      </c>
      <c r="F327" s="316"/>
      <c r="G327" s="317"/>
      <c r="H327" s="317">
        <f ca="1">VLOOKUP($A326,'Price setting'!$E$213:$O$230,COLUMN()-1,FALSE)*+Input!$H$441</f>
        <v>17.551563154346585</v>
      </c>
      <c r="I327" s="317">
        <f ca="1">VLOOKUP($A326,'Price setting'!$E$213:$O$230,COLUMN()-1,FALSE)*+Input!$H$441</f>
        <v>17.615076809166265</v>
      </c>
      <c r="J327" s="317">
        <f ca="1">VLOOKUP($A326,'Price setting'!$E$213:$O$230,COLUMN()-1,FALSE)*+Input!$H$441</f>
        <v>17.656341796966586</v>
      </c>
      <c r="K327" s="317">
        <f ca="1">VLOOKUP($A326,'Price setting'!$E$213:$O$230,COLUMN()-1,FALSE)*+Input!$H$441</f>
        <v>17.676507479687078</v>
      </c>
      <c r="L327" s="323">
        <f ca="1">VLOOKUP($A326,'Price setting'!$E$213:$O$230,COLUMN()-1,FALSE)*+Input!$H$441</f>
        <v>17.695641132231454</v>
      </c>
    </row>
    <row r="328" spans="1:12">
      <c r="A328" s="60" t="str">
        <f t="shared" si="13"/>
        <v>PRT</v>
      </c>
      <c r="B328" s="355" t="s">
        <v>200</v>
      </c>
      <c r="C328" s="50" t="s">
        <v>191</v>
      </c>
      <c r="D328" s="168" t="s">
        <v>75</v>
      </c>
      <c r="E328" s="169" t="s">
        <v>182</v>
      </c>
      <c r="F328" s="316"/>
      <c r="G328" s="317"/>
      <c r="H328" s="317">
        <f ca="1">VLOOKUP($A328,'Price setting'!$E$278:$O$295,COLUMN()-1,FALSE)+VLOOKUP($A326,'Price setting'!$E$213:$O$230,COLUMN()-1,FALSE)</f>
        <v>17.812213724417091</v>
      </c>
      <c r="I328" s="317">
        <f ca="1">VLOOKUP($A328,'Price setting'!$E$278:$O$295,COLUMN()-1,FALSE)+VLOOKUP($A326,'Price setting'!$E$213:$O$230,COLUMN()-1,FALSE)</f>
        <v>17.872800897187158</v>
      </c>
      <c r="J328" s="317">
        <f ca="1">VLOOKUP($A328,'Price setting'!$E$278:$O$295,COLUMN()-1,FALSE)+VLOOKUP($A326,'Price setting'!$E$213:$O$230,COLUMN()-1,FALSE)</f>
        <v>17.898418298410459</v>
      </c>
      <c r="K328" s="317">
        <f ca="1">VLOOKUP($A328,'Price setting'!$E$278:$O$295,COLUMN()-1,FALSE)+VLOOKUP($A326,'Price setting'!$E$213:$O$230,COLUMN()-1,FALSE)</f>
        <v>17.918148859311401</v>
      </c>
      <c r="L328" s="323">
        <f ca="1">VLOOKUP($A328,'Price setting'!$E$278:$O$295,COLUMN()-1,FALSE)+VLOOKUP($A326,'Price setting'!$E$213:$O$230,COLUMN()-1,FALSE)</f>
        <v>17.929743753182223</v>
      </c>
    </row>
    <row r="329" spans="1:12">
      <c r="A329" s="60" t="str">
        <f t="shared" si="13"/>
        <v>PRT</v>
      </c>
      <c r="B329" s="355" t="s">
        <v>201</v>
      </c>
      <c r="C329" s="50" t="s">
        <v>192</v>
      </c>
      <c r="D329" s="168" t="s">
        <v>75</v>
      </c>
      <c r="E329" s="169" t="s">
        <v>182</v>
      </c>
      <c r="F329" s="316"/>
      <c r="G329" s="317"/>
      <c r="H329" s="317">
        <f ca="1">VLOOKUP($A329,'Price setting'!$E$343:$O$360,COLUMN()-1,FALSE)+VLOOKUP($A326,'Price setting'!$E$213:$O$230,COLUMN()-1,FALSE)</f>
        <v>13.50120242642045</v>
      </c>
      <c r="I329" s="317">
        <f ca="1">VLOOKUP($A329,'Price setting'!$E$343:$O$360,COLUMN()-1,FALSE)+VLOOKUP($A326,'Price setting'!$E$213:$O$230,COLUMN()-1,FALSE)</f>
        <v>13.550059083974048</v>
      </c>
      <c r="J329" s="317">
        <f ca="1">VLOOKUP($A329,'Price setting'!$E$343:$O$360,COLUMN()-1,FALSE)+VLOOKUP($A326,'Price setting'!$E$213:$O$230,COLUMN()-1,FALSE)</f>
        <v>13.58180138228199</v>
      </c>
      <c r="K329" s="317">
        <f ca="1">VLOOKUP($A329,'Price setting'!$E$343:$O$360,COLUMN()-1,FALSE)+VLOOKUP($A326,'Price setting'!$E$213:$O$230,COLUMN()-1,FALSE)</f>
        <v>13.597313445913137</v>
      </c>
      <c r="L329" s="323">
        <f ca="1">VLOOKUP($A329,'Price setting'!$E$343:$O$360,COLUMN()-1,FALSE)+VLOOKUP($A326,'Price setting'!$E$213:$O$230,COLUMN()-1,FALSE)</f>
        <v>13.61203164017804</v>
      </c>
    </row>
    <row r="330" spans="1:12">
      <c r="A330" s="60" t="str">
        <f t="shared" si="13"/>
        <v>PRT</v>
      </c>
      <c r="B330" s="355" t="s">
        <v>202</v>
      </c>
      <c r="C330" s="50" t="s">
        <v>193</v>
      </c>
      <c r="D330" s="168" t="s">
        <v>75</v>
      </c>
      <c r="E330" s="169" t="s">
        <v>182</v>
      </c>
      <c r="F330" s="316"/>
      <c r="G330" s="317"/>
      <c r="H330" s="317">
        <f ca="1">(VLOOKUP($A330,'Price setting'!$E$408:$O$425,COLUMN()-1,FALSE)+VLOOKUP($A326,'Price setting'!$E$213:$O$230,COLUMN()-1,FALSE))*+Input!$H$441</f>
        <v>17.551563154346585</v>
      </c>
      <c r="I330" s="317">
        <f ca="1">(VLOOKUP($A330,'Price setting'!$E$408:$O$425,COLUMN()-1,FALSE)+VLOOKUP($A326,'Price setting'!$E$213:$O$230,COLUMN()-1,FALSE))*+Input!$H$441</f>
        <v>17.615076809166265</v>
      </c>
      <c r="J330" s="317">
        <f ca="1">(VLOOKUP($A330,'Price setting'!$E$408:$O$425,COLUMN()-1,FALSE)+VLOOKUP($A326,'Price setting'!$E$213:$O$230,COLUMN()-1,FALSE))*+Input!$H$441</f>
        <v>17.656341796966586</v>
      </c>
      <c r="K330" s="317">
        <f ca="1">(VLOOKUP($A330,'Price setting'!$E$408:$O$425,COLUMN()-1,FALSE)+VLOOKUP($A326,'Price setting'!$E$213:$O$230,COLUMN()-1,FALSE))*+Input!$H$441</f>
        <v>17.676507479687078</v>
      </c>
      <c r="L330" s="323">
        <f ca="1">(VLOOKUP($A330,'Price setting'!$E$408:$O$425,COLUMN()-1,FALSE)+VLOOKUP($A326,'Price setting'!$E$213:$O$230,COLUMN()-1,FALSE))*+Input!$H$441</f>
        <v>17.695641132231454</v>
      </c>
    </row>
    <row r="331" spans="1:12">
      <c r="A331" s="60" t="str">
        <f t="shared" si="13"/>
        <v>PRT</v>
      </c>
      <c r="B331" s="355" t="s">
        <v>208</v>
      </c>
      <c r="C331" s="21" t="s">
        <v>205</v>
      </c>
      <c r="D331" s="168" t="s">
        <v>75</v>
      </c>
      <c r="E331" s="169" t="s">
        <v>182</v>
      </c>
      <c r="F331" s="262">
        <f ca="1">VLOOKUP($A331,'Price setting'!$E$49:$I$66,COLUMN()-1,FALSE)</f>
        <v>0</v>
      </c>
      <c r="G331" s="263"/>
      <c r="H331" s="263"/>
      <c r="I331" s="263"/>
      <c r="J331" s="263"/>
      <c r="K331" s="263"/>
      <c r="L331" s="264"/>
    </row>
    <row r="332" spans="1:12">
      <c r="A332" s="60" t="str">
        <f t="shared" si="13"/>
        <v>PRT</v>
      </c>
      <c r="B332" s="355" t="s">
        <v>206</v>
      </c>
      <c r="C332" s="21" t="s">
        <v>132</v>
      </c>
      <c r="D332" s="168" t="s">
        <v>74</v>
      </c>
      <c r="E332" s="169" t="s">
        <v>182</v>
      </c>
      <c r="F332" s="262">
        <f ca="1">'Used inputs'!I214</f>
        <v>4.0526314498824973</v>
      </c>
      <c r="G332" s="263">
        <f>'Used inputs'!J214</f>
        <v>4.0793814924559788</v>
      </c>
      <c r="H332" s="263">
        <f ca="1">'Used inputs'!K214</f>
        <v>4.1637470113415755</v>
      </c>
      <c r="I332" s="263">
        <f ca="1">'Used inputs'!L214</f>
        <v>4.195641292871497</v>
      </c>
      <c r="J332" s="263">
        <f ca="1">'Used inputs'!M214</f>
        <v>4.2275355744014167</v>
      </c>
      <c r="K332" s="263">
        <f ca="1">'Used inputs'!N214</f>
        <v>4.2625163993052011</v>
      </c>
      <c r="L332" s="264">
        <f ca="1">'Used inputs'!O214</f>
        <v>4.296468376417697</v>
      </c>
    </row>
    <row r="333" spans="1:12">
      <c r="A333" s="60" t="str">
        <f t="shared" si="13"/>
        <v>PRT</v>
      </c>
      <c r="B333" s="355" t="s">
        <v>207</v>
      </c>
      <c r="C333" s="21" t="s">
        <v>157</v>
      </c>
      <c r="D333" s="168" t="s">
        <v>74</v>
      </c>
      <c r="E333" s="169" t="s">
        <v>182</v>
      </c>
      <c r="F333" s="262">
        <f>'Used inputs'!I227</f>
        <v>0</v>
      </c>
      <c r="G333" s="263">
        <f>'Used inputs'!J227</f>
        <v>3.0865433738632882E-2</v>
      </c>
      <c r="H333" s="263">
        <f>'Used inputs'!K227</f>
        <v>6.0999999999999999E-2</v>
      </c>
      <c r="I333" s="263">
        <f>'Used inputs'!L227</f>
        <v>9.1999999999999998E-2</v>
      </c>
      <c r="J333" s="263">
        <f>'Used inputs'!M227</f>
        <v>0.123</v>
      </c>
      <c r="K333" s="263">
        <f>'Used inputs'!N227</f>
        <v>0.155</v>
      </c>
      <c r="L333" s="264">
        <f>'Used inputs'!O227</f>
        <v>0.187</v>
      </c>
    </row>
    <row r="334" spans="1:12">
      <c r="A334" s="60" t="s">
        <v>57</v>
      </c>
      <c r="B334" s="355" t="s">
        <v>162</v>
      </c>
      <c r="C334" s="59" t="s">
        <v>175</v>
      </c>
      <c r="D334" s="169" t="s">
        <v>74</v>
      </c>
      <c r="E334" s="169" t="s">
        <v>182</v>
      </c>
      <c r="F334" s="262">
        <f>VLOOKUP($A334,'Price setting'!$E$448:$O$466,COLUMN()-1,FALSE)</f>
        <v>0</v>
      </c>
      <c r="G334" s="263">
        <f>VLOOKUP($A334,'Price setting'!$E$448:$O$466,COLUMN()-1,FALSE)</f>
        <v>0</v>
      </c>
      <c r="H334" s="263">
        <f ca="1">VLOOKUP($A334,'Price setting'!$E$448:$O$466,COLUMN()-1,FALSE)</f>
        <v>4.4192589010769634</v>
      </c>
      <c r="I334" s="263">
        <f ca="1">VLOOKUP($A334,'Price setting'!$E$448:$O$466,COLUMN()-1,FALSE)</f>
        <v>4.5084917153938937</v>
      </c>
      <c r="J334" s="263">
        <f ca="1">VLOOKUP($A334,'Price setting'!$E$448:$O$466,COLUMN()-1,FALSE)</f>
        <v>4.5895262995633637</v>
      </c>
      <c r="K334" s="263">
        <f ca="1">VLOOKUP($A334,'Price setting'!$E$448:$O$466,COLUMN()-1,FALSE)</f>
        <v>4.6950711896755664</v>
      </c>
      <c r="L334" s="264">
        <f ca="1">VLOOKUP($A334,'Price setting'!$E$448:$O$466,COLUMN()-1,FALSE)</f>
        <v>4.7177026105325552</v>
      </c>
    </row>
    <row r="335" spans="1:12">
      <c r="A335" s="60" t="s">
        <v>57</v>
      </c>
      <c r="B335" s="355" t="s">
        <v>163</v>
      </c>
      <c r="C335" s="59" t="s">
        <v>118</v>
      </c>
      <c r="D335" s="168" t="s">
        <v>75</v>
      </c>
      <c r="E335" s="169" t="s">
        <v>182</v>
      </c>
      <c r="F335" s="316">
        <f>VLOOKUP($A335,'Price setting'!$E$213:$O$231,COLUMN()-1,FALSE)</f>
        <v>0</v>
      </c>
      <c r="G335" s="317">
        <f>VLOOKUP($A335,'Price setting'!$E$213:$O$231,COLUMN()-1,FALSE)</f>
        <v>0</v>
      </c>
      <c r="H335" s="317">
        <f ca="1">VLOOKUP($A335,'Price setting'!$E$213:$O$231,COLUMN()-1,FALSE)</f>
        <v>19.588665908834795</v>
      </c>
      <c r="I335" s="317">
        <f ca="1">VLOOKUP($A335,'Price setting'!$E$213:$O$231,COLUMN()-1,FALSE)</f>
        <v>19.805276894886468</v>
      </c>
      <c r="J335" s="317">
        <f ca="1">VLOOKUP($A335,'Price setting'!$E$213:$O$231,COLUMN()-1,FALSE)</f>
        <v>19.958218525554887</v>
      </c>
      <c r="K335" s="317">
        <f ca="1">VLOOKUP($A335,'Price setting'!$E$213:$O$231,COLUMN()-1,FALSE)</f>
        <v>20.250689955376675</v>
      </c>
      <c r="L335" s="323">
        <f ca="1">VLOOKUP($A335,'Price setting'!$E$213:$O$231,COLUMN()-1,FALSE)</f>
        <v>20.116279775902594</v>
      </c>
    </row>
    <row r="336" spans="1:12">
      <c r="A336" s="60" t="s">
        <v>57</v>
      </c>
      <c r="B336" s="355" t="s">
        <v>164</v>
      </c>
      <c r="C336" s="59" t="s">
        <v>119</v>
      </c>
      <c r="D336" s="168" t="s">
        <v>75</v>
      </c>
      <c r="E336" s="169" t="s">
        <v>182</v>
      </c>
      <c r="F336" s="316">
        <f>VLOOKUP($A336,'Price setting'!$E$278:$O$296,COLUMN()-1,FALSE)+VLOOKUP($A335,'Price setting'!$E$213:$O$231,COLUMN()-1,FALSE)</f>
        <v>0</v>
      </c>
      <c r="G336" s="317">
        <f>VLOOKUP($A336,'Price setting'!$E$278:$O$296,COLUMN()-1,FALSE)+VLOOKUP($A335,'Price setting'!$E$213:$O$231,COLUMN()-1,FALSE)</f>
        <v>0</v>
      </c>
      <c r="H336" s="317">
        <f ca="1">VLOOKUP($A336,'Price setting'!$E$278:$O$296,COLUMN()-1,FALSE)+VLOOKUP($A335,'Price setting'!$E$213:$O$231,COLUMN()-1,FALSE)</f>
        <v>25.379587900697356</v>
      </c>
      <c r="I336" s="317">
        <f ca="1">VLOOKUP($A336,'Price setting'!$E$278:$O$296,COLUMN()-1,FALSE)+VLOOKUP($A335,'Price setting'!$E$213:$O$231,COLUMN()-1,FALSE)</f>
        <v>25.596198886749029</v>
      </c>
      <c r="J336" s="317">
        <f ca="1">VLOOKUP($A336,'Price setting'!$E$278:$O$296,COLUMN()-1,FALSE)+VLOOKUP($A335,'Price setting'!$E$213:$O$231,COLUMN()-1,FALSE)</f>
        <v>25.749140517417448</v>
      </c>
      <c r="K336" s="317">
        <f ca="1">VLOOKUP($A336,'Price setting'!$E$278:$O$296,COLUMN()-1,FALSE)+VLOOKUP($A335,'Price setting'!$E$213:$O$231,COLUMN()-1,FALSE)</f>
        <v>26.041611947239236</v>
      </c>
      <c r="L336" s="323">
        <f ca="1">VLOOKUP($A336,'Price setting'!$E$278:$O$296,COLUMN()-1,FALSE)+VLOOKUP($A335,'Price setting'!$E$213:$O$231,COLUMN()-1,FALSE)</f>
        <v>25.907201767765155</v>
      </c>
    </row>
    <row r="337" spans="1:12">
      <c r="A337" s="60" t="s">
        <v>57</v>
      </c>
      <c r="B337" s="355" t="s">
        <v>165</v>
      </c>
      <c r="C337" s="59" t="s">
        <v>120</v>
      </c>
      <c r="D337" s="168" t="s">
        <v>75</v>
      </c>
      <c r="E337" s="169" t="s">
        <v>182</v>
      </c>
      <c r="F337" s="316">
        <f>VLOOKUP($A337,'Price setting'!$E$343:$O$361,COLUMN()-1,FALSE)+VLOOKUP($A335,'Price setting'!$E$213:$O$231,COLUMN()-1,FALSE)</f>
        <v>0</v>
      </c>
      <c r="G337" s="317">
        <f>VLOOKUP($A337,'Price setting'!$E$343:$O$361,COLUMN()-1,FALSE)+VLOOKUP($A335,'Price setting'!$E$213:$O$231,COLUMN()-1,FALSE)</f>
        <v>0</v>
      </c>
      <c r="H337" s="317">
        <f ca="1">VLOOKUP($A337,'Price setting'!$E$343:$O$361,COLUMN()-1,FALSE)+VLOOKUP($A335,'Price setting'!$E$213:$O$231,COLUMN()-1,FALSE)</f>
        <v>19.588665908834795</v>
      </c>
      <c r="I337" s="317">
        <f ca="1">VLOOKUP($A337,'Price setting'!$E$343:$O$361,COLUMN()-1,FALSE)+VLOOKUP($A335,'Price setting'!$E$213:$O$231,COLUMN()-1,FALSE)</f>
        <v>19.805276894886468</v>
      </c>
      <c r="J337" s="317">
        <f ca="1">VLOOKUP($A337,'Price setting'!$E$343:$O$361,COLUMN()-1,FALSE)+VLOOKUP($A335,'Price setting'!$E$213:$O$231,COLUMN()-1,FALSE)</f>
        <v>19.958218525554887</v>
      </c>
      <c r="K337" s="317">
        <f ca="1">VLOOKUP($A337,'Price setting'!$E$343:$O$361,COLUMN()-1,FALSE)+VLOOKUP($A335,'Price setting'!$E$213:$O$231,COLUMN()-1,FALSE)</f>
        <v>20.250689955376675</v>
      </c>
      <c r="L337" s="323">
        <f ca="1">VLOOKUP($A337,'Price setting'!$E$343:$O$361,COLUMN()-1,FALSE)+VLOOKUP($A335,'Price setting'!$E$213:$O$231,COLUMN()-1,FALSE)</f>
        <v>20.116279775902594</v>
      </c>
    </row>
    <row r="338" spans="1:12">
      <c r="A338" s="60" t="s">
        <v>57</v>
      </c>
      <c r="B338" s="355" t="s">
        <v>166</v>
      </c>
      <c r="C338" s="59" t="s">
        <v>124</v>
      </c>
      <c r="D338" s="168" t="s">
        <v>75</v>
      </c>
      <c r="E338" s="169" t="s">
        <v>182</v>
      </c>
      <c r="F338" s="316">
        <f>VLOOKUP($A338,'Price setting'!$E$408:$O$426,COLUMN()-1,FALSE)+VLOOKUP($A335,'Price setting'!$E$213:$O$231,COLUMN()-1,FALSE)</f>
        <v>0</v>
      </c>
      <c r="G338" s="317">
        <f>VLOOKUP($A338,'Price setting'!$E$408:$O$426,COLUMN()-1,FALSE)+VLOOKUP($A335,'Price setting'!$E$213:$O$231,COLUMN()-1,FALSE)</f>
        <v>0</v>
      </c>
      <c r="H338" s="317">
        <f ca="1">VLOOKUP($A338,'Price setting'!$E$408:$O$426,COLUMN()-1,FALSE)+VLOOKUP($A335,'Price setting'!$E$213:$O$231,COLUMN()-1,FALSE)</f>
        <v>19.588665908834795</v>
      </c>
      <c r="I338" s="317">
        <f ca="1">VLOOKUP($A338,'Price setting'!$E$408:$O$426,COLUMN()-1,FALSE)+VLOOKUP($A335,'Price setting'!$E$213:$O$231,COLUMN()-1,FALSE)</f>
        <v>19.805276894886468</v>
      </c>
      <c r="J338" s="317">
        <f ca="1">VLOOKUP($A338,'Price setting'!$E$408:$O$426,COLUMN()-1,FALSE)+VLOOKUP($A335,'Price setting'!$E$213:$O$231,COLUMN()-1,FALSE)</f>
        <v>19.958218525554887</v>
      </c>
      <c r="K338" s="317">
        <f ca="1">VLOOKUP($A338,'Price setting'!$E$408:$O$426,COLUMN()-1,FALSE)+VLOOKUP($A335,'Price setting'!$E$213:$O$231,COLUMN()-1,FALSE)</f>
        <v>20.250689955376675</v>
      </c>
      <c r="L338" s="323">
        <f ca="1">VLOOKUP($A338,'Price setting'!$E$408:$O$426,COLUMN()-1,FALSE)+VLOOKUP($A335,'Price setting'!$E$213:$O$231,COLUMN()-1,FALSE)</f>
        <v>20.116279775902594</v>
      </c>
    </row>
    <row r="339" spans="1:12">
      <c r="A339" s="60" t="s">
        <v>57</v>
      </c>
      <c r="B339" s="355" t="s">
        <v>167</v>
      </c>
      <c r="C339" s="59" t="s">
        <v>122</v>
      </c>
      <c r="D339" s="170" t="s">
        <v>88</v>
      </c>
      <c r="E339" s="169" t="s">
        <v>182</v>
      </c>
      <c r="F339" s="262">
        <f>INDEX(SBW,ROW(Input!B$23)-5,COLUMN()+1)*Input!$H$441</f>
        <v>0</v>
      </c>
      <c r="G339" s="263">
        <f>INDEX(SBW,ROW(Input!C$23)-5,COLUMN()+1)*Input!$H$441</f>
        <v>0</v>
      </c>
      <c r="H339" s="263">
        <f>INDEX(SBW,ROW(Input!D$23)-5,COLUMN()+1)*Input!$H$441</f>
        <v>0</v>
      </c>
      <c r="I339" s="263">
        <f>INDEX(SBW,ROW(Input!E$23)-5,COLUMN()+1)*Input!$H$441</f>
        <v>0</v>
      </c>
      <c r="J339" s="263">
        <f>INDEX(SBW,ROW(Input!F$23)-5,COLUMN()+1)*Input!$H$441</f>
        <v>0</v>
      </c>
      <c r="K339" s="263">
        <f>INDEX(SBW,ROW(Input!G$23)-5,COLUMN()+1)*Input!$H$441</f>
        <v>0</v>
      </c>
      <c r="L339" s="264">
        <f>INDEX(SBW,ROW(Input!H$23)-5,COLUMN()+1)*Input!$H$441</f>
        <v>0</v>
      </c>
    </row>
    <row r="340" spans="1:12">
      <c r="A340" s="60" t="s">
        <v>57</v>
      </c>
      <c r="B340" s="355" t="s">
        <v>168</v>
      </c>
      <c r="C340" s="59" t="s">
        <v>123</v>
      </c>
      <c r="D340" s="170" t="s">
        <v>88</v>
      </c>
      <c r="E340" s="169" t="s">
        <v>182</v>
      </c>
      <c r="F340" s="262">
        <f>+INDEX(SBW,ROW(Input!B$24)-5,COLUMN()+1)*Input!$H$441</f>
        <v>0</v>
      </c>
      <c r="G340" s="263">
        <f>+INDEX(SBW,ROW(Input!C$24)-5,COLUMN()+1)*Input!$H$441</f>
        <v>0</v>
      </c>
      <c r="H340" s="263">
        <f>+INDEX(SBW,ROW(Input!D$24)-5,COLUMN()+1)*Input!$H$441</f>
        <v>0</v>
      </c>
      <c r="I340" s="263">
        <f>+INDEX(SBW,ROW(Input!E$24)-5,COLUMN()+1)*Input!$H$441</f>
        <v>0</v>
      </c>
      <c r="J340" s="263">
        <f>+INDEX(SBW,ROW(Input!F$24)-5,COLUMN()+1)*Input!$H$441</f>
        <v>0</v>
      </c>
      <c r="K340" s="263">
        <f>+INDEX(SBW,ROW(Input!G$24)-5,COLUMN()+1)*Input!$H$441</f>
        <v>0</v>
      </c>
      <c r="L340" s="264">
        <f>+INDEX(SBW,ROW(Input!H$24)-5,COLUMN()+1)*Input!$H$441</f>
        <v>0</v>
      </c>
    </row>
    <row r="341" spans="1:12">
      <c r="A341" s="60" t="s">
        <v>57</v>
      </c>
      <c r="B341" s="355" t="s">
        <v>169</v>
      </c>
      <c r="C341" s="59" t="s">
        <v>139</v>
      </c>
      <c r="D341" s="170" t="s">
        <v>74</v>
      </c>
      <c r="E341" s="169" t="s">
        <v>182</v>
      </c>
      <c r="F341" s="262">
        <f>VLOOKUP($A341,'Price setting'!$E$488:$O$506,COLUMN()-1,FALSE)</f>
        <v>0</v>
      </c>
      <c r="G341" s="263">
        <f>VLOOKUP($A341,'Price setting'!$E$488:$O$506,COLUMN()-1,FALSE)</f>
        <v>0</v>
      </c>
      <c r="H341" s="263">
        <f ca="1">VLOOKUP($A341,'Price setting'!$E$488:$O$506,COLUMN()-1,FALSE)</f>
        <v>5.614805379434544E-2</v>
      </c>
      <c r="I341" s="263">
        <f ca="1">VLOOKUP($A341,'Price setting'!$E$488:$O$506,COLUMN()-1,FALSE)</f>
        <v>0.11337282258211455</v>
      </c>
      <c r="J341" s="263">
        <f ca="1">VLOOKUP($A341,'Price setting'!$E$488:$O$506,COLUMN()-1,FALSE)</f>
        <v>0.17517662815145221</v>
      </c>
      <c r="K341" s="263">
        <f ca="1">VLOOKUP($A341,'Price setting'!$E$488:$O$506,COLUMN()-1,FALSE)</f>
        <v>0.23720037381830061</v>
      </c>
      <c r="L341" s="264">
        <f ca="1">VLOOKUP($A341,'Price setting'!$E$488:$O$506,COLUMN()-1,FALSE)</f>
        <v>0.23252593499922516</v>
      </c>
    </row>
    <row r="342" spans="1:12">
      <c r="A342" s="60" t="str">
        <f>+A341</f>
        <v>SBW</v>
      </c>
      <c r="B342" s="355" t="s">
        <v>170</v>
      </c>
      <c r="C342" s="59" t="s">
        <v>67</v>
      </c>
      <c r="D342" s="170" t="s">
        <v>171</v>
      </c>
      <c r="E342" s="169" t="s">
        <v>182</v>
      </c>
      <c r="F342" s="320">
        <f>+Input!$H$441</f>
        <v>1.3</v>
      </c>
      <c r="G342" s="321">
        <f>+Input!$H$441</f>
        <v>1.3</v>
      </c>
      <c r="H342" s="321">
        <f>+Input!$H$441</f>
        <v>1.3</v>
      </c>
      <c r="I342" s="321">
        <f>+Input!$H$441</f>
        <v>1.3</v>
      </c>
      <c r="J342" s="321">
        <f>+Input!$H$441</f>
        <v>1.3</v>
      </c>
      <c r="K342" s="321">
        <f>+Input!$H$441</f>
        <v>1.3</v>
      </c>
      <c r="L342" s="322">
        <f>+Input!$H$441</f>
        <v>1.3</v>
      </c>
    </row>
    <row r="343" spans="1:12">
      <c r="A343" s="60" t="str">
        <f t="shared" ref="A343:A355" si="14">+A342</f>
        <v>SBW</v>
      </c>
      <c r="B343" s="355" t="s">
        <v>194</v>
      </c>
      <c r="C343" s="50" t="s">
        <v>185</v>
      </c>
      <c r="D343" s="168" t="s">
        <v>75</v>
      </c>
      <c r="E343" s="169" t="s">
        <v>182</v>
      </c>
      <c r="F343" s="316">
        <f ca="1">VLOOKUP(A343,'Price setting'!$E$89:$I$106,COLUMN()-1,FALSE)</f>
        <v>22.448162734760263</v>
      </c>
      <c r="G343" s="317"/>
      <c r="H343" s="317"/>
      <c r="I343" s="317"/>
      <c r="J343" s="317"/>
      <c r="K343" s="317"/>
      <c r="L343" s="323"/>
    </row>
    <row r="344" spans="1:12">
      <c r="A344" s="60" t="str">
        <f t="shared" si="14"/>
        <v>SBW</v>
      </c>
      <c r="B344" s="355" t="s">
        <v>195</v>
      </c>
      <c r="C344" s="50" t="s">
        <v>186</v>
      </c>
      <c r="D344" s="168" t="s">
        <v>75</v>
      </c>
      <c r="E344" s="169" t="s">
        <v>182</v>
      </c>
      <c r="F344" s="316">
        <f ca="1">VLOOKUP(A344,'Price setting'!E$254:I$271,COLUMN()-1,FALSE)+VLOOKUP(A343,'Price setting'!$E$89:$I$106,COLUMN()-1,FALSE)</f>
        <v>27.841260808724062</v>
      </c>
      <c r="G344" s="317"/>
      <c r="H344" s="317"/>
      <c r="I344" s="317"/>
      <c r="J344" s="317"/>
      <c r="K344" s="317"/>
      <c r="L344" s="323"/>
    </row>
    <row r="345" spans="1:12">
      <c r="A345" s="60" t="str">
        <f t="shared" si="14"/>
        <v>SBW</v>
      </c>
      <c r="B345" s="355" t="s">
        <v>196</v>
      </c>
      <c r="C345" s="50" t="s">
        <v>187</v>
      </c>
      <c r="D345" s="168" t="s">
        <v>75</v>
      </c>
      <c r="E345" s="169" t="s">
        <v>182</v>
      </c>
      <c r="F345" s="316">
        <f ca="1">VLOOKUP(A345,'Price setting'!E$319:I$336,COLUMN()-1,FALSE)+VLOOKUP(A343,'Price setting'!$E$89:$I$106,COLUMN()-1,FALSE)</f>
        <v>22.448162734760263</v>
      </c>
      <c r="G345" s="317"/>
      <c r="H345" s="317"/>
      <c r="I345" s="317"/>
      <c r="J345" s="317"/>
      <c r="K345" s="317"/>
      <c r="L345" s="323"/>
    </row>
    <row r="346" spans="1:12">
      <c r="A346" s="60" t="str">
        <f t="shared" si="14"/>
        <v>SBW</v>
      </c>
      <c r="B346" s="355" t="s">
        <v>197</v>
      </c>
      <c r="C346" s="50" t="s">
        <v>188</v>
      </c>
      <c r="D346" s="168" t="s">
        <v>75</v>
      </c>
      <c r="E346" s="169" t="s">
        <v>182</v>
      </c>
      <c r="F346" s="316">
        <f ca="1">(VLOOKUP(A346,'Price setting'!E$384:I$401,COLUMN()-1,FALSE)+VLOOKUP(A343,'Price setting'!$E$89:$I$106,COLUMN()-1,FALSE))*+Input!$H$441</f>
        <v>29.182611555188345</v>
      </c>
      <c r="G346" s="317"/>
      <c r="H346" s="317"/>
      <c r="I346" s="317"/>
      <c r="J346" s="317"/>
      <c r="K346" s="317"/>
      <c r="L346" s="323"/>
    </row>
    <row r="347" spans="1:12">
      <c r="A347" s="60" t="str">
        <f t="shared" si="14"/>
        <v>SBW</v>
      </c>
      <c r="B347" s="355" t="s">
        <v>198</v>
      </c>
      <c r="C347" s="50" t="s">
        <v>189</v>
      </c>
      <c r="D347" s="168" t="s">
        <v>75</v>
      </c>
      <c r="E347" s="169" t="s">
        <v>182</v>
      </c>
      <c r="F347" s="316">
        <f ca="1">VLOOKUP(A347,'Price setting'!E$89:I$106,COLUMN()-1,FALSE)*+Input!$H$441</f>
        <v>29.182611555188345</v>
      </c>
      <c r="G347" s="317"/>
      <c r="H347" s="317"/>
      <c r="I347" s="317"/>
      <c r="J347" s="317"/>
      <c r="K347" s="317"/>
      <c r="L347" s="323"/>
    </row>
    <row r="348" spans="1:12" s="53" customFormat="1">
      <c r="A348" s="60" t="str">
        <f t="shared" si="14"/>
        <v>SBW</v>
      </c>
      <c r="B348" s="356" t="s">
        <v>204</v>
      </c>
      <c r="C348" s="50" t="s">
        <v>203</v>
      </c>
      <c r="D348" s="168" t="s">
        <v>75</v>
      </c>
      <c r="E348" s="169" t="s">
        <v>182</v>
      </c>
      <c r="F348" s="316"/>
      <c r="G348" s="317"/>
      <c r="H348" s="317">
        <f ca="1">VLOOKUP($A348,'Price setting'!$E$213:$O$230,COLUMN()-1,FALSE)</f>
        <v>19.588665908834795</v>
      </c>
      <c r="I348" s="317">
        <f ca="1">VLOOKUP($A348,'Price setting'!$E$213:$O$230,COLUMN()-1,FALSE)</f>
        <v>19.805276894886468</v>
      </c>
      <c r="J348" s="317">
        <f ca="1">VLOOKUP($A348,'Price setting'!$E$213:$O$230,COLUMN()-1,FALSE)</f>
        <v>19.958218525554887</v>
      </c>
      <c r="K348" s="317">
        <f ca="1">VLOOKUP($A348,'Price setting'!$E$213:$O$230,COLUMN()-1,FALSE)</f>
        <v>20.250689955376675</v>
      </c>
      <c r="L348" s="323">
        <f ca="1">VLOOKUP($A348,'Price setting'!$E$213:$O$230,COLUMN()-1,FALSE)</f>
        <v>20.116279775902594</v>
      </c>
    </row>
    <row r="349" spans="1:12">
      <c r="A349" s="60" t="str">
        <f t="shared" si="14"/>
        <v>SBW</v>
      </c>
      <c r="B349" s="355" t="s">
        <v>199</v>
      </c>
      <c r="C349" s="50" t="s">
        <v>190</v>
      </c>
      <c r="D349" s="168" t="s">
        <v>75</v>
      </c>
      <c r="E349" s="169" t="s">
        <v>182</v>
      </c>
      <c r="F349" s="316"/>
      <c r="G349" s="317"/>
      <c r="H349" s="317">
        <f ca="1">VLOOKUP($A348,'Price setting'!$E$213:$O$230,COLUMN()-1,FALSE)*+Input!$H$441</f>
        <v>25.465265681485235</v>
      </c>
      <c r="I349" s="317">
        <f ca="1">VLOOKUP($A348,'Price setting'!$E$213:$O$230,COLUMN()-1,FALSE)*+Input!$H$441</f>
        <v>25.74685996335241</v>
      </c>
      <c r="J349" s="317">
        <f ca="1">VLOOKUP($A348,'Price setting'!$E$213:$O$230,COLUMN()-1,FALSE)*+Input!$H$441</f>
        <v>25.945684083221355</v>
      </c>
      <c r="K349" s="317">
        <f ca="1">VLOOKUP($A348,'Price setting'!$E$213:$O$230,COLUMN()-1,FALSE)*+Input!$H$441</f>
        <v>26.325896941989679</v>
      </c>
      <c r="L349" s="323">
        <f ca="1">VLOOKUP($A348,'Price setting'!$E$213:$O$230,COLUMN()-1,FALSE)*+Input!$H$441</f>
        <v>26.151163708673373</v>
      </c>
    </row>
    <row r="350" spans="1:12">
      <c r="A350" s="60" t="str">
        <f t="shared" si="14"/>
        <v>SBW</v>
      </c>
      <c r="B350" s="355" t="s">
        <v>200</v>
      </c>
      <c r="C350" s="50" t="s">
        <v>191</v>
      </c>
      <c r="D350" s="168" t="s">
        <v>75</v>
      </c>
      <c r="E350" s="169" t="s">
        <v>182</v>
      </c>
      <c r="F350" s="316"/>
      <c r="G350" s="317"/>
      <c r="H350" s="317">
        <f ca="1">VLOOKUP($A350,'Price setting'!$E$278:$O$295,COLUMN()-1,FALSE)+VLOOKUP($A348,'Price setting'!$E$213:$O$230,COLUMN()-1,FALSE)</f>
        <v>25.379587900697356</v>
      </c>
      <c r="I350" s="317">
        <f ca="1">VLOOKUP($A350,'Price setting'!$E$278:$O$295,COLUMN()-1,FALSE)+VLOOKUP($A348,'Price setting'!$E$213:$O$230,COLUMN()-1,FALSE)</f>
        <v>25.596198886749029</v>
      </c>
      <c r="J350" s="317">
        <f ca="1">VLOOKUP($A350,'Price setting'!$E$278:$O$295,COLUMN()-1,FALSE)+VLOOKUP($A348,'Price setting'!$E$213:$O$230,COLUMN()-1,FALSE)</f>
        <v>25.749140517417448</v>
      </c>
      <c r="K350" s="317">
        <f ca="1">VLOOKUP($A350,'Price setting'!$E$278:$O$295,COLUMN()-1,FALSE)+VLOOKUP($A348,'Price setting'!$E$213:$O$230,COLUMN()-1,FALSE)</f>
        <v>26.041611947239236</v>
      </c>
      <c r="L350" s="323">
        <f ca="1">VLOOKUP($A350,'Price setting'!$E$278:$O$295,COLUMN()-1,FALSE)+VLOOKUP($A348,'Price setting'!$E$213:$O$230,COLUMN()-1,FALSE)</f>
        <v>25.907201767765155</v>
      </c>
    </row>
    <row r="351" spans="1:12">
      <c r="A351" s="60" t="str">
        <f t="shared" si="14"/>
        <v>SBW</v>
      </c>
      <c r="B351" s="355" t="s">
        <v>201</v>
      </c>
      <c r="C351" s="50" t="s">
        <v>192</v>
      </c>
      <c r="D351" s="168" t="s">
        <v>75</v>
      </c>
      <c r="E351" s="169" t="s">
        <v>182</v>
      </c>
      <c r="F351" s="316"/>
      <c r="G351" s="317"/>
      <c r="H351" s="317">
        <f ca="1">VLOOKUP($A351,'Price setting'!$E$343:$O$360,COLUMN()-1,FALSE)+VLOOKUP($A348,'Price setting'!$E$213:$O$230,COLUMN()-1,FALSE)</f>
        <v>19.588665908834795</v>
      </c>
      <c r="I351" s="317">
        <f ca="1">VLOOKUP($A351,'Price setting'!$E$343:$O$360,COLUMN()-1,FALSE)+VLOOKUP($A348,'Price setting'!$E$213:$O$230,COLUMN()-1,FALSE)</f>
        <v>19.805276894886468</v>
      </c>
      <c r="J351" s="317">
        <f ca="1">VLOOKUP($A351,'Price setting'!$E$343:$O$360,COLUMN()-1,FALSE)+VLOOKUP($A348,'Price setting'!$E$213:$O$230,COLUMN()-1,FALSE)</f>
        <v>19.958218525554887</v>
      </c>
      <c r="K351" s="317">
        <f ca="1">VLOOKUP($A351,'Price setting'!$E$343:$O$360,COLUMN()-1,FALSE)+VLOOKUP($A348,'Price setting'!$E$213:$O$230,COLUMN()-1,FALSE)</f>
        <v>20.250689955376675</v>
      </c>
      <c r="L351" s="323">
        <f ca="1">VLOOKUP($A351,'Price setting'!$E$343:$O$360,COLUMN()-1,FALSE)+VLOOKUP($A348,'Price setting'!$E$213:$O$230,COLUMN()-1,FALSE)</f>
        <v>20.116279775902594</v>
      </c>
    </row>
    <row r="352" spans="1:12">
      <c r="A352" s="60" t="str">
        <f t="shared" si="14"/>
        <v>SBW</v>
      </c>
      <c r="B352" s="355" t="s">
        <v>202</v>
      </c>
      <c r="C352" s="50" t="s">
        <v>193</v>
      </c>
      <c r="D352" s="168" t="s">
        <v>75</v>
      </c>
      <c r="E352" s="169" t="s">
        <v>182</v>
      </c>
      <c r="F352" s="316"/>
      <c r="G352" s="317"/>
      <c r="H352" s="317">
        <f ca="1">(VLOOKUP($A352,'Price setting'!$E$408:$O$425,COLUMN()-1,FALSE)+VLOOKUP($A348,'Price setting'!$E$213:$O$230,COLUMN()-1,FALSE))*+Input!$H$441</f>
        <v>25.465265681485235</v>
      </c>
      <c r="I352" s="317">
        <f ca="1">(VLOOKUP($A352,'Price setting'!$E$408:$O$425,COLUMN()-1,FALSE)+VLOOKUP($A348,'Price setting'!$E$213:$O$230,COLUMN()-1,FALSE))*+Input!$H$441</f>
        <v>25.74685996335241</v>
      </c>
      <c r="J352" s="317">
        <f ca="1">(VLOOKUP($A352,'Price setting'!$E$408:$O$425,COLUMN()-1,FALSE)+VLOOKUP($A348,'Price setting'!$E$213:$O$230,COLUMN()-1,FALSE))*+Input!$H$441</f>
        <v>25.945684083221355</v>
      </c>
      <c r="K352" s="317">
        <f ca="1">(VLOOKUP($A352,'Price setting'!$E$408:$O$425,COLUMN()-1,FALSE)+VLOOKUP($A348,'Price setting'!$E$213:$O$230,COLUMN()-1,FALSE))*+Input!$H$441</f>
        <v>26.325896941989679</v>
      </c>
      <c r="L352" s="323">
        <f ca="1">(VLOOKUP($A352,'Price setting'!$E$408:$O$425,COLUMN()-1,FALSE)+VLOOKUP($A348,'Price setting'!$E$213:$O$230,COLUMN()-1,FALSE))*+Input!$H$441</f>
        <v>26.151163708673373</v>
      </c>
    </row>
    <row r="353" spans="1:12">
      <c r="A353" s="60" t="str">
        <f t="shared" si="14"/>
        <v>SBW</v>
      </c>
      <c r="B353" s="355" t="s">
        <v>208</v>
      </c>
      <c r="C353" s="21" t="s">
        <v>205</v>
      </c>
      <c r="D353" s="168" t="s">
        <v>75</v>
      </c>
      <c r="E353" s="169" t="s">
        <v>182</v>
      </c>
      <c r="F353" s="262">
        <f ca="1">VLOOKUP($A353,'Price setting'!$E$49:$I$66,COLUMN()-1,FALSE)</f>
        <v>1.7119358630030963</v>
      </c>
      <c r="G353" s="263"/>
      <c r="H353" s="263"/>
      <c r="I353" s="263"/>
      <c r="J353" s="263"/>
      <c r="K353" s="263"/>
      <c r="L353" s="264"/>
    </row>
    <row r="354" spans="1:12">
      <c r="A354" s="60" t="str">
        <f t="shared" si="14"/>
        <v>SBW</v>
      </c>
      <c r="B354" s="355" t="s">
        <v>206</v>
      </c>
      <c r="C354" s="21" t="s">
        <v>132</v>
      </c>
      <c r="D354" s="168" t="s">
        <v>74</v>
      </c>
      <c r="E354" s="169" t="s">
        <v>182</v>
      </c>
      <c r="F354" s="262">
        <f ca="1">'Used inputs'!I229</f>
        <v>4.167862402506727</v>
      </c>
      <c r="G354" s="263">
        <f>'Used inputs'!J229</f>
        <v>4.1987278362453599</v>
      </c>
      <c r="H354" s="263">
        <f ca="1">'Used inputs'!K229</f>
        <v>4.3149876366608764</v>
      </c>
      <c r="I354" s="263">
        <f ca="1">'Used inputs'!L229</f>
        <v>4.3849492864684452</v>
      </c>
      <c r="J354" s="263">
        <f ca="1">'Used inputs'!M229</f>
        <v>4.4549109362760122</v>
      </c>
      <c r="K354" s="263">
        <f ca="1">'Used inputs'!N229</f>
        <v>4.519728347127141</v>
      </c>
      <c r="L354" s="264">
        <f ca="1">'Used inputs'!O229</f>
        <v>4.5814592146044077</v>
      </c>
    </row>
    <row r="355" spans="1:12">
      <c r="A355" s="60" t="str">
        <f t="shared" si="14"/>
        <v>SBW</v>
      </c>
      <c r="B355" s="355" t="s">
        <v>207</v>
      </c>
      <c r="C355" s="21" t="s">
        <v>157</v>
      </c>
      <c r="D355" s="168" t="s">
        <v>74</v>
      </c>
      <c r="E355" s="169" t="s">
        <v>182</v>
      </c>
      <c r="F355" s="262">
        <f>'Used inputs'!I242</f>
        <v>0.14506753857157453</v>
      </c>
      <c r="G355" s="263">
        <f>'Used inputs'!J242</f>
        <v>0.45989496270562996</v>
      </c>
      <c r="H355" s="263">
        <f>'Used inputs'!K242</f>
        <v>8.2203646489818066E-2</v>
      </c>
      <c r="I355" s="263">
        <f>'Used inputs'!L242</f>
        <v>8.2203646489818066E-2</v>
      </c>
      <c r="J355" s="263">
        <f>'Used inputs'!M242</f>
        <v>8.2203646489818066E-2</v>
      </c>
      <c r="K355" s="263">
        <f>'Used inputs'!N242</f>
        <v>8.2203646489818066E-2</v>
      </c>
      <c r="L355" s="264">
        <f>'Used inputs'!O242</f>
        <v>8.2203646489818066E-2</v>
      </c>
    </row>
    <row r="356" spans="1:12">
      <c r="A356" s="60" t="s">
        <v>58</v>
      </c>
      <c r="B356" s="355" t="s">
        <v>162</v>
      </c>
      <c r="C356" s="59" t="s">
        <v>175</v>
      </c>
      <c r="D356" s="169" t="s">
        <v>74</v>
      </c>
      <c r="E356" s="169" t="s">
        <v>182</v>
      </c>
      <c r="F356" s="262">
        <f>VLOOKUP($A356,'Price setting'!$E$448:$O$466,COLUMN()-1,FALSE)</f>
        <v>0</v>
      </c>
      <c r="G356" s="263">
        <f>VLOOKUP($A356,'Price setting'!$E$448:$O$466,COLUMN()-1,FALSE)</f>
        <v>0</v>
      </c>
      <c r="H356" s="263">
        <f ca="1">VLOOKUP($A356,'Price setting'!$E$448:$O$466,COLUMN()-1,FALSE)</f>
        <v>18.692465149428131</v>
      </c>
      <c r="I356" s="263">
        <f ca="1">VLOOKUP($A356,'Price setting'!$E$448:$O$466,COLUMN()-1,FALSE)</f>
        <v>19.222941225828738</v>
      </c>
      <c r="J356" s="263">
        <f ca="1">VLOOKUP($A356,'Price setting'!$E$448:$O$466,COLUMN()-1,FALSE)</f>
        <v>19.733616663053432</v>
      </c>
      <c r="K356" s="263">
        <f ca="1">VLOOKUP($A356,'Price setting'!$E$448:$O$466,COLUMN()-1,FALSE)</f>
        <v>20.125285214164208</v>
      </c>
      <c r="L356" s="264">
        <f ca="1">VLOOKUP($A356,'Price setting'!$E$448:$O$466,COLUMN()-1,FALSE)</f>
        <v>20.745374474518467</v>
      </c>
    </row>
    <row r="357" spans="1:12">
      <c r="A357" s="60" t="s">
        <v>58</v>
      </c>
      <c r="B357" s="355" t="s">
        <v>163</v>
      </c>
      <c r="C357" s="59" t="s">
        <v>118</v>
      </c>
      <c r="D357" s="168" t="s">
        <v>75</v>
      </c>
      <c r="E357" s="169" t="s">
        <v>182</v>
      </c>
      <c r="F357" s="316">
        <f>VLOOKUP($A357,'Price setting'!$E$213:$O$231,COLUMN()-1,FALSE)</f>
        <v>0</v>
      </c>
      <c r="G357" s="317">
        <f>VLOOKUP($A357,'Price setting'!$E$213:$O$231,COLUMN()-1,FALSE)</f>
        <v>0</v>
      </c>
      <c r="H357" s="317">
        <f ca="1">VLOOKUP($A357,'Price setting'!$E$213:$O$231,COLUMN()-1,FALSE)</f>
        <v>17.540013782450526</v>
      </c>
      <c r="I357" s="317">
        <f ca="1">VLOOKUP($A357,'Price setting'!$E$213:$O$231,COLUMN()-1,FALSE)</f>
        <v>17.872106389686355</v>
      </c>
      <c r="J357" s="317">
        <f ca="1">VLOOKUP($A357,'Price setting'!$E$213:$O$231,COLUMN()-1,FALSE)</f>
        <v>18.207499860843885</v>
      </c>
      <c r="K357" s="317">
        <f ca="1">VLOOKUP($A357,'Price setting'!$E$213:$O$231,COLUMN()-1,FALSE)</f>
        <v>18.451807767796382</v>
      </c>
      <c r="L357" s="323">
        <f ca="1">VLOOKUP($A357,'Price setting'!$E$213:$O$231,COLUMN()-1,FALSE)</f>
        <v>18.707368285865577</v>
      </c>
    </row>
    <row r="358" spans="1:12">
      <c r="A358" s="60" t="s">
        <v>58</v>
      </c>
      <c r="B358" s="355" t="s">
        <v>164</v>
      </c>
      <c r="C358" s="59" t="s">
        <v>119</v>
      </c>
      <c r="D358" s="168" t="s">
        <v>75</v>
      </c>
      <c r="E358" s="169" t="s">
        <v>182</v>
      </c>
      <c r="F358" s="316">
        <f>VLOOKUP($A358,'Price setting'!$E$278:$O$296,COLUMN()-1,FALSE)+VLOOKUP($A357,'Price setting'!$E$213:$O$231,COLUMN()-1,FALSE)</f>
        <v>0</v>
      </c>
      <c r="G358" s="317">
        <f>VLOOKUP($A358,'Price setting'!$E$278:$O$296,COLUMN()-1,FALSE)+VLOOKUP($A357,'Price setting'!$E$213:$O$231,COLUMN()-1,FALSE)</f>
        <v>0</v>
      </c>
      <c r="H358" s="317">
        <f ca="1">VLOOKUP($A358,'Price setting'!$E$278:$O$296,COLUMN()-1,FALSE)+VLOOKUP($A357,'Price setting'!$E$213:$O$231,COLUMN()-1,FALSE)</f>
        <v>24.281854003994813</v>
      </c>
      <c r="I358" s="317">
        <f ca="1">VLOOKUP($A358,'Price setting'!$E$278:$O$296,COLUMN()-1,FALSE)+VLOOKUP($A357,'Price setting'!$E$213:$O$231,COLUMN()-1,FALSE)</f>
        <v>24.296973868003398</v>
      </c>
      <c r="J358" s="317">
        <f ca="1">VLOOKUP($A358,'Price setting'!$E$278:$O$296,COLUMN()-1,FALSE)+VLOOKUP($A357,'Price setting'!$E$213:$O$231,COLUMN()-1,FALSE)</f>
        <v>24.315394595933689</v>
      </c>
      <c r="K358" s="317">
        <f ca="1">VLOOKUP($A358,'Price setting'!$E$278:$O$296,COLUMN()-1,FALSE)+VLOOKUP($A357,'Price setting'!$E$213:$O$231,COLUMN()-1,FALSE)</f>
        <v>24.242729759658943</v>
      </c>
      <c r="L358" s="323">
        <f ca="1">VLOOKUP($A358,'Price setting'!$E$278:$O$296,COLUMN()-1,FALSE)+VLOOKUP($A357,'Price setting'!$E$213:$O$231,COLUMN()-1,FALSE)</f>
        <v>24.498290277728138</v>
      </c>
    </row>
    <row r="359" spans="1:12">
      <c r="A359" s="60" t="s">
        <v>58</v>
      </c>
      <c r="B359" s="355" t="s">
        <v>165</v>
      </c>
      <c r="C359" s="59" t="s">
        <v>120</v>
      </c>
      <c r="D359" s="168" t="s">
        <v>75</v>
      </c>
      <c r="E359" s="169" t="s">
        <v>182</v>
      </c>
      <c r="F359" s="316">
        <f>VLOOKUP($A359,'Price setting'!$E$343:$O$361,COLUMN()-1,FALSE)+VLOOKUP($A357,'Price setting'!$E$213:$O$231,COLUMN()-1,FALSE)</f>
        <v>0</v>
      </c>
      <c r="G359" s="317">
        <f>VLOOKUP($A359,'Price setting'!$E$343:$O$361,COLUMN()-1,FALSE)+VLOOKUP($A357,'Price setting'!$E$213:$O$231,COLUMN()-1,FALSE)</f>
        <v>0</v>
      </c>
      <c r="H359" s="317">
        <f ca="1">VLOOKUP($A359,'Price setting'!$E$343:$O$361,COLUMN()-1,FALSE)+VLOOKUP($A357,'Price setting'!$E$213:$O$231,COLUMN()-1,FALSE)</f>
        <v>17.540013782450526</v>
      </c>
      <c r="I359" s="317">
        <f ca="1">VLOOKUP($A359,'Price setting'!$E$343:$O$361,COLUMN()-1,FALSE)+VLOOKUP($A357,'Price setting'!$E$213:$O$231,COLUMN()-1,FALSE)</f>
        <v>17.872106389686355</v>
      </c>
      <c r="J359" s="317">
        <f ca="1">VLOOKUP($A359,'Price setting'!$E$343:$O$361,COLUMN()-1,FALSE)+VLOOKUP($A357,'Price setting'!$E$213:$O$231,COLUMN()-1,FALSE)</f>
        <v>18.207499860843885</v>
      </c>
      <c r="K359" s="317">
        <f ca="1">VLOOKUP($A359,'Price setting'!$E$343:$O$361,COLUMN()-1,FALSE)+VLOOKUP($A357,'Price setting'!$E$213:$O$231,COLUMN()-1,FALSE)</f>
        <v>18.451807767796382</v>
      </c>
      <c r="L359" s="323">
        <f ca="1">VLOOKUP($A359,'Price setting'!$E$343:$O$361,COLUMN()-1,FALSE)+VLOOKUP($A357,'Price setting'!$E$213:$O$231,COLUMN()-1,FALSE)</f>
        <v>18.707368285865577</v>
      </c>
    </row>
    <row r="360" spans="1:12">
      <c r="A360" s="60" t="s">
        <v>58</v>
      </c>
      <c r="B360" s="355" t="s">
        <v>166</v>
      </c>
      <c r="C360" s="59" t="s">
        <v>124</v>
      </c>
      <c r="D360" s="168" t="s">
        <v>75</v>
      </c>
      <c r="E360" s="169" t="s">
        <v>182</v>
      </c>
      <c r="F360" s="316">
        <f>VLOOKUP($A360,'Price setting'!$E$408:$O$426,COLUMN()-1,FALSE)+VLOOKUP($A357,'Price setting'!$E$213:$O$231,COLUMN()-1,FALSE)</f>
        <v>0</v>
      </c>
      <c r="G360" s="317">
        <f>VLOOKUP($A360,'Price setting'!$E$408:$O$426,COLUMN()-1,FALSE)+VLOOKUP($A357,'Price setting'!$E$213:$O$231,COLUMN()-1,FALSE)</f>
        <v>0</v>
      </c>
      <c r="H360" s="317">
        <f ca="1">VLOOKUP($A360,'Price setting'!$E$408:$O$426,COLUMN()-1,FALSE)+VLOOKUP($A357,'Price setting'!$E$213:$O$231,COLUMN()-1,FALSE)</f>
        <v>17.540013782450526</v>
      </c>
      <c r="I360" s="317">
        <f ca="1">VLOOKUP($A360,'Price setting'!$E$408:$O$426,COLUMN()-1,FALSE)+VLOOKUP($A357,'Price setting'!$E$213:$O$231,COLUMN()-1,FALSE)</f>
        <v>17.872106389686355</v>
      </c>
      <c r="J360" s="317">
        <f ca="1">VLOOKUP($A360,'Price setting'!$E$408:$O$426,COLUMN()-1,FALSE)+VLOOKUP($A357,'Price setting'!$E$213:$O$231,COLUMN()-1,FALSE)</f>
        <v>18.207499860843885</v>
      </c>
      <c r="K360" s="317">
        <f ca="1">VLOOKUP($A360,'Price setting'!$E$408:$O$426,COLUMN()-1,FALSE)+VLOOKUP($A357,'Price setting'!$E$213:$O$231,COLUMN()-1,FALSE)</f>
        <v>18.451807767796382</v>
      </c>
      <c r="L360" s="323">
        <f ca="1">VLOOKUP($A360,'Price setting'!$E$408:$O$426,COLUMN()-1,FALSE)+VLOOKUP($A357,'Price setting'!$E$213:$O$231,COLUMN()-1,FALSE)</f>
        <v>18.707368285865577</v>
      </c>
    </row>
    <row r="361" spans="1:12">
      <c r="A361" s="60" t="s">
        <v>58</v>
      </c>
      <c r="B361" s="355" t="s">
        <v>167</v>
      </c>
      <c r="C361" s="59" t="s">
        <v>122</v>
      </c>
      <c r="D361" s="170" t="s">
        <v>88</v>
      </c>
      <c r="E361" s="169" t="s">
        <v>182</v>
      </c>
      <c r="F361" s="262">
        <f>INDEX(SEW,ROW(Input!B$23)-5,COLUMN()+1)*Input!$H$441</f>
        <v>0</v>
      </c>
      <c r="G361" s="263">
        <f>INDEX(SEW,ROW(Input!C$23)-5,COLUMN()+1)*Input!$H$441</f>
        <v>0</v>
      </c>
      <c r="H361" s="263">
        <f>INDEX(SEW,ROW(Input!D$23)-5,COLUMN()+1)*Input!$H$441</f>
        <v>0</v>
      </c>
      <c r="I361" s="263">
        <f>INDEX(SEW,ROW(Input!E$23)-5,COLUMN()+1)*Input!$H$441</f>
        <v>0</v>
      </c>
      <c r="J361" s="263">
        <f>INDEX(SEW,ROW(Input!F$23)-5,COLUMN()+1)*Input!$H$441</f>
        <v>0</v>
      </c>
      <c r="K361" s="263">
        <f>INDEX(SEW,ROW(Input!G$23)-5,COLUMN()+1)*Input!$H$441</f>
        <v>0</v>
      </c>
      <c r="L361" s="264">
        <f>INDEX(SEW,ROW(Input!H$23)-5,COLUMN()+1)*Input!$H$441</f>
        <v>0</v>
      </c>
    </row>
    <row r="362" spans="1:12">
      <c r="A362" s="60" t="s">
        <v>58</v>
      </c>
      <c r="B362" s="355" t="s">
        <v>168</v>
      </c>
      <c r="C362" s="59" t="s">
        <v>123</v>
      </c>
      <c r="D362" s="170" t="s">
        <v>88</v>
      </c>
      <c r="E362" s="169" t="s">
        <v>182</v>
      </c>
      <c r="F362" s="262">
        <f>+INDEX(SEW,ROW(Input!B$24)-5,COLUMN()+1)*Input!$H$441</f>
        <v>0</v>
      </c>
      <c r="G362" s="263">
        <f>+INDEX(SEW,ROW(Input!C$24)-5,COLUMN()+1)*Input!$H$441</f>
        <v>0</v>
      </c>
      <c r="H362" s="263">
        <f>+INDEX(SEW,ROW(Input!D$24)-5,COLUMN()+1)*Input!$H$441</f>
        <v>0</v>
      </c>
      <c r="I362" s="263">
        <f>+INDEX(SEW,ROW(Input!E$24)-5,COLUMN()+1)*Input!$H$441</f>
        <v>0</v>
      </c>
      <c r="J362" s="263">
        <f>+INDEX(SEW,ROW(Input!F$24)-5,COLUMN()+1)*Input!$H$441</f>
        <v>0</v>
      </c>
      <c r="K362" s="263">
        <f>+INDEX(SEW,ROW(Input!G$24)-5,COLUMN()+1)*Input!$H$441</f>
        <v>0</v>
      </c>
      <c r="L362" s="264">
        <f>+INDEX(SEW,ROW(Input!H$24)-5,COLUMN()+1)*Input!$H$441</f>
        <v>0</v>
      </c>
    </row>
    <row r="363" spans="1:12">
      <c r="A363" s="60" t="s">
        <v>58</v>
      </c>
      <c r="B363" s="355" t="s">
        <v>169</v>
      </c>
      <c r="C363" s="59" t="s">
        <v>139</v>
      </c>
      <c r="D363" s="170" t="s">
        <v>74</v>
      </c>
      <c r="E363" s="169" t="s">
        <v>182</v>
      </c>
      <c r="F363" s="262">
        <f>VLOOKUP($A363,'Price setting'!$E$488:$O$506,COLUMN()-1,FALSE)</f>
        <v>0</v>
      </c>
      <c r="G363" s="263">
        <f>VLOOKUP($A363,'Price setting'!$E$488:$O$506,COLUMN()-1,FALSE)</f>
        <v>0</v>
      </c>
      <c r="H363" s="263">
        <f ca="1">VLOOKUP($A363,'Price setting'!$E$488:$O$506,COLUMN()-1,FALSE)</f>
        <v>0.10189131937063887</v>
      </c>
      <c r="I363" s="263">
        <f ca="1">VLOOKUP($A363,'Price setting'!$E$488:$O$506,COLUMN()-1,FALSE)</f>
        <v>0.36744594189143182</v>
      </c>
      <c r="J363" s="263">
        <f ca="1">VLOOKUP($A363,'Price setting'!$E$488:$O$506,COLUMN()-1,FALSE)</f>
        <v>0.63456155148180382</v>
      </c>
      <c r="K363" s="263">
        <f ca="1">VLOOKUP($A363,'Price setting'!$E$488:$O$506,COLUMN()-1,FALSE)</f>
        <v>0.82514743537820168</v>
      </c>
      <c r="L363" s="264">
        <f ca="1">VLOOKUP($A363,'Price setting'!$E$488:$O$506,COLUMN()-1,FALSE)</f>
        <v>1.035303055917161</v>
      </c>
    </row>
    <row r="364" spans="1:12">
      <c r="A364" s="60" t="str">
        <f>+A363</f>
        <v>SEW</v>
      </c>
      <c r="B364" s="355" t="s">
        <v>170</v>
      </c>
      <c r="C364" s="59" t="s">
        <v>67</v>
      </c>
      <c r="D364" s="170" t="s">
        <v>171</v>
      </c>
      <c r="E364" s="169" t="s">
        <v>182</v>
      </c>
      <c r="F364" s="320">
        <f>+Input!$H$441</f>
        <v>1.3</v>
      </c>
      <c r="G364" s="321">
        <f>+Input!$H$441</f>
        <v>1.3</v>
      </c>
      <c r="H364" s="321">
        <f>+Input!$H$441</f>
        <v>1.3</v>
      </c>
      <c r="I364" s="321">
        <f>+Input!$H$441</f>
        <v>1.3</v>
      </c>
      <c r="J364" s="321">
        <f>+Input!$H$441</f>
        <v>1.3</v>
      </c>
      <c r="K364" s="321">
        <f>+Input!$H$441</f>
        <v>1.3</v>
      </c>
      <c r="L364" s="322">
        <f>+Input!$H$441</f>
        <v>1.3</v>
      </c>
    </row>
    <row r="365" spans="1:12">
      <c r="A365" s="60" t="str">
        <f t="shared" ref="A365:A377" si="15">+A364</f>
        <v>SEW</v>
      </c>
      <c r="B365" s="355" t="s">
        <v>194</v>
      </c>
      <c r="C365" s="50" t="s">
        <v>185</v>
      </c>
      <c r="D365" s="168" t="s">
        <v>75</v>
      </c>
      <c r="E365" s="169" t="s">
        <v>182</v>
      </c>
      <c r="F365" s="316">
        <f ca="1">VLOOKUP(A365,'Price setting'!$E$89:$I$106,COLUMN()-1,FALSE)</f>
        <v>20.314845320690331</v>
      </c>
      <c r="G365" s="317"/>
      <c r="H365" s="317"/>
      <c r="I365" s="317"/>
      <c r="J365" s="317"/>
      <c r="K365" s="317"/>
      <c r="L365" s="323"/>
    </row>
    <row r="366" spans="1:12">
      <c r="A366" s="60" t="str">
        <f t="shared" si="15"/>
        <v>SEW</v>
      </c>
      <c r="B366" s="355" t="s">
        <v>195</v>
      </c>
      <c r="C366" s="50" t="s">
        <v>186</v>
      </c>
      <c r="D366" s="168" t="s">
        <v>75</v>
      </c>
      <c r="E366" s="169" t="s">
        <v>182</v>
      </c>
      <c r="F366" s="316">
        <f ca="1">VLOOKUP(A366,'Price setting'!E$254:I$271,COLUMN()-1,FALSE)+VLOOKUP(A365,'Price setting'!$E$89:$I$106,COLUMN()-1,FALSE)</f>
        <v>27.373658285461861</v>
      </c>
      <c r="G366" s="317"/>
      <c r="H366" s="317"/>
      <c r="I366" s="317"/>
      <c r="J366" s="317"/>
      <c r="K366" s="317"/>
      <c r="L366" s="323"/>
    </row>
    <row r="367" spans="1:12">
      <c r="A367" s="60" t="str">
        <f t="shared" si="15"/>
        <v>SEW</v>
      </c>
      <c r="B367" s="355" t="s">
        <v>196</v>
      </c>
      <c r="C367" s="50" t="s">
        <v>187</v>
      </c>
      <c r="D367" s="168" t="s">
        <v>75</v>
      </c>
      <c r="E367" s="169" t="s">
        <v>182</v>
      </c>
      <c r="F367" s="316">
        <f ca="1">VLOOKUP(A367,'Price setting'!E$319:I$336,COLUMN()-1,FALSE)+VLOOKUP(A365,'Price setting'!$E$89:$I$106,COLUMN()-1,FALSE)</f>
        <v>20.314845320690331</v>
      </c>
      <c r="G367" s="317"/>
      <c r="H367" s="317"/>
      <c r="I367" s="317"/>
      <c r="J367" s="317"/>
      <c r="K367" s="317"/>
      <c r="L367" s="323"/>
    </row>
    <row r="368" spans="1:12">
      <c r="A368" s="60" t="str">
        <f t="shared" si="15"/>
        <v>SEW</v>
      </c>
      <c r="B368" s="355" t="s">
        <v>197</v>
      </c>
      <c r="C368" s="50" t="s">
        <v>188</v>
      </c>
      <c r="D368" s="168" t="s">
        <v>75</v>
      </c>
      <c r="E368" s="169" t="s">
        <v>182</v>
      </c>
      <c r="F368" s="316">
        <f ca="1">(VLOOKUP(A368,'Price setting'!E$384:I$401,COLUMN()-1,FALSE)+VLOOKUP(A365,'Price setting'!$E$89:$I$106,COLUMN()-1,FALSE))*+Input!$H$441</f>
        <v>26.409298916897431</v>
      </c>
      <c r="G368" s="317"/>
      <c r="H368" s="317"/>
      <c r="I368" s="317"/>
      <c r="J368" s="317"/>
      <c r="K368" s="317"/>
      <c r="L368" s="323"/>
    </row>
    <row r="369" spans="1:12">
      <c r="A369" s="60" t="str">
        <f t="shared" si="15"/>
        <v>SEW</v>
      </c>
      <c r="B369" s="355" t="s">
        <v>198</v>
      </c>
      <c r="C369" s="50" t="s">
        <v>189</v>
      </c>
      <c r="D369" s="168" t="s">
        <v>75</v>
      </c>
      <c r="E369" s="169" t="s">
        <v>182</v>
      </c>
      <c r="F369" s="316">
        <f ca="1">VLOOKUP(A369,'Price setting'!E$89:I$106,COLUMN()-1,FALSE)*+Input!$H$441</f>
        <v>26.409298916897431</v>
      </c>
      <c r="G369" s="317"/>
      <c r="H369" s="317"/>
      <c r="I369" s="317"/>
      <c r="J369" s="317"/>
      <c r="K369" s="317"/>
      <c r="L369" s="323"/>
    </row>
    <row r="370" spans="1:12" s="53" customFormat="1">
      <c r="A370" s="60" t="str">
        <f t="shared" si="15"/>
        <v>SEW</v>
      </c>
      <c r="B370" s="356" t="s">
        <v>204</v>
      </c>
      <c r="C370" s="50" t="s">
        <v>203</v>
      </c>
      <c r="D370" s="168" t="s">
        <v>75</v>
      </c>
      <c r="E370" s="169" t="s">
        <v>182</v>
      </c>
      <c r="F370" s="316"/>
      <c r="G370" s="317"/>
      <c r="H370" s="317">
        <f ca="1">VLOOKUP($A370,'Price setting'!$E$213:$O$230,COLUMN()-1,FALSE)</f>
        <v>17.540013782450526</v>
      </c>
      <c r="I370" s="317">
        <f ca="1">VLOOKUP($A370,'Price setting'!$E$213:$O$230,COLUMN()-1,FALSE)</f>
        <v>17.872106389686355</v>
      </c>
      <c r="J370" s="317">
        <f ca="1">VLOOKUP($A370,'Price setting'!$E$213:$O$230,COLUMN()-1,FALSE)</f>
        <v>18.207499860843885</v>
      </c>
      <c r="K370" s="317">
        <f ca="1">VLOOKUP($A370,'Price setting'!$E$213:$O$230,COLUMN()-1,FALSE)</f>
        <v>18.451807767796382</v>
      </c>
      <c r="L370" s="323">
        <f ca="1">VLOOKUP($A370,'Price setting'!$E$213:$O$230,COLUMN()-1,FALSE)</f>
        <v>18.707368285865577</v>
      </c>
    </row>
    <row r="371" spans="1:12">
      <c r="A371" s="60" t="str">
        <f t="shared" si="15"/>
        <v>SEW</v>
      </c>
      <c r="B371" s="355" t="s">
        <v>199</v>
      </c>
      <c r="C371" s="50" t="s">
        <v>190</v>
      </c>
      <c r="D371" s="168" t="s">
        <v>75</v>
      </c>
      <c r="E371" s="169" t="s">
        <v>182</v>
      </c>
      <c r="F371" s="316"/>
      <c r="G371" s="317"/>
      <c r="H371" s="317">
        <f ca="1">VLOOKUP($A370,'Price setting'!$E$213:$O$230,COLUMN()-1,FALSE)*+Input!$H$441</f>
        <v>22.802017917185683</v>
      </c>
      <c r="I371" s="317">
        <f ca="1">VLOOKUP($A370,'Price setting'!$E$213:$O$230,COLUMN()-1,FALSE)*+Input!$H$441</f>
        <v>23.233738306592262</v>
      </c>
      <c r="J371" s="317">
        <f ca="1">VLOOKUP($A370,'Price setting'!$E$213:$O$230,COLUMN()-1,FALSE)*+Input!$H$441</f>
        <v>23.669749819097053</v>
      </c>
      <c r="K371" s="317">
        <f ca="1">VLOOKUP($A370,'Price setting'!$E$213:$O$230,COLUMN()-1,FALSE)*+Input!$H$441</f>
        <v>23.987350098135298</v>
      </c>
      <c r="L371" s="323">
        <f ca="1">VLOOKUP($A370,'Price setting'!$E$213:$O$230,COLUMN()-1,FALSE)*+Input!$H$441</f>
        <v>24.319578771625253</v>
      </c>
    </row>
    <row r="372" spans="1:12">
      <c r="A372" s="60" t="str">
        <f t="shared" si="15"/>
        <v>SEW</v>
      </c>
      <c r="B372" s="355" t="s">
        <v>200</v>
      </c>
      <c r="C372" s="50" t="s">
        <v>191</v>
      </c>
      <c r="D372" s="168" t="s">
        <v>75</v>
      </c>
      <c r="E372" s="169" t="s">
        <v>182</v>
      </c>
      <c r="F372" s="316"/>
      <c r="G372" s="317"/>
      <c r="H372" s="317">
        <f ca="1">VLOOKUP($A372,'Price setting'!$E$278:$O$295,COLUMN()-1,FALSE)+VLOOKUP($A370,'Price setting'!$E$213:$O$230,COLUMN()-1,FALSE)</f>
        <v>24.281854003994813</v>
      </c>
      <c r="I372" s="317">
        <f ca="1">VLOOKUP($A372,'Price setting'!$E$278:$O$295,COLUMN()-1,FALSE)+VLOOKUP($A370,'Price setting'!$E$213:$O$230,COLUMN()-1,FALSE)</f>
        <v>24.296973868003398</v>
      </c>
      <c r="J372" s="317">
        <f ca="1">VLOOKUP($A372,'Price setting'!$E$278:$O$295,COLUMN()-1,FALSE)+VLOOKUP($A370,'Price setting'!$E$213:$O$230,COLUMN()-1,FALSE)</f>
        <v>24.315394595933689</v>
      </c>
      <c r="K372" s="317">
        <f ca="1">VLOOKUP($A372,'Price setting'!$E$278:$O$295,COLUMN()-1,FALSE)+VLOOKUP($A370,'Price setting'!$E$213:$O$230,COLUMN()-1,FALSE)</f>
        <v>24.242729759658943</v>
      </c>
      <c r="L372" s="323">
        <f ca="1">VLOOKUP($A372,'Price setting'!$E$278:$O$295,COLUMN()-1,FALSE)+VLOOKUP($A370,'Price setting'!$E$213:$O$230,COLUMN()-1,FALSE)</f>
        <v>24.498290277728138</v>
      </c>
    </row>
    <row r="373" spans="1:12">
      <c r="A373" s="60" t="str">
        <f t="shared" si="15"/>
        <v>SEW</v>
      </c>
      <c r="B373" s="355" t="s">
        <v>201</v>
      </c>
      <c r="C373" s="50" t="s">
        <v>192</v>
      </c>
      <c r="D373" s="168" t="s">
        <v>75</v>
      </c>
      <c r="E373" s="169" t="s">
        <v>182</v>
      </c>
      <c r="F373" s="316"/>
      <c r="G373" s="317"/>
      <c r="H373" s="317">
        <f ca="1">VLOOKUP($A373,'Price setting'!$E$343:$O$360,COLUMN()-1,FALSE)+VLOOKUP($A370,'Price setting'!$E$213:$O$230,COLUMN()-1,FALSE)</f>
        <v>17.540013782450526</v>
      </c>
      <c r="I373" s="317">
        <f ca="1">VLOOKUP($A373,'Price setting'!$E$343:$O$360,COLUMN()-1,FALSE)+VLOOKUP($A370,'Price setting'!$E$213:$O$230,COLUMN()-1,FALSE)</f>
        <v>17.872106389686355</v>
      </c>
      <c r="J373" s="317">
        <f ca="1">VLOOKUP($A373,'Price setting'!$E$343:$O$360,COLUMN()-1,FALSE)+VLOOKUP($A370,'Price setting'!$E$213:$O$230,COLUMN()-1,FALSE)</f>
        <v>18.207499860843885</v>
      </c>
      <c r="K373" s="317">
        <f ca="1">VLOOKUP($A373,'Price setting'!$E$343:$O$360,COLUMN()-1,FALSE)+VLOOKUP($A370,'Price setting'!$E$213:$O$230,COLUMN()-1,FALSE)</f>
        <v>18.451807767796382</v>
      </c>
      <c r="L373" s="323">
        <f ca="1">VLOOKUP($A373,'Price setting'!$E$343:$O$360,COLUMN()-1,FALSE)+VLOOKUP($A370,'Price setting'!$E$213:$O$230,COLUMN()-1,FALSE)</f>
        <v>18.707368285865577</v>
      </c>
    </row>
    <row r="374" spans="1:12">
      <c r="A374" s="60" t="str">
        <f t="shared" si="15"/>
        <v>SEW</v>
      </c>
      <c r="B374" s="355" t="s">
        <v>202</v>
      </c>
      <c r="C374" s="50" t="s">
        <v>193</v>
      </c>
      <c r="D374" s="168" t="s">
        <v>75</v>
      </c>
      <c r="E374" s="169" t="s">
        <v>182</v>
      </c>
      <c r="F374" s="316"/>
      <c r="G374" s="317"/>
      <c r="H374" s="317">
        <f ca="1">(VLOOKUP($A374,'Price setting'!$E$408:$O$425,COLUMN()-1,FALSE)+VLOOKUP($A370,'Price setting'!$E$213:$O$230,COLUMN()-1,FALSE))*+Input!$H$441</f>
        <v>22.802017917185683</v>
      </c>
      <c r="I374" s="317">
        <f ca="1">(VLOOKUP($A374,'Price setting'!$E$408:$O$425,COLUMN()-1,FALSE)+VLOOKUP($A370,'Price setting'!$E$213:$O$230,COLUMN()-1,FALSE))*+Input!$H$441</f>
        <v>23.233738306592262</v>
      </c>
      <c r="J374" s="317">
        <f ca="1">(VLOOKUP($A374,'Price setting'!$E$408:$O$425,COLUMN()-1,FALSE)+VLOOKUP($A370,'Price setting'!$E$213:$O$230,COLUMN()-1,FALSE))*+Input!$H$441</f>
        <v>23.669749819097053</v>
      </c>
      <c r="K374" s="317">
        <f ca="1">(VLOOKUP($A374,'Price setting'!$E$408:$O$425,COLUMN()-1,FALSE)+VLOOKUP($A370,'Price setting'!$E$213:$O$230,COLUMN()-1,FALSE))*+Input!$H$441</f>
        <v>23.987350098135298</v>
      </c>
      <c r="L374" s="323">
        <f ca="1">(VLOOKUP($A374,'Price setting'!$E$408:$O$425,COLUMN()-1,FALSE)+VLOOKUP($A370,'Price setting'!$E$213:$O$230,COLUMN()-1,FALSE))*+Input!$H$441</f>
        <v>24.319578771625253</v>
      </c>
    </row>
    <row r="375" spans="1:12">
      <c r="A375" s="60" t="str">
        <f>+A374</f>
        <v>SEW</v>
      </c>
      <c r="B375" s="355" t="s">
        <v>208</v>
      </c>
      <c r="C375" s="21" t="s">
        <v>205</v>
      </c>
      <c r="D375" s="168" t="s">
        <v>75</v>
      </c>
      <c r="E375" s="169" t="s">
        <v>182</v>
      </c>
      <c r="F375" s="262">
        <f ca="1">VLOOKUP($A375,'Price setting'!$E$49:$I$66,COLUMN()-1,FALSE)</f>
        <v>0</v>
      </c>
      <c r="G375" s="263"/>
      <c r="H375" s="263"/>
      <c r="I375" s="263"/>
      <c r="J375" s="263"/>
      <c r="K375" s="263"/>
      <c r="L375" s="264"/>
    </row>
    <row r="376" spans="1:12">
      <c r="A376" s="60" t="str">
        <f t="shared" si="15"/>
        <v>SEW</v>
      </c>
      <c r="B376" s="355" t="s">
        <v>206</v>
      </c>
      <c r="C376" s="21" t="s">
        <v>132</v>
      </c>
      <c r="D376" s="168" t="s">
        <v>74</v>
      </c>
      <c r="E376" s="169" t="s">
        <v>182</v>
      </c>
      <c r="F376" s="262">
        <f ca="1">'Used inputs'!I244</f>
        <v>18.679836401278951</v>
      </c>
      <c r="G376" s="263">
        <f>'Used inputs'!J244</f>
        <v>19.497645539284147</v>
      </c>
      <c r="H376" s="263">
        <f ca="1">'Used inputs'!K244</f>
        <v>18.163730243838572</v>
      </c>
      <c r="I376" s="263">
        <f ca="1">'Used inputs'!L244</f>
        <v>18.640890270985789</v>
      </c>
      <c r="J376" s="263">
        <f ca="1">'Used inputs'!M244</f>
        <v>19.118950042975023</v>
      </c>
      <c r="K376" s="263">
        <f ca="1">'Used inputs'!N244</f>
        <v>19.578353230048798</v>
      </c>
      <c r="L376" s="264">
        <f ca="1">'Used inputs'!O244</f>
        <v>20.033135626986198</v>
      </c>
    </row>
    <row r="377" spans="1:12">
      <c r="A377" s="60" t="str">
        <f t="shared" si="15"/>
        <v>SEW</v>
      </c>
      <c r="B377" s="355" t="s">
        <v>207</v>
      </c>
      <c r="C377" s="21" t="s">
        <v>157</v>
      </c>
      <c r="D377" s="168" t="s">
        <v>74</v>
      </c>
      <c r="E377" s="169" t="s">
        <v>182</v>
      </c>
      <c r="F377" s="262">
        <f>'Used inputs'!I257</f>
        <v>0.66463567317189476</v>
      </c>
      <c r="G377" s="263">
        <f>'Used inputs'!J257</f>
        <v>1.0800148354688801</v>
      </c>
      <c r="H377" s="263">
        <f>'Used inputs'!K257</f>
        <v>0.61540495289025654</v>
      </c>
      <c r="I377" s="263">
        <f>'Used inputs'!L257</f>
        <v>0.61540495289025654</v>
      </c>
      <c r="J377" s="263">
        <f>'Used inputs'!M257</f>
        <v>0.61540495289025654</v>
      </c>
      <c r="K377" s="263">
        <f>'Used inputs'!N257</f>
        <v>0.61540495289025654</v>
      </c>
      <c r="L377" s="264">
        <f>'Used inputs'!O257</f>
        <v>0.61540495289025654</v>
      </c>
    </row>
    <row r="378" spans="1:12">
      <c r="A378" s="60" t="s">
        <v>59</v>
      </c>
      <c r="B378" s="355" t="s">
        <v>162</v>
      </c>
      <c r="C378" s="59" t="s">
        <v>175</v>
      </c>
      <c r="D378" s="169" t="s">
        <v>74</v>
      </c>
      <c r="E378" s="169" t="s">
        <v>182</v>
      </c>
      <c r="F378" s="262">
        <f>VLOOKUP($A378,'Price setting'!$E$448:$O$466,COLUMN()-1,FALSE)</f>
        <v>0</v>
      </c>
      <c r="G378" s="263">
        <f>VLOOKUP($A378,'Price setting'!$E$448:$O$466,COLUMN()-1,FALSE)</f>
        <v>0</v>
      </c>
      <c r="H378" s="263">
        <f ca="1">VLOOKUP($A378,'Price setting'!$E$448:$O$466,COLUMN()-1,FALSE)</f>
        <v>5.3633825069840837</v>
      </c>
      <c r="I378" s="263">
        <f ca="1">VLOOKUP($A378,'Price setting'!$E$448:$O$466,COLUMN()-1,FALSE)</f>
        <v>5.4207342540642713</v>
      </c>
      <c r="J378" s="263">
        <f ca="1">VLOOKUP($A378,'Price setting'!$E$448:$O$466,COLUMN()-1,FALSE)</f>
        <v>5.6254955260018109</v>
      </c>
      <c r="K378" s="263">
        <f ca="1">VLOOKUP($A378,'Price setting'!$E$448:$O$466,COLUMN()-1,FALSE)</f>
        <v>5.6000588225662584</v>
      </c>
      <c r="L378" s="264">
        <f ca="1">VLOOKUP($A378,'Price setting'!$E$448:$O$466,COLUMN()-1,FALSE)</f>
        <v>5.5872312932757895</v>
      </c>
    </row>
    <row r="379" spans="1:12">
      <c r="A379" s="60" t="s">
        <v>59</v>
      </c>
      <c r="B379" s="355" t="s">
        <v>163</v>
      </c>
      <c r="C379" s="59" t="s">
        <v>118</v>
      </c>
      <c r="D379" s="168" t="s">
        <v>75</v>
      </c>
      <c r="E379" s="169" t="s">
        <v>182</v>
      </c>
      <c r="F379" s="316">
        <f>VLOOKUP($A379,'Price setting'!$E$213:$O$231,COLUMN()-1,FALSE)</f>
        <v>0</v>
      </c>
      <c r="G379" s="317">
        <f>VLOOKUP($A379,'Price setting'!$E$213:$O$231,COLUMN()-1,FALSE)</f>
        <v>0</v>
      </c>
      <c r="H379" s="317">
        <f ca="1">VLOOKUP($A379,'Price setting'!$E$213:$O$231,COLUMN()-1,FALSE)</f>
        <v>16.697783053108463</v>
      </c>
      <c r="I379" s="317">
        <f ca="1">VLOOKUP($A379,'Price setting'!$E$213:$O$231,COLUMN()-1,FALSE)</f>
        <v>16.646896864935314</v>
      </c>
      <c r="J379" s="317">
        <f ca="1">VLOOKUP($A379,'Price setting'!$E$213:$O$231,COLUMN()-1,FALSE)</f>
        <v>17.314703097533688</v>
      </c>
      <c r="K379" s="317">
        <f ca="1">VLOOKUP($A379,'Price setting'!$E$213:$O$231,COLUMN()-1,FALSE)</f>
        <v>17.170242134175563</v>
      </c>
      <c r="L379" s="323">
        <f ca="1">VLOOKUP($A379,'Price setting'!$E$213:$O$231,COLUMN()-1,FALSE)</f>
        <v>16.787115070806564</v>
      </c>
    </row>
    <row r="380" spans="1:12">
      <c r="A380" s="60" t="s">
        <v>59</v>
      </c>
      <c r="B380" s="355" t="s">
        <v>164</v>
      </c>
      <c r="C380" s="59" t="s">
        <v>119</v>
      </c>
      <c r="D380" s="168" t="s">
        <v>75</v>
      </c>
      <c r="E380" s="169" t="s">
        <v>182</v>
      </c>
      <c r="F380" s="316">
        <f>VLOOKUP($A380,'Price setting'!$E$278:$O$296,COLUMN()-1,FALSE)+VLOOKUP($A379,'Price setting'!$E$213:$O$231,COLUMN()-1,FALSE)</f>
        <v>0</v>
      </c>
      <c r="G380" s="317">
        <f>VLOOKUP($A380,'Price setting'!$E$278:$O$296,COLUMN()-1,FALSE)+VLOOKUP($A379,'Price setting'!$E$213:$O$231,COLUMN()-1,FALSE)</f>
        <v>0</v>
      </c>
      <c r="H380" s="317">
        <f ca="1">VLOOKUP($A380,'Price setting'!$E$278:$O$296,COLUMN()-1,FALSE)+VLOOKUP($A379,'Price setting'!$E$213:$O$231,COLUMN()-1,FALSE)</f>
        <v>23.762753124384925</v>
      </c>
      <c r="I380" s="317">
        <f ca="1">VLOOKUP($A380,'Price setting'!$E$278:$O$296,COLUMN()-1,FALSE)+VLOOKUP($A379,'Price setting'!$E$213:$O$231,COLUMN()-1,FALSE)</f>
        <v>23.484261705650496</v>
      </c>
      <c r="J380" s="317">
        <f ca="1">VLOOKUP($A380,'Price setting'!$E$278:$O$296,COLUMN()-1,FALSE)+VLOOKUP($A379,'Price setting'!$E$213:$O$231,COLUMN()-1,FALSE)</f>
        <v>23.641464269016158</v>
      </c>
      <c r="K380" s="317">
        <f ca="1">VLOOKUP($A380,'Price setting'!$E$278:$O$296,COLUMN()-1,FALSE)+VLOOKUP($A379,'Price setting'!$E$213:$O$231,COLUMN()-1,FALSE)</f>
        <v>22.961164126038124</v>
      </c>
      <c r="L380" s="323">
        <f ca="1">VLOOKUP($A380,'Price setting'!$E$278:$O$296,COLUMN()-1,FALSE)+VLOOKUP($A379,'Price setting'!$E$213:$O$231,COLUMN()-1,FALSE)</f>
        <v>22.578037062669125</v>
      </c>
    </row>
    <row r="381" spans="1:12">
      <c r="A381" s="60" t="s">
        <v>59</v>
      </c>
      <c r="B381" s="355" t="s">
        <v>165</v>
      </c>
      <c r="C381" s="59" t="s">
        <v>120</v>
      </c>
      <c r="D381" s="168" t="s">
        <v>75</v>
      </c>
      <c r="E381" s="169" t="s">
        <v>182</v>
      </c>
      <c r="F381" s="316">
        <f>VLOOKUP($A381,'Price setting'!$E$343:$O$361,COLUMN()-1,FALSE)+VLOOKUP($A379,'Price setting'!$E$213:$O$231,COLUMN()-1,FALSE)</f>
        <v>0</v>
      </c>
      <c r="G381" s="317">
        <f>VLOOKUP($A381,'Price setting'!$E$343:$O$361,COLUMN()-1,FALSE)+VLOOKUP($A379,'Price setting'!$E$213:$O$231,COLUMN()-1,FALSE)</f>
        <v>0</v>
      </c>
      <c r="H381" s="317">
        <f ca="1">VLOOKUP($A381,'Price setting'!$E$343:$O$361,COLUMN()-1,FALSE)+VLOOKUP($A379,'Price setting'!$E$213:$O$231,COLUMN()-1,FALSE)</f>
        <v>16.697783053108463</v>
      </c>
      <c r="I381" s="317">
        <f ca="1">VLOOKUP($A381,'Price setting'!$E$343:$O$361,COLUMN()-1,FALSE)+VLOOKUP($A379,'Price setting'!$E$213:$O$231,COLUMN()-1,FALSE)</f>
        <v>16.646896864935314</v>
      </c>
      <c r="J381" s="317">
        <f ca="1">VLOOKUP($A381,'Price setting'!$E$343:$O$361,COLUMN()-1,FALSE)+VLOOKUP($A379,'Price setting'!$E$213:$O$231,COLUMN()-1,FALSE)</f>
        <v>17.314703097533688</v>
      </c>
      <c r="K381" s="317">
        <f ca="1">VLOOKUP($A381,'Price setting'!$E$343:$O$361,COLUMN()-1,FALSE)+VLOOKUP($A379,'Price setting'!$E$213:$O$231,COLUMN()-1,FALSE)</f>
        <v>17.170242134175563</v>
      </c>
      <c r="L381" s="323">
        <f ca="1">VLOOKUP($A381,'Price setting'!$E$343:$O$361,COLUMN()-1,FALSE)+VLOOKUP($A379,'Price setting'!$E$213:$O$231,COLUMN()-1,FALSE)</f>
        <v>16.787115070806564</v>
      </c>
    </row>
    <row r="382" spans="1:12">
      <c r="A382" s="60" t="s">
        <v>59</v>
      </c>
      <c r="B382" s="355" t="s">
        <v>166</v>
      </c>
      <c r="C382" s="59" t="s">
        <v>124</v>
      </c>
      <c r="D382" s="168" t="s">
        <v>75</v>
      </c>
      <c r="E382" s="169" t="s">
        <v>182</v>
      </c>
      <c r="F382" s="316">
        <f>VLOOKUP($A382,'Price setting'!$E$408:$O$426,COLUMN()-1,FALSE)+VLOOKUP($A379,'Price setting'!$E$213:$O$231,COLUMN()-1,FALSE)</f>
        <v>0</v>
      </c>
      <c r="G382" s="317">
        <f>VLOOKUP($A382,'Price setting'!$E$408:$O$426,COLUMN()-1,FALSE)+VLOOKUP($A379,'Price setting'!$E$213:$O$231,COLUMN()-1,FALSE)</f>
        <v>0</v>
      </c>
      <c r="H382" s="317">
        <f ca="1">VLOOKUP($A382,'Price setting'!$E$408:$O$426,COLUMN()-1,FALSE)+VLOOKUP($A379,'Price setting'!$E$213:$O$231,COLUMN()-1,FALSE)</f>
        <v>16.697783053108463</v>
      </c>
      <c r="I382" s="317">
        <f ca="1">VLOOKUP($A382,'Price setting'!$E$408:$O$426,COLUMN()-1,FALSE)+VLOOKUP($A379,'Price setting'!$E$213:$O$231,COLUMN()-1,FALSE)</f>
        <v>16.646896864935314</v>
      </c>
      <c r="J382" s="317">
        <f ca="1">VLOOKUP($A382,'Price setting'!$E$408:$O$426,COLUMN()-1,FALSE)+VLOOKUP($A379,'Price setting'!$E$213:$O$231,COLUMN()-1,FALSE)</f>
        <v>17.314703097533688</v>
      </c>
      <c r="K382" s="317">
        <f ca="1">VLOOKUP($A382,'Price setting'!$E$408:$O$426,COLUMN()-1,FALSE)+VLOOKUP($A379,'Price setting'!$E$213:$O$231,COLUMN()-1,FALSE)</f>
        <v>17.170242134175563</v>
      </c>
      <c r="L382" s="323">
        <f ca="1">VLOOKUP($A382,'Price setting'!$E$408:$O$426,COLUMN()-1,FALSE)+VLOOKUP($A379,'Price setting'!$E$213:$O$231,COLUMN()-1,FALSE)</f>
        <v>16.787115070806564</v>
      </c>
    </row>
    <row r="383" spans="1:12">
      <c r="A383" s="60" t="s">
        <v>59</v>
      </c>
      <c r="B383" s="355" t="s">
        <v>167</v>
      </c>
      <c r="C383" s="59" t="s">
        <v>122</v>
      </c>
      <c r="D383" s="170" t="s">
        <v>88</v>
      </c>
      <c r="E383" s="169" t="s">
        <v>182</v>
      </c>
      <c r="F383" s="262">
        <f>INDEX(SES,ROW(Input!B$23)-5,COLUMN()+1)*Input!$H$441</f>
        <v>0</v>
      </c>
      <c r="G383" s="263">
        <f>INDEX(SES,ROW(Input!C$23)-5,COLUMN()+1)*Input!$H$441</f>
        <v>0</v>
      </c>
      <c r="H383" s="263">
        <f>INDEX(SES,ROW(Input!D$23)-5,COLUMN()+1)*Input!$H$441</f>
        <v>0</v>
      </c>
      <c r="I383" s="263">
        <f>INDEX(SES,ROW(Input!E$23)-5,COLUMN()+1)*Input!$H$441</f>
        <v>0</v>
      </c>
      <c r="J383" s="263">
        <f>INDEX(SES,ROW(Input!F$23)-5,COLUMN()+1)*Input!$H$441</f>
        <v>0</v>
      </c>
      <c r="K383" s="263">
        <f>INDEX(SES,ROW(Input!G$23)-5,COLUMN()+1)*Input!$H$441</f>
        <v>0</v>
      </c>
      <c r="L383" s="264">
        <f>INDEX(SES,ROW(Input!H$23)-5,COLUMN()+1)*Input!$H$441</f>
        <v>0</v>
      </c>
    </row>
    <row r="384" spans="1:12" s="53" customFormat="1">
      <c r="A384" s="60" t="s">
        <v>59</v>
      </c>
      <c r="B384" s="355" t="s">
        <v>168</v>
      </c>
      <c r="C384" s="59" t="s">
        <v>123</v>
      </c>
      <c r="D384" s="170" t="s">
        <v>88</v>
      </c>
      <c r="E384" s="169" t="s">
        <v>182</v>
      </c>
      <c r="F384" s="262">
        <f>+INDEX(SES,ROW(Input!B$24)-5,COLUMN()+1)*Input!$H$441</f>
        <v>0</v>
      </c>
      <c r="G384" s="263">
        <f>+INDEX(SES,ROW(Input!C$24)-5,COLUMN()+1)*Input!$H$441</f>
        <v>0</v>
      </c>
      <c r="H384" s="263">
        <f>+INDEX(SES,ROW(Input!D$24)-5,COLUMN()+1)*Input!$H$441</f>
        <v>0</v>
      </c>
      <c r="I384" s="263">
        <f>+INDEX(SES,ROW(Input!E$24)-5,COLUMN()+1)*Input!$H$441</f>
        <v>0</v>
      </c>
      <c r="J384" s="263">
        <f>+INDEX(SES,ROW(Input!F$24)-5,COLUMN()+1)*Input!$H$441</f>
        <v>0</v>
      </c>
      <c r="K384" s="263">
        <f>+INDEX(SES,ROW(Input!G$24)-5,COLUMN()+1)*Input!$H$441</f>
        <v>0</v>
      </c>
      <c r="L384" s="264">
        <f>+INDEX(SES,ROW(Input!H$24)-5,COLUMN()+1)*Input!$H$441</f>
        <v>0</v>
      </c>
    </row>
    <row r="385" spans="1:12">
      <c r="A385" s="60" t="s">
        <v>59</v>
      </c>
      <c r="B385" s="355" t="s">
        <v>169</v>
      </c>
      <c r="C385" s="59" t="s">
        <v>139</v>
      </c>
      <c r="D385" s="170" t="s">
        <v>74</v>
      </c>
      <c r="E385" s="169" t="s">
        <v>182</v>
      </c>
      <c r="F385" s="262">
        <f>VLOOKUP($A385,'Price setting'!$E$488:$O$506,COLUMN()-1,FALSE)</f>
        <v>0</v>
      </c>
      <c r="G385" s="263">
        <f>VLOOKUP($A385,'Price setting'!$E$488:$O$506,COLUMN()-1,FALSE)</f>
        <v>0</v>
      </c>
      <c r="H385" s="263">
        <f ca="1">VLOOKUP($A385,'Price setting'!$E$488:$O$506,COLUMN()-1,FALSE)</f>
        <v>3.5604448244935687E-2</v>
      </c>
      <c r="I385" s="263">
        <f ca="1">VLOOKUP($A385,'Price setting'!$E$488:$O$506,COLUMN()-1,FALSE)</f>
        <v>0.10136076095502136</v>
      </c>
      <c r="J385" s="263">
        <f ca="1">VLOOKUP($A385,'Price setting'!$E$488:$O$506,COLUMN()-1,FALSE)</f>
        <v>0.15435396596928677</v>
      </c>
      <c r="K385" s="263">
        <f ca="1">VLOOKUP($A385,'Price setting'!$E$488:$O$506,COLUMN()-1,FALSE)</f>
        <v>0.19612500084565174</v>
      </c>
      <c r="L385" s="264">
        <f ca="1">VLOOKUP($A385,'Price setting'!$E$488:$O$506,COLUMN()-1,FALSE)</f>
        <v>0.23011832411120292</v>
      </c>
    </row>
    <row r="386" spans="1:12">
      <c r="A386" s="60" t="str">
        <f>+A385</f>
        <v>SES</v>
      </c>
      <c r="B386" s="355" t="s">
        <v>170</v>
      </c>
      <c r="C386" s="59" t="s">
        <v>67</v>
      </c>
      <c r="D386" s="170" t="s">
        <v>171</v>
      </c>
      <c r="E386" s="169" t="s">
        <v>182</v>
      </c>
      <c r="F386" s="320">
        <f>+Input!$H$441</f>
        <v>1.3</v>
      </c>
      <c r="G386" s="321">
        <f>+Input!$H$441</f>
        <v>1.3</v>
      </c>
      <c r="H386" s="321">
        <f>+Input!$H$441</f>
        <v>1.3</v>
      </c>
      <c r="I386" s="321">
        <f>+Input!$H$441</f>
        <v>1.3</v>
      </c>
      <c r="J386" s="321">
        <f>+Input!$H$441</f>
        <v>1.3</v>
      </c>
      <c r="K386" s="321">
        <f>+Input!$H$441</f>
        <v>1.3</v>
      </c>
      <c r="L386" s="322">
        <f>+Input!$H$441</f>
        <v>1.3</v>
      </c>
    </row>
    <row r="387" spans="1:12">
      <c r="A387" s="60" t="str">
        <f t="shared" ref="A387:A399" si="16">+A386</f>
        <v>SES</v>
      </c>
      <c r="B387" s="355" t="s">
        <v>194</v>
      </c>
      <c r="C387" s="245" t="s">
        <v>185</v>
      </c>
      <c r="D387" t="s">
        <v>75</v>
      </c>
      <c r="E387" s="169" t="s">
        <v>182</v>
      </c>
      <c r="F387" s="316">
        <f ca="1">VLOOKUP(A387,'Price setting'!$E$89:$I$106,COLUMN()-1,FALSE)</f>
        <v>19.668864165427895</v>
      </c>
      <c r="G387" s="317"/>
      <c r="H387" s="317"/>
      <c r="I387" s="317"/>
      <c r="J387" s="317"/>
      <c r="K387" s="317"/>
      <c r="L387" s="323"/>
    </row>
    <row r="388" spans="1:12">
      <c r="A388" s="60" t="str">
        <f t="shared" si="16"/>
        <v>SES</v>
      </c>
      <c r="B388" s="355" t="s">
        <v>195</v>
      </c>
      <c r="C388" s="245" t="s">
        <v>186</v>
      </c>
      <c r="D388" t="s">
        <v>75</v>
      </c>
      <c r="E388" s="169" t="s">
        <v>182</v>
      </c>
      <c r="F388" s="316">
        <f ca="1">VLOOKUP(A388,'Price setting'!E$254:I$271,COLUMN()-1,FALSE)+VLOOKUP(A387,'Price setting'!$E$89:$I$106,COLUMN()-1,FALSE)</f>
        <v>27.603142875770089</v>
      </c>
      <c r="G388" s="317"/>
      <c r="H388" s="317"/>
      <c r="I388" s="317"/>
      <c r="J388" s="317"/>
      <c r="K388" s="317"/>
      <c r="L388" s="323"/>
    </row>
    <row r="389" spans="1:12">
      <c r="A389" s="60" t="str">
        <f t="shared" si="16"/>
        <v>SES</v>
      </c>
      <c r="B389" s="355" t="s">
        <v>196</v>
      </c>
      <c r="C389" s="245" t="s">
        <v>187</v>
      </c>
      <c r="D389" t="s">
        <v>75</v>
      </c>
      <c r="E389" s="169" t="s">
        <v>182</v>
      </c>
      <c r="F389" s="316">
        <f ca="1">VLOOKUP(A389,'Price setting'!E$319:I$336,COLUMN()-1,FALSE)+VLOOKUP(A387,'Price setting'!$E$89:$I$106,COLUMN()-1,FALSE)</f>
        <v>19.668864165427895</v>
      </c>
      <c r="G389" s="317"/>
      <c r="H389" s="317"/>
      <c r="I389" s="317"/>
      <c r="J389" s="317"/>
      <c r="K389" s="317"/>
      <c r="L389" s="323"/>
    </row>
    <row r="390" spans="1:12">
      <c r="A390" s="60" t="str">
        <f t="shared" si="16"/>
        <v>SES</v>
      </c>
      <c r="B390" s="355" t="s">
        <v>197</v>
      </c>
      <c r="C390" s="245" t="s">
        <v>188</v>
      </c>
      <c r="D390" t="s">
        <v>75</v>
      </c>
      <c r="E390" s="169" t="s">
        <v>182</v>
      </c>
      <c r="F390" s="316">
        <f ca="1">(VLOOKUP(A390,'Price setting'!E$384:I$401,COLUMN()-1,FALSE)+VLOOKUP(A387,'Price setting'!$E$89:$I$106,COLUMN()-1,FALSE))*+Input!$H$441</f>
        <v>25.569523415056263</v>
      </c>
      <c r="G390" s="317"/>
      <c r="H390" s="317"/>
      <c r="I390" s="317"/>
      <c r="J390" s="317"/>
      <c r="K390" s="317"/>
      <c r="L390" s="323"/>
    </row>
    <row r="391" spans="1:12">
      <c r="A391" s="60" t="str">
        <f t="shared" si="16"/>
        <v>SES</v>
      </c>
      <c r="B391" s="355" t="s">
        <v>198</v>
      </c>
      <c r="C391" s="50" t="s">
        <v>189</v>
      </c>
      <c r="D391" t="s">
        <v>75</v>
      </c>
      <c r="E391" s="169" t="s">
        <v>182</v>
      </c>
      <c r="F391" s="316">
        <f ca="1">VLOOKUP(A391,'Price setting'!E$89:I$106,COLUMN()-1,FALSE)*+Input!$H$441</f>
        <v>25.569523415056263</v>
      </c>
      <c r="G391" s="317"/>
      <c r="H391" s="317"/>
      <c r="I391" s="317"/>
      <c r="J391" s="317"/>
      <c r="K391" s="317"/>
      <c r="L391" s="323"/>
    </row>
    <row r="392" spans="1:12" s="53" customFormat="1">
      <c r="A392" s="60" t="str">
        <f t="shared" si="16"/>
        <v>SES</v>
      </c>
      <c r="B392" s="356" t="s">
        <v>204</v>
      </c>
      <c r="C392" s="50" t="s">
        <v>203</v>
      </c>
      <c r="D392" s="168" t="s">
        <v>75</v>
      </c>
      <c r="E392" s="169" t="s">
        <v>182</v>
      </c>
      <c r="F392" s="316"/>
      <c r="G392" s="317"/>
      <c r="H392" s="317">
        <f ca="1">VLOOKUP($A392,'Price setting'!$E$213:$O$230,COLUMN()-1,FALSE)</f>
        <v>16.697783053108463</v>
      </c>
      <c r="I392" s="317">
        <f ca="1">VLOOKUP($A392,'Price setting'!$E$213:$O$230,COLUMN()-1,FALSE)</f>
        <v>16.646896864935314</v>
      </c>
      <c r="J392" s="317">
        <f ca="1">VLOOKUP($A392,'Price setting'!$E$213:$O$230,COLUMN()-1,FALSE)</f>
        <v>17.314703097533688</v>
      </c>
      <c r="K392" s="317">
        <f ca="1">VLOOKUP($A392,'Price setting'!$E$213:$O$230,COLUMN()-1,FALSE)</f>
        <v>17.170242134175563</v>
      </c>
      <c r="L392" s="323">
        <f ca="1">VLOOKUP($A392,'Price setting'!$E$213:$O$230,COLUMN()-1,FALSE)</f>
        <v>16.787115070806564</v>
      </c>
    </row>
    <row r="393" spans="1:12">
      <c r="A393" s="60" t="str">
        <f t="shared" si="16"/>
        <v>SES</v>
      </c>
      <c r="B393" s="355" t="s">
        <v>199</v>
      </c>
      <c r="C393" s="50" t="s">
        <v>190</v>
      </c>
      <c r="D393" t="s">
        <v>75</v>
      </c>
      <c r="E393" s="169" t="s">
        <v>182</v>
      </c>
      <c r="F393" s="316"/>
      <c r="G393" s="317"/>
      <c r="H393" s="317">
        <f ca="1">VLOOKUP($A392,'Price setting'!$E$213:$O$230,COLUMN()-1,FALSE)*+Input!$H$441</f>
        <v>21.707117969041004</v>
      </c>
      <c r="I393" s="317">
        <f ca="1">VLOOKUP($A392,'Price setting'!$E$213:$O$230,COLUMN()-1,FALSE)*+Input!$H$441</f>
        <v>21.640965924415909</v>
      </c>
      <c r="J393" s="317">
        <f ca="1">VLOOKUP($A392,'Price setting'!$E$213:$O$230,COLUMN()-1,FALSE)*+Input!$H$441</f>
        <v>22.509114026793796</v>
      </c>
      <c r="K393" s="317">
        <f ca="1">VLOOKUP($A392,'Price setting'!$E$213:$O$230,COLUMN()-1,FALSE)*+Input!$H$441</f>
        <v>22.321314774428235</v>
      </c>
      <c r="L393" s="323">
        <f ca="1">VLOOKUP($A392,'Price setting'!$E$213:$O$230,COLUMN()-1,FALSE)*+Input!$H$441</f>
        <v>21.823249592048533</v>
      </c>
    </row>
    <row r="394" spans="1:12">
      <c r="A394" s="60" t="str">
        <f t="shared" si="16"/>
        <v>SES</v>
      </c>
      <c r="B394" s="355" t="s">
        <v>200</v>
      </c>
      <c r="C394" s="50" t="s">
        <v>191</v>
      </c>
      <c r="D394" t="s">
        <v>75</v>
      </c>
      <c r="E394" s="169" t="s">
        <v>182</v>
      </c>
      <c r="F394" s="316"/>
      <c r="G394" s="317"/>
      <c r="H394" s="317">
        <f ca="1">VLOOKUP($A394,'Price setting'!$E$278:$O$295,COLUMN()-1,FALSE)+VLOOKUP($A392,'Price setting'!$E$213:$O$230,COLUMN()-1,FALSE)</f>
        <v>23.762753124384925</v>
      </c>
      <c r="I394" s="317">
        <f ca="1">VLOOKUP($A394,'Price setting'!$E$278:$O$295,COLUMN()-1,FALSE)+VLOOKUP($A392,'Price setting'!$E$213:$O$230,COLUMN()-1,FALSE)</f>
        <v>23.484261705650496</v>
      </c>
      <c r="J394" s="317">
        <f ca="1">VLOOKUP($A394,'Price setting'!$E$278:$O$295,COLUMN()-1,FALSE)+VLOOKUP($A392,'Price setting'!$E$213:$O$230,COLUMN()-1,FALSE)</f>
        <v>23.641464269016158</v>
      </c>
      <c r="K394" s="317">
        <f ca="1">VLOOKUP($A394,'Price setting'!$E$278:$O$295,COLUMN()-1,FALSE)+VLOOKUP($A392,'Price setting'!$E$213:$O$230,COLUMN()-1,FALSE)</f>
        <v>22.961164126038124</v>
      </c>
      <c r="L394" s="323">
        <f ca="1">VLOOKUP($A394,'Price setting'!$E$278:$O$295,COLUMN()-1,FALSE)+VLOOKUP($A392,'Price setting'!$E$213:$O$230,COLUMN()-1,FALSE)</f>
        <v>22.578037062669125</v>
      </c>
    </row>
    <row r="395" spans="1:12">
      <c r="A395" s="60" t="str">
        <f t="shared" si="16"/>
        <v>SES</v>
      </c>
      <c r="B395" s="355" t="s">
        <v>201</v>
      </c>
      <c r="C395" s="50" t="s">
        <v>192</v>
      </c>
      <c r="D395" t="s">
        <v>75</v>
      </c>
      <c r="E395" s="169" t="s">
        <v>182</v>
      </c>
      <c r="F395" s="316"/>
      <c r="G395" s="317"/>
      <c r="H395" s="317">
        <f ca="1">VLOOKUP($A395,'Price setting'!$E$343:$O$360,COLUMN()-1,FALSE)+VLOOKUP($A392,'Price setting'!$E$213:$O$230,COLUMN()-1,FALSE)</f>
        <v>16.697783053108463</v>
      </c>
      <c r="I395" s="317">
        <f ca="1">VLOOKUP($A395,'Price setting'!$E$343:$O$360,COLUMN()-1,FALSE)+VLOOKUP($A392,'Price setting'!$E$213:$O$230,COLUMN()-1,FALSE)</f>
        <v>16.646896864935314</v>
      </c>
      <c r="J395" s="317">
        <f ca="1">VLOOKUP($A395,'Price setting'!$E$343:$O$360,COLUMN()-1,FALSE)+VLOOKUP($A392,'Price setting'!$E$213:$O$230,COLUMN()-1,FALSE)</f>
        <v>17.314703097533688</v>
      </c>
      <c r="K395" s="317">
        <f ca="1">VLOOKUP($A395,'Price setting'!$E$343:$O$360,COLUMN()-1,FALSE)+VLOOKUP($A392,'Price setting'!$E$213:$O$230,COLUMN()-1,FALSE)</f>
        <v>17.170242134175563</v>
      </c>
      <c r="L395" s="323">
        <f ca="1">VLOOKUP($A395,'Price setting'!$E$343:$O$360,COLUMN()-1,FALSE)+VLOOKUP($A392,'Price setting'!$E$213:$O$230,COLUMN()-1,FALSE)</f>
        <v>16.787115070806564</v>
      </c>
    </row>
    <row r="396" spans="1:12">
      <c r="A396" s="60" t="str">
        <f t="shared" si="16"/>
        <v>SES</v>
      </c>
      <c r="B396" s="355" t="s">
        <v>202</v>
      </c>
      <c r="C396" s="50" t="s">
        <v>193</v>
      </c>
      <c r="D396" t="s">
        <v>75</v>
      </c>
      <c r="E396" s="169" t="s">
        <v>182</v>
      </c>
      <c r="F396" s="316"/>
      <c r="G396" s="317"/>
      <c r="H396" s="317">
        <f ca="1">(VLOOKUP($A396,'Price setting'!$E$408:$O$425,COLUMN()-1,FALSE)+VLOOKUP($A392,'Price setting'!$E$213:$O$230,COLUMN()-1,FALSE))*+Input!$H$441</f>
        <v>21.707117969041004</v>
      </c>
      <c r="I396" s="317">
        <f ca="1">(VLOOKUP($A396,'Price setting'!$E$408:$O$425,COLUMN()-1,FALSE)+VLOOKUP($A392,'Price setting'!$E$213:$O$230,COLUMN()-1,FALSE))*+Input!$H$441</f>
        <v>21.640965924415909</v>
      </c>
      <c r="J396" s="317">
        <f ca="1">(VLOOKUP($A396,'Price setting'!$E$408:$O$425,COLUMN()-1,FALSE)+VLOOKUP($A392,'Price setting'!$E$213:$O$230,COLUMN()-1,FALSE))*+Input!$H$441</f>
        <v>22.509114026793796</v>
      </c>
      <c r="K396" s="317">
        <f ca="1">(VLOOKUP($A396,'Price setting'!$E$408:$O$425,COLUMN()-1,FALSE)+VLOOKUP($A392,'Price setting'!$E$213:$O$230,COLUMN()-1,FALSE))*+Input!$H$441</f>
        <v>22.321314774428235</v>
      </c>
      <c r="L396" s="323">
        <f ca="1">(VLOOKUP($A396,'Price setting'!$E$408:$O$425,COLUMN()-1,FALSE)+VLOOKUP($A392,'Price setting'!$E$213:$O$230,COLUMN()-1,FALSE))*+Input!$H$441</f>
        <v>21.823249592048533</v>
      </c>
    </row>
    <row r="397" spans="1:12">
      <c r="A397" s="60" t="str">
        <f t="shared" si="16"/>
        <v>SES</v>
      </c>
      <c r="B397" s="355" t="s">
        <v>208</v>
      </c>
      <c r="C397" s="21" t="s">
        <v>205</v>
      </c>
      <c r="D397" s="168" t="s">
        <v>75</v>
      </c>
      <c r="E397" s="169" t="s">
        <v>182</v>
      </c>
      <c r="F397" s="262">
        <f ca="1">VLOOKUP($A397,'Price setting'!$E$49:$I$66,COLUMN()-1,FALSE)</f>
        <v>0</v>
      </c>
      <c r="G397" s="263"/>
      <c r="H397" s="263"/>
      <c r="I397" s="263"/>
      <c r="J397" s="263"/>
      <c r="K397" s="263"/>
      <c r="L397" s="264"/>
    </row>
    <row r="398" spans="1:12">
      <c r="A398" s="60" t="str">
        <f>+A396</f>
        <v>SES</v>
      </c>
      <c r="B398" s="355" t="s">
        <v>206</v>
      </c>
      <c r="C398" s="21" t="s">
        <v>132</v>
      </c>
      <c r="D398" s="168" t="s">
        <v>74</v>
      </c>
      <c r="E398" s="169" t="s">
        <v>182</v>
      </c>
      <c r="F398" s="324">
        <f ca="1">'Used inputs'!I259</f>
        <v>5.8034658510639314</v>
      </c>
      <c r="G398" s="325">
        <f>'Used inputs'!J259</f>
        <v>5.0400492850444847</v>
      </c>
      <c r="H398" s="325">
        <f ca="1">'Used inputs'!K259</f>
        <v>5.3196216657696533</v>
      </c>
      <c r="I398" s="325">
        <f ca="1">'Used inputs'!L259</f>
        <v>5.3112171001397552</v>
      </c>
      <c r="J398" s="325">
        <f ca="1">'Used inputs'!M259</f>
        <v>5.5365515696470426</v>
      </c>
      <c r="K398" s="325">
        <f ca="1">'Used inputs'!N259</f>
        <v>5.5260711389349373</v>
      </c>
      <c r="L398" s="326">
        <f ca="1">'Used inputs'!O259</f>
        <v>5.4856157798309786</v>
      </c>
    </row>
    <row r="399" spans="1:12">
      <c r="A399" s="60" t="str">
        <f t="shared" si="16"/>
        <v>SES</v>
      </c>
      <c r="B399" s="355" t="s">
        <v>207</v>
      </c>
      <c r="C399" s="21" t="s">
        <v>157</v>
      </c>
      <c r="D399" s="168" t="s">
        <v>74</v>
      </c>
      <c r="E399" s="169" t="s">
        <v>182</v>
      </c>
      <c r="F399" s="324">
        <f>'Used inputs'!I272</f>
        <v>2.2189349585648478E-2</v>
      </c>
      <c r="G399" s="325">
        <f>'Used inputs'!J272</f>
        <v>0</v>
      </c>
      <c r="H399" s="325">
        <f>'Used inputs'!K272</f>
        <v>8.1563929694952846E-3</v>
      </c>
      <c r="I399" s="325">
        <f>'Used inputs'!L272</f>
        <v>8.1563929694952846E-3</v>
      </c>
      <c r="J399" s="325">
        <f>'Used inputs'!M272</f>
        <v>8.1563929694952846E-3</v>
      </c>
      <c r="K399" s="325">
        <f>'Used inputs'!N272</f>
        <v>8.1563929694952846E-3</v>
      </c>
      <c r="L399" s="326">
        <f>'Used inputs'!O272</f>
        <v>8.1563929694952846E-3</v>
      </c>
    </row>
    <row r="400" spans="1:12">
      <c r="A400" s="60" t="s">
        <v>299</v>
      </c>
      <c r="B400" s="355" t="s">
        <v>162</v>
      </c>
      <c r="C400" s="59" t="s">
        <v>175</v>
      </c>
      <c r="D400" s="169" t="s">
        <v>74</v>
      </c>
      <c r="E400" s="169" t="s">
        <v>182</v>
      </c>
      <c r="F400" s="324">
        <f>F136</f>
        <v>0</v>
      </c>
      <c r="G400" s="325">
        <f t="shared" ref="G400:L400" si="17">G136</f>
        <v>0</v>
      </c>
      <c r="H400" s="325">
        <f t="shared" ca="1" si="17"/>
        <v>149.27391074188338</v>
      </c>
      <c r="I400" s="325">
        <f t="shared" ca="1" si="17"/>
        <v>150.54493283612354</v>
      </c>
      <c r="J400" s="325">
        <f t="shared" ca="1" si="17"/>
        <v>153.93541196603474</v>
      </c>
      <c r="K400" s="325">
        <f t="shared" ca="1" si="17"/>
        <v>155.63692334206993</v>
      </c>
      <c r="L400" s="326">
        <f t="shared" ca="1" si="17"/>
        <v>160.04141298422405</v>
      </c>
    </row>
    <row r="401" spans="1:12">
      <c r="A401" s="60" t="s">
        <v>299</v>
      </c>
      <c r="B401" s="355" t="s">
        <v>163</v>
      </c>
      <c r="C401" s="59" t="s">
        <v>118</v>
      </c>
      <c r="D401" s="168" t="s">
        <v>75</v>
      </c>
      <c r="E401" s="169" t="s">
        <v>182</v>
      </c>
      <c r="F401" s="324">
        <f t="shared" ref="F401:L401" si="18">F137</f>
        <v>0</v>
      </c>
      <c r="G401" s="325">
        <f t="shared" si="18"/>
        <v>0</v>
      </c>
      <c r="H401" s="325">
        <f t="shared" ca="1" si="18"/>
        <v>20.735627401299965</v>
      </c>
      <c r="I401" s="325">
        <f t="shared" ca="1" si="18"/>
        <v>20.747846346020747</v>
      </c>
      <c r="J401" s="325">
        <f t="shared" ca="1" si="18"/>
        <v>21.114471137511412</v>
      </c>
      <c r="K401" s="325">
        <f t="shared" ca="1" si="18"/>
        <v>21.306893995130356</v>
      </c>
      <c r="L401" s="326">
        <f t="shared" ca="1" si="18"/>
        <v>21.613590228716141</v>
      </c>
    </row>
    <row r="402" spans="1:12">
      <c r="A402" s="60" t="s">
        <v>299</v>
      </c>
      <c r="B402" s="355" t="s">
        <v>164</v>
      </c>
      <c r="C402" s="59" t="s">
        <v>119</v>
      </c>
      <c r="D402" s="168" t="s">
        <v>75</v>
      </c>
      <c r="E402" s="169" t="s">
        <v>182</v>
      </c>
      <c r="F402" s="324">
        <f t="shared" ref="F402:L402" si="19">F138</f>
        <v>0</v>
      </c>
      <c r="G402" s="325">
        <f t="shared" si="19"/>
        <v>0</v>
      </c>
      <c r="H402" s="325">
        <f t="shared" ca="1" si="19"/>
        <v>28.623863985844785</v>
      </c>
      <c r="I402" s="325">
        <f t="shared" ca="1" si="19"/>
        <v>27.936978066338149</v>
      </c>
      <c r="J402" s="325">
        <f t="shared" ca="1" si="19"/>
        <v>27.604497993601392</v>
      </c>
      <c r="K402" s="325">
        <f t="shared" ca="1" si="19"/>
        <v>27.097815986992916</v>
      </c>
      <c r="L402" s="326">
        <f t="shared" ca="1" si="19"/>
        <v>27.404512220578702</v>
      </c>
    </row>
    <row r="403" spans="1:12">
      <c r="A403" s="60" t="s">
        <v>299</v>
      </c>
      <c r="B403" s="355" t="s">
        <v>165</v>
      </c>
      <c r="C403" s="59" t="s">
        <v>120</v>
      </c>
      <c r="D403" s="168" t="s">
        <v>75</v>
      </c>
      <c r="E403" s="169" t="s">
        <v>182</v>
      </c>
      <c r="F403" s="324">
        <f t="shared" ref="F403:L403" si="20">F139</f>
        <v>0</v>
      </c>
      <c r="G403" s="325">
        <f t="shared" si="20"/>
        <v>0</v>
      </c>
      <c r="H403" s="325">
        <f t="shared" ca="1" si="20"/>
        <v>25.641954838770516</v>
      </c>
      <c r="I403" s="325">
        <f t="shared" ca="1" si="20"/>
        <v>25.376736949243941</v>
      </c>
      <c r="J403" s="325">
        <f t="shared" ca="1" si="20"/>
        <v>25.341946377961911</v>
      </c>
      <c r="K403" s="325">
        <f t="shared" ca="1" si="20"/>
        <v>24.940743547257263</v>
      </c>
      <c r="L403" s="326">
        <f t="shared" ca="1" si="20"/>
        <v>24.844924432083488</v>
      </c>
    </row>
    <row r="404" spans="1:12">
      <c r="A404" s="60" t="s">
        <v>299</v>
      </c>
      <c r="B404" s="355" t="s">
        <v>166</v>
      </c>
      <c r="C404" s="59" t="s">
        <v>124</v>
      </c>
      <c r="D404" s="168" t="s">
        <v>75</v>
      </c>
      <c r="E404" s="169" t="s">
        <v>182</v>
      </c>
      <c r="F404" s="324">
        <f t="shared" ref="F404:L404" si="21">F140</f>
        <v>0</v>
      </c>
      <c r="G404" s="325">
        <f t="shared" si="21"/>
        <v>0</v>
      </c>
      <c r="H404" s="325">
        <f t="shared" ca="1" si="21"/>
        <v>28.397343180356678</v>
      </c>
      <c r="I404" s="325">
        <f t="shared" ca="1" si="21"/>
        <v>27.483936455361945</v>
      </c>
      <c r="J404" s="325">
        <f t="shared" ca="1" si="21"/>
        <v>26.924935577137095</v>
      </c>
      <c r="K404" s="325">
        <f t="shared" ca="1" si="21"/>
        <v>26.191732765040523</v>
      </c>
      <c r="L404" s="326">
        <f t="shared" ca="1" si="21"/>
        <v>26.498428998626309</v>
      </c>
    </row>
    <row r="405" spans="1:12">
      <c r="A405" s="60" t="s">
        <v>299</v>
      </c>
      <c r="B405" s="355" t="s">
        <v>167</v>
      </c>
      <c r="C405" s="59" t="s">
        <v>122</v>
      </c>
      <c r="D405" s="170" t="s">
        <v>88</v>
      </c>
      <c r="E405" s="169" t="s">
        <v>182</v>
      </c>
      <c r="F405" s="324">
        <f t="shared" ref="F405:L405" si="22">F141</f>
        <v>2925.5018</v>
      </c>
      <c r="G405" s="325">
        <f t="shared" si="22"/>
        <v>2891.5328</v>
      </c>
      <c r="H405" s="325">
        <f t="shared" si="22"/>
        <v>2801.1139000000003</v>
      </c>
      <c r="I405" s="325">
        <f t="shared" si="22"/>
        <v>2691.2626000000005</v>
      </c>
      <c r="J405" s="325">
        <f t="shared" si="22"/>
        <v>2543.9634999999998</v>
      </c>
      <c r="K405" s="325">
        <f t="shared" si="22"/>
        <v>2374.8946000000001</v>
      </c>
      <c r="L405" s="326">
        <f t="shared" si="22"/>
        <v>2201.9243999999999</v>
      </c>
    </row>
    <row r="406" spans="1:12">
      <c r="A406" s="60" t="s">
        <v>299</v>
      </c>
      <c r="B406" s="355" t="s">
        <v>168</v>
      </c>
      <c r="C406" s="59" t="s">
        <v>123</v>
      </c>
      <c r="D406" s="170" t="s">
        <v>88</v>
      </c>
      <c r="E406" s="169" t="s">
        <v>182</v>
      </c>
      <c r="F406" s="324">
        <f t="shared" ref="F406:L406" si="23">F142</f>
        <v>1419.8080000000002</v>
      </c>
      <c r="G406" s="325">
        <f t="shared" si="23"/>
        <v>1472.0809999999999</v>
      </c>
      <c r="H406" s="325">
        <f t="shared" si="23"/>
        <v>1635.2999</v>
      </c>
      <c r="I406" s="325">
        <f t="shared" si="23"/>
        <v>1790.2612000000001</v>
      </c>
      <c r="J406" s="325">
        <f t="shared" si="23"/>
        <v>1985.3821000000003</v>
      </c>
      <c r="K406" s="325">
        <f t="shared" si="23"/>
        <v>2202.5054999999998</v>
      </c>
      <c r="L406" s="326">
        <f t="shared" si="23"/>
        <v>2422.8555000000001</v>
      </c>
    </row>
    <row r="407" spans="1:12">
      <c r="A407" s="60" t="s">
        <v>299</v>
      </c>
      <c r="B407" s="355" t="s">
        <v>169</v>
      </c>
      <c r="C407" s="59" t="s">
        <v>139</v>
      </c>
      <c r="D407" s="170" t="s">
        <v>74</v>
      </c>
      <c r="E407" s="169" t="s">
        <v>182</v>
      </c>
      <c r="F407" s="324">
        <f t="shared" ref="F407:L407" si="24">F143</f>
        <v>0</v>
      </c>
      <c r="G407" s="325">
        <f t="shared" si="24"/>
        <v>0</v>
      </c>
      <c r="H407" s="325">
        <f t="shared" ca="1" si="24"/>
        <v>0.72562487444767521</v>
      </c>
      <c r="I407" s="325">
        <f t="shared" ca="1" si="24"/>
        <v>2.6552265488195936</v>
      </c>
      <c r="J407" s="325">
        <f t="shared" ca="1" si="24"/>
        <v>5.4586062247627138</v>
      </c>
      <c r="K407" s="325">
        <f t="shared" ca="1" si="24"/>
        <v>8.0907290655784028</v>
      </c>
      <c r="L407" s="326">
        <f t="shared" ca="1" si="24"/>
        <v>10.033398669290458</v>
      </c>
    </row>
    <row r="408" spans="1:12">
      <c r="A408" s="60" t="s">
        <v>299</v>
      </c>
      <c r="B408" s="355" t="s">
        <v>170</v>
      </c>
      <c r="C408" s="59" t="s">
        <v>67</v>
      </c>
      <c r="D408" s="170" t="s">
        <v>171</v>
      </c>
      <c r="E408" s="169" t="s">
        <v>182</v>
      </c>
      <c r="F408" s="324">
        <f t="shared" ref="F408:L408" si="25">F144</f>
        <v>1.3</v>
      </c>
      <c r="G408" s="325">
        <f t="shared" si="25"/>
        <v>1.3</v>
      </c>
      <c r="H408" s="325">
        <f t="shared" si="25"/>
        <v>1.3</v>
      </c>
      <c r="I408" s="325">
        <f t="shared" si="25"/>
        <v>1.3</v>
      </c>
      <c r="J408" s="325">
        <f t="shared" si="25"/>
        <v>1.3</v>
      </c>
      <c r="K408" s="325">
        <f t="shared" si="25"/>
        <v>1.3</v>
      </c>
      <c r="L408" s="326">
        <f t="shared" si="25"/>
        <v>1.3</v>
      </c>
    </row>
    <row r="409" spans="1:12">
      <c r="A409" s="60" t="s">
        <v>299</v>
      </c>
      <c r="B409" s="355" t="s">
        <v>194</v>
      </c>
      <c r="C409" s="245" t="s">
        <v>185</v>
      </c>
      <c r="D409" t="s">
        <v>75</v>
      </c>
      <c r="E409" s="169" t="s">
        <v>182</v>
      </c>
      <c r="F409" s="324">
        <f t="shared" ref="F409:L409" ca="1" si="26">F145</f>
        <v>21.735919836764477</v>
      </c>
      <c r="G409" s="325">
        <f t="shared" si="26"/>
        <v>0</v>
      </c>
      <c r="H409" s="325">
        <f t="shared" si="26"/>
        <v>0</v>
      </c>
      <c r="I409" s="325">
        <f t="shared" si="26"/>
        <v>0</v>
      </c>
      <c r="J409" s="325">
        <f t="shared" si="26"/>
        <v>0</v>
      </c>
      <c r="K409" s="325">
        <f t="shared" si="26"/>
        <v>0</v>
      </c>
      <c r="L409" s="326">
        <f t="shared" si="26"/>
        <v>0</v>
      </c>
    </row>
    <row r="410" spans="1:12">
      <c r="A410" s="60" t="s">
        <v>299</v>
      </c>
      <c r="B410" s="355" t="s">
        <v>195</v>
      </c>
      <c r="C410" s="245" t="s">
        <v>186</v>
      </c>
      <c r="D410" t="s">
        <v>75</v>
      </c>
      <c r="E410" s="169" t="s">
        <v>182</v>
      </c>
      <c r="F410" s="324">
        <f t="shared" ref="F410:L410" ca="1" si="27">F146</f>
        <v>30.323261285536717</v>
      </c>
      <c r="G410" s="325">
        <f t="shared" si="27"/>
        <v>0</v>
      </c>
      <c r="H410" s="325">
        <f t="shared" si="27"/>
        <v>0</v>
      </c>
      <c r="I410" s="325">
        <f t="shared" si="27"/>
        <v>0</v>
      </c>
      <c r="J410" s="325">
        <f t="shared" si="27"/>
        <v>0</v>
      </c>
      <c r="K410" s="325">
        <f t="shared" si="27"/>
        <v>0</v>
      </c>
      <c r="L410" s="326">
        <f t="shared" si="27"/>
        <v>0</v>
      </c>
    </row>
    <row r="411" spans="1:12">
      <c r="A411" s="60" t="s">
        <v>299</v>
      </c>
      <c r="B411" s="355" t="s">
        <v>196</v>
      </c>
      <c r="C411" s="245" t="s">
        <v>187</v>
      </c>
      <c r="D411" t="s">
        <v>75</v>
      </c>
      <c r="E411" s="169" t="s">
        <v>182</v>
      </c>
      <c r="F411" s="324">
        <f t="shared" ref="F411:L411" ca="1" si="28">F147</f>
        <v>26.919684108482382</v>
      </c>
      <c r="G411" s="325">
        <f t="shared" si="28"/>
        <v>0</v>
      </c>
      <c r="H411" s="325">
        <f t="shared" si="28"/>
        <v>0</v>
      </c>
      <c r="I411" s="325">
        <f t="shared" si="28"/>
        <v>0</v>
      </c>
      <c r="J411" s="325">
        <f t="shared" si="28"/>
        <v>0</v>
      </c>
      <c r="K411" s="325">
        <f t="shared" si="28"/>
        <v>0</v>
      </c>
      <c r="L411" s="326">
        <f t="shared" si="28"/>
        <v>0</v>
      </c>
    </row>
    <row r="412" spans="1:12">
      <c r="A412" s="60" t="s">
        <v>299</v>
      </c>
      <c r="B412" s="355" t="s">
        <v>197</v>
      </c>
      <c r="C412" s="245" t="s">
        <v>188</v>
      </c>
      <c r="D412" t="s">
        <v>75</v>
      </c>
      <c r="E412" s="169" t="s">
        <v>182</v>
      </c>
      <c r="F412" s="324">
        <f t="shared" ref="F412:L412" ca="1" si="29">F148</f>
        <v>39.42023967119772</v>
      </c>
      <c r="G412" s="325">
        <f t="shared" si="29"/>
        <v>0</v>
      </c>
      <c r="H412" s="325">
        <f t="shared" si="29"/>
        <v>0</v>
      </c>
      <c r="I412" s="325">
        <f t="shared" si="29"/>
        <v>0</v>
      </c>
      <c r="J412" s="325">
        <f t="shared" si="29"/>
        <v>0</v>
      </c>
      <c r="K412" s="325">
        <f t="shared" si="29"/>
        <v>0</v>
      </c>
      <c r="L412" s="326">
        <f t="shared" si="29"/>
        <v>0</v>
      </c>
    </row>
    <row r="413" spans="1:12">
      <c r="A413" s="60" t="s">
        <v>299</v>
      </c>
      <c r="B413" s="355" t="s">
        <v>198</v>
      </c>
      <c r="C413" s="50" t="s">
        <v>189</v>
      </c>
      <c r="D413" t="s">
        <v>75</v>
      </c>
      <c r="E413" s="169" t="s">
        <v>182</v>
      </c>
      <c r="F413" s="324">
        <f t="shared" ref="F413:L413" ca="1" si="30">F149</f>
        <v>28.25669578779382</v>
      </c>
      <c r="G413" s="325">
        <f t="shared" si="30"/>
        <v>0</v>
      </c>
      <c r="H413" s="325">
        <f t="shared" si="30"/>
        <v>0</v>
      </c>
      <c r="I413" s="325">
        <f t="shared" si="30"/>
        <v>0</v>
      </c>
      <c r="J413" s="325">
        <f t="shared" si="30"/>
        <v>0</v>
      </c>
      <c r="K413" s="325">
        <f t="shared" si="30"/>
        <v>0</v>
      </c>
      <c r="L413" s="326">
        <f t="shared" si="30"/>
        <v>0</v>
      </c>
    </row>
    <row r="414" spans="1:12">
      <c r="A414" s="60" t="s">
        <v>299</v>
      </c>
      <c r="B414" s="356" t="s">
        <v>204</v>
      </c>
      <c r="C414" s="50" t="s">
        <v>203</v>
      </c>
      <c r="D414" s="168" t="s">
        <v>75</v>
      </c>
      <c r="E414" s="169" t="s">
        <v>182</v>
      </c>
      <c r="F414" s="324">
        <f t="shared" ref="F414:L414" si="31">F150</f>
        <v>0</v>
      </c>
      <c r="G414" s="325">
        <f t="shared" si="31"/>
        <v>0</v>
      </c>
      <c r="H414" s="325">
        <f t="shared" ca="1" si="31"/>
        <v>20.735627401299965</v>
      </c>
      <c r="I414" s="325">
        <f t="shared" ca="1" si="31"/>
        <v>20.747846346020747</v>
      </c>
      <c r="J414" s="325">
        <f t="shared" ca="1" si="31"/>
        <v>21.114471137511412</v>
      </c>
      <c r="K414" s="325">
        <f t="shared" ca="1" si="31"/>
        <v>21.306893995130356</v>
      </c>
      <c r="L414" s="326">
        <f t="shared" ca="1" si="31"/>
        <v>21.613590228716141</v>
      </c>
    </row>
    <row r="415" spans="1:12">
      <c r="A415" s="60" t="s">
        <v>299</v>
      </c>
      <c r="B415" s="355" t="s">
        <v>199</v>
      </c>
      <c r="C415" s="50" t="s">
        <v>190</v>
      </c>
      <c r="D415" t="s">
        <v>75</v>
      </c>
      <c r="E415" s="169" t="s">
        <v>182</v>
      </c>
      <c r="F415" s="324">
        <f t="shared" ref="F415:L415" si="32">F151</f>
        <v>0</v>
      </c>
      <c r="G415" s="325">
        <f t="shared" si="32"/>
        <v>0</v>
      </c>
      <c r="H415" s="325">
        <f t="shared" ca="1" si="32"/>
        <v>26.956315621689956</v>
      </c>
      <c r="I415" s="325">
        <f t="shared" ca="1" si="32"/>
        <v>26.972200249826972</v>
      </c>
      <c r="J415" s="325">
        <f t="shared" ca="1" si="32"/>
        <v>27.448812478764836</v>
      </c>
      <c r="K415" s="325">
        <f t="shared" ca="1" si="32"/>
        <v>27.698962193669463</v>
      </c>
      <c r="L415" s="326">
        <f t="shared" ca="1" si="32"/>
        <v>28.097667297330986</v>
      </c>
    </row>
    <row r="416" spans="1:12">
      <c r="A416" s="60" t="s">
        <v>299</v>
      </c>
      <c r="B416" s="355" t="s">
        <v>200</v>
      </c>
      <c r="C416" s="50" t="s">
        <v>191</v>
      </c>
      <c r="D416" t="s">
        <v>75</v>
      </c>
      <c r="E416" s="169" t="s">
        <v>182</v>
      </c>
      <c r="F416" s="324">
        <f t="shared" ref="F416:L416" si="33">F152</f>
        <v>0</v>
      </c>
      <c r="G416" s="325">
        <f t="shared" si="33"/>
        <v>0</v>
      </c>
      <c r="H416" s="325">
        <f t="shared" ca="1" si="33"/>
        <v>28.623863985844785</v>
      </c>
      <c r="I416" s="325">
        <f t="shared" ca="1" si="33"/>
        <v>27.936978066338149</v>
      </c>
      <c r="J416" s="325">
        <f t="shared" ca="1" si="33"/>
        <v>27.604497993601392</v>
      </c>
      <c r="K416" s="325">
        <f t="shared" ca="1" si="33"/>
        <v>27.097815986992916</v>
      </c>
      <c r="L416" s="326">
        <f t="shared" ca="1" si="33"/>
        <v>27.404512220578702</v>
      </c>
    </row>
    <row r="417" spans="1:12">
      <c r="A417" s="60" t="s">
        <v>299</v>
      </c>
      <c r="B417" s="355" t="s">
        <v>201</v>
      </c>
      <c r="C417" s="50" t="s">
        <v>192</v>
      </c>
      <c r="D417" t="s">
        <v>75</v>
      </c>
      <c r="E417" s="169" t="s">
        <v>182</v>
      </c>
      <c r="F417" s="324">
        <f t="shared" ref="F417:L417" si="34">F153</f>
        <v>0</v>
      </c>
      <c r="G417" s="325">
        <f t="shared" si="34"/>
        <v>0</v>
      </c>
      <c r="H417" s="325">
        <f t="shared" ca="1" si="34"/>
        <v>25.641954838770516</v>
      </c>
      <c r="I417" s="325">
        <f t="shared" ca="1" si="34"/>
        <v>25.376736949243941</v>
      </c>
      <c r="J417" s="325">
        <f t="shared" ca="1" si="34"/>
        <v>25.341946377961911</v>
      </c>
      <c r="K417" s="325">
        <f t="shared" ca="1" si="34"/>
        <v>24.940743547257263</v>
      </c>
      <c r="L417" s="326">
        <f t="shared" ca="1" si="34"/>
        <v>24.844924432083488</v>
      </c>
    </row>
    <row r="418" spans="1:12">
      <c r="A418" s="60" t="s">
        <v>299</v>
      </c>
      <c r="B418" s="355" t="s">
        <v>202</v>
      </c>
      <c r="C418" s="50" t="s">
        <v>193</v>
      </c>
      <c r="D418" t="s">
        <v>75</v>
      </c>
      <c r="E418" s="169" t="s">
        <v>182</v>
      </c>
      <c r="F418" s="324">
        <f t="shared" ref="F418:L418" si="35">F154</f>
        <v>0</v>
      </c>
      <c r="G418" s="325">
        <f t="shared" si="35"/>
        <v>0</v>
      </c>
      <c r="H418" s="325">
        <f t="shared" ca="1" si="35"/>
        <v>36.91654613446368</v>
      </c>
      <c r="I418" s="325">
        <f t="shared" ca="1" si="35"/>
        <v>35.729117391970533</v>
      </c>
      <c r="J418" s="325">
        <f t="shared" ca="1" si="35"/>
        <v>35.002416250278223</v>
      </c>
      <c r="K418" s="325">
        <f t="shared" ca="1" si="35"/>
        <v>34.049252594552684</v>
      </c>
      <c r="L418" s="326">
        <f t="shared" ca="1" si="35"/>
        <v>34.447957698214204</v>
      </c>
    </row>
    <row r="419" spans="1:12">
      <c r="A419" s="60" t="s">
        <v>299</v>
      </c>
      <c r="B419" s="355" t="s">
        <v>208</v>
      </c>
      <c r="C419" s="21" t="s">
        <v>205</v>
      </c>
      <c r="D419" s="168" t="s">
        <v>75</v>
      </c>
      <c r="E419" s="169" t="s">
        <v>182</v>
      </c>
      <c r="F419" s="324">
        <f t="shared" ref="F419:L419" ca="1" si="36">F155</f>
        <v>0.27588007791236174</v>
      </c>
      <c r="G419" s="325">
        <f t="shared" si="36"/>
        <v>0</v>
      </c>
      <c r="H419" s="325">
        <f t="shared" si="36"/>
        <v>0</v>
      </c>
      <c r="I419" s="325">
        <f t="shared" si="36"/>
        <v>0</v>
      </c>
      <c r="J419" s="325">
        <f t="shared" si="36"/>
        <v>0</v>
      </c>
      <c r="K419" s="325">
        <f t="shared" si="36"/>
        <v>0</v>
      </c>
      <c r="L419" s="326">
        <f t="shared" si="36"/>
        <v>0</v>
      </c>
    </row>
    <row r="420" spans="1:12">
      <c r="A420" s="60" t="s">
        <v>299</v>
      </c>
      <c r="B420" s="355" t="s">
        <v>206</v>
      </c>
      <c r="C420" s="21" t="s">
        <v>132</v>
      </c>
      <c r="D420" s="168" t="s">
        <v>74</v>
      </c>
      <c r="E420" s="169" t="s">
        <v>182</v>
      </c>
      <c r="F420" s="324">
        <f t="shared" ref="F420:L420" ca="1" si="37">F156</f>
        <v>147.95719591789685</v>
      </c>
      <c r="G420" s="325">
        <f t="shared" si="37"/>
        <v>133.26809234522213</v>
      </c>
      <c r="H420" s="325">
        <f t="shared" ca="1" si="37"/>
        <v>150.43119919385472</v>
      </c>
      <c r="I420" s="325">
        <f t="shared" ca="1" si="37"/>
        <v>155.56020598544231</v>
      </c>
      <c r="J420" s="325">
        <f t="shared" ca="1" si="37"/>
        <v>155.87120639725376</v>
      </c>
      <c r="K420" s="325">
        <f t="shared" ca="1" si="37"/>
        <v>157.45720849736313</v>
      </c>
      <c r="L420" s="326">
        <f t="shared" ca="1" si="37"/>
        <v>153.12720276377453</v>
      </c>
    </row>
    <row r="421" spans="1:12">
      <c r="A421" s="60" t="s">
        <v>299</v>
      </c>
      <c r="B421" s="355" t="s">
        <v>207</v>
      </c>
      <c r="C421" s="21" t="s">
        <v>157</v>
      </c>
      <c r="D421" s="168" t="s">
        <v>74</v>
      </c>
      <c r="E421" s="169" t="s">
        <v>182</v>
      </c>
      <c r="F421" s="324">
        <f t="shared" ref="F421:L421" si="38">F157</f>
        <v>1.6461564660604204</v>
      </c>
      <c r="G421" s="325">
        <f t="shared" si="38"/>
        <v>22.752114249330734</v>
      </c>
      <c r="H421" s="325">
        <f t="shared" si="38"/>
        <v>1.6742845552360341</v>
      </c>
      <c r="I421" s="325">
        <f t="shared" si="38"/>
        <v>1.6742845552360341</v>
      </c>
      <c r="J421" s="325">
        <f t="shared" si="38"/>
        <v>1.6742845552360341</v>
      </c>
      <c r="K421" s="325">
        <f t="shared" si="38"/>
        <v>1.6742845552360341</v>
      </c>
      <c r="L421" s="326">
        <f t="shared" si="38"/>
        <v>1.6742845552360341</v>
      </c>
    </row>
    <row r="422" spans="1:12">
      <c r="A422" s="60" t="s">
        <v>309</v>
      </c>
      <c r="B422" s="355" t="s">
        <v>162</v>
      </c>
      <c r="C422" s="59" t="s">
        <v>175</v>
      </c>
      <c r="D422" s="169" t="s">
        <v>74</v>
      </c>
      <c r="E422" s="169" t="s">
        <v>182</v>
      </c>
      <c r="F422" s="324"/>
      <c r="G422" s="14"/>
      <c r="H422" s="14"/>
      <c r="I422" s="14"/>
      <c r="J422" s="14"/>
      <c r="K422" s="14"/>
      <c r="L422" s="14"/>
    </row>
    <row r="423" spans="1:12">
      <c r="A423" s="60" t="s">
        <v>309</v>
      </c>
      <c r="B423" s="355" t="s">
        <v>163</v>
      </c>
      <c r="C423" s="59" t="s">
        <v>118</v>
      </c>
      <c r="D423" s="168" t="s">
        <v>75</v>
      </c>
      <c r="E423" s="169" t="s">
        <v>182</v>
      </c>
      <c r="F423" s="324"/>
      <c r="G423" s="14"/>
      <c r="H423" s="14"/>
      <c r="I423" s="14"/>
      <c r="J423" s="14"/>
      <c r="K423" s="14"/>
      <c r="L423" s="14"/>
    </row>
    <row r="424" spans="1:12">
      <c r="A424" s="60" t="s">
        <v>309</v>
      </c>
      <c r="B424" s="355" t="s">
        <v>164</v>
      </c>
      <c r="C424" s="59" t="s">
        <v>119</v>
      </c>
      <c r="D424" s="168" t="s">
        <v>75</v>
      </c>
      <c r="E424" s="169" t="s">
        <v>182</v>
      </c>
      <c r="F424" s="324"/>
      <c r="G424" s="14"/>
      <c r="H424" s="14"/>
      <c r="I424" s="14"/>
      <c r="J424" s="14"/>
      <c r="K424" s="14"/>
      <c r="L424" s="14"/>
    </row>
    <row r="425" spans="1:12">
      <c r="A425" s="60" t="s">
        <v>309</v>
      </c>
      <c r="B425" s="355" t="s">
        <v>165</v>
      </c>
      <c r="C425" s="59" t="s">
        <v>120</v>
      </c>
      <c r="D425" s="168" t="s">
        <v>75</v>
      </c>
      <c r="E425" s="169" t="s">
        <v>182</v>
      </c>
      <c r="F425" s="324"/>
      <c r="G425" s="14"/>
      <c r="H425" s="14"/>
      <c r="I425" s="14"/>
      <c r="J425" s="14"/>
      <c r="K425" s="14"/>
      <c r="L425" s="14"/>
    </row>
    <row r="426" spans="1:12">
      <c r="A426" s="60" t="s">
        <v>309</v>
      </c>
      <c r="B426" s="355" t="s">
        <v>166</v>
      </c>
      <c r="C426" s="59" t="s">
        <v>124</v>
      </c>
      <c r="D426" s="168" t="s">
        <v>75</v>
      </c>
      <c r="E426" s="169" t="s">
        <v>182</v>
      </c>
      <c r="F426" s="324"/>
      <c r="G426" s="14"/>
      <c r="H426" s="14"/>
      <c r="I426" s="14"/>
      <c r="J426" s="14"/>
      <c r="K426" s="14"/>
      <c r="L426" s="14"/>
    </row>
    <row r="427" spans="1:12">
      <c r="A427" s="60" t="s">
        <v>309</v>
      </c>
      <c r="B427" s="355" t="s">
        <v>167</v>
      </c>
      <c r="C427" s="59" t="s">
        <v>122</v>
      </c>
      <c r="D427" s="170">
        <v>0</v>
      </c>
      <c r="E427" s="169" t="s">
        <v>182</v>
      </c>
      <c r="F427" s="324"/>
      <c r="G427" s="14"/>
      <c r="H427" s="14"/>
      <c r="I427" s="14"/>
      <c r="J427" s="14"/>
      <c r="K427" s="14"/>
      <c r="L427" s="14"/>
    </row>
    <row r="428" spans="1:12">
      <c r="A428" s="60" t="s">
        <v>309</v>
      </c>
      <c r="B428" s="355" t="s">
        <v>168</v>
      </c>
      <c r="C428" s="59" t="s">
        <v>123</v>
      </c>
      <c r="D428" s="170">
        <v>0</v>
      </c>
      <c r="E428" s="169" t="s">
        <v>182</v>
      </c>
      <c r="F428" s="324"/>
      <c r="G428" s="14"/>
      <c r="H428" s="14"/>
      <c r="I428" s="14"/>
      <c r="J428" s="14"/>
      <c r="K428" s="14"/>
      <c r="L428" s="14"/>
    </row>
    <row r="429" spans="1:12">
      <c r="A429" s="60" t="s">
        <v>309</v>
      </c>
      <c r="B429" s="355" t="s">
        <v>169</v>
      </c>
      <c r="C429" s="59" t="s">
        <v>139</v>
      </c>
      <c r="D429" s="170" t="s">
        <v>74</v>
      </c>
      <c r="E429" s="169" t="s">
        <v>182</v>
      </c>
      <c r="F429" s="324"/>
      <c r="G429" s="14"/>
      <c r="H429" s="14"/>
      <c r="I429" s="14"/>
      <c r="J429" s="14"/>
      <c r="K429" s="14"/>
      <c r="L429" s="14"/>
    </row>
    <row r="430" spans="1:12">
      <c r="A430" s="60" t="s">
        <v>309</v>
      </c>
      <c r="B430" s="355" t="s">
        <v>170</v>
      </c>
      <c r="C430" s="59" t="s">
        <v>67</v>
      </c>
      <c r="D430" s="170" t="s">
        <v>171</v>
      </c>
      <c r="E430" s="169" t="s">
        <v>182</v>
      </c>
      <c r="F430" s="324"/>
      <c r="G430" s="14"/>
      <c r="H430" s="14"/>
      <c r="I430" s="14"/>
      <c r="J430" s="14"/>
      <c r="K430" s="14"/>
      <c r="L430" s="14"/>
    </row>
    <row r="431" spans="1:12">
      <c r="A431" s="60" t="s">
        <v>309</v>
      </c>
      <c r="B431" s="355" t="s">
        <v>194</v>
      </c>
      <c r="C431" s="245" t="s">
        <v>318</v>
      </c>
      <c r="D431" t="s">
        <v>75</v>
      </c>
      <c r="E431" s="169" t="s">
        <v>182</v>
      </c>
      <c r="F431" s="324">
        <f ca="1">'Price setting'!I110</f>
        <v>21.467430603981892</v>
      </c>
      <c r="G431" s="14"/>
      <c r="H431" s="14"/>
      <c r="I431" s="355"/>
      <c r="J431" s="14"/>
      <c r="K431" s="14"/>
      <c r="L431" s="14"/>
    </row>
    <row r="432" spans="1:12">
      <c r="A432" s="60" t="s">
        <v>309</v>
      </c>
      <c r="B432" s="355" t="s">
        <v>195</v>
      </c>
      <c r="C432" s="245" t="s">
        <v>319</v>
      </c>
      <c r="D432" t="s">
        <v>75</v>
      </c>
      <c r="E432" s="169" t="s">
        <v>182</v>
      </c>
      <c r="F432" s="324">
        <f ca="1">F431+'Price setting'!I275</f>
        <v>27.258352595844453</v>
      </c>
      <c r="G432" s="14"/>
      <c r="H432" s="14"/>
      <c r="I432" s="355"/>
      <c r="J432" s="14"/>
      <c r="K432" s="14"/>
      <c r="L432" s="14"/>
    </row>
    <row r="433" spans="1:9" s="14" customFormat="1">
      <c r="A433" s="60" t="s">
        <v>309</v>
      </c>
      <c r="B433" s="355" t="s">
        <v>196</v>
      </c>
      <c r="C433" s="245" t="s">
        <v>320</v>
      </c>
      <c r="D433" t="s">
        <v>75</v>
      </c>
      <c r="E433" s="169" t="s">
        <v>182</v>
      </c>
      <c r="F433" s="324">
        <f ca="1">F431+'Price setting'!I340</f>
        <v>25.541447538710372</v>
      </c>
      <c r="I433" s="355"/>
    </row>
    <row r="434" spans="1:9" s="14" customFormat="1">
      <c r="A434" s="60" t="s">
        <v>309</v>
      </c>
      <c r="B434" s="355" t="s">
        <v>197</v>
      </c>
      <c r="C434" s="245" t="s">
        <v>321</v>
      </c>
      <c r="D434" t="s">
        <v>75</v>
      </c>
      <c r="E434" s="169" t="s">
        <v>182</v>
      </c>
      <c r="F434" s="324">
        <f ca="1">(F431+'Price setting'!I405)*+Input!$H$441</f>
        <v>34.257950186059681</v>
      </c>
      <c r="I434" s="355"/>
    </row>
    <row r="435" spans="1:9" s="14" customFormat="1">
      <c r="A435" s="60" t="s">
        <v>309</v>
      </c>
      <c r="B435" s="355" t="s">
        <v>198</v>
      </c>
      <c r="C435" s="50" t="s">
        <v>322</v>
      </c>
      <c r="D435" t="s">
        <v>75</v>
      </c>
      <c r="E435" s="169" t="s">
        <v>182</v>
      </c>
      <c r="F435" s="324">
        <f ca="1">F431*+Input!$H$441</f>
        <v>27.90765978517646</v>
      </c>
      <c r="I435" s="355"/>
    </row>
    <row r="436" spans="1:9" s="14" customFormat="1">
      <c r="A436" s="60" t="s">
        <v>309</v>
      </c>
      <c r="B436" s="356" t="s">
        <v>204</v>
      </c>
      <c r="C436" s="50" t="s">
        <v>203</v>
      </c>
      <c r="D436" s="168" t="s">
        <v>75</v>
      </c>
      <c r="E436" s="169" t="s">
        <v>182</v>
      </c>
      <c r="F436" s="324"/>
    </row>
    <row r="437" spans="1:9" s="14" customFormat="1">
      <c r="A437" s="60" t="s">
        <v>309</v>
      </c>
      <c r="B437" s="355" t="s">
        <v>199</v>
      </c>
      <c r="C437" s="50" t="s">
        <v>190</v>
      </c>
      <c r="D437" t="s">
        <v>75</v>
      </c>
      <c r="E437" s="169" t="s">
        <v>182</v>
      </c>
      <c r="F437" s="324"/>
    </row>
    <row r="438" spans="1:9" s="14" customFormat="1">
      <c r="A438" s="60" t="s">
        <v>309</v>
      </c>
      <c r="B438" s="355" t="s">
        <v>200</v>
      </c>
      <c r="C438" s="50" t="s">
        <v>191</v>
      </c>
      <c r="D438" t="s">
        <v>75</v>
      </c>
      <c r="E438" s="169" t="s">
        <v>182</v>
      </c>
      <c r="F438" s="324"/>
    </row>
    <row r="439" spans="1:9" s="14" customFormat="1">
      <c r="A439" s="60" t="s">
        <v>309</v>
      </c>
      <c r="B439" s="355" t="s">
        <v>201</v>
      </c>
      <c r="C439" s="50" t="s">
        <v>192</v>
      </c>
      <c r="D439" t="s">
        <v>75</v>
      </c>
      <c r="E439" s="169" t="s">
        <v>182</v>
      </c>
      <c r="F439" s="324"/>
    </row>
    <row r="440" spans="1:9" s="14" customFormat="1">
      <c r="A440" s="60" t="s">
        <v>309</v>
      </c>
      <c r="B440" s="355" t="s">
        <v>202</v>
      </c>
      <c r="C440" s="50" t="s">
        <v>193</v>
      </c>
      <c r="D440" t="s">
        <v>75</v>
      </c>
      <c r="E440" s="169" t="s">
        <v>182</v>
      </c>
      <c r="F440" s="324"/>
    </row>
    <row r="441" spans="1:9" s="14" customFormat="1">
      <c r="A441" s="60" t="s">
        <v>309</v>
      </c>
      <c r="B441" s="355" t="s">
        <v>208</v>
      </c>
      <c r="C441" s="21" t="s">
        <v>205</v>
      </c>
      <c r="D441" s="168" t="s">
        <v>75</v>
      </c>
      <c r="E441" s="169" t="s">
        <v>182</v>
      </c>
      <c r="F441" s="324"/>
    </row>
    <row r="442" spans="1:9" s="14" customFormat="1">
      <c r="A442" s="60" t="s">
        <v>309</v>
      </c>
      <c r="B442" s="355" t="s">
        <v>206</v>
      </c>
      <c r="C442" s="21" t="s">
        <v>132</v>
      </c>
      <c r="D442" s="168" t="s">
        <v>74</v>
      </c>
      <c r="E442" s="169" t="s">
        <v>182</v>
      </c>
      <c r="F442" s="324"/>
    </row>
    <row r="443" spans="1:9" s="14" customFormat="1">
      <c r="A443" s="60" t="s">
        <v>309</v>
      </c>
      <c r="B443" s="355" t="s">
        <v>207</v>
      </c>
      <c r="C443" s="21" t="s">
        <v>157</v>
      </c>
      <c r="D443" s="168" t="s">
        <v>74</v>
      </c>
      <c r="E443" s="169" t="s">
        <v>182</v>
      </c>
      <c r="F443" s="324"/>
    </row>
  </sheetData>
  <sheetProtection sort="0"/>
  <pageMargins left="0.70866141732283472" right="0.70866141732283472" top="0.74803149606299213" bottom="0.74803149606299213" header="0.31496062992125984" footer="0.31496062992125984"/>
  <pageSetup paperSize="9" scale="10" orientation="landscape" r:id="rId1"/>
  <headerFooter>
    <oddFooter>&amp;L&amp;Z
&amp;F&amp;R&amp;D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24"/>
  <sheetViews>
    <sheetView workbookViewId="0"/>
  </sheetViews>
  <sheetFormatPr defaultRowHeight="12.75"/>
  <cols>
    <col min="1" max="1" width="58.42578125" customWidth="1"/>
  </cols>
  <sheetData>
    <row r="1" spans="1:2">
      <c r="A1" t="s">
        <v>271</v>
      </c>
      <c r="B1" t="s">
        <v>272</v>
      </c>
    </row>
    <row r="2" spans="1:2">
      <c r="A2" t="s">
        <v>273</v>
      </c>
      <c r="B2" t="s">
        <v>513</v>
      </c>
    </row>
    <row r="3" spans="1:2">
      <c r="A3" t="s">
        <v>274</v>
      </c>
      <c r="B3" t="s">
        <v>512</v>
      </c>
    </row>
    <row r="4" spans="1:2">
      <c r="A4" t="s">
        <v>275</v>
      </c>
      <c r="B4" t="s">
        <v>513</v>
      </c>
    </row>
    <row r="5" spans="1:2">
      <c r="A5" t="s">
        <v>276</v>
      </c>
      <c r="B5" t="s">
        <v>512</v>
      </c>
    </row>
    <row r="6" spans="1:2">
      <c r="A6" t="s">
        <v>277</v>
      </c>
      <c r="B6" t="s">
        <v>325</v>
      </c>
    </row>
    <row r="7" spans="1:2">
      <c r="A7" t="s">
        <v>278</v>
      </c>
      <c r="B7" t="s">
        <v>324</v>
      </c>
    </row>
    <row r="8" spans="1:2">
      <c r="A8" t="s">
        <v>279</v>
      </c>
      <c r="B8" t="s">
        <v>297</v>
      </c>
    </row>
    <row r="9" spans="1:2">
      <c r="A9" t="s">
        <v>280</v>
      </c>
      <c r="B9" t="s">
        <v>281</v>
      </c>
    </row>
    <row r="10" spans="1:2">
      <c r="A10" t="s">
        <v>282</v>
      </c>
      <c r="B10" t="s">
        <v>283</v>
      </c>
    </row>
    <row r="11" spans="1:2">
      <c r="A11" t="s">
        <v>284</v>
      </c>
      <c r="B11" t="s">
        <v>285</v>
      </c>
    </row>
    <row r="12" spans="1:2">
      <c r="A12" t="s">
        <v>286</v>
      </c>
      <c r="B12" t="s">
        <v>287</v>
      </c>
    </row>
    <row r="13" spans="1:2">
      <c r="A13" t="s">
        <v>288</v>
      </c>
      <c r="B13" t="s">
        <v>289</v>
      </c>
    </row>
    <row r="14" spans="1:2">
      <c r="A14" t="s">
        <v>290</v>
      </c>
      <c r="B14" t="s">
        <v>285</v>
      </c>
    </row>
    <row r="15" spans="1:2">
      <c r="A15" t="s">
        <v>291</v>
      </c>
      <c r="B15" t="s">
        <v>297</v>
      </c>
    </row>
    <row r="16" spans="1:2">
      <c r="A16" t="s">
        <v>292</v>
      </c>
      <c r="B16" t="s">
        <v>293</v>
      </c>
    </row>
    <row r="17" spans="1:2">
      <c r="A17" t="s">
        <v>294</v>
      </c>
      <c r="B17" t="s">
        <v>298</v>
      </c>
    </row>
    <row r="18" spans="1:2">
      <c r="A18" t="s">
        <v>306</v>
      </c>
      <c r="B18" t="s">
        <v>514</v>
      </c>
    </row>
    <row r="19" spans="1:2">
      <c r="A19" t="s">
        <v>310</v>
      </c>
      <c r="B19" t="s">
        <v>316</v>
      </c>
    </row>
    <row r="20" spans="1:2">
      <c r="A20" t="s">
        <v>311</v>
      </c>
      <c r="B20" t="s">
        <v>281</v>
      </c>
    </row>
    <row r="21" spans="1:2">
      <c r="A21" t="s">
        <v>312</v>
      </c>
      <c r="B21" t="s">
        <v>283</v>
      </c>
    </row>
    <row r="22" spans="1:2">
      <c r="A22" t="s">
        <v>313</v>
      </c>
      <c r="B22" t="s">
        <v>314</v>
      </c>
    </row>
    <row r="23" spans="1:2">
      <c r="A23" t="s">
        <v>315</v>
      </c>
      <c r="B23" t="s">
        <v>287</v>
      </c>
    </row>
    <row r="24" spans="1:2">
      <c r="A24" t="s">
        <v>317</v>
      </c>
      <c r="B24" t="s">
        <v>511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04"/>
  <sheetViews>
    <sheetView topLeftCell="A232" zoomScale="70" zoomScaleNormal="70" workbookViewId="0">
      <selection activeCell="O191" sqref="O191"/>
    </sheetView>
  </sheetViews>
  <sheetFormatPr defaultColWidth="9.140625" defaultRowHeight="12.75"/>
  <cols>
    <col min="1" max="1" width="4.5703125" style="418" customWidth="1"/>
    <col min="2" max="2" width="9.7109375" style="418" customWidth="1"/>
    <col min="3" max="3" width="18.85546875" style="418" customWidth="1"/>
    <col min="4" max="4" width="8.85546875" style="418" customWidth="1"/>
    <col min="5" max="5" width="13.5703125" style="418" customWidth="1"/>
    <col min="6" max="6" width="9.7109375" style="418" customWidth="1"/>
    <col min="7" max="7" width="12.140625" style="418" customWidth="1"/>
    <col min="8" max="11" width="9.7109375" style="418" customWidth="1"/>
    <col min="12" max="12" width="11" style="418" customWidth="1"/>
    <col min="13" max="13" width="14.42578125" style="418" customWidth="1"/>
    <col min="14" max="17" width="9.7109375" style="418" customWidth="1"/>
    <col min="18" max="18" width="22.85546875" style="418" customWidth="1"/>
    <col min="19" max="19" width="1.42578125" style="418" customWidth="1"/>
    <col min="20" max="21" width="9.7109375" style="418" customWidth="1"/>
    <col min="22" max="26" width="7.7109375" style="418" customWidth="1"/>
    <col min="27" max="27" width="3.42578125" style="418" customWidth="1"/>
    <col min="28" max="32" width="7.7109375" style="418" customWidth="1"/>
    <col min="33" max="16384" width="9.140625" style="418"/>
  </cols>
  <sheetData>
    <row r="1" spans="1:16384" s="14" customFormat="1" ht="33.75">
      <c r="A1" s="76"/>
      <c r="B1" s="108"/>
      <c r="C1" s="527"/>
      <c r="D1" s="77"/>
      <c r="E1" s="529" t="s">
        <v>150</v>
      </c>
      <c r="F1" s="119"/>
      <c r="G1" s="119"/>
      <c r="H1" s="119"/>
      <c r="I1" s="119"/>
      <c r="J1" s="436"/>
      <c r="K1" s="436"/>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ht="23.25">
      <c r="A2" s="415"/>
      <c r="B2" s="419"/>
      <c r="C2" s="415"/>
      <c r="D2" s="415"/>
      <c r="E2" s="415"/>
      <c r="F2" s="415"/>
      <c r="G2" s="415"/>
      <c r="H2" s="415"/>
      <c r="I2" s="415"/>
      <c r="J2" s="415"/>
      <c r="K2" s="415"/>
      <c r="L2" s="415"/>
      <c r="M2" s="415"/>
      <c r="N2" s="415"/>
      <c r="O2" s="415"/>
      <c r="P2" s="415"/>
      <c r="Q2" s="415"/>
      <c r="R2" s="415"/>
      <c r="S2" s="415"/>
    </row>
    <row r="3" spans="1:16384" ht="23.25">
      <c r="A3" s="415"/>
      <c r="B3" s="427" t="s">
        <v>419</v>
      </c>
      <c r="C3" s="428"/>
      <c r="D3" s="429"/>
      <c r="E3" s="428"/>
      <c r="F3" s="429"/>
      <c r="G3" s="428"/>
      <c r="H3" s="429"/>
      <c r="I3" s="429"/>
      <c r="J3" s="430"/>
      <c r="K3" s="428"/>
      <c r="L3" s="428"/>
      <c r="M3" s="428"/>
      <c r="N3" s="412"/>
      <c r="O3" s="412"/>
      <c r="P3" s="261"/>
      <c r="Q3" s="261"/>
      <c r="R3" s="257"/>
      <c r="S3" s="415"/>
    </row>
    <row r="4" spans="1:16384" ht="23.25">
      <c r="A4" s="415"/>
      <c r="B4" s="193"/>
      <c r="C4" s="198"/>
      <c r="D4" s="197"/>
      <c r="E4" s="197"/>
      <c r="F4" s="197"/>
      <c r="G4" s="197"/>
      <c r="H4" s="307"/>
      <c r="I4" s="307"/>
      <c r="J4" s="195"/>
      <c r="K4" s="194"/>
      <c r="L4" s="197"/>
      <c r="M4" s="197"/>
      <c r="N4" s="248"/>
      <c r="O4" s="248"/>
      <c r="P4" s="248"/>
      <c r="Q4" s="248"/>
      <c r="R4" s="258"/>
      <c r="S4" s="422"/>
      <c r="T4" s="420"/>
      <c r="U4" s="420"/>
    </row>
    <row r="5" spans="1:16384" ht="23.25">
      <c r="A5" s="415"/>
      <c r="B5" s="193"/>
      <c r="C5" s="194"/>
      <c r="D5" s="194"/>
      <c r="E5" s="194"/>
      <c r="F5" s="194"/>
      <c r="G5" s="194"/>
      <c r="H5" s="194"/>
      <c r="I5" s="194"/>
      <c r="J5" s="195"/>
      <c r="K5" s="194"/>
      <c r="L5" s="194"/>
      <c r="M5" s="194"/>
      <c r="N5" s="248"/>
      <c r="O5" s="248"/>
      <c r="P5" s="248"/>
      <c r="Q5" s="248"/>
      <c r="R5" s="258"/>
      <c r="S5" s="422"/>
      <c r="T5" s="420"/>
      <c r="U5" s="420"/>
    </row>
    <row r="6" spans="1:16384">
      <c r="A6" s="416"/>
      <c r="B6" s="196"/>
      <c r="C6" s="198"/>
      <c r="D6" s="197"/>
      <c r="E6" s="197"/>
      <c r="F6" s="197"/>
      <c r="G6" s="197"/>
      <c r="H6" s="198"/>
      <c r="I6" s="197"/>
      <c r="J6" s="199"/>
      <c r="K6" s="198"/>
      <c r="L6" s="197"/>
      <c r="M6" s="197"/>
      <c r="N6" s="248"/>
      <c r="O6" s="248"/>
      <c r="P6" s="248"/>
      <c r="Q6" s="248"/>
      <c r="R6" s="259"/>
      <c r="S6" s="416"/>
    </row>
    <row r="7" spans="1:16384">
      <c r="A7" s="416"/>
      <c r="B7" s="196"/>
      <c r="C7" s="198"/>
      <c r="D7" s="197"/>
      <c r="E7" s="197"/>
      <c r="F7" s="197"/>
      <c r="G7" s="197"/>
      <c r="H7" s="198"/>
      <c r="I7" s="197"/>
      <c r="J7" s="199"/>
      <c r="K7" s="198"/>
      <c r="L7" s="197"/>
      <c r="M7" s="197"/>
      <c r="N7" s="248"/>
      <c r="O7" s="248"/>
      <c r="P7" s="248"/>
      <c r="Q7" s="248"/>
      <c r="R7" s="259"/>
      <c r="S7" s="416"/>
    </row>
    <row r="8" spans="1:16384">
      <c r="A8" s="416"/>
      <c r="B8" s="196"/>
      <c r="C8" s="198"/>
      <c r="D8" s="197"/>
      <c r="E8" s="197"/>
      <c r="F8" s="197"/>
      <c r="G8" s="197"/>
      <c r="H8" s="198"/>
      <c r="I8" s="197"/>
      <c r="J8" s="199"/>
      <c r="K8" s="198"/>
      <c r="L8" s="197"/>
      <c r="M8" s="197"/>
      <c r="N8" s="248"/>
      <c r="O8" s="248"/>
      <c r="P8" s="248"/>
      <c r="Q8" s="248"/>
      <c r="R8" s="259"/>
      <c r="S8" s="416"/>
    </row>
    <row r="9" spans="1:16384">
      <c r="A9" s="416"/>
      <c r="B9" s="196"/>
      <c r="C9" s="198"/>
      <c r="D9" s="197"/>
      <c r="E9" s="197"/>
      <c r="F9" s="197"/>
      <c r="G9" s="197"/>
      <c r="H9" s="198"/>
      <c r="I9" s="197"/>
      <c r="J9" s="199"/>
      <c r="K9" s="198"/>
      <c r="L9" s="197"/>
      <c r="M9" s="197"/>
      <c r="N9" s="248"/>
      <c r="O9" s="248"/>
      <c r="P9" s="248"/>
      <c r="Q9" s="248"/>
      <c r="R9" s="259"/>
      <c r="S9" s="416"/>
    </row>
    <row r="10" spans="1:16384">
      <c r="A10" s="416"/>
      <c r="B10" s="196"/>
      <c r="C10" s="198"/>
      <c r="D10" s="197"/>
      <c r="E10" s="197"/>
      <c r="F10" s="197"/>
      <c r="G10" s="197"/>
      <c r="H10" s="198"/>
      <c r="I10" s="197"/>
      <c r="J10" s="199"/>
      <c r="K10" s="197"/>
      <c r="L10" s="197"/>
      <c r="M10" s="197"/>
      <c r="N10" s="248"/>
      <c r="O10" s="248"/>
      <c r="P10" s="248"/>
      <c r="Q10" s="248"/>
      <c r="R10" s="260"/>
      <c r="S10" s="416"/>
    </row>
    <row r="11" spans="1:16384">
      <c r="A11" s="416"/>
      <c r="B11" s="196"/>
      <c r="C11" s="198"/>
      <c r="D11" s="197"/>
      <c r="E11" s="197"/>
      <c r="F11" s="197"/>
      <c r="G11" s="197"/>
      <c r="H11" s="198"/>
      <c r="I11" s="197"/>
      <c r="J11" s="199"/>
      <c r="K11" s="197"/>
      <c r="L11" s="197"/>
      <c r="M11" s="197"/>
      <c r="N11" s="248"/>
      <c r="O11" s="248"/>
      <c r="P11" s="248"/>
      <c r="Q11" s="248"/>
      <c r="R11" s="260"/>
      <c r="S11" s="416"/>
    </row>
    <row r="12" spans="1:16384">
      <c r="A12" s="416"/>
      <c r="B12" s="196"/>
      <c r="C12" s="198"/>
      <c r="D12" s="197"/>
      <c r="E12" s="197"/>
      <c r="F12" s="197"/>
      <c r="G12" s="197"/>
      <c r="H12" s="198"/>
      <c r="I12" s="197"/>
      <c r="J12" s="199"/>
      <c r="K12" s="197"/>
      <c r="L12" s="197"/>
      <c r="M12" s="197"/>
      <c r="N12" s="248"/>
      <c r="O12" s="248"/>
      <c r="P12" s="248"/>
      <c r="Q12" s="248"/>
      <c r="R12" s="260"/>
      <c r="S12" s="416"/>
    </row>
    <row r="13" spans="1:16384">
      <c r="A13" s="416"/>
      <c r="B13" s="196"/>
      <c r="C13" s="198"/>
      <c r="D13" s="197"/>
      <c r="E13" s="197"/>
      <c r="F13" s="197"/>
      <c r="G13" s="197"/>
      <c r="H13" s="198"/>
      <c r="I13" s="197"/>
      <c r="J13" s="199"/>
      <c r="K13" s="197"/>
      <c r="L13" s="197"/>
      <c r="M13" s="197"/>
      <c r="N13" s="248"/>
      <c r="O13" s="248"/>
      <c r="P13" s="248"/>
      <c r="Q13" s="248"/>
      <c r="R13" s="260"/>
      <c r="S13" s="416"/>
    </row>
    <row r="14" spans="1:16384">
      <c r="A14" s="416"/>
      <c r="B14" s="196"/>
      <c r="C14" s="198"/>
      <c r="D14" s="197"/>
      <c r="E14" s="197"/>
      <c r="F14" s="197"/>
      <c r="G14" s="197"/>
      <c r="H14" s="198"/>
      <c r="I14" s="197"/>
      <c r="J14" s="199"/>
      <c r="K14" s="197"/>
      <c r="L14" s="197"/>
      <c r="M14" s="197"/>
      <c r="N14" s="248"/>
      <c r="O14" s="248"/>
      <c r="P14" s="248"/>
      <c r="Q14" s="248"/>
      <c r="R14" s="260"/>
      <c r="S14" s="416"/>
    </row>
    <row r="15" spans="1:16384">
      <c r="A15" s="416"/>
      <c r="B15" s="196"/>
      <c r="C15" s="198"/>
      <c r="D15" s="197"/>
      <c r="E15" s="197"/>
      <c r="F15" s="197"/>
      <c r="G15" s="197"/>
      <c r="H15" s="198"/>
      <c r="I15" s="197"/>
      <c r="J15" s="199"/>
      <c r="K15" s="197"/>
      <c r="L15" s="197"/>
      <c r="M15" s="197"/>
      <c r="N15" s="248"/>
      <c r="O15" s="248"/>
      <c r="P15" s="248"/>
      <c r="Q15" s="248"/>
      <c r="R15" s="260"/>
      <c r="S15" s="416"/>
    </row>
    <row r="16" spans="1:16384">
      <c r="A16" s="416"/>
      <c r="B16" s="196"/>
      <c r="C16" s="198"/>
      <c r="D16" s="197"/>
      <c r="E16" s="197"/>
      <c r="F16" s="197"/>
      <c r="G16" s="197"/>
      <c r="H16" s="198"/>
      <c r="I16" s="197"/>
      <c r="J16" s="199"/>
      <c r="K16" s="197"/>
      <c r="L16" s="197"/>
      <c r="M16" s="197"/>
      <c r="N16" s="248"/>
      <c r="O16" s="248"/>
      <c r="P16" s="248"/>
      <c r="Q16" s="248"/>
      <c r="R16" s="260"/>
      <c r="S16" s="416"/>
    </row>
    <row r="17" spans="1:19">
      <c r="A17" s="416"/>
      <c r="B17" s="201"/>
      <c r="C17" s="198"/>
      <c r="D17" s="197"/>
      <c r="E17" s="197"/>
      <c r="F17" s="197"/>
      <c r="G17" s="197"/>
      <c r="H17" s="198"/>
      <c r="I17" s="197"/>
      <c r="J17" s="199"/>
      <c r="K17" s="197"/>
      <c r="L17" s="197"/>
      <c r="M17" s="197"/>
      <c r="N17" s="248"/>
      <c r="O17" s="248"/>
      <c r="P17" s="248"/>
      <c r="Q17" s="248"/>
      <c r="R17" s="260"/>
      <c r="S17" s="416"/>
    </row>
    <row r="18" spans="1:19">
      <c r="A18" s="416"/>
      <c r="B18" s="201"/>
      <c r="C18" s="198"/>
      <c r="D18" s="197"/>
      <c r="E18" s="197"/>
      <c r="F18" s="197"/>
      <c r="G18" s="197"/>
      <c r="H18" s="198"/>
      <c r="I18" s="197"/>
      <c r="J18" s="199"/>
      <c r="K18" s="197"/>
      <c r="L18" s="197"/>
      <c r="M18" s="197"/>
      <c r="N18" s="248"/>
      <c r="O18" s="248"/>
      <c r="P18" s="248"/>
      <c r="Q18" s="248"/>
      <c r="R18" s="260"/>
      <c r="S18" s="416"/>
    </row>
    <row r="19" spans="1:19">
      <c r="A19" s="416"/>
      <c r="B19" s="201"/>
      <c r="C19" s="198"/>
      <c r="D19" s="197"/>
      <c r="E19" s="197"/>
      <c r="F19" s="197"/>
      <c r="G19" s="197"/>
      <c r="H19" s="198"/>
      <c r="I19" s="197"/>
      <c r="J19" s="199"/>
      <c r="K19" s="197"/>
      <c r="L19" s="197"/>
      <c r="M19" s="197"/>
      <c r="N19" s="248"/>
      <c r="O19" s="248"/>
      <c r="P19" s="248"/>
      <c r="Q19" s="248"/>
      <c r="R19" s="260"/>
      <c r="S19" s="416"/>
    </row>
    <row r="20" spans="1:19">
      <c r="A20" s="416"/>
      <c r="B20" s="201"/>
      <c r="C20" s="198"/>
      <c r="D20" s="197"/>
      <c r="E20" s="197"/>
      <c r="F20" s="197"/>
      <c r="G20" s="197"/>
      <c r="H20" s="198"/>
      <c r="I20" s="197"/>
      <c r="J20" s="199"/>
      <c r="K20" s="197"/>
      <c r="L20" s="197"/>
      <c r="M20" s="197"/>
      <c r="N20" s="248"/>
      <c r="O20" s="248"/>
      <c r="P20" s="248"/>
      <c r="Q20" s="248"/>
      <c r="R20" s="260"/>
      <c r="S20" s="416"/>
    </row>
    <row r="21" spans="1:19">
      <c r="A21" s="416"/>
      <c r="B21" s="201"/>
      <c r="C21" s="198"/>
      <c r="D21" s="197"/>
      <c r="E21" s="197"/>
      <c r="F21" s="197"/>
      <c r="G21" s="197"/>
      <c r="H21" s="256"/>
      <c r="I21" s="197"/>
      <c r="J21" s="199"/>
      <c r="K21" s="197"/>
      <c r="L21" s="197"/>
      <c r="M21" s="197"/>
      <c r="N21" s="248"/>
      <c r="O21" s="248"/>
      <c r="P21" s="248"/>
      <c r="Q21" s="248"/>
      <c r="R21" s="260"/>
      <c r="S21" s="416"/>
    </row>
    <row r="22" spans="1:19">
      <c r="A22" s="416"/>
      <c r="B22" s="201"/>
      <c r="C22" s="198"/>
      <c r="D22" s="197"/>
      <c r="E22" s="197"/>
      <c r="F22" s="197"/>
      <c r="G22" s="197"/>
      <c r="H22" s="256"/>
      <c r="I22" s="197"/>
      <c r="J22" s="199"/>
      <c r="K22" s="197"/>
      <c r="L22" s="197"/>
      <c r="M22" s="197"/>
      <c r="N22" s="197"/>
      <c r="O22" s="197"/>
      <c r="P22" s="197"/>
      <c r="Q22" s="197"/>
      <c r="R22" s="200"/>
      <c r="S22" s="416"/>
    </row>
    <row r="23" spans="1:19">
      <c r="A23" s="416"/>
      <c r="B23" s="201"/>
      <c r="C23" s="198"/>
      <c r="D23" s="197"/>
      <c r="E23" s="197"/>
      <c r="F23" s="197"/>
      <c r="G23" s="197"/>
      <c r="H23" s="256"/>
      <c r="I23" s="197"/>
      <c r="J23" s="199"/>
      <c r="K23" s="197"/>
      <c r="L23" s="197"/>
      <c r="M23" s="197"/>
      <c r="N23" s="197"/>
      <c r="O23" s="197"/>
      <c r="P23" s="197"/>
      <c r="Q23" s="197"/>
      <c r="R23" s="200"/>
      <c r="S23" s="416"/>
    </row>
    <row r="24" spans="1:19">
      <c r="A24" s="416"/>
      <c r="B24" s="201"/>
      <c r="C24" s="198"/>
      <c r="D24" s="197"/>
      <c r="E24" s="197"/>
      <c r="F24" s="197"/>
      <c r="G24" s="197"/>
      <c r="H24" s="256"/>
      <c r="I24" s="197"/>
      <c r="J24" s="199"/>
      <c r="K24" s="197"/>
      <c r="L24" s="197"/>
      <c r="M24" s="197"/>
      <c r="N24" s="197"/>
      <c r="O24" s="197"/>
      <c r="P24" s="197"/>
      <c r="Q24" s="197"/>
      <c r="R24" s="200"/>
      <c r="S24" s="416"/>
    </row>
    <row r="25" spans="1:19">
      <c r="A25" s="416"/>
      <c r="B25" s="201"/>
      <c r="C25" s="198"/>
      <c r="D25" s="197"/>
      <c r="E25" s="197"/>
      <c r="F25" s="197"/>
      <c r="G25" s="197"/>
      <c r="H25" s="256"/>
      <c r="I25" s="197"/>
      <c r="J25" s="199"/>
      <c r="K25" s="197"/>
      <c r="L25" s="197"/>
      <c r="M25" s="197"/>
      <c r="N25" s="197"/>
      <c r="O25" s="197"/>
      <c r="P25" s="197"/>
      <c r="Q25" s="197"/>
      <c r="R25" s="200"/>
      <c r="S25" s="416"/>
    </row>
    <row r="26" spans="1:19">
      <c r="A26" s="416"/>
      <c r="B26" s="520"/>
      <c r="C26" s="521"/>
      <c r="D26" s="522"/>
      <c r="E26" s="522"/>
      <c r="F26" s="522"/>
      <c r="G26" s="522"/>
      <c r="H26" s="523"/>
      <c r="I26" s="522"/>
      <c r="J26" s="524"/>
      <c r="K26" s="522"/>
      <c r="L26" s="522"/>
      <c r="M26" s="522"/>
      <c r="N26" s="522"/>
      <c r="O26" s="522"/>
      <c r="P26" s="522"/>
      <c r="Q26" s="522"/>
      <c r="R26" s="525"/>
      <c r="S26" s="416"/>
    </row>
    <row r="27" spans="1:19" ht="23.25">
      <c r="A27" s="416"/>
      <c r="B27" s="419"/>
      <c r="C27" s="415"/>
      <c r="D27" s="415"/>
      <c r="E27" s="415"/>
      <c r="F27" s="415"/>
      <c r="G27" s="415"/>
      <c r="H27" s="415"/>
      <c r="I27" s="415"/>
      <c r="J27" s="415"/>
      <c r="K27" s="415"/>
      <c r="L27" s="415"/>
      <c r="M27" s="415"/>
      <c r="N27" s="415"/>
      <c r="O27" s="415"/>
      <c r="P27" s="415"/>
      <c r="Q27" s="415"/>
      <c r="R27" s="415"/>
      <c r="S27" s="416"/>
    </row>
    <row r="28" spans="1:19" ht="20.25">
      <c r="A28" s="416"/>
      <c r="B28" s="427" t="s">
        <v>421</v>
      </c>
      <c r="C28" s="428"/>
      <c r="D28" s="429"/>
      <c r="E28" s="428"/>
      <c r="F28" s="429"/>
      <c r="G28" s="428"/>
      <c r="H28" s="429"/>
      <c r="I28" s="429"/>
      <c r="J28" s="430"/>
      <c r="K28" s="428"/>
      <c r="L28" s="428"/>
      <c r="M28" s="428"/>
      <c r="N28" s="412"/>
      <c r="O28" s="412"/>
      <c r="P28" s="261"/>
      <c r="Q28" s="261"/>
      <c r="R28" s="257"/>
      <c r="S28" s="416"/>
    </row>
    <row r="29" spans="1:19" ht="20.25">
      <c r="A29" s="416"/>
      <c r="B29" s="201"/>
      <c r="C29" s="198"/>
      <c r="D29" s="197"/>
      <c r="E29" s="197"/>
      <c r="F29" s="197"/>
      <c r="G29" s="197"/>
      <c r="H29" s="307"/>
      <c r="I29" s="248"/>
      <c r="J29" s="195"/>
      <c r="K29" s="194"/>
      <c r="L29" s="197"/>
      <c r="M29" s="197"/>
      <c r="N29" s="197"/>
      <c r="O29" s="197"/>
      <c r="P29" s="197"/>
      <c r="Q29" s="197"/>
      <c r="R29" s="200"/>
      <c r="S29" s="416"/>
    </row>
    <row r="30" spans="1:19" ht="13.5" customHeight="1">
      <c r="A30" s="416"/>
      <c r="B30" s="201"/>
      <c r="C30" s="425"/>
      <c r="D30" s="425"/>
      <c r="E30" s="425"/>
      <c r="F30" s="425"/>
      <c r="G30" s="197"/>
      <c r="H30" s="256"/>
      <c r="I30" s="307"/>
      <c r="J30" s="195"/>
      <c r="K30" s="194"/>
      <c r="L30" s="197"/>
      <c r="M30" s="197"/>
      <c r="N30" s="197"/>
      <c r="O30" s="197"/>
      <c r="P30" s="197"/>
      <c r="Q30" s="197"/>
      <c r="R30" s="200"/>
      <c r="S30" s="416"/>
    </row>
    <row r="31" spans="1:19" ht="13.5" customHeight="1">
      <c r="A31" s="416"/>
      <c r="B31" s="201"/>
      <c r="C31" s="425"/>
      <c r="D31" s="425"/>
      <c r="E31" s="425"/>
      <c r="F31" s="425"/>
      <c r="G31" s="197"/>
      <c r="H31" s="256"/>
      <c r="I31" s="307"/>
      <c r="J31" s="195"/>
      <c r="K31" s="194"/>
      <c r="L31" s="197"/>
      <c r="M31" s="197"/>
      <c r="N31" s="197"/>
      <c r="O31" s="197"/>
      <c r="P31" s="197"/>
      <c r="Q31" s="197"/>
      <c r="R31" s="200"/>
      <c r="S31" s="416"/>
    </row>
    <row r="32" spans="1:19" ht="13.5" customHeight="1">
      <c r="A32" s="416"/>
      <c r="B32" s="201"/>
      <c r="C32" s="425"/>
      <c r="D32" s="425"/>
      <c r="E32" s="425"/>
      <c r="F32" s="425"/>
      <c r="G32" s="197"/>
      <c r="H32" s="256"/>
      <c r="I32" s="307"/>
      <c r="J32" s="195"/>
      <c r="K32" s="194"/>
      <c r="L32" s="197"/>
      <c r="M32" s="197"/>
      <c r="N32" s="197"/>
      <c r="O32" s="197"/>
      <c r="P32" s="197"/>
      <c r="Q32" s="197"/>
      <c r="R32" s="200"/>
      <c r="S32" s="416"/>
    </row>
    <row r="33" spans="1:19" ht="13.5" customHeight="1">
      <c r="A33" s="416"/>
      <c r="B33" s="201"/>
      <c r="C33" s="425"/>
      <c r="D33" s="425"/>
      <c r="E33" s="426"/>
      <c r="F33" s="425"/>
      <c r="G33" s="197"/>
      <c r="H33" s="256"/>
      <c r="I33" s="307"/>
      <c r="J33" s="195"/>
      <c r="K33" s="194"/>
      <c r="L33" s="197"/>
      <c r="M33" s="197"/>
      <c r="N33" s="197"/>
      <c r="O33" s="197"/>
      <c r="P33" s="197"/>
      <c r="Q33" s="197"/>
      <c r="R33" s="200"/>
      <c r="S33" s="416"/>
    </row>
    <row r="34" spans="1:19" ht="13.5" customHeight="1">
      <c r="A34" s="416"/>
      <c r="B34" s="201"/>
      <c r="C34" s="425"/>
      <c r="D34" s="425"/>
      <c r="E34" s="426"/>
      <c r="F34" s="425"/>
      <c r="G34" s="197"/>
      <c r="H34" s="256"/>
      <c r="I34" s="307"/>
      <c r="J34" s="195"/>
      <c r="K34" s="194"/>
      <c r="L34" s="197"/>
      <c r="M34" s="197"/>
      <c r="N34" s="197"/>
      <c r="O34" s="197"/>
      <c r="P34" s="197"/>
      <c r="Q34" s="197"/>
      <c r="R34" s="200"/>
      <c r="S34" s="416"/>
    </row>
    <row r="35" spans="1:19" ht="13.5" customHeight="1">
      <c r="A35" s="416"/>
      <c r="B35" s="201"/>
      <c r="C35" s="425"/>
      <c r="D35" s="425"/>
      <c r="E35" s="426"/>
      <c r="F35" s="425"/>
      <c r="G35" s="197"/>
      <c r="H35" s="256"/>
      <c r="I35" s="307"/>
      <c r="J35" s="195"/>
      <c r="K35" s="194"/>
      <c r="L35" s="197"/>
      <c r="M35" s="197"/>
      <c r="N35" s="197"/>
      <c r="O35" s="197"/>
      <c r="P35" s="197"/>
      <c r="Q35" s="197"/>
      <c r="R35" s="200"/>
      <c r="S35" s="416"/>
    </row>
    <row r="36" spans="1:19" ht="13.5" customHeight="1">
      <c r="A36" s="416"/>
      <c r="B36" s="201"/>
      <c r="C36" s="198"/>
      <c r="D36" s="197"/>
      <c r="E36" s="330"/>
      <c r="F36" s="197"/>
      <c r="G36" s="197"/>
      <c r="H36" s="256"/>
      <c r="I36" s="197"/>
      <c r="J36" s="199"/>
      <c r="K36" s="197"/>
      <c r="L36" s="197"/>
      <c r="M36" s="197"/>
      <c r="N36" s="197"/>
      <c r="O36" s="197"/>
      <c r="P36" s="197"/>
      <c r="Q36" s="197"/>
      <c r="R36" s="200"/>
      <c r="S36" s="416"/>
    </row>
    <row r="37" spans="1:19">
      <c r="A37" s="416"/>
      <c r="B37" s="201"/>
      <c r="C37" s="198"/>
      <c r="D37" s="197"/>
      <c r="E37" s="197"/>
      <c r="F37" s="197"/>
      <c r="G37" s="197"/>
      <c r="H37" s="256"/>
      <c r="I37" s="197"/>
      <c r="J37" s="199"/>
      <c r="K37" s="197"/>
      <c r="L37" s="197"/>
      <c r="M37" s="197"/>
      <c r="N37" s="197"/>
      <c r="O37" s="197"/>
      <c r="P37" s="197"/>
      <c r="Q37" s="197"/>
      <c r="R37" s="200"/>
      <c r="S37" s="416"/>
    </row>
    <row r="38" spans="1:19">
      <c r="A38" s="416"/>
      <c r="B38" s="202"/>
      <c r="C38" s="203"/>
      <c r="D38" s="203"/>
      <c r="E38" s="203"/>
      <c r="F38" s="203"/>
      <c r="G38" s="203"/>
      <c r="H38" s="203"/>
      <c r="I38" s="203"/>
      <c r="J38" s="203"/>
      <c r="K38" s="203"/>
      <c r="L38" s="203"/>
      <c r="M38" s="203"/>
      <c r="N38" s="203"/>
      <c r="O38" s="203"/>
      <c r="P38" s="203"/>
      <c r="Q38" s="203"/>
      <c r="R38" s="204"/>
      <c r="S38" s="416"/>
    </row>
    <row r="39" spans="1:19" ht="23.25">
      <c r="A39" s="415"/>
      <c r="B39" s="424"/>
      <c r="C39" s="415"/>
      <c r="D39" s="415"/>
      <c r="E39" s="415"/>
      <c r="F39" s="415"/>
      <c r="G39" s="415"/>
      <c r="H39" s="415"/>
      <c r="I39" s="415"/>
      <c r="J39" s="415"/>
      <c r="K39" s="415"/>
      <c r="L39" s="415"/>
      <c r="M39" s="415"/>
      <c r="N39" s="415"/>
      <c r="O39" s="415"/>
      <c r="P39" s="415"/>
      <c r="Q39" s="415"/>
      <c r="R39" s="415"/>
      <c r="S39" s="415"/>
    </row>
    <row r="40" spans="1:19" ht="23.25" customHeight="1">
      <c r="A40" s="415"/>
      <c r="B40" s="205" t="s">
        <v>296</v>
      </c>
      <c r="C40" s="206"/>
      <c r="D40" s="206"/>
      <c r="E40" s="206"/>
      <c r="F40" s="206"/>
      <c r="G40" s="206"/>
      <c r="H40" s="206"/>
      <c r="I40" s="206"/>
      <c r="J40" s="206"/>
      <c r="K40" s="206"/>
      <c r="L40" s="206"/>
      <c r="M40" s="206"/>
      <c r="N40" s="206"/>
      <c r="O40" s="206"/>
      <c r="P40" s="206"/>
      <c r="Q40" s="206"/>
      <c r="R40" s="207"/>
      <c r="S40" s="415"/>
    </row>
    <row r="41" spans="1:19" ht="23.25" customHeight="1">
      <c r="A41" s="415"/>
      <c r="B41" s="435"/>
      <c r="C41" s="209"/>
      <c r="D41" s="209"/>
      <c r="E41" s="209"/>
      <c r="F41" s="209"/>
      <c r="G41" s="209"/>
      <c r="H41" s="209"/>
      <c r="I41" s="209"/>
      <c r="J41" s="209"/>
      <c r="K41" s="209"/>
      <c r="L41" s="209"/>
      <c r="M41" s="209"/>
      <c r="N41" s="209"/>
      <c r="O41" s="209"/>
      <c r="P41" s="209"/>
      <c r="Q41" s="209"/>
      <c r="R41" s="210"/>
      <c r="S41" s="415"/>
    </row>
    <row r="42" spans="1:19" ht="23.25" customHeight="1">
      <c r="A42" s="415"/>
      <c r="B42" s="435"/>
      <c r="C42" s="209"/>
      <c r="D42" s="209"/>
      <c r="E42" s="209"/>
      <c r="F42" s="209"/>
      <c r="G42" s="209"/>
      <c r="H42" s="209"/>
      <c r="I42" s="209"/>
      <c r="J42" s="209"/>
      <c r="K42" s="209"/>
      <c r="L42" s="209"/>
      <c r="M42" s="209"/>
      <c r="N42" s="209"/>
      <c r="O42" s="209"/>
      <c r="P42" s="209"/>
      <c r="Q42" s="209"/>
      <c r="R42" s="210"/>
      <c r="S42" s="415"/>
    </row>
    <row r="43" spans="1:19" ht="23.25" customHeight="1">
      <c r="A43" s="415"/>
      <c r="B43" s="435"/>
      <c r="C43" s="209"/>
      <c r="D43" s="209"/>
      <c r="E43" s="209"/>
      <c r="F43" s="209"/>
      <c r="G43" s="209"/>
      <c r="H43" s="209"/>
      <c r="I43" s="209"/>
      <c r="J43" s="209"/>
      <c r="K43" s="209"/>
      <c r="L43" s="209"/>
      <c r="M43" s="209"/>
      <c r="N43" s="209"/>
      <c r="O43" s="209"/>
      <c r="P43" s="209"/>
      <c r="Q43" s="209"/>
      <c r="R43" s="210"/>
      <c r="S43" s="415"/>
    </row>
    <row r="44" spans="1:19" ht="23.25" customHeight="1">
      <c r="A44" s="415"/>
      <c r="B44" s="435"/>
      <c r="C44" s="209"/>
      <c r="D44" s="209"/>
      <c r="E44" s="209"/>
      <c r="F44" s="209"/>
      <c r="G44" s="209"/>
      <c r="H44" s="209"/>
      <c r="I44" s="209"/>
      <c r="J44" s="209"/>
      <c r="K44" s="209"/>
      <c r="L44" s="209"/>
      <c r="M44" s="209"/>
      <c r="N44" s="209"/>
      <c r="O44" s="209"/>
      <c r="P44" s="209"/>
      <c r="Q44" s="209"/>
      <c r="R44" s="210"/>
      <c r="S44" s="415"/>
    </row>
    <row r="45" spans="1:19" ht="23.25" customHeight="1">
      <c r="A45" s="415"/>
      <c r="B45" s="435"/>
      <c r="C45" s="209"/>
      <c r="D45" s="209"/>
      <c r="E45" s="209"/>
      <c r="F45" s="209"/>
      <c r="G45" s="209"/>
      <c r="H45" s="209"/>
      <c r="I45" s="209"/>
      <c r="J45" s="209"/>
      <c r="K45" s="209"/>
      <c r="L45" s="209"/>
      <c r="M45" s="209"/>
      <c r="N45" s="209"/>
      <c r="O45" s="209"/>
      <c r="P45" s="209"/>
      <c r="Q45" s="209"/>
      <c r="R45" s="210"/>
      <c r="S45" s="415"/>
    </row>
    <row r="46" spans="1:19" ht="23.25" customHeight="1">
      <c r="A46" s="415"/>
      <c r="B46" s="435"/>
      <c r="C46" s="209"/>
      <c r="D46" s="209"/>
      <c r="E46" s="209"/>
      <c r="F46" s="209"/>
      <c r="G46" s="209"/>
      <c r="H46" s="209"/>
      <c r="I46" s="209"/>
      <c r="J46" s="209"/>
      <c r="K46" s="209"/>
      <c r="L46" s="209"/>
      <c r="M46" s="209"/>
      <c r="N46" s="209"/>
      <c r="O46" s="209"/>
      <c r="P46" s="209"/>
      <c r="Q46" s="209"/>
      <c r="R46" s="210"/>
      <c r="S46" s="415"/>
    </row>
    <row r="47" spans="1:19" ht="23.25" customHeight="1">
      <c r="A47" s="415"/>
      <c r="B47" s="435"/>
      <c r="C47" s="209"/>
      <c r="D47" s="209"/>
      <c r="E47" s="209"/>
      <c r="F47" s="209"/>
      <c r="G47" s="209"/>
      <c r="H47" s="209"/>
      <c r="I47" s="209"/>
      <c r="J47" s="209"/>
      <c r="K47" s="209"/>
      <c r="L47" s="209"/>
      <c r="M47" s="209"/>
      <c r="N47" s="209"/>
      <c r="O47" s="209"/>
      <c r="P47" s="209"/>
      <c r="Q47" s="209"/>
      <c r="R47" s="210"/>
      <c r="S47" s="415"/>
    </row>
    <row r="48" spans="1:19" ht="23.25">
      <c r="A48" s="415"/>
      <c r="B48" s="208"/>
      <c r="C48" s="209"/>
      <c r="D48" s="209"/>
      <c r="E48" s="209"/>
      <c r="F48" s="209"/>
      <c r="G48" s="209"/>
      <c r="H48" s="209"/>
      <c r="I48" s="209"/>
      <c r="J48" s="209"/>
      <c r="K48" s="209"/>
      <c r="L48" s="209"/>
      <c r="M48" s="209"/>
      <c r="N48" s="209"/>
      <c r="O48" s="209"/>
      <c r="P48" s="209"/>
      <c r="Q48" s="209"/>
      <c r="R48" s="210"/>
      <c r="S48" s="423"/>
    </row>
    <row r="49" spans="1:19" ht="23.25">
      <c r="A49" s="415"/>
      <c r="B49" s="208"/>
      <c r="C49" s="209"/>
      <c r="D49" s="209"/>
      <c r="E49" s="209"/>
      <c r="F49" s="209"/>
      <c r="G49" s="209"/>
      <c r="H49" s="209"/>
      <c r="I49" s="209"/>
      <c r="J49" s="209"/>
      <c r="K49" s="209"/>
      <c r="L49" s="209"/>
      <c r="M49" s="209"/>
      <c r="N49" s="209"/>
      <c r="O49" s="209"/>
      <c r="P49" s="209"/>
      <c r="Q49" s="209"/>
      <c r="R49" s="210"/>
      <c r="S49" s="423"/>
    </row>
    <row r="50" spans="1:19" ht="23.25">
      <c r="A50" s="415"/>
      <c r="B50" s="208"/>
      <c r="C50" s="209"/>
      <c r="D50" s="209"/>
      <c r="E50" s="209"/>
      <c r="F50" s="209"/>
      <c r="G50" s="209"/>
      <c r="H50" s="209"/>
      <c r="I50" s="209"/>
      <c r="J50" s="209"/>
      <c r="K50" s="209"/>
      <c r="L50" s="209"/>
      <c r="M50" s="209"/>
      <c r="N50" s="209"/>
      <c r="O50" s="209"/>
      <c r="P50" s="209"/>
      <c r="Q50" s="209"/>
      <c r="R50" s="210"/>
      <c r="S50" s="423"/>
    </row>
    <row r="51" spans="1:19" ht="23.25">
      <c r="A51" s="415"/>
      <c r="B51" s="208"/>
      <c r="C51" s="209"/>
      <c r="D51" s="209"/>
      <c r="E51" s="209"/>
      <c r="F51" s="209"/>
      <c r="G51" s="209"/>
      <c r="H51" s="209"/>
      <c r="I51" s="209"/>
      <c r="J51" s="209"/>
      <c r="K51" s="209"/>
      <c r="L51" s="209"/>
      <c r="M51" s="209"/>
      <c r="N51" s="209"/>
      <c r="O51" s="209"/>
      <c r="P51" s="209"/>
      <c r="Q51" s="209"/>
      <c r="R51" s="210"/>
      <c r="S51" s="423"/>
    </row>
    <row r="52" spans="1:19" ht="23.25">
      <c r="A52" s="415"/>
      <c r="B52" s="208"/>
      <c r="C52" s="209"/>
      <c r="D52" s="209"/>
      <c r="E52" s="209"/>
      <c r="F52" s="209"/>
      <c r="G52" s="209"/>
      <c r="H52" s="209"/>
      <c r="I52" s="209"/>
      <c r="J52" s="209"/>
      <c r="K52" s="209"/>
      <c r="L52" s="209"/>
      <c r="M52" s="209"/>
      <c r="N52" s="209"/>
      <c r="O52" s="209"/>
      <c r="P52" s="209"/>
      <c r="Q52" s="209"/>
      <c r="R52" s="210"/>
      <c r="S52" s="423"/>
    </row>
    <row r="53" spans="1:19" ht="23.25">
      <c r="A53" s="415"/>
      <c r="B53" s="208"/>
      <c r="C53" s="209"/>
      <c r="D53" s="209"/>
      <c r="E53" s="209"/>
      <c r="F53" s="209"/>
      <c r="G53" s="209"/>
      <c r="H53" s="209"/>
      <c r="I53" s="209"/>
      <c r="J53" s="209"/>
      <c r="K53" s="209"/>
      <c r="L53" s="209"/>
      <c r="M53" s="209"/>
      <c r="N53" s="209"/>
      <c r="O53" s="209"/>
      <c r="P53" s="209"/>
      <c r="Q53" s="209"/>
      <c r="R53" s="210"/>
      <c r="S53" s="423"/>
    </row>
    <row r="54" spans="1:19" ht="23.25">
      <c r="A54" s="415"/>
      <c r="B54" s="208"/>
      <c r="C54" s="209"/>
      <c r="D54" s="209"/>
      <c r="E54" s="209"/>
      <c r="F54" s="209"/>
      <c r="G54" s="209"/>
      <c r="H54" s="209"/>
      <c r="I54" s="209"/>
      <c r="J54" s="209"/>
      <c r="K54" s="209"/>
      <c r="L54" s="209"/>
      <c r="M54" s="209"/>
      <c r="N54" s="209"/>
      <c r="O54" s="209"/>
      <c r="P54" s="209"/>
      <c r="Q54" s="209"/>
      <c r="R54" s="210"/>
      <c r="S54" s="423"/>
    </row>
    <row r="55" spans="1:19" ht="23.25">
      <c r="A55" s="415"/>
      <c r="B55" s="208"/>
      <c r="C55" s="209"/>
      <c r="D55" s="209"/>
      <c r="E55" s="209"/>
      <c r="F55" s="209"/>
      <c r="G55" s="209"/>
      <c r="H55" s="209"/>
      <c r="I55" s="209"/>
      <c r="J55" s="209"/>
      <c r="K55" s="209"/>
      <c r="L55" s="209"/>
      <c r="M55" s="209"/>
      <c r="N55" s="209"/>
      <c r="O55" s="209"/>
      <c r="P55" s="209"/>
      <c r="Q55" s="209"/>
      <c r="R55" s="210"/>
      <c r="S55" s="423"/>
    </row>
    <row r="56" spans="1:19" ht="23.25">
      <c r="A56" s="415"/>
      <c r="B56" s="208"/>
      <c r="C56" s="209"/>
      <c r="D56" s="209"/>
      <c r="E56" s="209"/>
      <c r="F56" s="209"/>
      <c r="G56" s="209"/>
      <c r="H56" s="209"/>
      <c r="I56" s="209"/>
      <c r="J56" s="209"/>
      <c r="K56" s="209"/>
      <c r="L56" s="209"/>
      <c r="M56" s="209"/>
      <c r="N56" s="209"/>
      <c r="O56" s="209"/>
      <c r="P56" s="209"/>
      <c r="Q56" s="209"/>
      <c r="R56" s="210"/>
      <c r="S56" s="423"/>
    </row>
    <row r="57" spans="1:19" ht="23.25">
      <c r="A57" s="415"/>
      <c r="B57" s="208"/>
      <c r="C57" s="209"/>
      <c r="D57" s="209"/>
      <c r="E57" s="209"/>
      <c r="F57" s="209"/>
      <c r="G57" s="209"/>
      <c r="H57" s="209"/>
      <c r="I57" s="209"/>
      <c r="J57" s="209"/>
      <c r="K57" s="209"/>
      <c r="L57" s="209"/>
      <c r="M57" s="209"/>
      <c r="N57" s="209"/>
      <c r="O57" s="209"/>
      <c r="P57" s="209"/>
      <c r="Q57" s="209"/>
      <c r="R57" s="210"/>
      <c r="S57" s="423"/>
    </row>
    <row r="58" spans="1:19" ht="23.25">
      <c r="A58" s="415"/>
      <c r="B58" s="208"/>
      <c r="C58" s="209"/>
      <c r="D58" s="209"/>
      <c r="E58" s="209"/>
      <c r="F58" s="209"/>
      <c r="G58" s="209"/>
      <c r="H58" s="209"/>
      <c r="I58" s="209"/>
      <c r="J58" s="209"/>
      <c r="K58" s="209"/>
      <c r="L58" s="209"/>
      <c r="M58" s="209"/>
      <c r="N58" s="209"/>
      <c r="O58" s="209"/>
      <c r="P58" s="209"/>
      <c r="Q58" s="209"/>
      <c r="R58" s="210"/>
      <c r="S58" s="415"/>
    </row>
    <row r="59" spans="1:19" ht="23.25">
      <c r="A59" s="415"/>
      <c r="B59" s="211"/>
      <c r="C59" s="209"/>
      <c r="D59" s="209"/>
      <c r="E59" s="209"/>
      <c r="F59" s="209"/>
      <c r="G59" s="209"/>
      <c r="H59" s="209"/>
      <c r="I59" s="209"/>
      <c r="J59" s="209"/>
      <c r="K59" s="209"/>
      <c r="L59" s="209"/>
      <c r="M59" s="209"/>
      <c r="N59" s="209"/>
      <c r="O59" s="209"/>
      <c r="P59" s="209"/>
      <c r="Q59" s="209"/>
      <c r="R59" s="210"/>
      <c r="S59" s="415"/>
    </row>
    <row r="60" spans="1:19" ht="23.25">
      <c r="A60" s="415"/>
      <c r="B60" s="211"/>
      <c r="C60" s="209"/>
      <c r="D60" s="209"/>
      <c r="E60" s="209"/>
      <c r="F60" s="209"/>
      <c r="G60" s="209"/>
      <c r="H60" s="209"/>
      <c r="I60" s="209"/>
      <c r="J60" s="209"/>
      <c r="K60" s="209"/>
      <c r="L60" s="209"/>
      <c r="M60" s="209"/>
      <c r="N60" s="209"/>
      <c r="O60" s="209"/>
      <c r="P60" s="209"/>
      <c r="Q60" s="209"/>
      <c r="R60" s="210"/>
      <c r="S60" s="415"/>
    </row>
    <row r="61" spans="1:19" ht="23.25">
      <c r="A61" s="415"/>
      <c r="B61" s="211"/>
      <c r="C61" s="209"/>
      <c r="D61" s="209"/>
      <c r="E61" s="209"/>
      <c r="F61" s="209"/>
      <c r="G61" s="209"/>
      <c r="H61" s="209"/>
      <c r="I61" s="209"/>
      <c r="J61" s="209"/>
      <c r="K61" s="209"/>
      <c r="L61" s="209"/>
      <c r="M61" s="209"/>
      <c r="N61" s="209"/>
      <c r="O61" s="209"/>
      <c r="P61" s="209"/>
      <c r="Q61" s="209"/>
      <c r="R61" s="210"/>
      <c r="S61" s="415"/>
    </row>
    <row r="62" spans="1:19" ht="23.25">
      <c r="A62" s="415"/>
      <c r="B62" s="211"/>
      <c r="C62" s="209"/>
      <c r="D62" s="209"/>
      <c r="E62" s="209"/>
      <c r="F62" s="209"/>
      <c r="G62" s="209"/>
      <c r="H62" s="209"/>
      <c r="I62" s="209"/>
      <c r="J62" s="209"/>
      <c r="K62" s="209"/>
      <c r="L62" s="209"/>
      <c r="M62" s="209"/>
      <c r="N62" s="209"/>
      <c r="O62" s="209"/>
      <c r="P62" s="209"/>
      <c r="Q62" s="209"/>
      <c r="R62" s="210"/>
      <c r="S62" s="415"/>
    </row>
    <row r="63" spans="1:19" ht="23.25">
      <c r="A63" s="415"/>
      <c r="B63" s="211"/>
      <c r="C63" s="209"/>
      <c r="D63" s="209"/>
      <c r="E63" s="209"/>
      <c r="F63" s="209"/>
      <c r="G63" s="209"/>
      <c r="H63" s="209"/>
      <c r="I63" s="209"/>
      <c r="J63" s="209"/>
      <c r="K63" s="209"/>
      <c r="L63" s="209"/>
      <c r="M63" s="209"/>
      <c r="N63" s="209"/>
      <c r="O63" s="209"/>
      <c r="P63" s="209"/>
      <c r="Q63" s="209"/>
      <c r="R63" s="210"/>
      <c r="S63" s="415"/>
    </row>
    <row r="64" spans="1:19" ht="23.25">
      <c r="A64" s="415"/>
      <c r="B64" s="211"/>
      <c r="C64" s="209"/>
      <c r="D64" s="209"/>
      <c r="E64" s="209"/>
      <c r="F64" s="209"/>
      <c r="G64" s="209"/>
      <c r="H64" s="209"/>
      <c r="I64" s="209"/>
      <c r="J64" s="209"/>
      <c r="K64" s="209"/>
      <c r="L64" s="209"/>
      <c r="M64" s="209"/>
      <c r="N64" s="209"/>
      <c r="O64" s="209"/>
      <c r="P64" s="209"/>
      <c r="Q64" s="209"/>
      <c r="R64" s="210"/>
      <c r="S64" s="415"/>
    </row>
    <row r="65" spans="1:19" ht="23.25">
      <c r="A65" s="415"/>
      <c r="B65" s="211"/>
      <c r="C65" s="209"/>
      <c r="D65" s="209"/>
      <c r="E65" s="209"/>
      <c r="F65" s="209"/>
      <c r="G65" s="209"/>
      <c r="H65" s="209"/>
      <c r="I65" s="209"/>
      <c r="J65" s="209"/>
      <c r="K65" s="209"/>
      <c r="L65" s="209"/>
      <c r="M65" s="209"/>
      <c r="N65" s="209"/>
      <c r="O65" s="209"/>
      <c r="P65" s="209"/>
      <c r="Q65" s="209"/>
      <c r="R65" s="210"/>
      <c r="S65" s="415"/>
    </row>
    <row r="66" spans="1:19" ht="23.25">
      <c r="A66" s="415"/>
      <c r="B66" s="211"/>
      <c r="C66" s="209"/>
      <c r="D66" s="209"/>
      <c r="E66" s="209"/>
      <c r="F66" s="209"/>
      <c r="G66" s="209"/>
      <c r="H66" s="209"/>
      <c r="I66" s="209"/>
      <c r="J66" s="209"/>
      <c r="K66" s="209"/>
      <c r="L66" s="209"/>
      <c r="M66" s="209"/>
      <c r="N66" s="209"/>
      <c r="O66" s="209"/>
      <c r="P66" s="209"/>
      <c r="Q66" s="209"/>
      <c r="R66" s="210"/>
      <c r="S66" s="415"/>
    </row>
    <row r="67" spans="1:19" ht="23.25">
      <c r="A67" s="415"/>
      <c r="B67" s="211"/>
      <c r="C67" s="209"/>
      <c r="D67" s="209"/>
      <c r="E67" s="209"/>
      <c r="F67" s="209"/>
      <c r="G67" s="209"/>
      <c r="H67" s="209"/>
      <c r="I67" s="209"/>
      <c r="J67" s="209"/>
      <c r="K67" s="209"/>
      <c r="L67" s="209"/>
      <c r="M67" s="209"/>
      <c r="N67" s="209"/>
      <c r="O67" s="209"/>
      <c r="P67" s="209"/>
      <c r="Q67" s="209"/>
      <c r="R67" s="210"/>
      <c r="S67" s="415"/>
    </row>
    <row r="68" spans="1:19" ht="23.25">
      <c r="A68" s="415"/>
      <c r="B68" s="211"/>
      <c r="C68" s="209"/>
      <c r="D68" s="209"/>
      <c r="E68" s="209"/>
      <c r="F68" s="209"/>
      <c r="G68" s="209"/>
      <c r="H68" s="209"/>
      <c r="I68" s="209"/>
      <c r="J68" s="209"/>
      <c r="K68" s="209"/>
      <c r="L68" s="209"/>
      <c r="M68" s="209"/>
      <c r="N68" s="209"/>
      <c r="O68" s="209"/>
      <c r="P68" s="209"/>
      <c r="Q68" s="209"/>
      <c r="R68" s="210"/>
      <c r="S68" s="415"/>
    </row>
    <row r="69" spans="1:19" ht="23.25">
      <c r="A69" s="415"/>
      <c r="B69" s="211"/>
      <c r="C69" s="209"/>
      <c r="D69" s="209"/>
      <c r="E69" s="209"/>
      <c r="F69" s="209"/>
      <c r="G69" s="209"/>
      <c r="H69" s="209"/>
      <c r="I69" s="209"/>
      <c r="J69" s="209"/>
      <c r="K69" s="209"/>
      <c r="L69" s="209"/>
      <c r="M69" s="209"/>
      <c r="N69" s="209"/>
      <c r="O69" s="209"/>
      <c r="P69" s="209"/>
      <c r="Q69" s="209"/>
      <c r="R69" s="210"/>
      <c r="S69" s="415"/>
    </row>
    <row r="70" spans="1:19" ht="23.25">
      <c r="A70" s="415"/>
      <c r="B70" s="211"/>
      <c r="C70" s="209"/>
      <c r="D70" s="209"/>
      <c r="E70" s="209"/>
      <c r="F70" s="209"/>
      <c r="G70" s="209"/>
      <c r="H70" s="209"/>
      <c r="I70" s="209"/>
      <c r="J70" s="209"/>
      <c r="K70" s="209"/>
      <c r="L70" s="209"/>
      <c r="M70" s="209"/>
      <c r="N70" s="209"/>
      <c r="O70" s="209"/>
      <c r="P70" s="209"/>
      <c r="Q70" s="209"/>
      <c r="R70" s="210"/>
      <c r="S70" s="415"/>
    </row>
    <row r="71" spans="1:19" ht="23.25">
      <c r="A71" s="415"/>
      <c r="B71" s="211"/>
      <c r="C71" s="209"/>
      <c r="D71" s="209"/>
      <c r="E71" s="209"/>
      <c r="F71" s="209"/>
      <c r="G71" s="209"/>
      <c r="H71" s="209"/>
      <c r="I71" s="209"/>
      <c r="J71" s="209"/>
      <c r="K71" s="209"/>
      <c r="L71" s="209"/>
      <c r="M71" s="209"/>
      <c r="N71" s="209"/>
      <c r="O71" s="209"/>
      <c r="P71" s="209"/>
      <c r="Q71" s="209"/>
      <c r="R71" s="210"/>
      <c r="S71" s="415"/>
    </row>
    <row r="72" spans="1:19" ht="23.25">
      <c r="A72" s="415"/>
      <c r="B72" s="211"/>
      <c r="C72" s="209"/>
      <c r="D72" s="209"/>
      <c r="E72" s="209"/>
      <c r="F72" s="209"/>
      <c r="G72" s="209"/>
      <c r="H72" s="209"/>
      <c r="I72" s="209"/>
      <c r="J72" s="209"/>
      <c r="K72" s="209"/>
      <c r="L72" s="209"/>
      <c r="M72" s="209"/>
      <c r="N72" s="209"/>
      <c r="O72" s="209"/>
      <c r="P72" s="209"/>
      <c r="Q72" s="209"/>
      <c r="R72" s="210"/>
      <c r="S72" s="415"/>
    </row>
    <row r="73" spans="1:19" ht="23.25">
      <c r="A73" s="415"/>
      <c r="B73" s="211"/>
      <c r="C73" s="209"/>
      <c r="D73" s="209"/>
      <c r="E73" s="209"/>
      <c r="F73" s="209"/>
      <c r="G73" s="209"/>
      <c r="H73" s="209"/>
      <c r="I73" s="209"/>
      <c r="J73" s="209"/>
      <c r="K73" s="209"/>
      <c r="L73" s="209"/>
      <c r="M73" s="209"/>
      <c r="N73" s="209"/>
      <c r="O73" s="209"/>
      <c r="P73" s="209"/>
      <c r="Q73" s="209"/>
      <c r="R73" s="210"/>
      <c r="S73" s="415"/>
    </row>
    <row r="74" spans="1:19" ht="23.25">
      <c r="A74" s="415"/>
      <c r="B74" s="211"/>
      <c r="C74" s="209"/>
      <c r="D74" s="209"/>
      <c r="E74" s="209"/>
      <c r="F74" s="209"/>
      <c r="G74" s="209"/>
      <c r="H74" s="209"/>
      <c r="I74" s="209"/>
      <c r="J74" s="209"/>
      <c r="K74" s="209"/>
      <c r="L74" s="209"/>
      <c r="M74" s="209"/>
      <c r="N74" s="209"/>
      <c r="O74" s="209"/>
      <c r="P74" s="209"/>
      <c r="Q74" s="209"/>
      <c r="R74" s="210"/>
      <c r="S74" s="415"/>
    </row>
    <row r="75" spans="1:19" ht="23.25">
      <c r="A75" s="415"/>
      <c r="B75" s="211"/>
      <c r="C75" s="209"/>
      <c r="D75" s="209"/>
      <c r="E75" s="209"/>
      <c r="F75" s="209"/>
      <c r="G75" s="209"/>
      <c r="H75" s="209"/>
      <c r="I75" s="209"/>
      <c r="J75" s="209"/>
      <c r="K75" s="209"/>
      <c r="L75" s="209"/>
      <c r="M75" s="209"/>
      <c r="N75" s="209"/>
      <c r="O75" s="209"/>
      <c r="P75" s="209"/>
      <c r="Q75" s="209"/>
      <c r="R75" s="210"/>
      <c r="S75" s="415"/>
    </row>
    <row r="76" spans="1:19" ht="23.25">
      <c r="A76" s="415"/>
      <c r="B76" s="211"/>
      <c r="C76" s="209"/>
      <c r="D76" s="209"/>
      <c r="E76" s="209"/>
      <c r="F76" s="209"/>
      <c r="G76" s="209"/>
      <c r="H76" s="209"/>
      <c r="I76" s="209"/>
      <c r="J76" s="209"/>
      <c r="K76" s="209"/>
      <c r="L76" s="209"/>
      <c r="M76" s="209"/>
      <c r="N76" s="209"/>
      <c r="O76" s="209"/>
      <c r="P76" s="209"/>
      <c r="Q76" s="209"/>
      <c r="R76" s="210"/>
      <c r="S76" s="415"/>
    </row>
    <row r="77" spans="1:19" ht="23.25">
      <c r="A77" s="415"/>
      <c r="B77" s="211"/>
      <c r="C77" s="209"/>
      <c r="D77" s="209"/>
      <c r="E77" s="209"/>
      <c r="F77" s="209"/>
      <c r="G77" s="209"/>
      <c r="H77" s="209"/>
      <c r="I77" s="209"/>
      <c r="J77" s="209"/>
      <c r="K77" s="209"/>
      <c r="L77" s="209"/>
      <c r="M77" s="209"/>
      <c r="N77" s="209"/>
      <c r="O77" s="209"/>
      <c r="P77" s="209"/>
      <c r="Q77" s="209"/>
      <c r="R77" s="210"/>
      <c r="S77" s="415"/>
    </row>
    <row r="78" spans="1:19" ht="23.25">
      <c r="A78" s="415"/>
      <c r="B78" s="211"/>
      <c r="C78" s="209"/>
      <c r="D78" s="209"/>
      <c r="E78" s="209"/>
      <c r="F78" s="209"/>
      <c r="G78" s="209"/>
      <c r="H78" s="209"/>
      <c r="I78" s="209"/>
      <c r="J78" s="209"/>
      <c r="K78" s="209"/>
      <c r="L78" s="209"/>
      <c r="M78" s="209"/>
      <c r="N78" s="209"/>
      <c r="O78" s="209"/>
      <c r="P78" s="209"/>
      <c r="Q78" s="209"/>
      <c r="R78" s="210"/>
      <c r="S78" s="415"/>
    </row>
    <row r="79" spans="1:19" ht="23.25">
      <c r="A79" s="415"/>
      <c r="B79" s="211"/>
      <c r="C79" s="209"/>
      <c r="D79" s="209"/>
      <c r="E79" s="209"/>
      <c r="F79" s="209"/>
      <c r="G79" s="209"/>
      <c r="H79" s="209"/>
      <c r="I79" s="209"/>
      <c r="J79" s="209"/>
      <c r="K79" s="209"/>
      <c r="L79" s="209"/>
      <c r="M79" s="209"/>
      <c r="N79" s="209"/>
      <c r="O79" s="209"/>
      <c r="P79" s="209"/>
      <c r="Q79" s="209"/>
      <c r="R79" s="210"/>
      <c r="S79" s="415"/>
    </row>
    <row r="80" spans="1:19" ht="23.25">
      <c r="A80" s="415"/>
      <c r="B80" s="211"/>
      <c r="C80" s="209"/>
      <c r="D80" s="209"/>
      <c r="E80" s="209"/>
      <c r="F80" s="209"/>
      <c r="G80" s="209"/>
      <c r="H80" s="209"/>
      <c r="I80" s="209"/>
      <c r="J80" s="209"/>
      <c r="K80" s="209"/>
      <c r="L80" s="209"/>
      <c r="M80" s="209"/>
      <c r="N80" s="209"/>
      <c r="O80" s="209"/>
      <c r="P80" s="209"/>
      <c r="Q80" s="209"/>
      <c r="R80" s="210"/>
      <c r="S80" s="415"/>
    </row>
    <row r="81" spans="1:19" ht="23.25">
      <c r="A81" s="415"/>
      <c r="B81" s="211"/>
      <c r="C81" s="209"/>
      <c r="D81" s="209"/>
      <c r="E81" s="209"/>
      <c r="F81" s="209"/>
      <c r="G81" s="209"/>
      <c r="H81" s="209"/>
      <c r="I81" s="209"/>
      <c r="J81" s="209"/>
      <c r="K81" s="209"/>
      <c r="L81" s="209"/>
      <c r="M81" s="209"/>
      <c r="N81" s="209"/>
      <c r="O81" s="209"/>
      <c r="P81" s="209"/>
      <c r="Q81" s="209"/>
      <c r="R81" s="210"/>
      <c r="S81" s="415"/>
    </row>
    <row r="82" spans="1:19" ht="23.25">
      <c r="A82" s="415"/>
      <c r="B82" s="211"/>
      <c r="C82" s="209"/>
      <c r="D82" s="209"/>
      <c r="E82" s="209"/>
      <c r="F82" s="209"/>
      <c r="G82" s="209"/>
      <c r="H82" s="209"/>
      <c r="I82" s="209"/>
      <c r="J82" s="209"/>
      <c r="K82" s="209"/>
      <c r="L82" s="209"/>
      <c r="M82" s="209"/>
      <c r="N82" s="209"/>
      <c r="O82" s="209"/>
      <c r="P82" s="209"/>
      <c r="Q82" s="209"/>
      <c r="R82" s="210"/>
      <c r="S82" s="415"/>
    </row>
    <row r="83" spans="1:19" ht="23.25">
      <c r="A83" s="415"/>
      <c r="B83" s="211"/>
      <c r="C83" s="209"/>
      <c r="D83" s="209"/>
      <c r="E83" s="209"/>
      <c r="F83" s="209"/>
      <c r="G83" s="209"/>
      <c r="H83" s="209"/>
      <c r="I83" s="209"/>
      <c r="J83" s="209"/>
      <c r="K83" s="209"/>
      <c r="L83" s="209"/>
      <c r="M83" s="209"/>
      <c r="N83" s="209"/>
      <c r="O83" s="209"/>
      <c r="P83" s="209"/>
      <c r="Q83" s="209"/>
      <c r="R83" s="210"/>
      <c r="S83" s="415"/>
    </row>
    <row r="84" spans="1:19" ht="23.25">
      <c r="A84" s="415"/>
      <c r="B84" s="211"/>
      <c r="C84" s="209"/>
      <c r="D84" s="209"/>
      <c r="E84" s="209"/>
      <c r="F84" s="209"/>
      <c r="G84" s="209"/>
      <c r="H84" s="209"/>
      <c r="I84" s="209"/>
      <c r="J84" s="209"/>
      <c r="K84" s="209"/>
      <c r="L84" s="209"/>
      <c r="M84" s="209"/>
      <c r="N84" s="209"/>
      <c r="O84" s="209"/>
      <c r="P84" s="209"/>
      <c r="Q84" s="209"/>
      <c r="R84" s="210"/>
      <c r="S84" s="415"/>
    </row>
    <row r="85" spans="1:19" ht="23.25">
      <c r="A85" s="415"/>
      <c r="B85" s="211"/>
      <c r="C85" s="209"/>
      <c r="D85" s="209"/>
      <c r="E85" s="209"/>
      <c r="F85" s="209"/>
      <c r="G85" s="209"/>
      <c r="H85" s="209"/>
      <c r="I85" s="209"/>
      <c r="J85" s="209"/>
      <c r="K85" s="209"/>
      <c r="L85" s="209"/>
      <c r="M85" s="209"/>
      <c r="N85" s="209"/>
      <c r="O85" s="209"/>
      <c r="P85" s="209"/>
      <c r="Q85" s="209"/>
      <c r="R85" s="210"/>
      <c r="S85" s="415"/>
    </row>
    <row r="86" spans="1:19" ht="23.25">
      <c r="A86" s="415"/>
      <c r="B86" s="211"/>
      <c r="C86" s="209"/>
      <c r="D86" s="209"/>
      <c r="E86" s="209"/>
      <c r="F86" s="209"/>
      <c r="G86" s="209"/>
      <c r="H86" s="209"/>
      <c r="I86" s="209"/>
      <c r="J86" s="209"/>
      <c r="K86" s="209"/>
      <c r="L86" s="209"/>
      <c r="M86" s="209"/>
      <c r="N86" s="209"/>
      <c r="O86" s="209"/>
      <c r="P86" s="209"/>
      <c r="Q86" s="209"/>
      <c r="R86" s="210"/>
      <c r="S86" s="415"/>
    </row>
    <row r="87" spans="1:19" ht="23.25">
      <c r="A87" s="415"/>
      <c r="B87" s="211"/>
      <c r="C87" s="209"/>
      <c r="D87" s="209"/>
      <c r="E87" s="209"/>
      <c r="F87" s="209"/>
      <c r="G87" s="209"/>
      <c r="H87" s="209"/>
      <c r="I87" s="209"/>
      <c r="J87" s="209"/>
      <c r="K87" s="209"/>
      <c r="L87" s="209"/>
      <c r="M87" s="209"/>
      <c r="N87" s="209"/>
      <c r="O87" s="209"/>
      <c r="P87" s="209"/>
      <c r="Q87" s="209"/>
      <c r="R87" s="210"/>
      <c r="S87" s="415"/>
    </row>
    <row r="88" spans="1:19" ht="23.25">
      <c r="A88" s="415"/>
      <c r="B88" s="211"/>
      <c r="C88" s="209"/>
      <c r="D88" s="209"/>
      <c r="E88" s="209"/>
      <c r="F88" s="209"/>
      <c r="G88" s="209"/>
      <c r="H88" s="209"/>
      <c r="I88" s="209"/>
      <c r="J88" s="209"/>
      <c r="K88" s="209"/>
      <c r="L88" s="209"/>
      <c r="M88" s="209"/>
      <c r="N88" s="209"/>
      <c r="O88" s="209"/>
      <c r="P88" s="209"/>
      <c r="Q88" s="209"/>
      <c r="R88" s="210"/>
      <c r="S88" s="415"/>
    </row>
    <row r="89" spans="1:19" ht="23.25">
      <c r="A89" s="415"/>
      <c r="B89" s="211"/>
      <c r="C89" s="209"/>
      <c r="D89" s="209"/>
      <c r="E89" s="209"/>
      <c r="F89" s="209"/>
      <c r="G89" s="209"/>
      <c r="H89" s="209"/>
      <c r="I89" s="209"/>
      <c r="J89" s="209"/>
      <c r="K89" s="209"/>
      <c r="L89" s="209"/>
      <c r="M89" s="209"/>
      <c r="N89" s="209"/>
      <c r="O89" s="209"/>
      <c r="P89" s="209"/>
      <c r="Q89" s="209"/>
      <c r="R89" s="210"/>
      <c r="S89" s="415"/>
    </row>
    <row r="90" spans="1:19" ht="23.25">
      <c r="A90" s="415"/>
      <c r="B90" s="211"/>
      <c r="C90" s="209"/>
      <c r="D90" s="209"/>
      <c r="E90" s="209"/>
      <c r="F90" s="209"/>
      <c r="G90" s="209"/>
      <c r="H90" s="209"/>
      <c r="I90" s="209"/>
      <c r="J90" s="209"/>
      <c r="K90" s="209"/>
      <c r="L90" s="209"/>
      <c r="M90" s="209"/>
      <c r="N90" s="209"/>
      <c r="O90" s="209"/>
      <c r="P90" s="209"/>
      <c r="Q90" s="209"/>
      <c r="R90" s="210"/>
      <c r="S90" s="415"/>
    </row>
    <row r="91" spans="1:19" ht="23.25">
      <c r="A91" s="415"/>
      <c r="B91" s="211"/>
      <c r="C91" s="209"/>
      <c r="D91" s="209"/>
      <c r="E91" s="209"/>
      <c r="F91" s="209"/>
      <c r="G91" s="209"/>
      <c r="H91" s="209"/>
      <c r="I91" s="209"/>
      <c r="J91" s="209"/>
      <c r="K91" s="209"/>
      <c r="L91" s="209"/>
      <c r="M91" s="209"/>
      <c r="N91" s="209"/>
      <c r="O91" s="209"/>
      <c r="P91" s="209"/>
      <c r="Q91" s="209"/>
      <c r="R91" s="210"/>
      <c r="S91" s="415"/>
    </row>
    <row r="92" spans="1:19" ht="23.25">
      <c r="A92" s="415"/>
      <c r="B92" s="211"/>
      <c r="C92" s="209"/>
      <c r="D92" s="209"/>
      <c r="E92" s="209"/>
      <c r="F92" s="209"/>
      <c r="G92" s="209"/>
      <c r="H92" s="209"/>
      <c r="I92" s="209"/>
      <c r="J92" s="209"/>
      <c r="K92" s="209"/>
      <c r="L92" s="209"/>
      <c r="M92" s="209"/>
      <c r="N92" s="209"/>
      <c r="O92" s="209"/>
      <c r="P92" s="209"/>
      <c r="Q92" s="209"/>
      <c r="R92" s="210"/>
      <c r="S92" s="415"/>
    </row>
    <row r="93" spans="1:19" ht="23.25">
      <c r="A93" s="415"/>
      <c r="B93" s="211"/>
      <c r="C93" s="209"/>
      <c r="D93" s="209"/>
      <c r="E93" s="209"/>
      <c r="F93" s="209"/>
      <c r="G93" s="209"/>
      <c r="H93" s="209"/>
      <c r="I93" s="209"/>
      <c r="J93" s="209"/>
      <c r="K93" s="209"/>
      <c r="L93" s="209"/>
      <c r="M93" s="209"/>
      <c r="N93" s="209"/>
      <c r="O93" s="209"/>
      <c r="P93" s="209"/>
      <c r="Q93" s="209"/>
      <c r="R93" s="210"/>
      <c r="S93" s="415"/>
    </row>
    <row r="94" spans="1:19" ht="23.25">
      <c r="A94" s="415"/>
      <c r="B94" s="211"/>
      <c r="C94" s="209"/>
      <c r="D94" s="209"/>
      <c r="E94" s="209"/>
      <c r="F94" s="209"/>
      <c r="G94" s="209"/>
      <c r="H94" s="209"/>
      <c r="I94" s="209"/>
      <c r="J94" s="209"/>
      <c r="K94" s="209"/>
      <c r="L94" s="209"/>
      <c r="M94" s="209"/>
      <c r="N94" s="209"/>
      <c r="O94" s="209"/>
      <c r="P94" s="209"/>
      <c r="Q94" s="209"/>
      <c r="R94" s="210"/>
      <c r="S94" s="415"/>
    </row>
    <row r="95" spans="1:19" ht="23.25">
      <c r="A95" s="415"/>
      <c r="B95" s="211"/>
      <c r="C95" s="209"/>
      <c r="D95" s="209"/>
      <c r="E95" s="209"/>
      <c r="F95" s="209"/>
      <c r="G95" s="209"/>
      <c r="H95" s="209"/>
      <c r="I95" s="209"/>
      <c r="J95" s="209"/>
      <c r="K95" s="209"/>
      <c r="L95" s="209"/>
      <c r="M95" s="209"/>
      <c r="N95" s="209"/>
      <c r="O95" s="209"/>
      <c r="P95" s="209"/>
      <c r="Q95" s="209"/>
      <c r="R95" s="210"/>
      <c r="S95" s="415"/>
    </row>
    <row r="96" spans="1:19" ht="23.25">
      <c r="A96" s="415"/>
      <c r="B96" s="211"/>
      <c r="C96" s="209"/>
      <c r="D96" s="209"/>
      <c r="E96" s="209"/>
      <c r="F96" s="209"/>
      <c r="G96" s="209"/>
      <c r="H96" s="209"/>
      <c r="I96" s="209"/>
      <c r="J96" s="209"/>
      <c r="K96" s="209"/>
      <c r="L96" s="209"/>
      <c r="M96" s="209"/>
      <c r="N96" s="209"/>
      <c r="O96" s="209"/>
      <c r="P96" s="209"/>
      <c r="Q96" s="209"/>
      <c r="R96" s="210"/>
      <c r="S96" s="415"/>
    </row>
    <row r="97" spans="1:19" ht="23.25">
      <c r="A97" s="415"/>
      <c r="B97" s="211"/>
      <c r="C97" s="209"/>
      <c r="D97" s="209"/>
      <c r="E97" s="209"/>
      <c r="F97" s="209"/>
      <c r="G97" s="209"/>
      <c r="H97" s="209"/>
      <c r="I97" s="209"/>
      <c r="J97" s="209"/>
      <c r="K97" s="209"/>
      <c r="L97" s="209"/>
      <c r="M97" s="209"/>
      <c r="N97" s="209"/>
      <c r="O97" s="209"/>
      <c r="P97" s="209"/>
      <c r="Q97" s="209"/>
      <c r="R97" s="210"/>
      <c r="S97" s="415"/>
    </row>
    <row r="98" spans="1:19" ht="23.25">
      <c r="A98" s="415"/>
      <c r="B98" s="211"/>
      <c r="C98" s="209"/>
      <c r="D98" s="209"/>
      <c r="E98" s="209"/>
      <c r="F98" s="209"/>
      <c r="G98" s="209"/>
      <c r="H98" s="209"/>
      <c r="I98" s="209"/>
      <c r="J98" s="209"/>
      <c r="K98" s="209"/>
      <c r="L98" s="209"/>
      <c r="M98" s="209"/>
      <c r="N98" s="209"/>
      <c r="O98" s="209"/>
      <c r="P98" s="209"/>
      <c r="Q98" s="209"/>
      <c r="R98" s="210"/>
      <c r="S98" s="415"/>
    </row>
    <row r="99" spans="1:19" ht="23.25">
      <c r="A99" s="415"/>
      <c r="B99" s="211"/>
      <c r="C99" s="209"/>
      <c r="D99" s="209"/>
      <c r="E99" s="209"/>
      <c r="F99" s="209"/>
      <c r="G99" s="209"/>
      <c r="H99" s="209"/>
      <c r="I99" s="209"/>
      <c r="J99" s="209"/>
      <c r="K99" s="209"/>
      <c r="L99" s="209"/>
      <c r="M99" s="209"/>
      <c r="N99" s="209"/>
      <c r="O99" s="209"/>
      <c r="P99" s="209"/>
      <c r="Q99" s="209"/>
      <c r="R99" s="210"/>
      <c r="S99" s="415"/>
    </row>
    <row r="100" spans="1:19" ht="23.25">
      <c r="A100" s="415"/>
      <c r="B100" s="211"/>
      <c r="C100" s="209"/>
      <c r="D100" s="209"/>
      <c r="E100" s="209"/>
      <c r="F100" s="209"/>
      <c r="G100" s="209"/>
      <c r="H100" s="209"/>
      <c r="I100" s="209"/>
      <c r="J100" s="209"/>
      <c r="K100" s="209"/>
      <c r="L100" s="209"/>
      <c r="M100" s="209"/>
      <c r="N100" s="209"/>
      <c r="O100" s="209"/>
      <c r="P100" s="209"/>
      <c r="Q100" s="209"/>
      <c r="R100" s="210"/>
      <c r="S100" s="415"/>
    </row>
    <row r="101" spans="1:19" ht="23.25">
      <c r="A101" s="415"/>
      <c r="B101" s="211"/>
      <c r="C101" s="209"/>
      <c r="D101" s="209"/>
      <c r="E101" s="209"/>
      <c r="F101" s="209"/>
      <c r="G101" s="209"/>
      <c r="H101" s="209"/>
      <c r="I101" s="209"/>
      <c r="J101" s="209"/>
      <c r="K101" s="209"/>
      <c r="L101" s="209"/>
      <c r="M101" s="209"/>
      <c r="N101" s="209"/>
      <c r="O101" s="209"/>
      <c r="P101" s="209"/>
      <c r="Q101" s="209"/>
      <c r="R101" s="210"/>
      <c r="S101" s="415"/>
    </row>
    <row r="102" spans="1:19" ht="23.25">
      <c r="A102" s="415"/>
      <c r="B102" s="211"/>
      <c r="C102" s="209"/>
      <c r="D102" s="209"/>
      <c r="E102" s="209"/>
      <c r="F102" s="209"/>
      <c r="G102" s="209"/>
      <c r="H102" s="209"/>
      <c r="I102" s="209"/>
      <c r="J102" s="209"/>
      <c r="K102" s="209"/>
      <c r="L102" s="209"/>
      <c r="M102" s="209"/>
      <c r="N102" s="209"/>
      <c r="O102" s="209"/>
      <c r="P102" s="209"/>
      <c r="Q102" s="209"/>
      <c r="R102" s="210"/>
      <c r="S102" s="415"/>
    </row>
    <row r="103" spans="1:19" ht="23.25">
      <c r="A103" s="415"/>
      <c r="B103" s="211"/>
      <c r="C103" s="209"/>
      <c r="D103" s="209"/>
      <c r="E103" s="209"/>
      <c r="F103" s="209"/>
      <c r="G103" s="209"/>
      <c r="H103" s="209"/>
      <c r="I103" s="209"/>
      <c r="J103" s="209"/>
      <c r="K103" s="209"/>
      <c r="L103" s="209"/>
      <c r="M103" s="209"/>
      <c r="N103" s="209"/>
      <c r="O103" s="209"/>
      <c r="P103" s="209"/>
      <c r="Q103" s="209"/>
      <c r="R103" s="210"/>
      <c r="S103" s="415"/>
    </row>
    <row r="104" spans="1:19" ht="23.25">
      <c r="A104" s="415"/>
      <c r="B104" s="211"/>
      <c r="C104" s="209"/>
      <c r="D104" s="209"/>
      <c r="E104" s="209"/>
      <c r="F104" s="209"/>
      <c r="G104" s="209"/>
      <c r="H104" s="209"/>
      <c r="I104" s="209"/>
      <c r="J104" s="209"/>
      <c r="K104" s="209"/>
      <c r="L104" s="209"/>
      <c r="M104" s="209"/>
      <c r="N104" s="209"/>
      <c r="O104" s="209"/>
      <c r="P104" s="209"/>
      <c r="Q104" s="209"/>
      <c r="R104" s="210"/>
      <c r="S104" s="415"/>
    </row>
    <row r="105" spans="1:19" ht="23.25">
      <c r="A105" s="415"/>
      <c r="B105" s="211"/>
      <c r="C105" s="209"/>
      <c r="D105" s="209"/>
      <c r="E105" s="209"/>
      <c r="F105" s="209"/>
      <c r="G105" s="209"/>
      <c r="H105" s="209"/>
      <c r="I105" s="209"/>
      <c r="J105" s="209"/>
      <c r="K105" s="209"/>
      <c r="L105" s="209"/>
      <c r="M105" s="209"/>
      <c r="N105" s="209"/>
      <c r="O105" s="209"/>
      <c r="P105" s="209"/>
      <c r="Q105" s="209"/>
      <c r="R105" s="210"/>
      <c r="S105" s="415"/>
    </row>
    <row r="106" spans="1:19" ht="23.25">
      <c r="A106" s="415"/>
      <c r="B106" s="211"/>
      <c r="C106" s="209"/>
      <c r="D106" s="209"/>
      <c r="E106" s="209"/>
      <c r="F106" s="209"/>
      <c r="G106" s="209"/>
      <c r="H106" s="209"/>
      <c r="I106" s="209"/>
      <c r="J106" s="209"/>
      <c r="K106" s="209"/>
      <c r="L106" s="209"/>
      <c r="M106" s="209"/>
      <c r="N106" s="209"/>
      <c r="O106" s="209"/>
      <c r="P106" s="209"/>
      <c r="Q106" s="209"/>
      <c r="R106" s="210"/>
      <c r="S106" s="415"/>
    </row>
    <row r="107" spans="1:19" ht="23.25">
      <c r="A107" s="415"/>
      <c r="B107" s="211"/>
      <c r="C107" s="209"/>
      <c r="D107" s="209"/>
      <c r="E107" s="209"/>
      <c r="F107" s="209"/>
      <c r="G107" s="209"/>
      <c r="H107" s="209"/>
      <c r="I107" s="209"/>
      <c r="J107" s="209"/>
      <c r="K107" s="209"/>
      <c r="L107" s="209"/>
      <c r="M107" s="209"/>
      <c r="N107" s="209"/>
      <c r="O107" s="209"/>
      <c r="P107" s="209"/>
      <c r="Q107" s="209"/>
      <c r="R107" s="210"/>
      <c r="S107" s="415"/>
    </row>
    <row r="108" spans="1:19" ht="23.25">
      <c r="A108" s="415"/>
      <c r="B108" s="211"/>
      <c r="C108" s="209"/>
      <c r="D108" s="209"/>
      <c r="E108" s="209"/>
      <c r="F108" s="209"/>
      <c r="G108" s="209"/>
      <c r="H108" s="209"/>
      <c r="I108" s="209"/>
      <c r="J108" s="209"/>
      <c r="K108" s="209"/>
      <c r="L108" s="209"/>
      <c r="M108" s="209"/>
      <c r="N108" s="209"/>
      <c r="O108" s="209"/>
      <c r="P108" s="209"/>
      <c r="Q108" s="209"/>
      <c r="R108" s="210"/>
      <c r="S108" s="415"/>
    </row>
    <row r="109" spans="1:19" ht="23.25">
      <c r="A109" s="415"/>
      <c r="B109" s="211"/>
      <c r="C109" s="209"/>
      <c r="D109" s="209"/>
      <c r="E109" s="209"/>
      <c r="F109" s="209"/>
      <c r="G109" s="209"/>
      <c r="H109" s="209"/>
      <c r="I109" s="209"/>
      <c r="J109" s="209"/>
      <c r="K109" s="209"/>
      <c r="L109" s="209"/>
      <c r="M109" s="209"/>
      <c r="N109" s="209"/>
      <c r="O109" s="209"/>
      <c r="P109" s="209"/>
      <c r="Q109" s="209"/>
      <c r="R109" s="210"/>
      <c r="S109" s="415"/>
    </row>
    <row r="110" spans="1:19" ht="23.25">
      <c r="A110" s="415"/>
      <c r="B110" s="211"/>
      <c r="C110" s="209"/>
      <c r="D110" s="209"/>
      <c r="E110" s="209"/>
      <c r="F110" s="209"/>
      <c r="G110" s="209"/>
      <c r="H110" s="209"/>
      <c r="I110" s="209"/>
      <c r="J110" s="209"/>
      <c r="K110" s="209"/>
      <c r="L110" s="209"/>
      <c r="M110" s="209"/>
      <c r="N110" s="209"/>
      <c r="O110" s="209"/>
      <c r="P110" s="209"/>
      <c r="Q110" s="209"/>
      <c r="R110" s="210"/>
      <c r="S110" s="415"/>
    </row>
    <row r="111" spans="1:19" ht="23.25">
      <c r="A111" s="415"/>
      <c r="B111" s="211"/>
      <c r="C111" s="209"/>
      <c r="D111" s="209"/>
      <c r="E111" s="209"/>
      <c r="F111" s="209"/>
      <c r="G111" s="209"/>
      <c r="H111" s="209"/>
      <c r="I111" s="209"/>
      <c r="J111" s="209"/>
      <c r="K111" s="209"/>
      <c r="L111" s="209"/>
      <c r="M111" s="209"/>
      <c r="N111" s="209"/>
      <c r="O111" s="209"/>
      <c r="P111" s="209"/>
      <c r="Q111" s="209"/>
      <c r="R111" s="210"/>
      <c r="S111" s="415"/>
    </row>
    <row r="112" spans="1:19" ht="23.25">
      <c r="A112" s="415"/>
      <c r="B112" s="211"/>
      <c r="C112" s="209"/>
      <c r="D112" s="209"/>
      <c r="E112" s="209"/>
      <c r="F112" s="209"/>
      <c r="G112" s="209"/>
      <c r="H112" s="209"/>
      <c r="I112" s="209"/>
      <c r="J112" s="209"/>
      <c r="K112" s="209"/>
      <c r="L112" s="209"/>
      <c r="M112" s="209"/>
      <c r="N112" s="209"/>
      <c r="O112" s="209"/>
      <c r="P112" s="209"/>
      <c r="Q112" s="209"/>
      <c r="R112" s="210"/>
      <c r="S112" s="415"/>
    </row>
    <row r="113" spans="1:19" ht="23.25">
      <c r="A113" s="415"/>
      <c r="B113" s="211"/>
      <c r="C113" s="209"/>
      <c r="D113" s="209"/>
      <c r="E113" s="209"/>
      <c r="F113" s="209"/>
      <c r="G113" s="209"/>
      <c r="H113" s="209"/>
      <c r="I113" s="209"/>
      <c r="J113" s="209"/>
      <c r="K113" s="209"/>
      <c r="L113" s="209"/>
      <c r="M113" s="209"/>
      <c r="N113" s="209"/>
      <c r="O113" s="209"/>
      <c r="P113" s="209"/>
      <c r="Q113" s="209"/>
      <c r="R113" s="210"/>
      <c r="S113" s="415"/>
    </row>
    <row r="114" spans="1:19" ht="23.25">
      <c r="A114" s="415"/>
      <c r="B114" s="211"/>
      <c r="C114" s="209"/>
      <c r="D114" s="209"/>
      <c r="E114" s="209"/>
      <c r="F114" s="209"/>
      <c r="G114" s="209"/>
      <c r="H114" s="209"/>
      <c r="I114" s="209"/>
      <c r="J114" s="209"/>
      <c r="K114" s="209"/>
      <c r="L114" s="209"/>
      <c r="M114" s="209"/>
      <c r="N114" s="209"/>
      <c r="O114" s="209"/>
      <c r="P114" s="209"/>
      <c r="Q114" s="209"/>
      <c r="R114" s="210"/>
      <c r="S114" s="415"/>
    </row>
    <row r="115" spans="1:19" ht="23.25">
      <c r="A115" s="415"/>
      <c r="B115" s="211"/>
      <c r="C115" s="209"/>
      <c r="D115" s="209"/>
      <c r="E115" s="209"/>
      <c r="F115" s="209"/>
      <c r="G115" s="209"/>
      <c r="H115" s="209"/>
      <c r="I115" s="209"/>
      <c r="J115" s="209"/>
      <c r="K115" s="209"/>
      <c r="L115" s="209"/>
      <c r="M115" s="209"/>
      <c r="N115" s="209"/>
      <c r="O115" s="209"/>
      <c r="P115" s="209"/>
      <c r="Q115" s="209"/>
      <c r="R115" s="210"/>
      <c r="S115" s="415"/>
    </row>
    <row r="116" spans="1:19" ht="23.25">
      <c r="A116" s="415"/>
      <c r="B116" s="211"/>
      <c r="C116" s="209"/>
      <c r="D116" s="209"/>
      <c r="E116" s="209"/>
      <c r="F116" s="209"/>
      <c r="G116" s="209"/>
      <c r="H116" s="209"/>
      <c r="I116" s="209"/>
      <c r="J116" s="209"/>
      <c r="K116" s="209"/>
      <c r="L116" s="209"/>
      <c r="M116" s="209"/>
      <c r="N116" s="209"/>
      <c r="O116" s="209"/>
      <c r="P116" s="209"/>
      <c r="Q116" s="209"/>
      <c r="R116" s="210"/>
      <c r="S116" s="415"/>
    </row>
    <row r="117" spans="1:19" ht="23.25">
      <c r="A117" s="415"/>
      <c r="B117" s="211"/>
      <c r="C117" s="209"/>
      <c r="D117" s="209"/>
      <c r="E117" s="209"/>
      <c r="F117" s="209"/>
      <c r="G117" s="209"/>
      <c r="H117" s="209"/>
      <c r="I117" s="209"/>
      <c r="J117" s="209"/>
      <c r="K117" s="209"/>
      <c r="L117" s="209"/>
      <c r="M117" s="209"/>
      <c r="N117" s="209"/>
      <c r="O117" s="209"/>
      <c r="P117" s="209"/>
      <c r="Q117" s="209"/>
      <c r="R117" s="210"/>
      <c r="S117" s="415"/>
    </row>
    <row r="118" spans="1:19" ht="23.25">
      <c r="A118" s="415"/>
      <c r="B118" s="211"/>
      <c r="C118" s="209"/>
      <c r="D118" s="209"/>
      <c r="E118" s="209"/>
      <c r="F118" s="209"/>
      <c r="G118" s="209"/>
      <c r="H118" s="209"/>
      <c r="I118" s="209"/>
      <c r="J118" s="209"/>
      <c r="K118" s="209"/>
      <c r="L118" s="209"/>
      <c r="M118" s="209"/>
      <c r="N118" s="209"/>
      <c r="O118" s="209"/>
      <c r="P118" s="209"/>
      <c r="Q118" s="209"/>
      <c r="R118" s="210"/>
      <c r="S118" s="415"/>
    </row>
    <row r="119" spans="1:19" ht="23.25">
      <c r="A119" s="415"/>
      <c r="B119" s="211"/>
      <c r="C119" s="209"/>
      <c r="D119" s="209"/>
      <c r="E119" s="209"/>
      <c r="F119" s="209"/>
      <c r="G119" s="209"/>
      <c r="H119" s="209"/>
      <c r="I119" s="209"/>
      <c r="J119" s="209"/>
      <c r="K119" s="209"/>
      <c r="L119" s="209"/>
      <c r="M119" s="209"/>
      <c r="N119" s="209"/>
      <c r="O119" s="209"/>
      <c r="P119" s="209"/>
      <c r="Q119" s="209"/>
      <c r="R119" s="210"/>
      <c r="S119" s="415"/>
    </row>
    <row r="120" spans="1:19" ht="23.25">
      <c r="A120" s="415"/>
      <c r="B120" s="211"/>
      <c r="C120" s="209"/>
      <c r="D120" s="209"/>
      <c r="E120" s="209"/>
      <c r="F120" s="209"/>
      <c r="G120" s="209"/>
      <c r="H120" s="209"/>
      <c r="I120" s="209"/>
      <c r="J120" s="209"/>
      <c r="K120" s="209"/>
      <c r="L120" s="209"/>
      <c r="M120" s="209"/>
      <c r="N120" s="209"/>
      <c r="O120" s="209"/>
      <c r="P120" s="209"/>
      <c r="Q120" s="209"/>
      <c r="R120" s="210"/>
      <c r="S120" s="415"/>
    </row>
    <row r="121" spans="1:19" ht="23.25">
      <c r="A121" s="415"/>
      <c r="B121" s="211"/>
      <c r="C121" s="209"/>
      <c r="D121" s="209"/>
      <c r="E121" s="209"/>
      <c r="F121" s="209"/>
      <c r="G121" s="209"/>
      <c r="H121" s="209"/>
      <c r="I121" s="209"/>
      <c r="J121" s="209"/>
      <c r="K121" s="209"/>
      <c r="L121" s="209"/>
      <c r="M121" s="209"/>
      <c r="N121" s="209"/>
      <c r="O121" s="209"/>
      <c r="P121" s="209"/>
      <c r="Q121" s="209"/>
      <c r="R121" s="210"/>
      <c r="S121" s="415"/>
    </row>
    <row r="122" spans="1:19" ht="23.25">
      <c r="A122" s="415"/>
      <c r="B122" s="211"/>
      <c r="C122" s="209"/>
      <c r="D122" s="209"/>
      <c r="E122" s="209"/>
      <c r="F122" s="209"/>
      <c r="G122" s="209"/>
      <c r="H122" s="209"/>
      <c r="I122" s="209"/>
      <c r="J122" s="209"/>
      <c r="K122" s="209"/>
      <c r="L122" s="209"/>
      <c r="M122" s="209"/>
      <c r="N122" s="209"/>
      <c r="O122" s="209"/>
      <c r="P122" s="209"/>
      <c r="Q122" s="209"/>
      <c r="R122" s="210"/>
      <c r="S122" s="415"/>
    </row>
    <row r="123" spans="1:19" ht="23.25">
      <c r="A123" s="415"/>
      <c r="B123" s="211"/>
      <c r="C123" s="209"/>
      <c r="D123" s="209"/>
      <c r="E123" s="209"/>
      <c r="F123" s="209"/>
      <c r="G123" s="209"/>
      <c r="H123" s="209"/>
      <c r="I123" s="209"/>
      <c r="J123" s="209"/>
      <c r="K123" s="209"/>
      <c r="L123" s="209"/>
      <c r="M123" s="209"/>
      <c r="N123" s="209"/>
      <c r="O123" s="209"/>
      <c r="P123" s="209"/>
      <c r="Q123" s="209"/>
      <c r="R123" s="210"/>
      <c r="S123" s="415"/>
    </row>
    <row r="124" spans="1:19" ht="23.25">
      <c r="A124" s="415"/>
      <c r="B124" s="211"/>
      <c r="C124" s="209"/>
      <c r="D124" s="209"/>
      <c r="E124" s="209"/>
      <c r="F124" s="209"/>
      <c r="G124" s="209"/>
      <c r="H124" s="209"/>
      <c r="I124" s="209"/>
      <c r="J124" s="209"/>
      <c r="K124" s="209"/>
      <c r="L124" s="209"/>
      <c r="M124" s="209"/>
      <c r="N124" s="209"/>
      <c r="O124" s="209"/>
      <c r="P124" s="209"/>
      <c r="Q124" s="209"/>
      <c r="R124" s="210"/>
      <c r="S124" s="415"/>
    </row>
    <row r="125" spans="1:19" ht="23.25">
      <c r="A125" s="415"/>
      <c r="B125" s="211"/>
      <c r="C125" s="209"/>
      <c r="D125" s="209"/>
      <c r="E125" s="209"/>
      <c r="F125" s="209"/>
      <c r="G125" s="209"/>
      <c r="H125" s="209"/>
      <c r="I125" s="209"/>
      <c r="J125" s="209"/>
      <c r="K125" s="209"/>
      <c r="L125" s="209"/>
      <c r="M125" s="209"/>
      <c r="N125" s="209"/>
      <c r="O125" s="209"/>
      <c r="P125" s="209"/>
      <c r="Q125" s="209"/>
      <c r="R125" s="210"/>
      <c r="S125" s="415"/>
    </row>
    <row r="126" spans="1:19" ht="23.25">
      <c r="A126" s="415"/>
      <c r="B126" s="211"/>
      <c r="C126" s="209"/>
      <c r="D126" s="209"/>
      <c r="E126" s="209"/>
      <c r="F126" s="209"/>
      <c r="G126" s="209"/>
      <c r="H126" s="209"/>
      <c r="I126" s="209"/>
      <c r="J126" s="209"/>
      <c r="K126" s="209"/>
      <c r="L126" s="209"/>
      <c r="M126" s="209"/>
      <c r="N126" s="209"/>
      <c r="O126" s="209"/>
      <c r="P126" s="209"/>
      <c r="Q126" s="209"/>
      <c r="R126" s="210"/>
      <c r="S126" s="415"/>
    </row>
    <row r="127" spans="1:19" ht="23.25">
      <c r="A127" s="415"/>
      <c r="B127" s="211"/>
      <c r="C127" s="209"/>
      <c r="D127" s="209"/>
      <c r="E127" s="209"/>
      <c r="F127" s="209"/>
      <c r="G127" s="209"/>
      <c r="H127" s="209"/>
      <c r="I127" s="209"/>
      <c r="J127" s="209"/>
      <c r="K127" s="209"/>
      <c r="L127" s="209"/>
      <c r="M127" s="209"/>
      <c r="N127" s="209"/>
      <c r="O127" s="209"/>
      <c r="P127" s="209"/>
      <c r="Q127" s="209"/>
      <c r="R127" s="210"/>
      <c r="S127" s="415"/>
    </row>
    <row r="128" spans="1:19" ht="23.25">
      <c r="A128" s="415"/>
      <c r="B128" s="211"/>
      <c r="C128" s="209"/>
      <c r="D128" s="209"/>
      <c r="E128" s="209"/>
      <c r="F128" s="209"/>
      <c r="G128" s="209"/>
      <c r="H128" s="209"/>
      <c r="I128" s="209"/>
      <c r="J128" s="209"/>
      <c r="K128" s="209"/>
      <c r="L128" s="209"/>
      <c r="M128" s="209"/>
      <c r="N128" s="209"/>
      <c r="O128" s="209"/>
      <c r="P128" s="209"/>
      <c r="Q128" s="209"/>
      <c r="R128" s="210"/>
      <c r="S128" s="415"/>
    </row>
    <row r="129" spans="1:21" ht="23.25">
      <c r="A129" s="415"/>
      <c r="B129" s="211"/>
      <c r="C129" s="209"/>
      <c r="D129" s="209"/>
      <c r="E129" s="209"/>
      <c r="F129" s="209"/>
      <c r="G129" s="209"/>
      <c r="H129" s="209"/>
      <c r="I129" s="209"/>
      <c r="J129" s="209"/>
      <c r="K129" s="209"/>
      <c r="L129" s="209"/>
      <c r="M129" s="209"/>
      <c r="N129" s="209"/>
      <c r="O129" s="209"/>
      <c r="P129" s="209"/>
      <c r="Q129" s="209"/>
      <c r="R129" s="210"/>
      <c r="S129" s="415"/>
    </row>
    <row r="130" spans="1:21" ht="23.25">
      <c r="A130" s="415"/>
      <c r="B130" s="211"/>
      <c r="C130" s="209"/>
      <c r="D130" s="209"/>
      <c r="E130" s="209"/>
      <c r="F130" s="209"/>
      <c r="G130" s="209"/>
      <c r="H130" s="209"/>
      <c r="I130" s="209"/>
      <c r="J130" s="209"/>
      <c r="K130" s="209"/>
      <c r="L130" s="209"/>
      <c r="M130" s="209"/>
      <c r="N130" s="209"/>
      <c r="O130" s="209"/>
      <c r="P130" s="209"/>
      <c r="Q130" s="209"/>
      <c r="R130" s="210"/>
      <c r="S130" s="415"/>
    </row>
    <row r="131" spans="1:21" ht="23.25">
      <c r="A131" s="415"/>
      <c r="B131" s="211"/>
      <c r="C131" s="209"/>
      <c r="D131" s="209"/>
      <c r="E131" s="209"/>
      <c r="F131" s="209"/>
      <c r="G131" s="209"/>
      <c r="H131" s="209"/>
      <c r="I131" s="209"/>
      <c r="J131" s="209"/>
      <c r="K131" s="209"/>
      <c r="L131" s="209"/>
      <c r="M131" s="209"/>
      <c r="N131" s="209"/>
      <c r="O131" s="209"/>
      <c r="P131" s="209"/>
      <c r="Q131" s="209"/>
      <c r="R131" s="210"/>
      <c r="S131" s="415"/>
    </row>
    <row r="132" spans="1:21" ht="23.25">
      <c r="A132" s="415"/>
      <c r="B132" s="211"/>
      <c r="C132" s="209"/>
      <c r="D132" s="209"/>
      <c r="E132" s="209"/>
      <c r="F132" s="209"/>
      <c r="G132" s="209"/>
      <c r="H132" s="209"/>
      <c r="I132" s="209"/>
      <c r="J132" s="209"/>
      <c r="K132" s="209"/>
      <c r="L132" s="209"/>
      <c r="M132" s="209"/>
      <c r="N132" s="209"/>
      <c r="O132" s="209"/>
      <c r="P132" s="209"/>
      <c r="Q132" s="209"/>
      <c r="R132" s="210"/>
      <c r="S132" s="415"/>
      <c r="U132" s="421"/>
    </row>
    <row r="133" spans="1:21" ht="23.25">
      <c r="A133" s="415"/>
      <c r="B133" s="211"/>
      <c r="C133" s="209"/>
      <c r="D133" s="209"/>
      <c r="E133" s="209"/>
      <c r="F133" s="209"/>
      <c r="G133" s="209"/>
      <c r="H133" s="209"/>
      <c r="I133" s="209"/>
      <c r="J133" s="209"/>
      <c r="K133" s="209"/>
      <c r="L133" s="209"/>
      <c r="M133" s="209"/>
      <c r="N133" s="209"/>
      <c r="O133" s="209"/>
      <c r="P133" s="209"/>
      <c r="Q133" s="209"/>
      <c r="R133" s="210"/>
      <c r="S133" s="415"/>
    </row>
    <row r="134" spans="1:21" ht="23.25">
      <c r="A134" s="415"/>
      <c r="B134" s="211"/>
      <c r="C134" s="209"/>
      <c r="D134" s="209"/>
      <c r="E134" s="209"/>
      <c r="F134" s="209"/>
      <c r="G134" s="209"/>
      <c r="H134" s="209"/>
      <c r="I134" s="209"/>
      <c r="J134" s="209"/>
      <c r="K134" s="209"/>
      <c r="L134" s="209"/>
      <c r="M134" s="209"/>
      <c r="N134" s="209"/>
      <c r="O134" s="209"/>
      <c r="P134" s="209"/>
      <c r="Q134" s="209"/>
      <c r="R134" s="210"/>
      <c r="S134" s="415"/>
    </row>
    <row r="135" spans="1:21" ht="23.25">
      <c r="A135" s="415"/>
      <c r="B135" s="211"/>
      <c r="C135" s="209"/>
      <c r="D135" s="209"/>
      <c r="E135" s="209"/>
      <c r="F135" s="209"/>
      <c r="G135" s="209"/>
      <c r="H135" s="209"/>
      <c r="I135" s="209"/>
      <c r="J135" s="209"/>
      <c r="K135" s="209"/>
      <c r="L135" s="209"/>
      <c r="M135" s="209"/>
      <c r="N135" s="209"/>
      <c r="O135" s="209"/>
      <c r="P135" s="209"/>
      <c r="Q135" s="209"/>
      <c r="R135" s="210"/>
      <c r="S135" s="415"/>
    </row>
    <row r="136" spans="1:21" ht="23.25">
      <c r="A136" s="415"/>
      <c r="B136" s="211"/>
      <c r="C136" s="209"/>
      <c r="D136" s="209"/>
      <c r="E136" s="209"/>
      <c r="F136" s="209"/>
      <c r="G136" s="209"/>
      <c r="H136" s="209"/>
      <c r="I136" s="209"/>
      <c r="J136" s="209"/>
      <c r="K136" s="209"/>
      <c r="L136" s="209"/>
      <c r="M136" s="209"/>
      <c r="N136" s="209"/>
      <c r="O136" s="209"/>
      <c r="P136" s="209"/>
      <c r="Q136" s="209"/>
      <c r="R136" s="210"/>
      <c r="S136" s="415"/>
    </row>
    <row r="137" spans="1:21" ht="23.25">
      <c r="A137" s="415"/>
      <c r="B137" s="211"/>
      <c r="C137" s="209"/>
      <c r="D137" s="209"/>
      <c r="E137" s="209"/>
      <c r="F137" s="209"/>
      <c r="G137" s="209"/>
      <c r="H137" s="209"/>
      <c r="I137" s="209"/>
      <c r="J137" s="209"/>
      <c r="K137" s="209"/>
      <c r="L137" s="209"/>
      <c r="M137" s="209"/>
      <c r="N137" s="209"/>
      <c r="O137" s="209"/>
      <c r="P137" s="209"/>
      <c r="Q137" s="209"/>
      <c r="R137" s="210"/>
      <c r="S137" s="415"/>
    </row>
    <row r="138" spans="1:21" ht="23.25">
      <c r="A138" s="415"/>
      <c r="B138" s="211"/>
      <c r="C138" s="209"/>
      <c r="D138" s="209"/>
      <c r="E138" s="209"/>
      <c r="F138" s="209"/>
      <c r="G138" s="209"/>
      <c r="H138" s="209"/>
      <c r="I138" s="209"/>
      <c r="J138" s="209"/>
      <c r="K138" s="209"/>
      <c r="L138" s="209"/>
      <c r="M138" s="209"/>
      <c r="N138" s="209"/>
      <c r="O138" s="209"/>
      <c r="P138" s="209"/>
      <c r="Q138" s="209"/>
      <c r="R138" s="210"/>
      <c r="S138" s="415"/>
    </row>
    <row r="139" spans="1:21" ht="23.25">
      <c r="A139" s="415"/>
      <c r="B139" s="211"/>
      <c r="C139" s="209"/>
      <c r="D139" s="209"/>
      <c r="E139" s="209"/>
      <c r="F139" s="209"/>
      <c r="G139" s="209"/>
      <c r="H139" s="209"/>
      <c r="I139" s="209"/>
      <c r="J139" s="209"/>
      <c r="K139" s="209"/>
      <c r="L139" s="209"/>
      <c r="M139" s="209"/>
      <c r="N139" s="209"/>
      <c r="O139" s="209"/>
      <c r="P139" s="209"/>
      <c r="Q139" s="209"/>
      <c r="R139" s="210"/>
      <c r="S139" s="415"/>
    </row>
    <row r="140" spans="1:21" ht="23.25">
      <c r="A140" s="415"/>
      <c r="B140" s="211"/>
      <c r="C140" s="209"/>
      <c r="D140" s="209"/>
      <c r="E140" s="209"/>
      <c r="F140" s="209"/>
      <c r="G140" s="209"/>
      <c r="H140" s="209"/>
      <c r="I140" s="209"/>
      <c r="J140" s="209"/>
      <c r="K140" s="209"/>
      <c r="L140" s="209"/>
      <c r="M140" s="209"/>
      <c r="N140" s="209"/>
      <c r="O140" s="209"/>
      <c r="P140" s="209"/>
      <c r="Q140" s="209"/>
      <c r="R140" s="210"/>
      <c r="S140" s="415"/>
    </row>
    <row r="141" spans="1:21" ht="23.25">
      <c r="A141" s="415"/>
      <c r="B141" s="211"/>
      <c r="C141" s="209"/>
      <c r="D141" s="209"/>
      <c r="E141" s="209"/>
      <c r="F141" s="209"/>
      <c r="G141" s="209"/>
      <c r="H141" s="209"/>
      <c r="I141" s="209"/>
      <c r="J141" s="209"/>
      <c r="K141" s="209"/>
      <c r="L141" s="209"/>
      <c r="M141" s="209"/>
      <c r="N141" s="209"/>
      <c r="O141" s="209"/>
      <c r="P141" s="209"/>
      <c r="Q141" s="209"/>
      <c r="R141" s="210"/>
      <c r="S141" s="415"/>
    </row>
    <row r="142" spans="1:21" ht="23.25">
      <c r="A142" s="415"/>
      <c r="B142" s="211"/>
      <c r="C142" s="209"/>
      <c r="D142" s="209"/>
      <c r="E142" s="209"/>
      <c r="F142" s="209"/>
      <c r="G142" s="209"/>
      <c r="H142" s="209"/>
      <c r="I142" s="209"/>
      <c r="J142" s="209"/>
      <c r="K142" s="209"/>
      <c r="L142" s="209"/>
      <c r="M142" s="209"/>
      <c r="N142" s="209"/>
      <c r="O142" s="209"/>
      <c r="P142" s="209"/>
      <c r="Q142" s="209"/>
      <c r="R142" s="210"/>
      <c r="S142" s="415"/>
    </row>
    <row r="143" spans="1:21" ht="23.25">
      <c r="A143" s="415"/>
      <c r="B143" s="211"/>
      <c r="C143" s="209"/>
      <c r="D143" s="209"/>
      <c r="E143" s="209"/>
      <c r="F143" s="209"/>
      <c r="G143" s="209"/>
      <c r="H143" s="209"/>
      <c r="I143" s="209"/>
      <c r="J143" s="209"/>
      <c r="K143" s="209"/>
      <c r="L143" s="209"/>
      <c r="M143" s="209"/>
      <c r="N143" s="209"/>
      <c r="O143" s="209"/>
      <c r="P143" s="209"/>
      <c r="Q143" s="209"/>
      <c r="R143" s="210"/>
      <c r="S143" s="415"/>
    </row>
    <row r="144" spans="1:21" ht="23.25">
      <c r="A144" s="415"/>
      <c r="B144" s="211"/>
      <c r="C144" s="209"/>
      <c r="D144" s="209"/>
      <c r="E144" s="209"/>
      <c r="F144" s="209"/>
      <c r="G144" s="209"/>
      <c r="H144" s="209"/>
      <c r="I144" s="209"/>
      <c r="J144" s="209"/>
      <c r="K144" s="209"/>
      <c r="L144" s="209"/>
      <c r="M144" s="209"/>
      <c r="N144" s="209"/>
      <c r="O144" s="209"/>
      <c r="P144" s="209"/>
      <c r="Q144" s="209"/>
      <c r="R144" s="210"/>
      <c r="S144" s="415"/>
    </row>
    <row r="145" spans="1:19" ht="23.25">
      <c r="A145" s="415"/>
      <c r="B145" s="211"/>
      <c r="C145" s="209"/>
      <c r="D145" s="209"/>
      <c r="E145" s="209"/>
      <c r="F145" s="209"/>
      <c r="G145" s="209"/>
      <c r="H145" s="209"/>
      <c r="I145" s="209"/>
      <c r="J145" s="209"/>
      <c r="K145" s="209"/>
      <c r="L145" s="209"/>
      <c r="M145" s="209"/>
      <c r="N145" s="209"/>
      <c r="O145" s="209"/>
      <c r="P145" s="209"/>
      <c r="Q145" s="209"/>
      <c r="R145" s="210"/>
      <c r="S145" s="415"/>
    </row>
    <row r="146" spans="1:19" ht="23.25">
      <c r="A146" s="415"/>
      <c r="B146" s="211"/>
      <c r="C146" s="209"/>
      <c r="D146" s="209"/>
      <c r="E146" s="209"/>
      <c r="F146" s="209"/>
      <c r="G146" s="209"/>
      <c r="H146" s="209"/>
      <c r="I146" s="209"/>
      <c r="J146" s="209"/>
      <c r="K146" s="209"/>
      <c r="L146" s="209"/>
      <c r="M146" s="209"/>
      <c r="N146" s="209"/>
      <c r="O146" s="209"/>
      <c r="P146" s="209"/>
      <c r="Q146" s="209"/>
      <c r="R146" s="210"/>
      <c r="S146" s="415"/>
    </row>
    <row r="147" spans="1:19" ht="23.25">
      <c r="A147" s="415"/>
      <c r="B147" s="211"/>
      <c r="C147" s="209"/>
      <c r="D147" s="209"/>
      <c r="E147" s="209"/>
      <c r="F147" s="209"/>
      <c r="G147" s="209"/>
      <c r="H147" s="209"/>
      <c r="I147" s="209"/>
      <c r="J147" s="209"/>
      <c r="K147" s="209"/>
      <c r="L147" s="209"/>
      <c r="M147" s="209"/>
      <c r="N147" s="209"/>
      <c r="O147" s="209"/>
      <c r="P147" s="209"/>
      <c r="Q147" s="209"/>
      <c r="R147" s="210"/>
      <c r="S147" s="415"/>
    </row>
    <row r="148" spans="1:19" ht="23.25">
      <c r="A148" s="415"/>
      <c r="B148" s="211"/>
      <c r="C148" s="209"/>
      <c r="D148" s="209"/>
      <c r="E148" s="209"/>
      <c r="F148" s="209"/>
      <c r="G148" s="209"/>
      <c r="H148" s="209"/>
      <c r="I148" s="209"/>
      <c r="J148" s="209"/>
      <c r="K148" s="209"/>
      <c r="L148" s="209"/>
      <c r="M148" s="209"/>
      <c r="N148" s="209"/>
      <c r="O148" s="209"/>
      <c r="P148" s="209"/>
      <c r="Q148" s="209"/>
      <c r="R148" s="210"/>
      <c r="S148" s="415"/>
    </row>
    <row r="149" spans="1:19" ht="23.25">
      <c r="A149" s="415"/>
      <c r="B149" s="211"/>
      <c r="C149" s="209"/>
      <c r="D149" s="209"/>
      <c r="E149" s="209"/>
      <c r="F149" s="209"/>
      <c r="G149" s="209"/>
      <c r="H149" s="209"/>
      <c r="I149" s="209"/>
      <c r="J149" s="209"/>
      <c r="K149" s="209"/>
      <c r="L149" s="209"/>
      <c r="M149" s="209"/>
      <c r="N149" s="209"/>
      <c r="O149" s="209"/>
      <c r="P149" s="209"/>
      <c r="Q149" s="209"/>
      <c r="R149" s="210"/>
      <c r="S149" s="415"/>
    </row>
    <row r="150" spans="1:19" ht="23.25">
      <c r="A150" s="415"/>
      <c r="B150" s="211"/>
      <c r="C150" s="209"/>
      <c r="D150" s="209"/>
      <c r="E150" s="209"/>
      <c r="F150" s="209"/>
      <c r="G150" s="209"/>
      <c r="H150" s="209"/>
      <c r="I150" s="209"/>
      <c r="J150" s="209"/>
      <c r="K150" s="209"/>
      <c r="L150" s="209"/>
      <c r="M150" s="209"/>
      <c r="N150" s="209"/>
      <c r="O150" s="209"/>
      <c r="P150" s="209"/>
      <c r="Q150" s="209"/>
      <c r="R150" s="210"/>
      <c r="S150" s="415"/>
    </row>
    <row r="151" spans="1:19" ht="23.25">
      <c r="A151" s="415"/>
      <c r="B151" s="211"/>
      <c r="C151" s="209"/>
      <c r="D151" s="209"/>
      <c r="E151" s="209"/>
      <c r="F151" s="209"/>
      <c r="G151" s="209"/>
      <c r="H151" s="209"/>
      <c r="I151" s="209"/>
      <c r="J151" s="209"/>
      <c r="K151" s="209"/>
      <c r="L151" s="209"/>
      <c r="M151" s="209"/>
      <c r="N151" s="209"/>
      <c r="O151" s="209"/>
      <c r="P151" s="209"/>
      <c r="Q151" s="209"/>
      <c r="R151" s="210"/>
      <c r="S151" s="415"/>
    </row>
    <row r="152" spans="1:19" ht="23.25">
      <c r="A152" s="415"/>
      <c r="B152" s="211"/>
      <c r="C152" s="209"/>
      <c r="D152" s="209"/>
      <c r="E152" s="209"/>
      <c r="F152" s="209"/>
      <c r="G152" s="209"/>
      <c r="H152" s="209"/>
      <c r="I152" s="209"/>
      <c r="J152" s="209"/>
      <c r="K152" s="209"/>
      <c r="L152" s="209"/>
      <c r="M152" s="209"/>
      <c r="N152" s="209"/>
      <c r="O152" s="209"/>
      <c r="P152" s="209"/>
      <c r="Q152" s="209"/>
      <c r="R152" s="210"/>
      <c r="S152" s="415"/>
    </row>
    <row r="153" spans="1:19" ht="23.25">
      <c r="A153" s="415"/>
      <c r="B153" s="211"/>
      <c r="C153" s="209"/>
      <c r="D153" s="209"/>
      <c r="E153" s="209"/>
      <c r="F153" s="209"/>
      <c r="G153" s="209"/>
      <c r="H153" s="209"/>
      <c r="I153" s="209"/>
      <c r="J153" s="209"/>
      <c r="K153" s="209"/>
      <c r="L153" s="209"/>
      <c r="M153" s="209"/>
      <c r="N153" s="209"/>
      <c r="O153" s="209"/>
      <c r="P153" s="209"/>
      <c r="Q153" s="209"/>
      <c r="R153" s="210"/>
      <c r="S153" s="415"/>
    </row>
    <row r="154" spans="1:19" ht="23.25">
      <c r="A154" s="415"/>
      <c r="B154" s="211"/>
      <c r="C154" s="209"/>
      <c r="D154" s="209"/>
      <c r="E154" s="209"/>
      <c r="F154" s="209"/>
      <c r="G154" s="209"/>
      <c r="H154" s="209"/>
      <c r="I154" s="209"/>
      <c r="J154" s="209"/>
      <c r="K154" s="209"/>
      <c r="L154" s="209"/>
      <c r="M154" s="209"/>
      <c r="N154" s="209"/>
      <c r="O154" s="209"/>
      <c r="P154" s="209"/>
      <c r="Q154" s="209"/>
      <c r="R154" s="210"/>
      <c r="S154" s="415"/>
    </row>
    <row r="155" spans="1:19" ht="23.25">
      <c r="A155" s="415"/>
      <c r="B155" s="211"/>
      <c r="C155" s="209"/>
      <c r="D155" s="209"/>
      <c r="E155" s="209"/>
      <c r="F155" s="209"/>
      <c r="G155" s="209"/>
      <c r="H155" s="209"/>
      <c r="I155" s="209"/>
      <c r="J155" s="209"/>
      <c r="K155" s="209"/>
      <c r="L155" s="209"/>
      <c r="M155" s="209"/>
      <c r="N155" s="209"/>
      <c r="O155" s="209"/>
      <c r="P155" s="209"/>
      <c r="Q155" s="209"/>
      <c r="R155" s="210"/>
      <c r="S155" s="415"/>
    </row>
    <row r="156" spans="1:19" ht="23.25">
      <c r="A156" s="415"/>
      <c r="B156" s="211"/>
      <c r="C156" s="209"/>
      <c r="D156" s="209"/>
      <c r="E156" s="209"/>
      <c r="F156" s="209"/>
      <c r="G156" s="209"/>
      <c r="H156" s="209"/>
      <c r="I156" s="209"/>
      <c r="J156" s="209"/>
      <c r="K156" s="209"/>
      <c r="L156" s="209"/>
      <c r="M156" s="209"/>
      <c r="N156" s="209"/>
      <c r="O156" s="209"/>
      <c r="P156" s="209"/>
      <c r="Q156" s="209"/>
      <c r="R156" s="210"/>
      <c r="S156" s="415"/>
    </row>
    <row r="157" spans="1:19" ht="23.25">
      <c r="A157" s="415"/>
      <c r="B157" s="211"/>
      <c r="C157" s="209"/>
      <c r="D157" s="209"/>
      <c r="E157" s="209"/>
      <c r="F157" s="209"/>
      <c r="G157" s="209"/>
      <c r="H157" s="209"/>
      <c r="I157" s="209"/>
      <c r="J157" s="209"/>
      <c r="K157" s="209"/>
      <c r="L157" s="209"/>
      <c r="M157" s="209"/>
      <c r="N157" s="209"/>
      <c r="O157" s="209"/>
      <c r="P157" s="209"/>
      <c r="Q157" s="209"/>
      <c r="R157" s="210"/>
      <c r="S157" s="415"/>
    </row>
    <row r="158" spans="1:19" ht="23.25">
      <c r="A158" s="415"/>
      <c r="B158" s="211"/>
      <c r="C158" s="209"/>
      <c r="D158" s="209"/>
      <c r="E158" s="209"/>
      <c r="F158" s="209"/>
      <c r="G158" s="209"/>
      <c r="H158" s="209"/>
      <c r="I158" s="209"/>
      <c r="J158" s="209"/>
      <c r="K158" s="209"/>
      <c r="L158" s="209"/>
      <c r="M158" s="209"/>
      <c r="N158" s="209"/>
      <c r="O158" s="209"/>
      <c r="P158" s="209"/>
      <c r="Q158" s="209"/>
      <c r="R158" s="210"/>
      <c r="S158" s="415"/>
    </row>
    <row r="159" spans="1:19" ht="23.25">
      <c r="A159" s="415"/>
      <c r="B159" s="211"/>
      <c r="C159" s="209"/>
      <c r="D159" s="209"/>
      <c r="E159" s="209"/>
      <c r="F159" s="209"/>
      <c r="G159" s="209"/>
      <c r="H159" s="209"/>
      <c r="I159" s="209"/>
      <c r="J159" s="209"/>
      <c r="K159" s="209"/>
      <c r="L159" s="209"/>
      <c r="M159" s="209"/>
      <c r="N159" s="209"/>
      <c r="O159" s="209"/>
      <c r="P159" s="209"/>
      <c r="Q159" s="209"/>
      <c r="R159" s="210"/>
      <c r="S159" s="415"/>
    </row>
    <row r="160" spans="1:19" ht="23.25">
      <c r="A160" s="415"/>
      <c r="B160" s="211"/>
      <c r="C160" s="209"/>
      <c r="D160" s="209"/>
      <c r="E160" s="209"/>
      <c r="F160" s="209"/>
      <c r="G160" s="209"/>
      <c r="H160" s="209"/>
      <c r="I160" s="209"/>
      <c r="J160" s="209"/>
      <c r="K160" s="209"/>
      <c r="L160" s="209"/>
      <c r="M160" s="209"/>
      <c r="N160" s="209"/>
      <c r="O160" s="209"/>
      <c r="P160" s="209"/>
      <c r="Q160" s="209"/>
      <c r="R160" s="210"/>
      <c r="S160" s="415"/>
    </row>
    <row r="161" spans="1:19" ht="23.25">
      <c r="A161" s="415"/>
      <c r="B161" s="211"/>
      <c r="C161" s="209"/>
      <c r="D161" s="209"/>
      <c r="E161" s="209"/>
      <c r="F161" s="209"/>
      <c r="G161" s="209"/>
      <c r="H161" s="209"/>
      <c r="I161" s="209"/>
      <c r="J161" s="209"/>
      <c r="K161" s="209"/>
      <c r="L161" s="209"/>
      <c r="M161" s="209"/>
      <c r="N161" s="209"/>
      <c r="O161" s="209"/>
      <c r="P161" s="209"/>
      <c r="Q161" s="209"/>
      <c r="R161" s="210"/>
      <c r="S161" s="415"/>
    </row>
    <row r="162" spans="1:19" ht="23.25">
      <c r="A162" s="415"/>
      <c r="B162" s="211"/>
      <c r="C162" s="209"/>
      <c r="D162" s="209"/>
      <c r="E162" s="209"/>
      <c r="F162" s="209"/>
      <c r="G162" s="209"/>
      <c r="H162" s="209"/>
      <c r="I162" s="209"/>
      <c r="J162" s="209"/>
      <c r="K162" s="209"/>
      <c r="L162" s="209"/>
      <c r="M162" s="209"/>
      <c r="N162" s="209"/>
      <c r="O162" s="209"/>
      <c r="P162" s="209"/>
      <c r="Q162" s="209"/>
      <c r="R162" s="210"/>
      <c r="S162" s="415"/>
    </row>
    <row r="163" spans="1:19" ht="23.25">
      <c r="A163" s="415"/>
      <c r="B163" s="211"/>
      <c r="C163" s="209"/>
      <c r="D163" s="209"/>
      <c r="E163" s="209"/>
      <c r="F163" s="209"/>
      <c r="G163" s="209"/>
      <c r="H163" s="209"/>
      <c r="I163" s="209"/>
      <c r="J163" s="209"/>
      <c r="K163" s="209"/>
      <c r="L163" s="209"/>
      <c r="M163" s="209"/>
      <c r="N163" s="209"/>
      <c r="O163" s="209"/>
      <c r="P163" s="209"/>
      <c r="Q163" s="209"/>
      <c r="R163" s="210"/>
      <c r="S163" s="415"/>
    </row>
    <row r="164" spans="1:19" ht="23.25">
      <c r="A164" s="415"/>
      <c r="B164" s="211"/>
      <c r="C164" s="209"/>
      <c r="D164" s="209"/>
      <c r="E164" s="209"/>
      <c r="F164" s="209"/>
      <c r="G164" s="209"/>
      <c r="H164" s="209"/>
      <c r="I164" s="209"/>
      <c r="J164" s="209"/>
      <c r="K164" s="209"/>
      <c r="L164" s="209"/>
      <c r="M164" s="209"/>
      <c r="N164" s="209"/>
      <c r="O164" s="209"/>
      <c r="P164" s="209"/>
      <c r="Q164" s="209"/>
      <c r="R164" s="210"/>
      <c r="S164" s="415"/>
    </row>
    <row r="165" spans="1:19" ht="23.25">
      <c r="A165" s="415"/>
      <c r="B165" s="211"/>
      <c r="C165" s="209"/>
      <c r="D165" s="209"/>
      <c r="E165" s="209"/>
      <c r="F165" s="209"/>
      <c r="G165" s="209"/>
      <c r="H165" s="209"/>
      <c r="I165" s="209"/>
      <c r="J165" s="209"/>
      <c r="K165" s="209"/>
      <c r="L165" s="209"/>
      <c r="M165" s="209"/>
      <c r="N165" s="209"/>
      <c r="O165" s="209"/>
      <c r="P165" s="209"/>
      <c r="Q165" s="209"/>
      <c r="R165" s="210"/>
      <c r="S165" s="415"/>
    </row>
    <row r="166" spans="1:19" ht="23.25">
      <c r="A166" s="415"/>
      <c r="B166" s="211"/>
      <c r="C166" s="209"/>
      <c r="D166" s="209"/>
      <c r="E166" s="209"/>
      <c r="F166" s="209"/>
      <c r="G166" s="209"/>
      <c r="H166" s="209"/>
      <c r="I166" s="209"/>
      <c r="J166" s="209"/>
      <c r="K166" s="209"/>
      <c r="L166" s="209"/>
      <c r="M166" s="209"/>
      <c r="N166" s="209"/>
      <c r="O166" s="209"/>
      <c r="P166" s="209"/>
      <c r="Q166" s="209"/>
      <c r="R166" s="210"/>
      <c r="S166" s="415"/>
    </row>
    <row r="167" spans="1:19" ht="23.25">
      <c r="A167" s="415"/>
      <c r="B167" s="211"/>
      <c r="C167" s="209"/>
      <c r="D167" s="209"/>
      <c r="E167" s="209"/>
      <c r="F167" s="209"/>
      <c r="G167" s="209"/>
      <c r="H167" s="209"/>
      <c r="I167" s="209"/>
      <c r="J167" s="209"/>
      <c r="K167" s="209"/>
      <c r="L167" s="209"/>
      <c r="M167" s="209"/>
      <c r="N167" s="209"/>
      <c r="O167" s="209"/>
      <c r="P167" s="209"/>
      <c r="Q167" s="209"/>
      <c r="R167" s="210"/>
      <c r="S167" s="415"/>
    </row>
    <row r="168" spans="1:19" ht="23.25">
      <c r="A168" s="415"/>
      <c r="B168" s="211"/>
      <c r="C168" s="209"/>
      <c r="D168" s="209"/>
      <c r="E168" s="209"/>
      <c r="F168" s="209"/>
      <c r="G168" s="209"/>
      <c r="H168" s="209"/>
      <c r="I168" s="209"/>
      <c r="J168" s="209"/>
      <c r="K168" s="209"/>
      <c r="L168" s="209"/>
      <c r="M168" s="209"/>
      <c r="N168" s="209"/>
      <c r="O168" s="209"/>
      <c r="P168" s="209"/>
      <c r="Q168" s="209"/>
      <c r="R168" s="210"/>
      <c r="S168" s="415"/>
    </row>
    <row r="169" spans="1:19" ht="23.25">
      <c r="A169" s="415"/>
      <c r="B169" s="211"/>
      <c r="C169" s="209"/>
      <c r="D169" s="209"/>
      <c r="E169" s="209"/>
      <c r="F169" s="209"/>
      <c r="G169" s="209"/>
      <c r="H169" s="209"/>
      <c r="I169" s="209"/>
      <c r="J169" s="209"/>
      <c r="K169" s="209"/>
      <c r="L169" s="209"/>
      <c r="M169" s="209"/>
      <c r="N169" s="209"/>
      <c r="O169" s="209"/>
      <c r="P169" s="209"/>
      <c r="Q169" s="209"/>
      <c r="R169" s="210"/>
      <c r="S169" s="415"/>
    </row>
    <row r="170" spans="1:19" ht="23.25">
      <c r="A170" s="415"/>
      <c r="B170" s="211"/>
      <c r="C170" s="209"/>
      <c r="D170" s="209"/>
      <c r="E170" s="209"/>
      <c r="F170" s="209"/>
      <c r="G170" s="209"/>
      <c r="H170" s="209"/>
      <c r="I170" s="209"/>
      <c r="J170" s="209"/>
      <c r="K170" s="209"/>
      <c r="L170" s="209"/>
      <c r="M170" s="209"/>
      <c r="N170" s="209"/>
      <c r="O170" s="209"/>
      <c r="P170" s="209"/>
      <c r="Q170" s="209"/>
      <c r="R170" s="210"/>
      <c r="S170" s="415"/>
    </row>
    <row r="171" spans="1:19" ht="23.25">
      <c r="A171" s="415"/>
      <c r="B171" s="211"/>
      <c r="C171" s="209"/>
      <c r="D171" s="209"/>
      <c r="E171" s="209"/>
      <c r="F171" s="209"/>
      <c r="G171" s="209"/>
      <c r="H171" s="209"/>
      <c r="I171" s="209"/>
      <c r="J171" s="209"/>
      <c r="K171" s="209"/>
      <c r="L171" s="209"/>
      <c r="M171" s="209"/>
      <c r="N171" s="209"/>
      <c r="O171" s="209"/>
      <c r="P171" s="209"/>
      <c r="Q171" s="209"/>
      <c r="R171" s="210"/>
      <c r="S171" s="415"/>
    </row>
    <row r="172" spans="1:19" ht="23.25">
      <c r="A172" s="415"/>
      <c r="B172" s="211"/>
      <c r="C172" s="209"/>
      <c r="D172" s="209"/>
      <c r="E172" s="209"/>
      <c r="F172" s="209"/>
      <c r="G172" s="209"/>
      <c r="H172" s="209"/>
      <c r="I172" s="209"/>
      <c r="J172" s="209"/>
      <c r="K172" s="209"/>
      <c r="L172" s="209"/>
      <c r="M172" s="209"/>
      <c r="N172" s="209"/>
      <c r="O172" s="209"/>
      <c r="P172" s="209"/>
      <c r="Q172" s="209"/>
      <c r="R172" s="210"/>
      <c r="S172" s="415"/>
    </row>
    <row r="173" spans="1:19" ht="23.25">
      <c r="A173" s="415"/>
      <c r="B173" s="211"/>
      <c r="C173" s="209"/>
      <c r="D173" s="209"/>
      <c r="E173" s="209"/>
      <c r="F173" s="209"/>
      <c r="G173" s="209"/>
      <c r="H173" s="209"/>
      <c r="I173" s="209"/>
      <c r="J173" s="209"/>
      <c r="K173" s="209"/>
      <c r="L173" s="209"/>
      <c r="M173" s="209"/>
      <c r="N173" s="209"/>
      <c r="O173" s="209"/>
      <c r="P173" s="209"/>
      <c r="Q173" s="209"/>
      <c r="R173" s="210"/>
      <c r="S173" s="415"/>
    </row>
    <row r="174" spans="1:19" ht="23.25">
      <c r="A174" s="415"/>
      <c r="B174" s="211"/>
      <c r="C174" s="209"/>
      <c r="D174" s="209"/>
      <c r="E174" s="209"/>
      <c r="F174" s="209"/>
      <c r="G174" s="209"/>
      <c r="H174" s="209"/>
      <c r="I174" s="209"/>
      <c r="J174" s="209"/>
      <c r="K174" s="209"/>
      <c r="L174" s="209"/>
      <c r="M174" s="209"/>
      <c r="N174" s="209"/>
      <c r="O174" s="209"/>
      <c r="P174" s="209"/>
      <c r="Q174" s="209"/>
      <c r="R174" s="210"/>
      <c r="S174" s="415"/>
    </row>
    <row r="175" spans="1:19" ht="23.25">
      <c r="A175" s="415"/>
      <c r="B175" s="211"/>
      <c r="C175" s="209"/>
      <c r="D175" s="209"/>
      <c r="E175" s="209"/>
      <c r="F175" s="209"/>
      <c r="G175" s="209"/>
      <c r="H175" s="209"/>
      <c r="I175" s="209"/>
      <c r="J175" s="209"/>
      <c r="K175" s="209"/>
      <c r="L175" s="209"/>
      <c r="M175" s="209"/>
      <c r="N175" s="209"/>
      <c r="O175" s="209"/>
      <c r="P175" s="209"/>
      <c r="Q175" s="209"/>
      <c r="R175" s="210"/>
      <c r="S175" s="415"/>
    </row>
    <row r="176" spans="1:19" ht="23.25">
      <c r="A176" s="415"/>
      <c r="B176" s="211"/>
      <c r="C176" s="209"/>
      <c r="D176" s="209"/>
      <c r="E176" s="209"/>
      <c r="F176" s="209"/>
      <c r="G176" s="209"/>
      <c r="H176" s="209"/>
      <c r="I176" s="209"/>
      <c r="J176" s="209"/>
      <c r="K176" s="209"/>
      <c r="L176" s="209"/>
      <c r="M176" s="209"/>
      <c r="N176" s="209"/>
      <c r="O176" s="209"/>
      <c r="P176" s="209"/>
      <c r="Q176" s="209"/>
      <c r="R176" s="210"/>
      <c r="S176" s="415"/>
    </row>
    <row r="177" spans="1:19" ht="23.25">
      <c r="A177" s="415"/>
      <c r="B177" s="211"/>
      <c r="C177" s="209"/>
      <c r="D177" s="209"/>
      <c r="E177" s="209"/>
      <c r="F177" s="209"/>
      <c r="G177" s="209"/>
      <c r="H177" s="209"/>
      <c r="I177" s="209"/>
      <c r="J177" s="209"/>
      <c r="K177" s="209"/>
      <c r="L177" s="209"/>
      <c r="M177" s="209"/>
      <c r="N177" s="209"/>
      <c r="O177" s="209"/>
      <c r="P177" s="209"/>
      <c r="Q177" s="209"/>
      <c r="R177" s="210"/>
      <c r="S177" s="415"/>
    </row>
    <row r="178" spans="1:19" ht="23.25">
      <c r="A178" s="415"/>
      <c r="B178" s="211"/>
      <c r="C178" s="209"/>
      <c r="D178" s="209"/>
      <c r="E178" s="209"/>
      <c r="F178" s="209"/>
      <c r="G178" s="209"/>
      <c r="H178" s="209"/>
      <c r="I178" s="209"/>
      <c r="J178" s="209"/>
      <c r="K178" s="209"/>
      <c r="L178" s="209"/>
      <c r="M178" s="209"/>
      <c r="N178" s="209"/>
      <c r="O178" s="209"/>
      <c r="P178" s="209"/>
      <c r="Q178" s="209"/>
      <c r="R178" s="210"/>
      <c r="S178" s="415"/>
    </row>
    <row r="179" spans="1:19" ht="23.25">
      <c r="A179" s="415"/>
      <c r="B179" s="211"/>
      <c r="C179" s="209"/>
      <c r="D179" s="209"/>
      <c r="E179" s="209"/>
      <c r="F179" s="209"/>
      <c r="G179" s="209"/>
      <c r="H179" s="209"/>
      <c r="I179" s="209"/>
      <c r="J179" s="209"/>
      <c r="K179" s="209"/>
      <c r="L179" s="209"/>
      <c r="M179" s="209"/>
      <c r="N179" s="209"/>
      <c r="O179" s="209"/>
      <c r="P179" s="209"/>
      <c r="Q179" s="209"/>
      <c r="R179" s="210"/>
      <c r="S179" s="415"/>
    </row>
    <row r="180" spans="1:19" ht="23.25">
      <c r="A180" s="415"/>
      <c r="B180" s="211"/>
      <c r="C180" s="209"/>
      <c r="D180" s="209"/>
      <c r="E180" s="209"/>
      <c r="F180" s="209"/>
      <c r="G180" s="209"/>
      <c r="H180" s="209"/>
      <c r="I180" s="209"/>
      <c r="J180" s="209"/>
      <c r="K180" s="209"/>
      <c r="L180" s="209"/>
      <c r="M180" s="209"/>
      <c r="N180" s="209"/>
      <c r="O180" s="209"/>
      <c r="P180" s="209"/>
      <c r="Q180" s="209"/>
      <c r="R180" s="210"/>
      <c r="S180" s="415"/>
    </row>
    <row r="181" spans="1:19" ht="23.25">
      <c r="A181" s="415"/>
      <c r="B181" s="431"/>
      <c r="C181" s="432"/>
      <c r="D181" s="432"/>
      <c r="E181" s="432"/>
      <c r="F181" s="432"/>
      <c r="G181" s="432"/>
      <c r="H181" s="432"/>
      <c r="I181" s="432"/>
      <c r="J181" s="432"/>
      <c r="K181" s="432"/>
      <c r="L181" s="432"/>
      <c r="M181" s="432"/>
      <c r="N181" s="432"/>
      <c r="O181" s="432"/>
      <c r="P181" s="432"/>
      <c r="Q181" s="432"/>
      <c r="R181" s="433"/>
      <c r="S181" s="415"/>
    </row>
    <row r="182" spans="1:19" ht="23.25">
      <c r="A182" s="415"/>
      <c r="B182" s="434"/>
      <c r="C182" s="434"/>
      <c r="D182" s="434"/>
      <c r="E182" s="434"/>
      <c r="F182" s="434"/>
      <c r="G182" s="434"/>
      <c r="H182" s="434"/>
      <c r="I182" s="434"/>
      <c r="J182" s="434"/>
      <c r="K182" s="434"/>
      <c r="L182" s="434"/>
      <c r="M182" s="434"/>
      <c r="N182" s="434"/>
      <c r="O182" s="434"/>
      <c r="P182" s="434"/>
      <c r="Q182" s="434"/>
      <c r="R182" s="434"/>
      <c r="S182" s="415"/>
    </row>
    <row r="183" spans="1:19" ht="23.25">
      <c r="A183" s="415"/>
      <c r="B183" s="205" t="s">
        <v>340</v>
      </c>
      <c r="C183" s="394"/>
      <c r="D183" s="394"/>
      <c r="E183" s="394"/>
      <c r="F183" s="394"/>
      <c r="G183" s="394"/>
      <c r="H183" s="394"/>
      <c r="I183" s="394"/>
      <c r="J183" s="394"/>
      <c r="K183" s="394"/>
      <c r="L183" s="394"/>
      <c r="M183" s="394"/>
      <c r="N183" s="394"/>
      <c r="O183" s="394"/>
      <c r="P183" s="394"/>
      <c r="Q183" s="394"/>
      <c r="R183" s="395"/>
      <c r="S183" s="415"/>
    </row>
    <row r="184" spans="1:19" ht="23.25">
      <c r="A184" s="415"/>
      <c r="B184" s="211"/>
      <c r="C184" s="209"/>
      <c r="D184" s="209"/>
      <c r="E184" s="209"/>
      <c r="F184" s="209"/>
      <c r="G184" s="209"/>
      <c r="H184" s="209"/>
      <c r="I184" s="209"/>
      <c r="J184" s="209"/>
      <c r="K184" s="209"/>
      <c r="L184" s="209"/>
      <c r="M184" s="209"/>
      <c r="N184" s="209"/>
      <c r="O184" s="209"/>
      <c r="P184" s="209"/>
      <c r="Q184" s="209"/>
      <c r="R184" s="210"/>
      <c r="S184" s="415"/>
    </row>
    <row r="185" spans="1:19" ht="23.25">
      <c r="A185" s="415"/>
      <c r="B185" s="211"/>
      <c r="C185" s="209"/>
      <c r="D185" s="209"/>
      <c r="E185" s="209"/>
      <c r="F185" s="209"/>
      <c r="G185" s="209"/>
      <c r="H185" s="209"/>
      <c r="I185" s="209"/>
      <c r="J185" s="209"/>
      <c r="K185" s="209"/>
      <c r="L185" s="209"/>
      <c r="M185" s="209"/>
      <c r="N185" s="209"/>
      <c r="O185" s="209"/>
      <c r="P185" s="209"/>
      <c r="Q185" s="209"/>
      <c r="R185" s="210"/>
      <c r="S185" s="415"/>
    </row>
    <row r="186" spans="1:19" ht="23.25">
      <c r="A186" s="415"/>
      <c r="B186" s="211"/>
      <c r="C186" s="209"/>
      <c r="D186" s="209"/>
      <c r="E186" s="209"/>
      <c r="F186" s="209"/>
      <c r="G186" s="209"/>
      <c r="H186" s="209"/>
      <c r="I186" s="209"/>
      <c r="J186" s="209"/>
      <c r="K186" s="209"/>
      <c r="L186" s="209"/>
      <c r="M186" s="209"/>
      <c r="N186" s="209"/>
      <c r="O186" s="209"/>
      <c r="P186" s="209"/>
      <c r="Q186" s="209"/>
      <c r="R186" s="210"/>
      <c r="S186" s="415"/>
    </row>
    <row r="187" spans="1:19" ht="23.25">
      <c r="A187" s="415"/>
      <c r="B187" s="211"/>
      <c r="C187" s="209"/>
      <c r="D187" s="209"/>
      <c r="E187" s="209"/>
      <c r="F187" s="209"/>
      <c r="G187" s="209"/>
      <c r="H187" s="209"/>
      <c r="I187" s="209"/>
      <c r="J187" s="209"/>
      <c r="K187" s="209"/>
      <c r="L187" s="209"/>
      <c r="M187" s="209"/>
      <c r="N187" s="209"/>
      <c r="O187" s="209"/>
      <c r="P187" s="209"/>
      <c r="Q187" s="209"/>
      <c r="R187" s="210"/>
      <c r="S187" s="415"/>
    </row>
    <row r="188" spans="1:19" ht="23.25">
      <c r="A188" s="415"/>
      <c r="B188" s="211"/>
      <c r="C188" s="209"/>
      <c r="D188" s="209"/>
      <c r="E188" s="209"/>
      <c r="F188" s="209"/>
      <c r="G188" s="209"/>
      <c r="H188" s="209"/>
      <c r="I188" s="209"/>
      <c r="J188" s="209"/>
      <c r="K188" s="209"/>
      <c r="L188" s="209"/>
      <c r="M188" s="209"/>
      <c r="N188" s="209"/>
      <c r="O188" s="209"/>
      <c r="P188" s="209"/>
      <c r="Q188" s="209"/>
      <c r="R188" s="210"/>
      <c r="S188" s="415"/>
    </row>
    <row r="189" spans="1:19" ht="23.25">
      <c r="A189" s="415"/>
      <c r="B189" s="211"/>
      <c r="C189" s="209"/>
      <c r="D189" s="209"/>
      <c r="E189" s="209"/>
      <c r="F189" s="209"/>
      <c r="G189" s="209"/>
      <c r="H189" s="209"/>
      <c r="I189" s="209"/>
      <c r="J189" s="209"/>
      <c r="K189" s="209"/>
      <c r="L189" s="209"/>
      <c r="M189" s="209"/>
      <c r="N189" s="209"/>
      <c r="O189" s="209"/>
      <c r="P189" s="209"/>
      <c r="Q189" s="209"/>
      <c r="R189" s="210"/>
      <c r="S189" s="415"/>
    </row>
    <row r="190" spans="1:19" ht="23.25">
      <c r="A190" s="415"/>
      <c r="B190" s="211"/>
      <c r="C190" s="209"/>
      <c r="D190" s="209"/>
      <c r="E190" s="209"/>
      <c r="F190" s="209"/>
      <c r="G190" s="209"/>
      <c r="H190" s="209"/>
      <c r="I190" s="209"/>
      <c r="J190" s="209"/>
      <c r="K190" s="209"/>
      <c r="L190" s="209"/>
      <c r="M190" s="209"/>
      <c r="N190" s="209"/>
      <c r="O190" s="209"/>
      <c r="P190" s="209"/>
      <c r="Q190" s="209"/>
      <c r="R190" s="210"/>
      <c r="S190" s="415"/>
    </row>
    <row r="191" spans="1:19" ht="23.25">
      <c r="A191" s="415"/>
      <c r="B191" s="211"/>
      <c r="C191" s="209"/>
      <c r="D191" s="209"/>
      <c r="E191" s="209"/>
      <c r="F191" s="209"/>
      <c r="G191" s="209"/>
      <c r="H191" s="209"/>
      <c r="I191" s="209"/>
      <c r="J191" s="209"/>
      <c r="K191" s="209"/>
      <c r="L191" s="209"/>
      <c r="M191" s="209"/>
      <c r="N191" s="209"/>
      <c r="O191" s="209"/>
      <c r="P191" s="209"/>
      <c r="Q191" s="209"/>
      <c r="R191" s="210"/>
      <c r="S191" s="415"/>
    </row>
    <row r="192" spans="1:19" ht="23.25">
      <c r="A192" s="415"/>
      <c r="B192" s="211"/>
      <c r="C192" s="209"/>
      <c r="D192" s="209"/>
      <c r="E192" s="209"/>
      <c r="F192" s="209"/>
      <c r="G192" s="209"/>
      <c r="H192" s="209"/>
      <c r="I192" s="209"/>
      <c r="J192" s="209"/>
      <c r="K192" s="209"/>
      <c r="L192" s="209"/>
      <c r="M192" s="209"/>
      <c r="N192" s="209"/>
      <c r="O192" s="209"/>
      <c r="P192" s="209"/>
      <c r="Q192" s="209"/>
      <c r="R192" s="210"/>
      <c r="S192" s="415"/>
    </row>
    <row r="193" spans="1:19" ht="23.25">
      <c r="A193" s="415"/>
      <c r="B193" s="211"/>
      <c r="C193" s="209"/>
      <c r="D193" s="209"/>
      <c r="E193" s="209"/>
      <c r="F193" s="209"/>
      <c r="G193" s="209"/>
      <c r="H193" s="209"/>
      <c r="I193" s="209"/>
      <c r="J193" s="209"/>
      <c r="K193" s="209"/>
      <c r="L193" s="209"/>
      <c r="M193" s="209"/>
      <c r="N193" s="209"/>
      <c r="O193" s="209"/>
      <c r="P193" s="209"/>
      <c r="Q193" s="209"/>
      <c r="R193" s="210"/>
      <c r="S193" s="415"/>
    </row>
    <row r="194" spans="1:19" ht="23.25">
      <c r="A194" s="415"/>
      <c r="B194" s="211"/>
      <c r="C194" s="209"/>
      <c r="D194" s="209"/>
      <c r="E194" s="209"/>
      <c r="F194" s="209"/>
      <c r="G194" s="209"/>
      <c r="H194" s="209"/>
      <c r="I194" s="209"/>
      <c r="J194" s="209"/>
      <c r="K194" s="209"/>
      <c r="L194" s="209"/>
      <c r="M194" s="209"/>
      <c r="N194" s="209"/>
      <c r="O194" s="209"/>
      <c r="P194" s="209"/>
      <c r="Q194" s="209"/>
      <c r="R194" s="210"/>
      <c r="S194" s="415"/>
    </row>
    <row r="195" spans="1:19" ht="23.25">
      <c r="A195" s="415"/>
      <c r="B195" s="211"/>
      <c r="C195" s="209"/>
      <c r="D195" s="209"/>
      <c r="E195" s="209"/>
      <c r="F195" s="209"/>
      <c r="G195" s="209"/>
      <c r="H195" s="209"/>
      <c r="I195" s="209"/>
      <c r="J195" s="209"/>
      <c r="K195" s="209"/>
      <c r="L195" s="209"/>
      <c r="M195" s="209"/>
      <c r="N195" s="209"/>
      <c r="O195" s="209"/>
      <c r="P195" s="209"/>
      <c r="Q195" s="209"/>
      <c r="R195" s="210"/>
      <c r="S195" s="415"/>
    </row>
    <row r="196" spans="1:19" ht="23.25">
      <c r="A196" s="415"/>
      <c r="B196" s="431"/>
      <c r="C196" s="432"/>
      <c r="D196" s="432"/>
      <c r="E196" s="432"/>
      <c r="F196" s="432"/>
      <c r="G196" s="432"/>
      <c r="H196" s="432"/>
      <c r="I196" s="432"/>
      <c r="J196" s="432"/>
      <c r="K196" s="432"/>
      <c r="L196" s="432"/>
      <c r="M196" s="432"/>
      <c r="N196" s="432"/>
      <c r="O196" s="432"/>
      <c r="P196" s="432"/>
      <c r="Q196" s="432"/>
      <c r="R196" s="433"/>
      <c r="S196" s="415"/>
    </row>
    <row r="197" spans="1:19" ht="23.25">
      <c r="A197" s="415"/>
      <c r="B197" s="434"/>
      <c r="C197" s="434"/>
      <c r="D197" s="434"/>
      <c r="E197" s="434"/>
      <c r="F197" s="434"/>
      <c r="G197" s="434"/>
      <c r="H197" s="434"/>
      <c r="I197" s="434"/>
      <c r="J197" s="434"/>
      <c r="K197" s="434"/>
      <c r="L197" s="434"/>
      <c r="M197" s="434"/>
      <c r="N197" s="434"/>
      <c r="O197" s="434"/>
      <c r="P197" s="434"/>
      <c r="Q197" s="434"/>
      <c r="R197" s="434"/>
      <c r="S197" s="415"/>
    </row>
    <row r="198" spans="1:19" ht="23.25">
      <c r="A198" s="415"/>
      <c r="B198" s="551" t="s">
        <v>423</v>
      </c>
      <c r="C198" s="552"/>
      <c r="D198" s="552"/>
      <c r="E198" s="552"/>
      <c r="F198" s="552"/>
      <c r="G198" s="552"/>
      <c r="H198" s="552"/>
      <c r="I198" s="552"/>
      <c r="J198" s="552"/>
      <c r="K198" s="552"/>
      <c r="L198" s="552"/>
      <c r="M198" s="552"/>
      <c r="N198" s="552"/>
      <c r="O198" s="552"/>
      <c r="P198" s="552"/>
      <c r="Q198" s="552"/>
      <c r="R198" s="553"/>
      <c r="S198" s="415"/>
    </row>
    <row r="199" spans="1:19" ht="23.25">
      <c r="A199" s="415"/>
      <c r="B199" s="211"/>
      <c r="C199" s="209"/>
      <c r="D199" s="209"/>
      <c r="E199" s="209"/>
      <c r="F199" s="209"/>
      <c r="G199" s="209"/>
      <c r="H199" s="209"/>
      <c r="I199" s="209"/>
      <c r="J199" s="209"/>
      <c r="K199" s="209"/>
      <c r="L199" s="209"/>
      <c r="M199" s="209"/>
      <c r="N199" s="209"/>
      <c r="O199" s="209"/>
      <c r="P199" s="209"/>
      <c r="Q199" s="209"/>
      <c r="R199" s="210"/>
      <c r="S199" s="415"/>
    </row>
    <row r="200" spans="1:19" ht="23.25">
      <c r="A200" s="415"/>
      <c r="B200" s="211"/>
      <c r="C200" s="209"/>
      <c r="D200" s="209"/>
      <c r="E200" s="209"/>
      <c r="F200" s="209"/>
      <c r="G200" s="209"/>
      <c r="H200" s="209"/>
      <c r="I200" s="209"/>
      <c r="J200" s="209"/>
      <c r="K200" s="209"/>
      <c r="L200" s="209"/>
      <c r="M200" s="209"/>
      <c r="N200" s="209"/>
      <c r="O200" s="209"/>
      <c r="P200" s="209"/>
      <c r="Q200" s="209"/>
      <c r="R200" s="210"/>
      <c r="S200" s="415"/>
    </row>
    <row r="201" spans="1:19" ht="23.25">
      <c r="A201" s="415"/>
      <c r="B201" s="211"/>
      <c r="C201" s="209"/>
      <c r="D201" s="209"/>
      <c r="E201" s="209"/>
      <c r="F201" s="209"/>
      <c r="G201" s="209"/>
      <c r="H201" s="209"/>
      <c r="I201" s="209"/>
      <c r="J201" s="209"/>
      <c r="K201" s="209"/>
      <c r="L201" s="209"/>
      <c r="M201" s="209"/>
      <c r="N201" s="209"/>
      <c r="O201" s="209"/>
      <c r="P201" s="209"/>
      <c r="Q201" s="209"/>
      <c r="R201" s="210"/>
      <c r="S201" s="415"/>
    </row>
    <row r="202" spans="1:19" ht="23.25">
      <c r="A202" s="415"/>
      <c r="B202" s="211"/>
      <c r="C202" s="209"/>
      <c r="D202" s="209"/>
      <c r="E202" s="209"/>
      <c r="F202" s="209"/>
      <c r="G202" s="209"/>
      <c r="H202" s="209"/>
      <c r="I202" s="209"/>
      <c r="J202" s="209"/>
      <c r="K202" s="209"/>
      <c r="L202" s="209"/>
      <c r="M202" s="209"/>
      <c r="N202" s="209"/>
      <c r="O202" s="209"/>
      <c r="P202" s="209"/>
      <c r="Q202" s="209"/>
      <c r="R202" s="210"/>
      <c r="S202" s="415"/>
    </row>
    <row r="203" spans="1:19" ht="23.25">
      <c r="A203" s="415"/>
      <c r="B203" s="211"/>
      <c r="C203" s="209"/>
      <c r="D203" s="209"/>
      <c r="E203" s="209"/>
      <c r="F203" s="209"/>
      <c r="G203" s="209"/>
      <c r="H203" s="209"/>
      <c r="I203" s="209"/>
      <c r="J203" s="209"/>
      <c r="K203" s="209"/>
      <c r="L203" s="209"/>
      <c r="M203" s="209"/>
      <c r="N203" s="209"/>
      <c r="O203" s="209"/>
      <c r="P203" s="209"/>
      <c r="Q203" s="209"/>
      <c r="R203" s="210"/>
      <c r="S203" s="415"/>
    </row>
    <row r="204" spans="1:19" ht="23.25">
      <c r="A204" s="415"/>
      <c r="B204" s="211"/>
      <c r="C204" s="209"/>
      <c r="D204" s="209"/>
      <c r="E204" s="209"/>
      <c r="F204" s="209"/>
      <c r="G204" s="209"/>
      <c r="H204" s="209"/>
      <c r="I204" s="209"/>
      <c r="J204" s="209"/>
      <c r="K204" s="209"/>
      <c r="L204" s="209"/>
      <c r="M204" s="209"/>
      <c r="N204" s="209"/>
      <c r="O204" s="209"/>
      <c r="P204" s="209"/>
      <c r="Q204" s="209"/>
      <c r="R204" s="210"/>
      <c r="S204" s="415"/>
    </row>
    <row r="205" spans="1:19" ht="23.25">
      <c r="A205" s="415"/>
      <c r="B205" s="211"/>
      <c r="C205" s="209"/>
      <c r="D205" s="209"/>
      <c r="E205" s="209"/>
      <c r="F205" s="209"/>
      <c r="G205" s="209"/>
      <c r="H205" s="209"/>
      <c r="I205" s="209"/>
      <c r="J205" s="209"/>
      <c r="K205" s="209"/>
      <c r="L205" s="209"/>
      <c r="M205" s="209"/>
      <c r="N205" s="209"/>
      <c r="O205" s="209"/>
      <c r="P205" s="209"/>
      <c r="Q205" s="209"/>
      <c r="R205" s="210"/>
      <c r="S205" s="415"/>
    </row>
    <row r="206" spans="1:19" ht="23.25">
      <c r="A206" s="415"/>
      <c r="B206" s="211"/>
      <c r="C206" s="209"/>
      <c r="D206" s="209"/>
      <c r="E206" s="209"/>
      <c r="F206" s="209"/>
      <c r="G206" s="209"/>
      <c r="H206" s="209"/>
      <c r="I206" s="209"/>
      <c r="J206" s="209"/>
      <c r="K206" s="209"/>
      <c r="L206" s="209"/>
      <c r="M206" s="209"/>
      <c r="N206" s="209"/>
      <c r="O206" s="209"/>
      <c r="P206" s="209"/>
      <c r="Q206" s="209"/>
      <c r="R206" s="210"/>
      <c r="S206" s="415"/>
    </row>
    <row r="207" spans="1:19" ht="23.25">
      <c r="A207" s="415"/>
      <c r="B207" s="211"/>
      <c r="C207" s="209"/>
      <c r="D207" s="209"/>
      <c r="E207" s="209"/>
      <c r="F207" s="209"/>
      <c r="G207" s="209"/>
      <c r="H207" s="209"/>
      <c r="I207" s="209"/>
      <c r="J207" s="209"/>
      <c r="K207" s="209"/>
      <c r="L207" s="209"/>
      <c r="M207" s="209"/>
      <c r="N207" s="209"/>
      <c r="O207" s="209"/>
      <c r="P207" s="209"/>
      <c r="Q207" s="209"/>
      <c r="R207" s="210"/>
      <c r="S207" s="415"/>
    </row>
    <row r="208" spans="1:19" ht="23.25">
      <c r="A208" s="415"/>
      <c r="B208" s="211"/>
      <c r="C208" s="209"/>
      <c r="D208" s="209"/>
      <c r="E208" s="209"/>
      <c r="F208" s="209"/>
      <c r="G208" s="209"/>
      <c r="H208" s="209"/>
      <c r="I208" s="209"/>
      <c r="J208" s="209"/>
      <c r="K208" s="209"/>
      <c r="L208" s="209"/>
      <c r="M208" s="209"/>
      <c r="N208" s="209"/>
      <c r="O208" s="209"/>
      <c r="P208" s="209"/>
      <c r="Q208" s="209"/>
      <c r="R208" s="210"/>
      <c r="S208" s="415"/>
    </row>
    <row r="209" spans="1:19" ht="23.25">
      <c r="A209" s="415"/>
      <c r="B209" s="211"/>
      <c r="C209" s="209"/>
      <c r="D209" s="209"/>
      <c r="E209" s="209"/>
      <c r="F209" s="209"/>
      <c r="G209" s="209"/>
      <c r="H209" s="209"/>
      <c r="I209" s="209"/>
      <c r="J209" s="209"/>
      <c r="K209" s="209"/>
      <c r="L209" s="209"/>
      <c r="M209" s="209"/>
      <c r="N209" s="209"/>
      <c r="O209" s="209"/>
      <c r="P209" s="209"/>
      <c r="Q209" s="209"/>
      <c r="R209" s="210"/>
      <c r="S209" s="415"/>
    </row>
    <row r="210" spans="1:19" ht="23.25">
      <c r="A210" s="415"/>
      <c r="B210" s="431"/>
      <c r="C210" s="432"/>
      <c r="D210" s="432"/>
      <c r="E210" s="432"/>
      <c r="F210" s="432"/>
      <c r="G210" s="432"/>
      <c r="H210" s="432"/>
      <c r="I210" s="432"/>
      <c r="J210" s="432"/>
      <c r="K210" s="432"/>
      <c r="L210" s="432"/>
      <c r="M210" s="432"/>
      <c r="N210" s="432"/>
      <c r="O210" s="432"/>
      <c r="P210" s="432"/>
      <c r="Q210" s="432"/>
      <c r="R210" s="433"/>
      <c r="S210" s="415"/>
    </row>
    <row r="211" spans="1:19" ht="23.25">
      <c r="A211" s="415"/>
      <c r="B211" s="434"/>
      <c r="C211" s="434"/>
      <c r="D211" s="434"/>
      <c r="E211" s="434"/>
      <c r="F211" s="434"/>
      <c r="G211" s="434"/>
      <c r="H211" s="434"/>
      <c r="I211" s="434"/>
      <c r="J211" s="434"/>
      <c r="K211" s="434"/>
      <c r="L211" s="434"/>
      <c r="M211" s="434"/>
      <c r="N211" s="434"/>
      <c r="O211" s="434"/>
      <c r="P211" s="434"/>
      <c r="Q211" s="434"/>
      <c r="R211" s="434"/>
      <c r="S211" s="415"/>
    </row>
    <row r="212" spans="1:19" ht="23.25">
      <c r="A212" s="415"/>
      <c r="B212" s="205" t="s">
        <v>117</v>
      </c>
      <c r="C212" s="394"/>
      <c r="D212" s="394"/>
      <c r="E212" s="394"/>
      <c r="F212" s="394"/>
      <c r="G212" s="394"/>
      <c r="H212" s="394"/>
      <c r="I212" s="394"/>
      <c r="J212" s="394"/>
      <c r="K212" s="394"/>
      <c r="L212" s="394"/>
      <c r="M212" s="394"/>
      <c r="N212" s="394"/>
      <c r="O212" s="394"/>
      <c r="P212" s="394"/>
      <c r="Q212" s="394"/>
      <c r="R212" s="395"/>
      <c r="S212" s="415"/>
    </row>
    <row r="213" spans="1:19" ht="23.25">
      <c r="A213" s="415"/>
      <c r="B213" s="211"/>
      <c r="C213" s="209"/>
      <c r="D213" s="209"/>
      <c r="E213" s="209"/>
      <c r="F213" s="209"/>
      <c r="G213" s="209"/>
      <c r="H213" s="209"/>
      <c r="I213" s="209"/>
      <c r="J213" s="209"/>
      <c r="K213" s="209"/>
      <c r="L213" s="209"/>
      <c r="M213" s="209"/>
      <c r="N213" s="209"/>
      <c r="O213" s="209"/>
      <c r="P213" s="209"/>
      <c r="Q213" s="209"/>
      <c r="R213" s="210"/>
      <c r="S213" s="415"/>
    </row>
    <row r="214" spans="1:19" ht="23.25">
      <c r="A214" s="415"/>
      <c r="B214" s="211"/>
      <c r="C214" s="209"/>
      <c r="D214" s="209"/>
      <c r="E214" s="209"/>
      <c r="F214" s="209"/>
      <c r="G214" s="209"/>
      <c r="H214" s="209"/>
      <c r="I214" s="209"/>
      <c r="J214" s="209"/>
      <c r="K214" s="209"/>
      <c r="L214" s="209"/>
      <c r="M214" s="209"/>
      <c r="N214" s="209"/>
      <c r="O214" s="209"/>
      <c r="P214" s="209"/>
      <c r="Q214" s="209"/>
      <c r="R214" s="210"/>
      <c r="S214" s="415"/>
    </row>
    <row r="215" spans="1:19" ht="23.25">
      <c r="A215" s="415"/>
      <c r="B215" s="211"/>
      <c r="C215" s="209"/>
      <c r="D215" s="209"/>
      <c r="E215" s="209"/>
      <c r="F215" s="209"/>
      <c r="G215" s="209"/>
      <c r="H215" s="209"/>
      <c r="I215" s="209"/>
      <c r="J215" s="209"/>
      <c r="K215" s="209"/>
      <c r="L215" s="209"/>
      <c r="M215" s="209"/>
      <c r="N215" s="209"/>
      <c r="O215" s="209"/>
      <c r="P215" s="209"/>
      <c r="Q215" s="209"/>
      <c r="R215" s="210"/>
      <c r="S215" s="415"/>
    </row>
    <row r="216" spans="1:19" ht="23.25">
      <c r="A216" s="415"/>
      <c r="B216" s="211"/>
      <c r="C216" s="209"/>
      <c r="D216" s="209"/>
      <c r="E216" s="209"/>
      <c r="F216" s="209"/>
      <c r="G216" s="209"/>
      <c r="H216" s="209"/>
      <c r="I216" s="209"/>
      <c r="J216" s="209"/>
      <c r="K216" s="209"/>
      <c r="L216" s="209"/>
      <c r="M216" s="209"/>
      <c r="N216" s="209"/>
      <c r="O216" s="209"/>
      <c r="P216" s="209"/>
      <c r="Q216" s="209"/>
      <c r="R216" s="210"/>
      <c r="S216" s="415"/>
    </row>
    <row r="217" spans="1:19" ht="23.25">
      <c r="A217" s="415"/>
      <c r="B217" s="211"/>
      <c r="C217" s="209"/>
      <c r="D217" s="209"/>
      <c r="E217" s="209"/>
      <c r="F217" s="209"/>
      <c r="G217" s="209"/>
      <c r="H217" s="209"/>
      <c r="I217" s="209"/>
      <c r="J217" s="209"/>
      <c r="K217" s="209"/>
      <c r="L217" s="209"/>
      <c r="M217" s="209"/>
      <c r="N217" s="209"/>
      <c r="O217" s="209"/>
      <c r="P217" s="209"/>
      <c r="Q217" s="209"/>
      <c r="R217" s="210"/>
      <c r="S217" s="415"/>
    </row>
    <row r="218" spans="1:19" ht="23.25">
      <c r="A218" s="415"/>
      <c r="B218" s="211"/>
      <c r="C218" s="209"/>
      <c r="D218" s="209"/>
      <c r="E218" s="209"/>
      <c r="F218" s="209"/>
      <c r="G218" s="209"/>
      <c r="H218" s="209"/>
      <c r="I218" s="209"/>
      <c r="J218" s="209"/>
      <c r="K218" s="209"/>
      <c r="L218" s="209"/>
      <c r="M218" s="209"/>
      <c r="N218" s="209"/>
      <c r="O218" s="209"/>
      <c r="P218" s="209"/>
      <c r="Q218" s="209"/>
      <c r="R218" s="210"/>
      <c r="S218" s="415"/>
    </row>
    <row r="219" spans="1:19" ht="23.25">
      <c r="A219" s="415"/>
      <c r="B219" s="211"/>
      <c r="C219" s="209"/>
      <c r="D219" s="209"/>
      <c r="E219" s="209"/>
      <c r="F219" s="209"/>
      <c r="G219" s="209"/>
      <c r="H219" s="209"/>
      <c r="I219" s="209"/>
      <c r="J219" s="209"/>
      <c r="K219" s="209"/>
      <c r="L219" s="209"/>
      <c r="M219" s="209"/>
      <c r="N219" s="209"/>
      <c r="O219" s="209"/>
      <c r="P219" s="209"/>
      <c r="Q219" s="209"/>
      <c r="R219" s="210"/>
      <c r="S219" s="415"/>
    </row>
    <row r="220" spans="1:19" ht="23.25">
      <c r="A220" s="415"/>
      <c r="B220" s="211"/>
      <c r="C220" s="209"/>
      <c r="D220" s="209"/>
      <c r="E220" s="209"/>
      <c r="F220" s="209"/>
      <c r="G220" s="209"/>
      <c r="H220" s="209"/>
      <c r="I220" s="209"/>
      <c r="J220" s="209"/>
      <c r="K220" s="209"/>
      <c r="L220" s="209"/>
      <c r="M220" s="209"/>
      <c r="N220" s="209"/>
      <c r="O220" s="209"/>
      <c r="P220" s="209"/>
      <c r="Q220" s="209"/>
      <c r="R220" s="210"/>
      <c r="S220" s="415"/>
    </row>
    <row r="221" spans="1:19" ht="23.25">
      <c r="A221" s="415"/>
      <c r="B221" s="211"/>
      <c r="C221" s="209"/>
      <c r="D221" s="209"/>
      <c r="E221" s="209"/>
      <c r="F221" s="209"/>
      <c r="G221" s="209"/>
      <c r="H221" s="209"/>
      <c r="I221" s="209"/>
      <c r="J221" s="209"/>
      <c r="K221" s="209"/>
      <c r="L221" s="209"/>
      <c r="M221" s="209"/>
      <c r="N221" s="209"/>
      <c r="O221" s="209"/>
      <c r="P221" s="209"/>
      <c r="Q221" s="209"/>
      <c r="R221" s="210"/>
      <c r="S221" s="415"/>
    </row>
    <row r="222" spans="1:19" ht="23.25">
      <c r="A222" s="415"/>
      <c r="B222" s="211"/>
      <c r="C222" s="209"/>
      <c r="D222" s="209"/>
      <c r="E222" s="209"/>
      <c r="F222" s="209"/>
      <c r="G222" s="209"/>
      <c r="H222" s="209"/>
      <c r="I222" s="209"/>
      <c r="J222" s="209"/>
      <c r="K222" s="209"/>
      <c r="L222" s="209"/>
      <c r="M222" s="209"/>
      <c r="N222" s="209"/>
      <c r="O222" s="209"/>
      <c r="P222" s="209"/>
      <c r="Q222" s="209"/>
      <c r="R222" s="210"/>
      <c r="S222" s="415"/>
    </row>
    <row r="223" spans="1:19" ht="23.25">
      <c r="A223" s="415"/>
      <c r="B223" s="211"/>
      <c r="C223" s="209"/>
      <c r="D223" s="209"/>
      <c r="E223" s="209"/>
      <c r="F223" s="209"/>
      <c r="G223" s="209"/>
      <c r="H223" s="209"/>
      <c r="I223" s="209"/>
      <c r="J223" s="209"/>
      <c r="K223" s="209"/>
      <c r="L223" s="209"/>
      <c r="M223" s="209"/>
      <c r="N223" s="209"/>
      <c r="O223" s="209"/>
      <c r="P223" s="209"/>
      <c r="Q223" s="209"/>
      <c r="R223" s="210"/>
      <c r="S223" s="415"/>
    </row>
    <row r="224" spans="1:19" ht="23.25">
      <c r="A224" s="415"/>
      <c r="B224" s="211"/>
      <c r="C224" s="209"/>
      <c r="D224" s="209"/>
      <c r="E224" s="209"/>
      <c r="F224" s="209"/>
      <c r="G224" s="209"/>
      <c r="H224" s="209"/>
      <c r="I224" s="209"/>
      <c r="J224" s="209"/>
      <c r="K224" s="209"/>
      <c r="L224" s="209"/>
      <c r="M224" s="209"/>
      <c r="N224" s="209"/>
      <c r="O224" s="209"/>
      <c r="P224" s="209"/>
      <c r="Q224" s="209"/>
      <c r="R224" s="210"/>
      <c r="S224" s="415"/>
    </row>
    <row r="225" spans="1:19" ht="23.25">
      <c r="A225" s="415"/>
      <c r="B225" s="211"/>
      <c r="C225" s="209"/>
      <c r="D225" s="209"/>
      <c r="E225" s="209"/>
      <c r="F225" s="209"/>
      <c r="G225" s="209"/>
      <c r="H225" s="209"/>
      <c r="I225" s="209"/>
      <c r="J225" s="209"/>
      <c r="K225" s="209"/>
      <c r="L225" s="209"/>
      <c r="M225" s="209"/>
      <c r="N225" s="209"/>
      <c r="O225" s="209"/>
      <c r="P225" s="209"/>
      <c r="Q225" s="209"/>
      <c r="R225" s="210"/>
      <c r="S225" s="415"/>
    </row>
    <row r="226" spans="1:19" ht="23.25">
      <c r="A226" s="415"/>
      <c r="B226" s="211"/>
      <c r="C226" s="209"/>
      <c r="D226" s="209"/>
      <c r="E226" s="209"/>
      <c r="F226" s="209"/>
      <c r="G226" s="209"/>
      <c r="H226" s="209"/>
      <c r="I226" s="209"/>
      <c r="J226" s="209"/>
      <c r="K226" s="209"/>
      <c r="L226" s="209"/>
      <c r="M226" s="209"/>
      <c r="N226" s="209"/>
      <c r="O226" s="209"/>
      <c r="P226" s="209"/>
      <c r="Q226" s="209"/>
      <c r="R226" s="210"/>
      <c r="S226" s="415"/>
    </row>
    <row r="227" spans="1:19" ht="23.25">
      <c r="A227" s="415"/>
      <c r="B227" s="211"/>
      <c r="C227" s="209"/>
      <c r="D227" s="209"/>
      <c r="E227" s="209"/>
      <c r="F227" s="209"/>
      <c r="G227" s="209"/>
      <c r="H227" s="209"/>
      <c r="I227" s="209"/>
      <c r="J227" s="209"/>
      <c r="K227" s="209"/>
      <c r="L227" s="209"/>
      <c r="M227" s="209"/>
      <c r="N227" s="209"/>
      <c r="O227" s="209"/>
      <c r="P227" s="209"/>
      <c r="Q227" s="209"/>
      <c r="R227" s="210"/>
      <c r="S227" s="415"/>
    </row>
    <row r="228" spans="1:19" ht="23.25">
      <c r="A228" s="415"/>
      <c r="B228" s="211"/>
      <c r="C228" s="209"/>
      <c r="D228" s="209"/>
      <c r="E228" s="209"/>
      <c r="F228" s="209"/>
      <c r="G228" s="209"/>
      <c r="H228" s="209"/>
      <c r="I228" s="209"/>
      <c r="J228" s="209"/>
      <c r="K228" s="209"/>
      <c r="L228" s="209"/>
      <c r="M228" s="209"/>
      <c r="N228" s="209"/>
      <c r="O228" s="209"/>
      <c r="P228" s="209"/>
      <c r="Q228" s="209"/>
      <c r="R228" s="210"/>
      <c r="S228" s="415"/>
    </row>
    <row r="229" spans="1:19" ht="23.25">
      <c r="A229" s="415"/>
      <c r="B229" s="211"/>
      <c r="C229" s="209"/>
      <c r="D229" s="209"/>
      <c r="E229" s="209"/>
      <c r="F229" s="209"/>
      <c r="G229" s="209"/>
      <c r="H229" s="209"/>
      <c r="I229" s="209"/>
      <c r="J229" s="209"/>
      <c r="K229" s="209"/>
      <c r="L229" s="209"/>
      <c r="M229" s="209"/>
      <c r="N229" s="209"/>
      <c r="O229" s="209"/>
      <c r="P229" s="209"/>
      <c r="Q229" s="209"/>
      <c r="R229" s="210"/>
      <c r="S229" s="415"/>
    </row>
    <row r="230" spans="1:19" ht="23.25">
      <c r="A230" s="415"/>
      <c r="B230" s="211"/>
      <c r="C230" s="209"/>
      <c r="D230" s="209"/>
      <c r="E230" s="209"/>
      <c r="F230" s="209"/>
      <c r="G230" s="209"/>
      <c r="H230" s="209"/>
      <c r="I230" s="209"/>
      <c r="J230" s="209"/>
      <c r="K230" s="209"/>
      <c r="L230" s="209"/>
      <c r="M230" s="209"/>
      <c r="N230" s="209"/>
      <c r="O230" s="209"/>
      <c r="P230" s="209"/>
      <c r="Q230" s="209"/>
      <c r="R230" s="210"/>
      <c r="S230" s="415"/>
    </row>
    <row r="231" spans="1:19" ht="23.25">
      <c r="A231" s="415"/>
      <c r="B231" s="211"/>
      <c r="C231" s="209"/>
      <c r="D231" s="209"/>
      <c r="E231" s="209"/>
      <c r="F231" s="209"/>
      <c r="G231" s="209"/>
      <c r="H231" s="209"/>
      <c r="I231" s="209"/>
      <c r="J231" s="209"/>
      <c r="K231" s="209"/>
      <c r="L231" s="209"/>
      <c r="M231" s="209"/>
      <c r="N231" s="209"/>
      <c r="O231" s="209"/>
      <c r="P231" s="209"/>
      <c r="Q231" s="209"/>
      <c r="R231" s="210"/>
      <c r="S231" s="415"/>
    </row>
    <row r="232" spans="1:19" ht="23.25">
      <c r="A232" s="415"/>
      <c r="B232" s="211"/>
      <c r="C232" s="209"/>
      <c r="D232" s="209"/>
      <c r="E232" s="209"/>
      <c r="F232" s="209"/>
      <c r="G232" s="209"/>
      <c r="H232" s="209"/>
      <c r="I232" s="209"/>
      <c r="J232" s="209"/>
      <c r="K232" s="209"/>
      <c r="L232" s="209"/>
      <c r="M232" s="209"/>
      <c r="N232" s="209"/>
      <c r="O232" s="209"/>
      <c r="P232" s="209"/>
      <c r="Q232" s="209"/>
      <c r="R232" s="210"/>
      <c r="S232" s="415"/>
    </row>
    <row r="233" spans="1:19" ht="23.25">
      <c r="A233" s="415"/>
      <c r="B233" s="211"/>
      <c r="C233" s="209"/>
      <c r="D233" s="209"/>
      <c r="E233" s="209"/>
      <c r="F233" s="209"/>
      <c r="G233" s="209"/>
      <c r="H233" s="209"/>
      <c r="I233" s="209"/>
      <c r="J233" s="209"/>
      <c r="K233" s="209"/>
      <c r="L233" s="209"/>
      <c r="M233" s="209"/>
      <c r="N233" s="209"/>
      <c r="O233" s="209"/>
      <c r="P233" s="209"/>
      <c r="Q233" s="209"/>
      <c r="R233" s="210"/>
      <c r="S233" s="415"/>
    </row>
    <row r="234" spans="1:19" ht="23.25">
      <c r="A234" s="415"/>
      <c r="B234" s="211"/>
      <c r="C234" s="209"/>
      <c r="D234" s="209"/>
      <c r="E234" s="209"/>
      <c r="F234" s="209"/>
      <c r="G234" s="209"/>
      <c r="H234" s="209"/>
      <c r="I234" s="209"/>
      <c r="J234" s="209"/>
      <c r="K234" s="209"/>
      <c r="L234" s="209"/>
      <c r="M234" s="209"/>
      <c r="N234" s="209"/>
      <c r="O234" s="209"/>
      <c r="P234" s="209"/>
      <c r="Q234" s="209"/>
      <c r="R234" s="210"/>
      <c r="S234" s="415"/>
    </row>
    <row r="235" spans="1:19" ht="23.25">
      <c r="A235" s="415"/>
      <c r="B235" s="431"/>
      <c r="C235" s="432"/>
      <c r="D235" s="432"/>
      <c r="E235" s="432"/>
      <c r="F235" s="432"/>
      <c r="G235" s="432"/>
      <c r="H235" s="432"/>
      <c r="I235" s="432"/>
      <c r="J235" s="432"/>
      <c r="K235" s="432"/>
      <c r="L235" s="432"/>
      <c r="M235" s="432"/>
      <c r="N235" s="432"/>
      <c r="O235" s="432"/>
      <c r="P235" s="432"/>
      <c r="Q235" s="432"/>
      <c r="R235" s="433"/>
      <c r="S235" s="415"/>
    </row>
    <row r="236" spans="1:19" ht="23.25">
      <c r="A236" s="415"/>
      <c r="B236" s="434"/>
      <c r="C236" s="434"/>
      <c r="D236" s="434"/>
      <c r="E236" s="434"/>
      <c r="F236" s="434"/>
      <c r="G236" s="434"/>
      <c r="H236" s="434"/>
      <c r="I236" s="434"/>
      <c r="J236" s="434"/>
      <c r="K236" s="434"/>
      <c r="L236" s="434"/>
      <c r="M236" s="434"/>
      <c r="N236" s="434"/>
      <c r="O236" s="434"/>
      <c r="P236" s="434"/>
      <c r="Q236" s="434"/>
      <c r="R236" s="434"/>
      <c r="S236" s="415"/>
    </row>
    <row r="237" spans="1:19" ht="23.25">
      <c r="A237" s="415"/>
      <c r="B237" s="205" t="s">
        <v>422</v>
      </c>
      <c r="C237" s="394"/>
      <c r="D237" s="394"/>
      <c r="E237" s="394"/>
      <c r="F237" s="394"/>
      <c r="G237" s="394"/>
      <c r="H237" s="394"/>
      <c r="I237" s="394"/>
      <c r="J237" s="394"/>
      <c r="K237" s="394"/>
      <c r="L237" s="394"/>
      <c r="M237" s="394"/>
      <c r="N237" s="394"/>
      <c r="O237" s="394"/>
      <c r="P237" s="394"/>
      <c r="Q237" s="394"/>
      <c r="R237" s="395"/>
      <c r="S237" s="415"/>
    </row>
    <row r="238" spans="1:19" ht="23.25">
      <c r="A238" s="415"/>
      <c r="B238" s="211"/>
      <c r="C238" s="209"/>
      <c r="D238" s="209"/>
      <c r="E238" s="209"/>
      <c r="F238" s="209"/>
      <c r="G238" s="209"/>
      <c r="H238" s="209"/>
      <c r="I238" s="209"/>
      <c r="J238" s="209"/>
      <c r="K238" s="209"/>
      <c r="L238" s="209"/>
      <c r="M238" s="209"/>
      <c r="N238" s="209"/>
      <c r="O238" s="209"/>
      <c r="P238" s="209"/>
      <c r="Q238" s="209"/>
      <c r="R238" s="210"/>
      <c r="S238" s="415"/>
    </row>
    <row r="239" spans="1:19" ht="23.25">
      <c r="A239" s="415"/>
      <c r="B239" s="211"/>
      <c r="C239" s="209"/>
      <c r="D239" s="209"/>
      <c r="E239" s="209"/>
      <c r="F239" s="209"/>
      <c r="G239" s="209"/>
      <c r="H239" s="209"/>
      <c r="I239" s="209"/>
      <c r="J239" s="209"/>
      <c r="K239" s="209"/>
      <c r="L239" s="209"/>
      <c r="M239" s="209"/>
      <c r="N239" s="209"/>
      <c r="O239" s="209"/>
      <c r="P239" s="209"/>
      <c r="Q239" s="209"/>
      <c r="R239" s="210"/>
      <c r="S239" s="415"/>
    </row>
    <row r="240" spans="1:19" ht="23.25">
      <c r="A240" s="415"/>
      <c r="B240" s="211"/>
      <c r="C240" s="209"/>
      <c r="D240" s="209"/>
      <c r="E240" s="209"/>
      <c r="F240" s="209"/>
      <c r="G240" s="209"/>
      <c r="H240" s="209"/>
      <c r="I240" s="209"/>
      <c r="J240" s="209"/>
      <c r="K240" s="209"/>
      <c r="L240" s="209"/>
      <c r="M240" s="209"/>
      <c r="N240" s="209"/>
      <c r="O240" s="209"/>
      <c r="P240" s="209"/>
      <c r="Q240" s="209"/>
      <c r="R240" s="210"/>
      <c r="S240" s="415"/>
    </row>
    <row r="241" spans="1:19" ht="23.25">
      <c r="A241" s="415"/>
      <c r="B241" s="211"/>
      <c r="C241" s="209"/>
      <c r="D241" s="209"/>
      <c r="E241" s="209"/>
      <c r="F241" s="209"/>
      <c r="G241" s="209"/>
      <c r="H241" s="209"/>
      <c r="I241" s="209"/>
      <c r="J241" s="209"/>
      <c r="K241" s="209"/>
      <c r="L241" s="209"/>
      <c r="M241" s="209"/>
      <c r="N241" s="209"/>
      <c r="O241" s="209"/>
      <c r="P241" s="209"/>
      <c r="Q241" s="209"/>
      <c r="R241" s="210"/>
      <c r="S241" s="415"/>
    </row>
    <row r="242" spans="1:19" ht="23.25">
      <c r="A242" s="415"/>
      <c r="B242" s="211"/>
      <c r="C242" s="209"/>
      <c r="D242" s="209"/>
      <c r="E242" s="209"/>
      <c r="F242" s="209"/>
      <c r="G242" s="209"/>
      <c r="H242" s="209"/>
      <c r="I242" s="209"/>
      <c r="J242" s="209"/>
      <c r="K242" s="209"/>
      <c r="L242" s="209"/>
      <c r="M242" s="209"/>
      <c r="N242" s="209"/>
      <c r="O242" s="209"/>
      <c r="P242" s="209"/>
      <c r="Q242" s="209"/>
      <c r="R242" s="210"/>
      <c r="S242" s="415"/>
    </row>
    <row r="243" spans="1:19" ht="23.25">
      <c r="A243" s="415"/>
      <c r="B243" s="211"/>
      <c r="C243" s="209"/>
      <c r="D243" s="209"/>
      <c r="E243" s="209"/>
      <c r="F243" s="209"/>
      <c r="G243" s="209"/>
      <c r="H243" s="209"/>
      <c r="I243" s="209"/>
      <c r="J243" s="209"/>
      <c r="K243" s="209"/>
      <c r="L243" s="209"/>
      <c r="M243" s="209"/>
      <c r="N243" s="209"/>
      <c r="O243" s="209"/>
      <c r="P243" s="209"/>
      <c r="Q243" s="209"/>
      <c r="R243" s="210"/>
      <c r="S243" s="415"/>
    </row>
    <row r="244" spans="1:19" ht="23.25">
      <c r="A244" s="415"/>
      <c r="B244" s="211"/>
      <c r="C244" s="209"/>
      <c r="D244" s="209"/>
      <c r="E244" s="209"/>
      <c r="F244" s="209"/>
      <c r="G244" s="209"/>
      <c r="H244" s="209"/>
      <c r="I244" s="209"/>
      <c r="J244" s="209"/>
      <c r="K244" s="209"/>
      <c r="L244" s="209"/>
      <c r="M244" s="209"/>
      <c r="N244" s="209"/>
      <c r="O244" s="209"/>
      <c r="P244" s="209"/>
      <c r="Q244" s="209"/>
      <c r="R244" s="210"/>
      <c r="S244" s="415"/>
    </row>
    <row r="245" spans="1:19" ht="23.25">
      <c r="A245" s="415"/>
      <c r="B245" s="211"/>
      <c r="C245" s="209"/>
      <c r="D245" s="209"/>
      <c r="E245" s="209"/>
      <c r="F245" s="209"/>
      <c r="G245" s="209"/>
      <c r="H245" s="209"/>
      <c r="I245" s="209"/>
      <c r="J245" s="209"/>
      <c r="K245" s="209"/>
      <c r="L245" s="209"/>
      <c r="M245" s="209"/>
      <c r="N245" s="209"/>
      <c r="O245" s="209"/>
      <c r="P245" s="209"/>
      <c r="Q245" s="209"/>
      <c r="R245" s="210"/>
      <c r="S245" s="415"/>
    </row>
    <row r="246" spans="1:19" ht="23.25">
      <c r="A246" s="415"/>
      <c r="B246" s="211"/>
      <c r="C246" s="209"/>
      <c r="D246" s="209"/>
      <c r="E246" s="209"/>
      <c r="F246" s="209"/>
      <c r="G246" s="209"/>
      <c r="H246" s="209"/>
      <c r="I246" s="209"/>
      <c r="J246" s="209"/>
      <c r="K246" s="209"/>
      <c r="L246" s="209"/>
      <c r="M246" s="209"/>
      <c r="N246" s="209"/>
      <c r="O246" s="209"/>
      <c r="P246" s="209"/>
      <c r="Q246" s="209"/>
      <c r="R246" s="210"/>
      <c r="S246" s="415"/>
    </row>
    <row r="247" spans="1:19" ht="23.25">
      <c r="A247" s="415"/>
      <c r="B247" s="211"/>
      <c r="C247" s="209"/>
      <c r="D247" s="209"/>
      <c r="E247" s="209"/>
      <c r="F247" s="209"/>
      <c r="G247" s="209"/>
      <c r="H247" s="209"/>
      <c r="I247" s="209"/>
      <c r="J247" s="209"/>
      <c r="K247" s="209"/>
      <c r="L247" s="209"/>
      <c r="M247" s="209"/>
      <c r="N247" s="209"/>
      <c r="O247" s="209"/>
      <c r="P247" s="209"/>
      <c r="Q247" s="209"/>
      <c r="R247" s="210"/>
      <c r="S247" s="415"/>
    </row>
    <row r="248" spans="1:19" ht="23.25">
      <c r="A248" s="415"/>
      <c r="B248" s="211"/>
      <c r="C248" s="209"/>
      <c r="D248" s="209"/>
      <c r="E248" s="209"/>
      <c r="F248" s="209"/>
      <c r="G248" s="209"/>
      <c r="H248" s="209"/>
      <c r="I248" s="209"/>
      <c r="J248" s="209"/>
      <c r="K248" s="209"/>
      <c r="L248" s="209"/>
      <c r="M248" s="209"/>
      <c r="N248" s="209"/>
      <c r="O248" s="209"/>
      <c r="P248" s="209"/>
      <c r="Q248" s="209"/>
      <c r="R248" s="210"/>
      <c r="S248" s="415"/>
    </row>
    <row r="249" spans="1:19" ht="23.25">
      <c r="A249" s="415"/>
      <c r="B249" s="211"/>
      <c r="C249" s="209"/>
      <c r="D249" s="209"/>
      <c r="E249" s="209"/>
      <c r="F249" s="209"/>
      <c r="G249" s="209"/>
      <c r="H249" s="209"/>
      <c r="I249" s="209"/>
      <c r="J249" s="209"/>
      <c r="K249" s="209"/>
      <c r="L249" s="209"/>
      <c r="M249" s="209"/>
      <c r="N249" s="209"/>
      <c r="O249" s="209"/>
      <c r="P249" s="209"/>
      <c r="Q249" s="209"/>
      <c r="R249" s="210"/>
      <c r="S249" s="415"/>
    </row>
    <row r="250" spans="1:19" ht="23.25">
      <c r="A250" s="415"/>
      <c r="B250" s="211"/>
      <c r="C250" s="209"/>
      <c r="D250" s="209"/>
      <c r="E250" s="209"/>
      <c r="F250" s="209"/>
      <c r="G250" s="209"/>
      <c r="H250" s="209"/>
      <c r="I250" s="209"/>
      <c r="J250" s="209"/>
      <c r="K250" s="209"/>
      <c r="L250" s="209"/>
      <c r="M250" s="209"/>
      <c r="N250" s="209"/>
      <c r="O250" s="209"/>
      <c r="P250" s="209"/>
      <c r="Q250" s="209"/>
      <c r="R250" s="210"/>
      <c r="S250" s="415"/>
    </row>
    <row r="251" spans="1:19" ht="23.25">
      <c r="A251" s="415"/>
      <c r="B251" s="211"/>
      <c r="C251" s="209"/>
      <c r="D251" s="209"/>
      <c r="E251" s="209"/>
      <c r="F251" s="209"/>
      <c r="G251" s="209"/>
      <c r="H251" s="209"/>
      <c r="I251" s="209"/>
      <c r="J251" s="209"/>
      <c r="K251" s="209"/>
      <c r="L251" s="209"/>
      <c r="M251" s="209"/>
      <c r="N251" s="209"/>
      <c r="O251" s="209"/>
      <c r="P251" s="209"/>
      <c r="Q251" s="209"/>
      <c r="R251" s="210"/>
      <c r="S251" s="415"/>
    </row>
    <row r="252" spans="1:19" ht="23.25">
      <c r="A252" s="415"/>
      <c r="B252" s="211"/>
      <c r="C252" s="209"/>
      <c r="D252" s="209"/>
      <c r="E252" s="209"/>
      <c r="F252" s="209"/>
      <c r="G252" s="209"/>
      <c r="H252" s="209"/>
      <c r="I252" s="209"/>
      <c r="J252" s="209"/>
      <c r="K252" s="209"/>
      <c r="L252" s="209"/>
      <c r="M252" s="209"/>
      <c r="N252" s="209"/>
      <c r="O252" s="209"/>
      <c r="P252" s="209"/>
      <c r="Q252" s="209"/>
      <c r="R252" s="210"/>
      <c r="S252" s="415"/>
    </row>
    <row r="253" spans="1:19" ht="23.25">
      <c r="A253" s="415"/>
      <c r="B253" s="211"/>
      <c r="C253" s="209"/>
      <c r="D253" s="209"/>
      <c r="E253" s="209"/>
      <c r="F253" s="209"/>
      <c r="G253" s="209"/>
      <c r="H253" s="209"/>
      <c r="I253" s="209"/>
      <c r="J253" s="209"/>
      <c r="K253" s="209"/>
      <c r="L253" s="209"/>
      <c r="M253" s="209"/>
      <c r="N253" s="209"/>
      <c r="O253" s="209"/>
      <c r="P253" s="209"/>
      <c r="Q253" s="209"/>
      <c r="R253" s="210"/>
      <c r="S253" s="415"/>
    </row>
    <row r="254" spans="1:19" ht="23.25">
      <c r="A254" s="415"/>
      <c r="B254" s="211"/>
      <c r="C254" s="209"/>
      <c r="D254" s="209"/>
      <c r="E254" s="209"/>
      <c r="F254" s="209"/>
      <c r="G254" s="209"/>
      <c r="H254" s="209"/>
      <c r="I254" s="209"/>
      <c r="J254" s="209"/>
      <c r="K254" s="209"/>
      <c r="L254" s="209"/>
      <c r="M254" s="209"/>
      <c r="N254" s="209"/>
      <c r="O254" s="209"/>
      <c r="P254" s="209"/>
      <c r="Q254" s="209"/>
      <c r="R254" s="210"/>
      <c r="S254" s="415"/>
    </row>
    <row r="255" spans="1:19" ht="23.25">
      <c r="A255" s="415"/>
      <c r="B255" s="211"/>
      <c r="C255" s="209"/>
      <c r="D255" s="209"/>
      <c r="E255" s="209"/>
      <c r="F255" s="209"/>
      <c r="G255" s="209"/>
      <c r="H255" s="209"/>
      <c r="I255" s="209"/>
      <c r="J255" s="209"/>
      <c r="K255" s="209"/>
      <c r="L255" s="209"/>
      <c r="M255" s="209"/>
      <c r="N255" s="209"/>
      <c r="O255" s="209"/>
      <c r="P255" s="209"/>
      <c r="Q255" s="209"/>
      <c r="R255" s="210"/>
      <c r="S255" s="415"/>
    </row>
    <row r="256" spans="1:19" ht="23.25">
      <c r="A256" s="415"/>
      <c r="B256" s="211"/>
      <c r="C256" s="209"/>
      <c r="D256" s="209"/>
      <c r="E256" s="209"/>
      <c r="F256" s="209"/>
      <c r="G256" s="209"/>
      <c r="H256" s="209"/>
      <c r="I256" s="209"/>
      <c r="J256" s="209"/>
      <c r="K256" s="209"/>
      <c r="L256" s="209"/>
      <c r="M256" s="209"/>
      <c r="N256" s="209"/>
      <c r="O256" s="209"/>
      <c r="P256" s="209"/>
      <c r="Q256" s="209"/>
      <c r="R256" s="210"/>
      <c r="S256" s="415"/>
    </row>
    <row r="257" spans="1:19" ht="23.25">
      <c r="A257" s="415"/>
      <c r="B257" s="211"/>
      <c r="C257" s="209"/>
      <c r="D257" s="209"/>
      <c r="E257" s="209"/>
      <c r="F257" s="209"/>
      <c r="G257" s="209"/>
      <c r="H257" s="209"/>
      <c r="I257" s="209"/>
      <c r="J257" s="209"/>
      <c r="K257" s="209"/>
      <c r="L257" s="209"/>
      <c r="M257" s="209"/>
      <c r="N257" s="209"/>
      <c r="O257" s="209"/>
      <c r="P257" s="209"/>
      <c r="Q257" s="209"/>
      <c r="R257" s="210"/>
      <c r="S257" s="415"/>
    </row>
    <row r="258" spans="1:19" ht="23.25">
      <c r="A258" s="415"/>
      <c r="B258" s="211"/>
      <c r="C258" s="209"/>
      <c r="D258" s="209"/>
      <c r="E258" s="209"/>
      <c r="F258" s="209"/>
      <c r="G258" s="209"/>
      <c r="H258" s="209"/>
      <c r="I258" s="209"/>
      <c r="J258" s="209"/>
      <c r="K258" s="209"/>
      <c r="L258" s="209"/>
      <c r="M258" s="209"/>
      <c r="N258" s="209"/>
      <c r="O258" s="209"/>
      <c r="P258" s="209"/>
      <c r="Q258" s="209"/>
      <c r="R258" s="210"/>
      <c r="S258" s="415"/>
    </row>
    <row r="259" spans="1:19" ht="23.25">
      <c r="A259" s="415"/>
      <c r="B259" s="211"/>
      <c r="C259" s="209"/>
      <c r="D259" s="209"/>
      <c r="E259" s="209"/>
      <c r="F259" s="209"/>
      <c r="G259" s="209"/>
      <c r="H259" s="209"/>
      <c r="I259" s="209"/>
      <c r="J259" s="209"/>
      <c r="K259" s="209"/>
      <c r="L259" s="209"/>
      <c r="M259" s="209"/>
      <c r="N259" s="209"/>
      <c r="O259" s="209"/>
      <c r="P259" s="209"/>
      <c r="Q259" s="209"/>
      <c r="R259" s="210"/>
      <c r="S259" s="415"/>
    </row>
    <row r="260" spans="1:19" ht="23.25">
      <c r="A260" s="415"/>
      <c r="B260" s="211"/>
      <c r="C260" s="209"/>
      <c r="D260" s="209"/>
      <c r="E260" s="209"/>
      <c r="F260" s="209"/>
      <c r="G260" s="209"/>
      <c r="H260" s="209"/>
      <c r="I260" s="209"/>
      <c r="J260" s="209"/>
      <c r="K260" s="209"/>
      <c r="L260" s="209"/>
      <c r="M260" s="209"/>
      <c r="N260" s="209"/>
      <c r="O260" s="209"/>
      <c r="P260" s="209"/>
      <c r="Q260" s="209"/>
      <c r="R260" s="210"/>
      <c r="S260" s="415"/>
    </row>
    <row r="261" spans="1:19" ht="23.25">
      <c r="A261" s="415"/>
      <c r="B261" s="211"/>
      <c r="C261" s="209"/>
      <c r="D261" s="209"/>
      <c r="E261" s="209"/>
      <c r="F261" s="209"/>
      <c r="G261" s="209"/>
      <c r="H261" s="209"/>
      <c r="I261" s="209"/>
      <c r="J261" s="209"/>
      <c r="K261" s="209"/>
      <c r="L261" s="209"/>
      <c r="M261" s="209"/>
      <c r="N261" s="209"/>
      <c r="O261" s="209"/>
      <c r="P261" s="209"/>
      <c r="Q261" s="209"/>
      <c r="R261" s="210"/>
      <c r="S261" s="415"/>
    </row>
    <row r="262" spans="1:19" ht="23.25">
      <c r="A262" s="415"/>
      <c r="B262" s="211"/>
      <c r="C262" s="209"/>
      <c r="D262" s="209"/>
      <c r="E262" s="209"/>
      <c r="F262" s="209"/>
      <c r="G262" s="209"/>
      <c r="H262" s="209"/>
      <c r="I262" s="209"/>
      <c r="J262" s="209"/>
      <c r="K262" s="209"/>
      <c r="L262" s="209"/>
      <c r="M262" s="209"/>
      <c r="N262" s="209"/>
      <c r="O262" s="209"/>
      <c r="P262" s="209"/>
      <c r="Q262" s="209"/>
      <c r="R262" s="210"/>
      <c r="S262" s="415"/>
    </row>
    <row r="263" spans="1:19" ht="23.25">
      <c r="A263" s="415"/>
      <c r="B263" s="211"/>
      <c r="C263" s="209"/>
      <c r="D263" s="209"/>
      <c r="E263" s="209"/>
      <c r="F263" s="209"/>
      <c r="G263" s="209"/>
      <c r="H263" s="209"/>
      <c r="I263" s="209"/>
      <c r="J263" s="209"/>
      <c r="K263" s="209"/>
      <c r="L263" s="209"/>
      <c r="M263" s="209"/>
      <c r="N263" s="209"/>
      <c r="O263" s="209"/>
      <c r="P263" s="209"/>
      <c r="Q263" s="209"/>
      <c r="R263" s="210"/>
      <c r="S263" s="415"/>
    </row>
    <row r="264" spans="1:19" ht="23.25">
      <c r="A264" s="415"/>
      <c r="B264" s="211"/>
      <c r="C264" s="209"/>
      <c r="D264" s="209"/>
      <c r="E264" s="209"/>
      <c r="F264" s="209"/>
      <c r="G264" s="209"/>
      <c r="H264" s="209"/>
      <c r="I264" s="209"/>
      <c r="J264" s="209"/>
      <c r="K264" s="209"/>
      <c r="L264" s="209"/>
      <c r="M264" s="209"/>
      <c r="N264" s="209"/>
      <c r="O264" s="209"/>
      <c r="P264" s="209"/>
      <c r="Q264" s="209"/>
      <c r="R264" s="210"/>
      <c r="S264" s="415"/>
    </row>
    <row r="265" spans="1:19" ht="23.25">
      <c r="A265" s="415"/>
      <c r="B265" s="211"/>
      <c r="C265" s="209"/>
      <c r="D265" s="209"/>
      <c r="E265" s="209"/>
      <c r="F265" s="209"/>
      <c r="G265" s="209"/>
      <c r="H265" s="209"/>
      <c r="I265" s="209"/>
      <c r="J265" s="209"/>
      <c r="K265" s="209"/>
      <c r="L265" s="209"/>
      <c r="M265" s="209"/>
      <c r="N265" s="209"/>
      <c r="O265" s="209"/>
      <c r="P265" s="209"/>
      <c r="Q265" s="209"/>
      <c r="R265" s="210"/>
      <c r="S265" s="415"/>
    </row>
    <row r="266" spans="1:19" ht="23.25">
      <c r="A266" s="415"/>
      <c r="B266" s="211"/>
      <c r="C266" s="209"/>
      <c r="D266" s="209"/>
      <c r="E266" s="209"/>
      <c r="F266" s="209"/>
      <c r="G266" s="209"/>
      <c r="H266" s="209"/>
      <c r="I266" s="209"/>
      <c r="J266" s="209"/>
      <c r="K266" s="209"/>
      <c r="L266" s="209"/>
      <c r="M266" s="209"/>
      <c r="N266" s="209"/>
      <c r="O266" s="209"/>
      <c r="P266" s="209"/>
      <c r="Q266" s="209"/>
      <c r="R266" s="210"/>
      <c r="S266" s="415"/>
    </row>
    <row r="267" spans="1:19" ht="23.25">
      <c r="A267" s="415"/>
      <c r="B267" s="211"/>
      <c r="C267" s="209"/>
      <c r="D267" s="209"/>
      <c r="E267" s="209"/>
      <c r="F267" s="209"/>
      <c r="G267" s="209"/>
      <c r="H267" s="209"/>
      <c r="I267" s="209"/>
      <c r="J267" s="209"/>
      <c r="K267" s="209"/>
      <c r="L267" s="209"/>
      <c r="M267" s="209"/>
      <c r="N267" s="209"/>
      <c r="O267" s="209"/>
      <c r="P267" s="209"/>
      <c r="Q267" s="209"/>
      <c r="R267" s="210"/>
      <c r="S267" s="415"/>
    </row>
    <row r="268" spans="1:19" ht="23.25">
      <c r="A268" s="415"/>
      <c r="B268" s="211"/>
      <c r="C268" s="209"/>
      <c r="D268" s="209"/>
      <c r="E268" s="209"/>
      <c r="F268" s="209"/>
      <c r="G268" s="209"/>
      <c r="H268" s="209"/>
      <c r="I268" s="209"/>
      <c r="J268" s="209"/>
      <c r="K268" s="209"/>
      <c r="L268" s="209"/>
      <c r="M268" s="209"/>
      <c r="N268" s="209"/>
      <c r="O268" s="209"/>
      <c r="P268" s="209"/>
      <c r="Q268" s="209"/>
      <c r="R268" s="210"/>
      <c r="S268" s="415"/>
    </row>
    <row r="269" spans="1:19" ht="23.25">
      <c r="A269" s="415"/>
      <c r="B269" s="211"/>
      <c r="C269" s="209"/>
      <c r="D269" s="209"/>
      <c r="E269" s="209"/>
      <c r="F269" s="209"/>
      <c r="G269" s="209"/>
      <c r="H269" s="209"/>
      <c r="I269" s="209"/>
      <c r="J269" s="209"/>
      <c r="K269" s="209"/>
      <c r="L269" s="209"/>
      <c r="M269" s="209"/>
      <c r="N269" s="209"/>
      <c r="O269" s="209"/>
      <c r="P269" s="209"/>
      <c r="Q269" s="209"/>
      <c r="R269" s="210"/>
      <c r="S269" s="415"/>
    </row>
    <row r="270" spans="1:19" ht="23.25">
      <c r="A270" s="415"/>
      <c r="B270" s="211"/>
      <c r="C270" s="209"/>
      <c r="D270" s="209"/>
      <c r="E270" s="209"/>
      <c r="F270" s="209"/>
      <c r="G270" s="209"/>
      <c r="H270" s="209"/>
      <c r="I270" s="209"/>
      <c r="J270" s="209"/>
      <c r="K270" s="209"/>
      <c r="L270" s="209"/>
      <c r="M270" s="209"/>
      <c r="N270" s="209"/>
      <c r="O270" s="209"/>
      <c r="P270" s="209"/>
      <c r="Q270" s="209"/>
      <c r="R270" s="210"/>
      <c r="S270" s="415"/>
    </row>
    <row r="271" spans="1:19" ht="23.25">
      <c r="A271" s="415"/>
      <c r="B271" s="211"/>
      <c r="C271" s="209"/>
      <c r="D271" s="209"/>
      <c r="E271" s="209"/>
      <c r="F271" s="209"/>
      <c r="G271" s="209"/>
      <c r="H271" s="209"/>
      <c r="I271" s="209"/>
      <c r="J271" s="209"/>
      <c r="K271" s="209"/>
      <c r="L271" s="209"/>
      <c r="M271" s="209"/>
      <c r="N271" s="209"/>
      <c r="O271" s="209"/>
      <c r="P271" s="209"/>
      <c r="Q271" s="209"/>
      <c r="R271" s="210"/>
      <c r="S271" s="415"/>
    </row>
    <row r="272" spans="1:19" ht="23.25">
      <c r="A272" s="415"/>
      <c r="B272" s="211"/>
      <c r="C272" s="209"/>
      <c r="D272" s="209"/>
      <c r="E272" s="209"/>
      <c r="F272" s="209"/>
      <c r="G272" s="209"/>
      <c r="H272" s="209"/>
      <c r="I272" s="209"/>
      <c r="J272" s="209"/>
      <c r="K272" s="209"/>
      <c r="L272" s="209"/>
      <c r="M272" s="209"/>
      <c r="N272" s="209"/>
      <c r="O272" s="209"/>
      <c r="P272" s="209"/>
      <c r="Q272" s="209"/>
      <c r="R272" s="210"/>
      <c r="S272" s="415"/>
    </row>
    <row r="273" spans="1:19" ht="23.25">
      <c r="A273" s="415"/>
      <c r="B273" s="211"/>
      <c r="C273" s="209"/>
      <c r="D273" s="209"/>
      <c r="E273" s="209"/>
      <c r="F273" s="209"/>
      <c r="G273" s="209"/>
      <c r="H273" s="209"/>
      <c r="I273" s="209"/>
      <c r="J273" s="209"/>
      <c r="K273" s="209"/>
      <c r="L273" s="209"/>
      <c r="M273" s="209"/>
      <c r="N273" s="209"/>
      <c r="O273" s="209"/>
      <c r="P273" s="209"/>
      <c r="Q273" s="209"/>
      <c r="R273" s="210"/>
      <c r="S273" s="415"/>
    </row>
    <row r="274" spans="1:19" ht="23.25">
      <c r="A274" s="415"/>
      <c r="B274" s="211"/>
      <c r="C274" s="209"/>
      <c r="D274" s="209"/>
      <c r="E274" s="209"/>
      <c r="F274" s="209"/>
      <c r="G274" s="209"/>
      <c r="H274" s="209"/>
      <c r="I274" s="209"/>
      <c r="J274" s="209"/>
      <c r="K274" s="209"/>
      <c r="L274" s="209"/>
      <c r="M274" s="209"/>
      <c r="N274" s="209"/>
      <c r="O274" s="209"/>
      <c r="P274" s="209"/>
      <c r="Q274" s="209"/>
      <c r="R274" s="210"/>
      <c r="S274" s="415"/>
    </row>
    <row r="275" spans="1:19" ht="23.25">
      <c r="A275" s="415"/>
      <c r="B275" s="211"/>
      <c r="C275" s="209"/>
      <c r="D275" s="209"/>
      <c r="E275" s="209"/>
      <c r="F275" s="209"/>
      <c r="G275" s="209"/>
      <c r="H275" s="209"/>
      <c r="I275" s="209"/>
      <c r="J275" s="209"/>
      <c r="K275" s="209"/>
      <c r="L275" s="209"/>
      <c r="M275" s="209"/>
      <c r="N275" s="209"/>
      <c r="O275" s="209"/>
      <c r="P275" s="209"/>
      <c r="Q275" s="209"/>
      <c r="R275" s="210"/>
      <c r="S275" s="415"/>
    </row>
    <row r="276" spans="1:19" ht="23.25">
      <c r="A276" s="415"/>
      <c r="B276" s="211"/>
      <c r="C276" s="209"/>
      <c r="D276" s="209"/>
      <c r="E276" s="209"/>
      <c r="F276" s="209"/>
      <c r="G276" s="209"/>
      <c r="H276" s="209"/>
      <c r="I276" s="209"/>
      <c r="J276" s="209"/>
      <c r="K276" s="209"/>
      <c r="L276" s="209"/>
      <c r="M276" s="209"/>
      <c r="N276" s="209"/>
      <c r="O276" s="209"/>
      <c r="P276" s="209"/>
      <c r="Q276" s="209"/>
      <c r="R276" s="210"/>
      <c r="S276" s="415"/>
    </row>
    <row r="277" spans="1:19" ht="23.25">
      <c r="A277" s="415"/>
      <c r="B277" s="211"/>
      <c r="C277" s="209"/>
      <c r="D277" s="209"/>
      <c r="E277" s="209"/>
      <c r="F277" s="209"/>
      <c r="G277" s="209"/>
      <c r="H277" s="209"/>
      <c r="I277" s="209"/>
      <c r="J277" s="209"/>
      <c r="K277" s="209"/>
      <c r="L277" s="209"/>
      <c r="M277" s="209"/>
      <c r="N277" s="209"/>
      <c r="O277" s="209"/>
      <c r="P277" s="209"/>
      <c r="Q277" s="209"/>
      <c r="R277" s="210"/>
      <c r="S277" s="415"/>
    </row>
    <row r="278" spans="1:19" ht="23.25">
      <c r="A278" s="415"/>
      <c r="B278" s="211"/>
      <c r="C278" s="209"/>
      <c r="D278" s="209"/>
      <c r="E278" s="209"/>
      <c r="F278" s="209"/>
      <c r="G278" s="209"/>
      <c r="H278" s="209"/>
      <c r="I278" s="209"/>
      <c r="J278" s="209"/>
      <c r="K278" s="209"/>
      <c r="L278" s="209"/>
      <c r="M278" s="209"/>
      <c r="N278" s="209"/>
      <c r="O278" s="209"/>
      <c r="P278" s="209"/>
      <c r="Q278" s="209"/>
      <c r="R278" s="210"/>
      <c r="S278" s="415"/>
    </row>
    <row r="279" spans="1:19" ht="23.25">
      <c r="A279" s="415"/>
      <c r="B279" s="211"/>
      <c r="C279" s="209"/>
      <c r="D279" s="209"/>
      <c r="E279" s="209"/>
      <c r="F279" s="209"/>
      <c r="G279" s="209"/>
      <c r="H279" s="209"/>
      <c r="I279" s="209"/>
      <c r="J279" s="209"/>
      <c r="K279" s="209"/>
      <c r="L279" s="209"/>
      <c r="M279" s="209"/>
      <c r="N279" s="209"/>
      <c r="O279" s="209"/>
      <c r="P279" s="209"/>
      <c r="Q279" s="209"/>
      <c r="R279" s="210"/>
      <c r="S279" s="415"/>
    </row>
    <row r="280" spans="1:19" ht="23.25">
      <c r="A280" s="415"/>
      <c r="B280" s="211"/>
      <c r="C280" s="209"/>
      <c r="D280" s="209"/>
      <c r="E280" s="209"/>
      <c r="F280" s="209"/>
      <c r="G280" s="209"/>
      <c r="H280" s="209"/>
      <c r="I280" s="209"/>
      <c r="J280" s="209"/>
      <c r="K280" s="209"/>
      <c r="L280" s="209"/>
      <c r="M280" s="209"/>
      <c r="N280" s="209"/>
      <c r="O280" s="209"/>
      <c r="P280" s="209"/>
      <c r="Q280" s="209"/>
      <c r="R280" s="210"/>
      <c r="S280" s="415"/>
    </row>
    <row r="281" spans="1:19" ht="23.25">
      <c r="A281" s="415"/>
      <c r="B281" s="211"/>
      <c r="C281" s="209"/>
      <c r="D281" s="209"/>
      <c r="E281" s="209"/>
      <c r="F281" s="209"/>
      <c r="G281" s="209"/>
      <c r="H281" s="209"/>
      <c r="I281" s="209"/>
      <c r="J281" s="209"/>
      <c r="K281" s="209"/>
      <c r="L281" s="209"/>
      <c r="M281" s="209"/>
      <c r="N281" s="209"/>
      <c r="O281" s="209"/>
      <c r="P281" s="209"/>
      <c r="Q281" s="209"/>
      <c r="R281" s="210"/>
      <c r="S281" s="415"/>
    </row>
    <row r="282" spans="1:19" ht="23.25">
      <c r="A282" s="415"/>
      <c r="B282" s="211"/>
      <c r="C282" s="209"/>
      <c r="D282" s="209"/>
      <c r="E282" s="209"/>
      <c r="F282" s="209"/>
      <c r="G282" s="209"/>
      <c r="H282" s="209"/>
      <c r="I282" s="209"/>
      <c r="J282" s="209"/>
      <c r="K282" s="209"/>
      <c r="L282" s="209"/>
      <c r="M282" s="209"/>
      <c r="N282" s="209"/>
      <c r="O282" s="209"/>
      <c r="P282" s="209"/>
      <c r="Q282" s="209"/>
      <c r="R282" s="210"/>
      <c r="S282" s="415"/>
    </row>
    <row r="283" spans="1:19" ht="23.25">
      <c r="A283" s="415"/>
      <c r="B283" s="211"/>
      <c r="C283" s="209"/>
      <c r="D283" s="209"/>
      <c r="E283" s="209"/>
      <c r="F283" s="209"/>
      <c r="G283" s="209"/>
      <c r="H283" s="209"/>
      <c r="I283" s="209"/>
      <c r="J283" s="209"/>
      <c r="K283" s="209"/>
      <c r="L283" s="209"/>
      <c r="M283" s="209"/>
      <c r="N283" s="209"/>
      <c r="O283" s="209"/>
      <c r="P283" s="209"/>
      <c r="Q283" s="209"/>
      <c r="R283" s="210"/>
      <c r="S283" s="415"/>
    </row>
    <row r="284" spans="1:19" ht="23.25">
      <c r="A284" s="415"/>
      <c r="B284" s="211"/>
      <c r="C284" s="209"/>
      <c r="D284" s="209"/>
      <c r="E284" s="209"/>
      <c r="F284" s="209"/>
      <c r="G284" s="209"/>
      <c r="H284" s="209"/>
      <c r="I284" s="209"/>
      <c r="J284" s="209"/>
      <c r="K284" s="209"/>
      <c r="L284" s="209"/>
      <c r="M284" s="209"/>
      <c r="N284" s="209"/>
      <c r="O284" s="209"/>
      <c r="P284" s="209"/>
      <c r="Q284" s="209"/>
      <c r="R284" s="210"/>
      <c r="S284" s="415"/>
    </row>
    <row r="285" spans="1:19" ht="23.25">
      <c r="A285" s="415"/>
      <c r="B285" s="211"/>
      <c r="C285" s="209"/>
      <c r="D285" s="209"/>
      <c r="E285" s="209"/>
      <c r="F285" s="209"/>
      <c r="G285" s="209"/>
      <c r="H285" s="209"/>
      <c r="I285" s="209"/>
      <c r="J285" s="209"/>
      <c r="K285" s="209"/>
      <c r="L285" s="209"/>
      <c r="M285" s="209"/>
      <c r="N285" s="209"/>
      <c r="O285" s="209"/>
      <c r="P285" s="209"/>
      <c r="Q285" s="209"/>
      <c r="R285" s="210"/>
      <c r="S285" s="415"/>
    </row>
    <row r="286" spans="1:19" ht="23.25">
      <c r="A286" s="415"/>
      <c r="B286" s="211"/>
      <c r="C286" s="209"/>
      <c r="D286" s="209"/>
      <c r="E286" s="209"/>
      <c r="F286" s="209"/>
      <c r="G286" s="209"/>
      <c r="H286" s="209"/>
      <c r="I286" s="209"/>
      <c r="J286" s="209"/>
      <c r="K286" s="209"/>
      <c r="L286" s="209"/>
      <c r="M286" s="209"/>
      <c r="N286" s="209"/>
      <c r="O286" s="209"/>
      <c r="P286" s="209"/>
      <c r="Q286" s="209"/>
      <c r="R286" s="210"/>
      <c r="S286" s="415"/>
    </row>
    <row r="287" spans="1:19" ht="23.25">
      <c r="A287" s="415"/>
      <c r="B287" s="211"/>
      <c r="C287" s="209"/>
      <c r="D287" s="209"/>
      <c r="E287" s="209"/>
      <c r="F287" s="209"/>
      <c r="G287" s="209"/>
      <c r="H287" s="209"/>
      <c r="I287" s="209"/>
      <c r="J287" s="209"/>
      <c r="K287" s="209"/>
      <c r="L287" s="209"/>
      <c r="M287" s="209"/>
      <c r="N287" s="209"/>
      <c r="O287" s="209"/>
      <c r="P287" s="209"/>
      <c r="Q287" s="209"/>
      <c r="R287" s="210"/>
      <c r="S287" s="415"/>
    </row>
    <row r="288" spans="1:19" ht="23.25">
      <c r="A288" s="415"/>
      <c r="B288" s="211"/>
      <c r="C288" s="209"/>
      <c r="D288" s="209"/>
      <c r="E288" s="209"/>
      <c r="F288" s="209"/>
      <c r="G288" s="209"/>
      <c r="H288" s="209"/>
      <c r="I288" s="209"/>
      <c r="J288" s="209"/>
      <c r="K288" s="209"/>
      <c r="L288" s="209"/>
      <c r="M288" s="209"/>
      <c r="N288" s="209"/>
      <c r="O288" s="209"/>
      <c r="P288" s="209"/>
      <c r="Q288" s="209"/>
      <c r="R288" s="210"/>
      <c r="S288" s="415"/>
    </row>
    <row r="289" spans="1:19" ht="23.25">
      <c r="A289" s="415"/>
      <c r="B289" s="211"/>
      <c r="C289" s="209"/>
      <c r="D289" s="209"/>
      <c r="E289" s="209"/>
      <c r="F289" s="209"/>
      <c r="G289" s="209"/>
      <c r="H289" s="209"/>
      <c r="I289" s="209"/>
      <c r="J289" s="209"/>
      <c r="K289" s="209"/>
      <c r="L289" s="209"/>
      <c r="M289" s="209"/>
      <c r="N289" s="209"/>
      <c r="O289" s="209"/>
      <c r="P289" s="209"/>
      <c r="Q289" s="209"/>
      <c r="R289" s="210"/>
      <c r="S289" s="415"/>
    </row>
    <row r="290" spans="1:19" ht="23.25">
      <c r="A290" s="415"/>
      <c r="B290" s="211"/>
      <c r="C290" s="209"/>
      <c r="D290" s="209"/>
      <c r="E290" s="209"/>
      <c r="F290" s="209"/>
      <c r="G290" s="209"/>
      <c r="H290" s="209"/>
      <c r="I290" s="209"/>
      <c r="J290" s="209"/>
      <c r="K290" s="209"/>
      <c r="L290" s="209"/>
      <c r="M290" s="209"/>
      <c r="N290" s="209"/>
      <c r="O290" s="209"/>
      <c r="P290" s="209"/>
      <c r="Q290" s="209"/>
      <c r="R290" s="210"/>
      <c r="S290" s="415"/>
    </row>
    <row r="291" spans="1:19" ht="23.25">
      <c r="A291" s="415"/>
      <c r="B291" s="211"/>
      <c r="C291" s="209"/>
      <c r="D291" s="209"/>
      <c r="E291" s="209"/>
      <c r="F291" s="209"/>
      <c r="G291" s="209"/>
      <c r="H291" s="209"/>
      <c r="I291" s="209"/>
      <c r="J291" s="209"/>
      <c r="K291" s="209"/>
      <c r="L291" s="209"/>
      <c r="M291" s="209"/>
      <c r="N291" s="209"/>
      <c r="O291" s="209"/>
      <c r="P291" s="209"/>
      <c r="Q291" s="209"/>
      <c r="R291" s="210"/>
      <c r="S291" s="415"/>
    </row>
    <row r="292" spans="1:19" ht="23.25">
      <c r="A292" s="415"/>
      <c r="B292" s="211"/>
      <c r="C292" s="209"/>
      <c r="D292" s="209"/>
      <c r="E292" s="209"/>
      <c r="F292" s="209"/>
      <c r="G292" s="209"/>
      <c r="H292" s="209"/>
      <c r="I292" s="209"/>
      <c r="J292" s="209"/>
      <c r="K292" s="209"/>
      <c r="L292" s="209"/>
      <c r="M292" s="209"/>
      <c r="N292" s="209"/>
      <c r="O292" s="209"/>
      <c r="P292" s="209"/>
      <c r="Q292" s="209"/>
      <c r="R292" s="210"/>
      <c r="S292" s="415"/>
    </row>
    <row r="293" spans="1:19" ht="23.25">
      <c r="A293" s="415"/>
      <c r="B293" s="211"/>
      <c r="C293" s="209"/>
      <c r="D293" s="209"/>
      <c r="E293" s="209"/>
      <c r="F293" s="209"/>
      <c r="G293" s="209"/>
      <c r="H293" s="209"/>
      <c r="I293" s="209"/>
      <c r="J293" s="209"/>
      <c r="K293" s="209"/>
      <c r="L293" s="209"/>
      <c r="M293" s="209"/>
      <c r="N293" s="209"/>
      <c r="O293" s="209"/>
      <c r="P293" s="209"/>
      <c r="Q293" s="209"/>
      <c r="R293" s="210"/>
      <c r="S293" s="415"/>
    </row>
    <row r="294" spans="1:19" ht="23.25">
      <c r="A294" s="415"/>
      <c r="B294" s="211"/>
      <c r="C294" s="209"/>
      <c r="D294" s="209"/>
      <c r="E294" s="209"/>
      <c r="F294" s="209"/>
      <c r="G294" s="209"/>
      <c r="H294" s="209"/>
      <c r="I294" s="209"/>
      <c r="J294" s="209"/>
      <c r="K294" s="209"/>
      <c r="L294" s="209"/>
      <c r="M294" s="209"/>
      <c r="N294" s="209"/>
      <c r="O294" s="209"/>
      <c r="P294" s="209"/>
      <c r="Q294" s="209"/>
      <c r="R294" s="210"/>
      <c r="S294" s="415"/>
    </row>
    <row r="295" spans="1:19" ht="23.25">
      <c r="A295" s="415"/>
      <c r="B295" s="211"/>
      <c r="C295" s="209"/>
      <c r="D295" s="209"/>
      <c r="E295" s="209"/>
      <c r="F295" s="209"/>
      <c r="G295" s="209"/>
      <c r="H295" s="209"/>
      <c r="I295" s="209"/>
      <c r="J295" s="209"/>
      <c r="K295" s="209"/>
      <c r="L295" s="209"/>
      <c r="M295" s="209"/>
      <c r="N295" s="209"/>
      <c r="O295" s="209"/>
      <c r="P295" s="209"/>
      <c r="Q295" s="209"/>
      <c r="R295" s="210"/>
      <c r="S295" s="415"/>
    </row>
    <row r="296" spans="1:19" ht="23.25">
      <c r="A296" s="415"/>
      <c r="B296" s="211"/>
      <c r="C296" s="209"/>
      <c r="D296" s="209"/>
      <c r="E296" s="209"/>
      <c r="F296" s="209"/>
      <c r="G296" s="209"/>
      <c r="H296" s="209"/>
      <c r="I296" s="209"/>
      <c r="J296" s="209"/>
      <c r="K296" s="209"/>
      <c r="L296" s="209"/>
      <c r="M296" s="209"/>
      <c r="N296" s="209"/>
      <c r="O296" s="209"/>
      <c r="P296" s="209"/>
      <c r="Q296" s="209"/>
      <c r="R296" s="210"/>
      <c r="S296" s="415"/>
    </row>
    <row r="297" spans="1:19" ht="23.25">
      <c r="A297" s="415"/>
      <c r="B297" s="211"/>
      <c r="C297" s="209"/>
      <c r="D297" s="209"/>
      <c r="E297" s="209"/>
      <c r="F297" s="209"/>
      <c r="G297" s="209"/>
      <c r="H297" s="209"/>
      <c r="I297" s="209"/>
      <c r="J297" s="209"/>
      <c r="K297" s="209"/>
      <c r="L297" s="209"/>
      <c r="M297" s="209"/>
      <c r="N297" s="209"/>
      <c r="O297" s="209"/>
      <c r="P297" s="209"/>
      <c r="Q297" s="209"/>
      <c r="R297" s="210"/>
      <c r="S297" s="415"/>
    </row>
    <row r="298" spans="1:19" ht="23.25">
      <c r="A298" s="415"/>
      <c r="B298" s="211"/>
      <c r="C298" s="209"/>
      <c r="D298" s="209"/>
      <c r="E298" s="209"/>
      <c r="F298" s="209"/>
      <c r="G298" s="209"/>
      <c r="H298" s="209"/>
      <c r="I298" s="209"/>
      <c r="J298" s="209"/>
      <c r="K298" s="209"/>
      <c r="L298" s="209"/>
      <c r="M298" s="209"/>
      <c r="N298" s="209"/>
      <c r="O298" s="209"/>
      <c r="P298" s="209"/>
      <c r="Q298" s="209"/>
      <c r="R298" s="210"/>
      <c r="S298" s="415"/>
    </row>
    <row r="299" spans="1:19" ht="23.25">
      <c r="A299" s="415"/>
      <c r="B299" s="211"/>
      <c r="C299" s="209"/>
      <c r="D299" s="209"/>
      <c r="E299" s="209"/>
      <c r="F299" s="209"/>
      <c r="G299" s="209"/>
      <c r="H299" s="209"/>
      <c r="I299" s="209"/>
      <c r="J299" s="209"/>
      <c r="K299" s="209"/>
      <c r="L299" s="209"/>
      <c r="M299" s="209"/>
      <c r="N299" s="209"/>
      <c r="O299" s="209"/>
      <c r="P299" s="209"/>
      <c r="Q299" s="209"/>
      <c r="R299" s="210"/>
      <c r="S299" s="415"/>
    </row>
    <row r="300" spans="1:19" ht="23.25">
      <c r="A300" s="415"/>
      <c r="B300" s="211"/>
      <c r="C300" s="209"/>
      <c r="D300" s="209"/>
      <c r="E300" s="209"/>
      <c r="F300" s="209"/>
      <c r="G300" s="209"/>
      <c r="H300" s="209"/>
      <c r="I300" s="209"/>
      <c r="J300" s="209"/>
      <c r="K300" s="209"/>
      <c r="L300" s="209"/>
      <c r="M300" s="209"/>
      <c r="N300" s="209"/>
      <c r="O300" s="209"/>
      <c r="P300" s="209"/>
      <c r="Q300" s="209"/>
      <c r="R300" s="210"/>
      <c r="S300" s="415"/>
    </row>
    <row r="301" spans="1:19" ht="23.25">
      <c r="A301" s="415"/>
      <c r="B301" s="211"/>
      <c r="C301" s="209"/>
      <c r="D301" s="209"/>
      <c r="E301" s="209"/>
      <c r="F301" s="209"/>
      <c r="G301" s="209"/>
      <c r="H301" s="209"/>
      <c r="I301" s="209"/>
      <c r="J301" s="209"/>
      <c r="K301" s="209"/>
      <c r="L301" s="209"/>
      <c r="M301" s="209"/>
      <c r="N301" s="209"/>
      <c r="O301" s="209"/>
      <c r="P301" s="209"/>
      <c r="Q301" s="209"/>
      <c r="R301" s="210"/>
      <c r="S301" s="415"/>
    </row>
    <row r="302" spans="1:19" ht="23.25">
      <c r="A302" s="415"/>
      <c r="B302" s="211"/>
      <c r="C302" s="209"/>
      <c r="D302" s="209"/>
      <c r="E302" s="209"/>
      <c r="F302" s="209"/>
      <c r="G302" s="209"/>
      <c r="H302" s="209"/>
      <c r="I302" s="209"/>
      <c r="J302" s="209"/>
      <c r="K302" s="209"/>
      <c r="L302" s="209"/>
      <c r="M302" s="209"/>
      <c r="N302" s="209"/>
      <c r="O302" s="209"/>
      <c r="P302" s="209"/>
      <c r="Q302" s="209"/>
      <c r="R302" s="210"/>
      <c r="S302" s="415"/>
    </row>
    <row r="303" spans="1:19" ht="23.25">
      <c r="A303" s="415"/>
      <c r="B303" s="211"/>
      <c r="C303" s="209"/>
      <c r="D303" s="209"/>
      <c r="E303" s="209"/>
      <c r="F303" s="209"/>
      <c r="G303" s="209"/>
      <c r="H303" s="209"/>
      <c r="I303" s="209"/>
      <c r="J303" s="209"/>
      <c r="K303" s="209"/>
      <c r="L303" s="209"/>
      <c r="M303" s="209"/>
      <c r="N303" s="209"/>
      <c r="O303" s="209"/>
      <c r="P303" s="209"/>
      <c r="Q303" s="209"/>
      <c r="R303" s="210"/>
      <c r="S303" s="415"/>
    </row>
    <row r="304" spans="1:19" ht="23.25">
      <c r="A304" s="415"/>
      <c r="B304" s="211"/>
      <c r="C304" s="209"/>
      <c r="D304" s="209"/>
      <c r="E304" s="209"/>
      <c r="F304" s="209"/>
      <c r="G304" s="209"/>
      <c r="H304" s="209"/>
      <c r="I304" s="209"/>
      <c r="J304" s="209"/>
      <c r="K304" s="209"/>
      <c r="L304" s="209"/>
      <c r="M304" s="209"/>
      <c r="N304" s="209"/>
      <c r="O304" s="209"/>
      <c r="P304" s="209"/>
      <c r="Q304" s="209"/>
      <c r="R304" s="210"/>
      <c r="S304" s="415"/>
    </row>
    <row r="305" spans="1:19" ht="23.25">
      <c r="A305" s="415"/>
      <c r="B305" s="211"/>
      <c r="C305" s="209"/>
      <c r="D305" s="209"/>
      <c r="E305" s="209"/>
      <c r="F305" s="209"/>
      <c r="G305" s="209"/>
      <c r="H305" s="209"/>
      <c r="I305" s="209"/>
      <c r="J305" s="209"/>
      <c r="K305" s="209"/>
      <c r="L305" s="209"/>
      <c r="M305" s="209"/>
      <c r="N305" s="209"/>
      <c r="O305" s="209"/>
      <c r="P305" s="209"/>
      <c r="Q305" s="209"/>
      <c r="R305" s="210"/>
      <c r="S305" s="415"/>
    </row>
    <row r="306" spans="1:19" ht="23.25">
      <c r="A306" s="415"/>
      <c r="B306" s="211"/>
      <c r="C306" s="209"/>
      <c r="D306" s="209"/>
      <c r="E306" s="209"/>
      <c r="F306" s="209"/>
      <c r="G306" s="209"/>
      <c r="H306" s="209"/>
      <c r="I306" s="209"/>
      <c r="J306" s="209"/>
      <c r="K306" s="209"/>
      <c r="L306" s="209"/>
      <c r="M306" s="209"/>
      <c r="N306" s="209"/>
      <c r="O306" s="209"/>
      <c r="P306" s="209"/>
      <c r="Q306" s="209"/>
      <c r="R306" s="210"/>
      <c r="S306" s="415"/>
    </row>
    <row r="307" spans="1:19" ht="23.25">
      <c r="A307" s="415"/>
      <c r="B307" s="211"/>
      <c r="C307" s="209"/>
      <c r="D307" s="209"/>
      <c r="E307" s="209"/>
      <c r="F307" s="209"/>
      <c r="G307" s="209"/>
      <c r="H307" s="209"/>
      <c r="I307" s="209"/>
      <c r="J307" s="209"/>
      <c r="K307" s="209"/>
      <c r="L307" s="209"/>
      <c r="M307" s="209"/>
      <c r="N307" s="209"/>
      <c r="O307" s="209"/>
      <c r="P307" s="209"/>
      <c r="Q307" s="209"/>
      <c r="R307" s="210"/>
      <c r="S307" s="415"/>
    </row>
    <row r="308" spans="1:19" ht="23.25">
      <c r="A308" s="415"/>
      <c r="B308" s="211"/>
      <c r="C308" s="209"/>
      <c r="D308" s="209"/>
      <c r="E308" s="209"/>
      <c r="F308" s="209"/>
      <c r="G308" s="209"/>
      <c r="H308" s="209"/>
      <c r="I308" s="209"/>
      <c r="J308" s="209"/>
      <c r="K308" s="209"/>
      <c r="L308" s="209"/>
      <c r="M308" s="209"/>
      <c r="N308" s="209"/>
      <c r="O308" s="209"/>
      <c r="P308" s="209"/>
      <c r="Q308" s="209"/>
      <c r="R308" s="210"/>
      <c r="S308" s="415"/>
    </row>
    <row r="309" spans="1:19" ht="23.25">
      <c r="A309" s="415"/>
      <c r="B309" s="211"/>
      <c r="C309" s="209"/>
      <c r="D309" s="209"/>
      <c r="E309" s="209"/>
      <c r="F309" s="209"/>
      <c r="G309" s="209"/>
      <c r="H309" s="209"/>
      <c r="I309" s="209"/>
      <c r="J309" s="209"/>
      <c r="K309" s="209"/>
      <c r="L309" s="209"/>
      <c r="M309" s="209"/>
      <c r="N309" s="209"/>
      <c r="O309" s="209"/>
      <c r="P309" s="209"/>
      <c r="Q309" s="209"/>
      <c r="R309" s="210"/>
      <c r="S309" s="415"/>
    </row>
    <row r="310" spans="1:19" ht="23.25">
      <c r="A310" s="415"/>
      <c r="B310" s="211"/>
      <c r="C310" s="209"/>
      <c r="D310" s="209"/>
      <c r="E310" s="209"/>
      <c r="F310" s="209"/>
      <c r="G310" s="209"/>
      <c r="H310" s="209"/>
      <c r="I310" s="209"/>
      <c r="J310" s="209"/>
      <c r="K310" s="209"/>
      <c r="L310" s="209"/>
      <c r="M310" s="209"/>
      <c r="N310" s="209"/>
      <c r="O310" s="209"/>
      <c r="P310" s="209"/>
      <c r="Q310" s="209"/>
      <c r="R310" s="210"/>
      <c r="S310" s="415"/>
    </row>
    <row r="311" spans="1:19" ht="23.25">
      <c r="A311" s="415"/>
      <c r="B311" s="211"/>
      <c r="C311" s="209"/>
      <c r="D311" s="209"/>
      <c r="E311" s="209"/>
      <c r="F311" s="209"/>
      <c r="G311" s="209"/>
      <c r="H311" s="209"/>
      <c r="I311" s="209"/>
      <c r="J311" s="209"/>
      <c r="K311" s="209"/>
      <c r="L311" s="209"/>
      <c r="M311" s="209"/>
      <c r="N311" s="209"/>
      <c r="O311" s="209"/>
      <c r="P311" s="209"/>
      <c r="Q311" s="209"/>
      <c r="R311" s="210"/>
      <c r="S311" s="415"/>
    </row>
    <row r="312" spans="1:19" ht="23.25">
      <c r="A312" s="415"/>
      <c r="B312" s="211"/>
      <c r="C312" s="209"/>
      <c r="D312" s="209"/>
      <c r="E312" s="209"/>
      <c r="F312" s="209"/>
      <c r="G312" s="209"/>
      <c r="H312" s="209"/>
      <c r="I312" s="209"/>
      <c r="J312" s="209"/>
      <c r="K312" s="209"/>
      <c r="L312" s="209"/>
      <c r="M312" s="209"/>
      <c r="N312" s="209"/>
      <c r="O312" s="209"/>
      <c r="P312" s="209"/>
      <c r="Q312" s="209"/>
      <c r="R312" s="210"/>
      <c r="S312" s="415"/>
    </row>
    <row r="313" spans="1:19" ht="23.25">
      <c r="A313" s="415"/>
      <c r="B313" s="211"/>
      <c r="C313" s="209"/>
      <c r="D313" s="209"/>
      <c r="E313" s="209"/>
      <c r="F313" s="209"/>
      <c r="G313" s="209"/>
      <c r="H313" s="209"/>
      <c r="I313" s="209"/>
      <c r="J313" s="209"/>
      <c r="K313" s="209"/>
      <c r="L313" s="209"/>
      <c r="M313" s="209"/>
      <c r="N313" s="209"/>
      <c r="O313" s="209"/>
      <c r="P313" s="209"/>
      <c r="Q313" s="209"/>
      <c r="R313" s="210"/>
      <c r="S313" s="415"/>
    </row>
    <row r="314" spans="1:19" ht="23.25">
      <c r="A314" s="415"/>
      <c r="B314" s="211"/>
      <c r="C314" s="209"/>
      <c r="D314" s="209"/>
      <c r="E314" s="209"/>
      <c r="F314" s="209"/>
      <c r="G314" s="209"/>
      <c r="H314" s="209"/>
      <c r="I314" s="209"/>
      <c r="J314" s="209"/>
      <c r="K314" s="209"/>
      <c r="L314" s="209"/>
      <c r="M314" s="209"/>
      <c r="N314" s="209"/>
      <c r="O314" s="209"/>
      <c r="P314" s="209"/>
      <c r="Q314" s="209"/>
      <c r="R314" s="210"/>
      <c r="S314" s="415"/>
    </row>
    <row r="315" spans="1:19" ht="23.25">
      <c r="A315" s="415"/>
      <c r="B315" s="211"/>
      <c r="C315" s="209"/>
      <c r="D315" s="209"/>
      <c r="E315" s="209"/>
      <c r="F315" s="209"/>
      <c r="G315" s="209"/>
      <c r="H315" s="209"/>
      <c r="I315" s="209"/>
      <c r="J315" s="209"/>
      <c r="K315" s="209"/>
      <c r="L315" s="209"/>
      <c r="M315" s="209"/>
      <c r="N315" s="209"/>
      <c r="O315" s="209"/>
      <c r="P315" s="209"/>
      <c r="Q315" s="209"/>
      <c r="R315" s="210"/>
      <c r="S315" s="415"/>
    </row>
    <row r="316" spans="1:19" ht="23.25">
      <c r="A316" s="415"/>
      <c r="B316" s="211"/>
      <c r="C316" s="209"/>
      <c r="D316" s="209"/>
      <c r="E316" s="209"/>
      <c r="F316" s="209"/>
      <c r="G316" s="209"/>
      <c r="H316" s="209"/>
      <c r="I316" s="209"/>
      <c r="J316" s="209"/>
      <c r="K316" s="209"/>
      <c r="L316" s="209"/>
      <c r="M316" s="209"/>
      <c r="N316" s="209"/>
      <c r="O316" s="209"/>
      <c r="P316" s="209"/>
      <c r="Q316" s="209"/>
      <c r="R316" s="210"/>
      <c r="S316" s="415"/>
    </row>
    <row r="317" spans="1:19" ht="23.25">
      <c r="A317" s="415"/>
      <c r="B317" s="211"/>
      <c r="C317" s="209"/>
      <c r="D317" s="209"/>
      <c r="E317" s="209"/>
      <c r="F317" s="209"/>
      <c r="G317" s="209"/>
      <c r="H317" s="209"/>
      <c r="I317" s="209"/>
      <c r="J317" s="209"/>
      <c r="K317" s="209"/>
      <c r="L317" s="209"/>
      <c r="M317" s="209"/>
      <c r="N317" s="209"/>
      <c r="O317" s="209"/>
      <c r="P317" s="209"/>
      <c r="Q317" s="209"/>
      <c r="R317" s="210"/>
      <c r="S317" s="415"/>
    </row>
    <row r="318" spans="1:19" ht="23.25">
      <c r="A318" s="415"/>
      <c r="B318" s="211"/>
      <c r="C318" s="209"/>
      <c r="D318" s="209"/>
      <c r="E318" s="209"/>
      <c r="F318" s="209"/>
      <c r="G318" s="209"/>
      <c r="H318" s="209"/>
      <c r="I318" s="209"/>
      <c r="J318" s="209"/>
      <c r="K318" s="209"/>
      <c r="L318" s="209"/>
      <c r="M318" s="209"/>
      <c r="N318" s="209"/>
      <c r="O318" s="209"/>
      <c r="P318" s="209"/>
      <c r="Q318" s="209"/>
      <c r="R318" s="210"/>
      <c r="S318" s="415"/>
    </row>
    <row r="319" spans="1:19" ht="23.25">
      <c r="A319" s="415"/>
      <c r="B319" s="211"/>
      <c r="C319" s="209"/>
      <c r="D319" s="209"/>
      <c r="E319" s="209"/>
      <c r="F319" s="209"/>
      <c r="G319" s="209"/>
      <c r="H319" s="209"/>
      <c r="I319" s="209"/>
      <c r="J319" s="209"/>
      <c r="K319" s="209"/>
      <c r="L319" s="209"/>
      <c r="M319" s="209"/>
      <c r="N319" s="209"/>
      <c r="O319" s="209"/>
      <c r="P319" s="209"/>
      <c r="Q319" s="209"/>
      <c r="R319" s="210"/>
      <c r="S319" s="415"/>
    </row>
    <row r="320" spans="1:19" ht="23.25">
      <c r="A320" s="415"/>
      <c r="B320" s="211"/>
      <c r="C320" s="209"/>
      <c r="D320" s="209"/>
      <c r="E320" s="209"/>
      <c r="F320" s="209"/>
      <c r="G320" s="209"/>
      <c r="H320" s="209"/>
      <c r="I320" s="209"/>
      <c r="J320" s="209"/>
      <c r="K320" s="209"/>
      <c r="L320" s="209"/>
      <c r="M320" s="209"/>
      <c r="N320" s="209"/>
      <c r="O320" s="209"/>
      <c r="P320" s="209"/>
      <c r="Q320" s="209"/>
      <c r="R320" s="210"/>
      <c r="S320" s="415"/>
    </row>
    <row r="321" spans="1:19" ht="23.25">
      <c r="A321" s="415"/>
      <c r="B321" s="211"/>
      <c r="C321" s="209"/>
      <c r="D321" s="209"/>
      <c r="E321" s="209"/>
      <c r="F321" s="209"/>
      <c r="G321" s="209"/>
      <c r="H321" s="209"/>
      <c r="I321" s="209"/>
      <c r="J321" s="209"/>
      <c r="K321" s="209"/>
      <c r="L321" s="209"/>
      <c r="M321" s="209"/>
      <c r="N321" s="209"/>
      <c r="O321" s="209"/>
      <c r="P321" s="209"/>
      <c r="Q321" s="209"/>
      <c r="R321" s="210"/>
      <c r="S321" s="415"/>
    </row>
    <row r="322" spans="1:19" ht="23.25">
      <c r="A322" s="415"/>
      <c r="B322" s="211"/>
      <c r="C322" s="209"/>
      <c r="D322" s="209"/>
      <c r="E322" s="209"/>
      <c r="F322" s="209"/>
      <c r="G322" s="209"/>
      <c r="H322" s="209"/>
      <c r="I322" s="209"/>
      <c r="J322" s="209"/>
      <c r="K322" s="209"/>
      <c r="L322" s="209"/>
      <c r="M322" s="209"/>
      <c r="N322" s="209"/>
      <c r="O322" s="209"/>
      <c r="P322" s="209"/>
      <c r="Q322" s="209"/>
      <c r="R322" s="210"/>
      <c r="S322" s="415"/>
    </row>
    <row r="323" spans="1:19" ht="23.25">
      <c r="A323" s="415"/>
      <c r="B323" s="211"/>
      <c r="C323" s="209"/>
      <c r="D323" s="209"/>
      <c r="E323" s="209"/>
      <c r="F323" s="209"/>
      <c r="G323" s="209"/>
      <c r="H323" s="209"/>
      <c r="I323" s="209"/>
      <c r="J323" s="209"/>
      <c r="K323" s="209"/>
      <c r="L323" s="209"/>
      <c r="M323" s="209"/>
      <c r="N323" s="209"/>
      <c r="O323" s="209"/>
      <c r="P323" s="209"/>
      <c r="Q323" s="209"/>
      <c r="R323" s="210"/>
      <c r="S323" s="415"/>
    </row>
    <row r="324" spans="1:19" ht="23.25">
      <c r="A324" s="415"/>
      <c r="B324" s="211"/>
      <c r="C324" s="209"/>
      <c r="D324" s="209"/>
      <c r="E324" s="209"/>
      <c r="F324" s="209"/>
      <c r="G324" s="209"/>
      <c r="H324" s="209"/>
      <c r="I324" s="209"/>
      <c r="J324" s="209"/>
      <c r="K324" s="209"/>
      <c r="L324" s="209"/>
      <c r="M324" s="209"/>
      <c r="N324" s="209"/>
      <c r="O324" s="209"/>
      <c r="P324" s="209"/>
      <c r="Q324" s="209"/>
      <c r="R324" s="210"/>
      <c r="S324" s="415"/>
    </row>
    <row r="325" spans="1:19" ht="23.25">
      <c r="A325" s="415"/>
      <c r="B325" s="211"/>
      <c r="C325" s="209"/>
      <c r="D325" s="209"/>
      <c r="E325" s="209"/>
      <c r="F325" s="209"/>
      <c r="G325" s="209"/>
      <c r="H325" s="209"/>
      <c r="I325" s="209"/>
      <c r="J325" s="209"/>
      <c r="K325" s="209"/>
      <c r="L325" s="209"/>
      <c r="M325" s="209"/>
      <c r="N325" s="209"/>
      <c r="O325" s="209"/>
      <c r="P325" s="209"/>
      <c r="Q325" s="209"/>
      <c r="R325" s="210"/>
      <c r="S325" s="415"/>
    </row>
    <row r="326" spans="1:19" ht="23.25">
      <c r="A326" s="415"/>
      <c r="B326" s="211"/>
      <c r="C326" s="209"/>
      <c r="D326" s="209"/>
      <c r="E326" s="209"/>
      <c r="F326" s="209"/>
      <c r="G326" s="209"/>
      <c r="H326" s="209"/>
      <c r="I326" s="209"/>
      <c r="J326" s="209"/>
      <c r="K326" s="209"/>
      <c r="L326" s="209"/>
      <c r="M326" s="209"/>
      <c r="N326" s="209"/>
      <c r="O326" s="209"/>
      <c r="P326" s="209"/>
      <c r="Q326" s="209"/>
      <c r="R326" s="210"/>
      <c r="S326" s="415"/>
    </row>
    <row r="327" spans="1:19" ht="23.25">
      <c r="A327" s="415"/>
      <c r="B327" s="211"/>
      <c r="C327" s="209"/>
      <c r="D327" s="209"/>
      <c r="E327" s="209"/>
      <c r="F327" s="209"/>
      <c r="G327" s="209"/>
      <c r="H327" s="209"/>
      <c r="I327" s="209"/>
      <c r="J327" s="209"/>
      <c r="K327" s="209"/>
      <c r="L327" s="209"/>
      <c r="M327" s="209"/>
      <c r="N327" s="209"/>
      <c r="O327" s="209"/>
      <c r="P327" s="209"/>
      <c r="Q327" s="209"/>
      <c r="R327" s="210"/>
      <c r="S327" s="415"/>
    </row>
    <row r="328" spans="1:19" ht="23.25">
      <c r="A328" s="415"/>
      <c r="B328" s="211"/>
      <c r="C328" s="209"/>
      <c r="D328" s="209"/>
      <c r="E328" s="209"/>
      <c r="F328" s="209"/>
      <c r="G328" s="209"/>
      <c r="H328" s="209"/>
      <c r="I328" s="209"/>
      <c r="J328" s="209"/>
      <c r="K328" s="209"/>
      <c r="L328" s="209"/>
      <c r="M328" s="209"/>
      <c r="N328" s="209"/>
      <c r="O328" s="209"/>
      <c r="P328" s="209"/>
      <c r="Q328" s="209"/>
      <c r="R328" s="210"/>
      <c r="S328" s="415"/>
    </row>
    <row r="329" spans="1:19" ht="23.25">
      <c r="A329" s="415"/>
      <c r="B329" s="211"/>
      <c r="C329" s="209"/>
      <c r="D329" s="209"/>
      <c r="E329" s="209"/>
      <c r="F329" s="209"/>
      <c r="G329" s="209"/>
      <c r="H329" s="209"/>
      <c r="I329" s="209"/>
      <c r="J329" s="209"/>
      <c r="K329" s="209"/>
      <c r="L329" s="209"/>
      <c r="M329" s="209"/>
      <c r="N329" s="209"/>
      <c r="O329" s="209"/>
      <c r="P329" s="209"/>
      <c r="Q329" s="209"/>
      <c r="R329" s="210"/>
      <c r="S329" s="415"/>
    </row>
    <row r="330" spans="1:19" ht="23.25">
      <c r="A330" s="415"/>
      <c r="B330" s="211"/>
      <c r="C330" s="209"/>
      <c r="D330" s="209"/>
      <c r="E330" s="209"/>
      <c r="F330" s="209"/>
      <c r="G330" s="209"/>
      <c r="H330" s="209"/>
      <c r="I330" s="209"/>
      <c r="J330" s="209"/>
      <c r="K330" s="209"/>
      <c r="L330" s="209"/>
      <c r="M330" s="209"/>
      <c r="N330" s="209"/>
      <c r="O330" s="209"/>
      <c r="P330" s="209"/>
      <c r="Q330" s="209"/>
      <c r="R330" s="210"/>
      <c r="S330" s="415"/>
    </row>
    <row r="331" spans="1:19" ht="23.25">
      <c r="A331" s="415"/>
      <c r="B331" s="400"/>
      <c r="C331" s="398"/>
      <c r="D331" s="398"/>
      <c r="E331" s="398"/>
      <c r="F331" s="398"/>
      <c r="G331" s="398"/>
      <c r="H331" s="398"/>
      <c r="I331" s="398"/>
      <c r="J331" s="398"/>
      <c r="K331" s="398"/>
      <c r="L331" s="398"/>
      <c r="M331" s="398"/>
      <c r="N331" s="398"/>
      <c r="O331" s="398"/>
      <c r="P331" s="398"/>
      <c r="Q331" s="398"/>
      <c r="R331" s="399"/>
      <c r="S331" s="415"/>
    </row>
    <row r="332" spans="1:19" ht="23.25">
      <c r="A332" s="415"/>
      <c r="B332" s="411"/>
      <c r="C332" s="396"/>
      <c r="D332" s="396"/>
      <c r="E332" s="396"/>
      <c r="F332" s="396"/>
      <c r="G332" s="396"/>
      <c r="H332" s="396"/>
      <c r="I332" s="396"/>
      <c r="J332" s="396"/>
      <c r="K332" s="396"/>
      <c r="L332" s="396"/>
      <c r="M332" s="396"/>
      <c r="N332" s="396"/>
      <c r="O332" s="396"/>
      <c r="P332" s="396"/>
      <c r="Q332" s="396"/>
      <c r="R332" s="402"/>
      <c r="S332" s="415"/>
    </row>
    <row r="333" spans="1:19" ht="23.25">
      <c r="A333" s="415"/>
      <c r="B333" s="406"/>
      <c r="C333" s="398"/>
      <c r="D333" s="398"/>
      <c r="E333" s="398"/>
      <c r="F333" s="398"/>
      <c r="G333" s="398"/>
      <c r="H333" s="398"/>
      <c r="I333" s="398"/>
      <c r="J333" s="398"/>
      <c r="K333" s="398"/>
      <c r="L333" s="398"/>
      <c r="M333" s="398"/>
      <c r="N333" s="398"/>
      <c r="O333" s="398"/>
      <c r="P333" s="398"/>
      <c r="Q333" s="398"/>
      <c r="R333" s="399"/>
      <c r="S333" s="415"/>
    </row>
    <row r="334" spans="1:19" ht="23.25">
      <c r="A334" s="415"/>
      <c r="B334" s="397"/>
      <c r="C334" s="398"/>
      <c r="D334" s="398"/>
      <c r="E334" s="398"/>
      <c r="F334" s="398"/>
      <c r="G334" s="398"/>
      <c r="H334" s="398"/>
      <c r="I334" s="398"/>
      <c r="J334" s="398"/>
      <c r="K334" s="398"/>
      <c r="L334" s="398"/>
      <c r="M334" s="398"/>
      <c r="N334" s="398"/>
      <c r="O334" s="398"/>
      <c r="P334" s="398"/>
      <c r="Q334" s="398"/>
      <c r="R334" s="399"/>
      <c r="S334" s="415"/>
    </row>
    <row r="335" spans="1:19" ht="23.25">
      <c r="A335" s="415"/>
      <c r="B335" s="397"/>
      <c r="C335" s="398"/>
      <c r="D335" s="398"/>
      <c r="E335" s="398"/>
      <c r="F335" s="398"/>
      <c r="G335" s="398"/>
      <c r="H335" s="398"/>
      <c r="I335" s="398"/>
      <c r="J335" s="398"/>
      <c r="K335" s="398"/>
      <c r="L335" s="398"/>
      <c r="M335" s="398"/>
      <c r="N335" s="398"/>
      <c r="O335" s="398"/>
      <c r="P335" s="398"/>
      <c r="Q335" s="398"/>
      <c r="R335" s="399"/>
      <c r="S335" s="415"/>
    </row>
    <row r="336" spans="1:19" ht="23.25">
      <c r="A336" s="415"/>
      <c r="B336" s="397"/>
      <c r="C336" s="398"/>
      <c r="D336" s="398"/>
      <c r="E336" s="398"/>
      <c r="F336" s="398"/>
      <c r="G336" s="398"/>
      <c r="H336" s="398"/>
      <c r="I336" s="398"/>
      <c r="J336" s="398"/>
      <c r="K336" s="398"/>
      <c r="L336" s="398"/>
      <c r="M336" s="398"/>
      <c r="N336" s="398"/>
      <c r="O336" s="398"/>
      <c r="P336" s="398"/>
      <c r="Q336" s="398"/>
      <c r="R336" s="399"/>
      <c r="S336" s="415"/>
    </row>
    <row r="337" spans="1:19" ht="23.25">
      <c r="A337" s="415"/>
      <c r="B337" s="397"/>
      <c r="C337" s="398"/>
      <c r="D337" s="398"/>
      <c r="E337" s="398"/>
      <c r="F337" s="398"/>
      <c r="G337" s="398"/>
      <c r="H337" s="398"/>
      <c r="I337" s="398"/>
      <c r="J337" s="398"/>
      <c r="K337" s="398"/>
      <c r="L337" s="398"/>
      <c r="M337" s="398"/>
      <c r="N337" s="398"/>
      <c r="O337" s="398"/>
      <c r="P337" s="398"/>
      <c r="Q337" s="398"/>
      <c r="R337" s="399"/>
      <c r="S337" s="415"/>
    </row>
    <row r="338" spans="1:19" ht="23.25">
      <c r="A338" s="415"/>
      <c r="B338" s="397"/>
      <c r="C338" s="398"/>
      <c r="D338" s="398"/>
      <c r="E338" s="398"/>
      <c r="F338" s="398"/>
      <c r="G338" s="398"/>
      <c r="H338" s="398"/>
      <c r="I338" s="398"/>
      <c r="J338" s="398"/>
      <c r="K338" s="398"/>
      <c r="L338" s="398"/>
      <c r="M338" s="398"/>
      <c r="N338" s="398"/>
      <c r="O338" s="398"/>
      <c r="P338" s="398"/>
      <c r="Q338" s="398"/>
      <c r="R338" s="399"/>
      <c r="S338" s="415"/>
    </row>
    <row r="339" spans="1:19" ht="23.25">
      <c r="A339" s="415"/>
      <c r="B339" s="397"/>
      <c r="C339" s="398"/>
      <c r="D339" s="398"/>
      <c r="E339" s="398"/>
      <c r="F339" s="398"/>
      <c r="G339" s="398"/>
      <c r="H339" s="398"/>
      <c r="I339" s="398"/>
      <c r="J339" s="398"/>
      <c r="K339" s="398"/>
      <c r="L339" s="398"/>
      <c r="M339" s="398"/>
      <c r="N339" s="398"/>
      <c r="O339" s="398"/>
      <c r="P339" s="398"/>
      <c r="Q339" s="398"/>
      <c r="R339" s="399"/>
      <c r="S339" s="415"/>
    </row>
    <row r="340" spans="1:19" ht="23.25">
      <c r="A340" s="415"/>
      <c r="B340" s="397"/>
      <c r="C340" s="398"/>
      <c r="D340" s="398"/>
      <c r="E340" s="398"/>
      <c r="F340" s="398"/>
      <c r="G340" s="398"/>
      <c r="H340" s="398"/>
      <c r="I340" s="398"/>
      <c r="J340" s="398"/>
      <c r="K340" s="398"/>
      <c r="L340" s="398"/>
      <c r="M340" s="398"/>
      <c r="N340" s="398"/>
      <c r="O340" s="398"/>
      <c r="P340" s="398"/>
      <c r="Q340" s="398"/>
      <c r="R340" s="399"/>
      <c r="S340" s="415"/>
    </row>
    <row r="341" spans="1:19" ht="23.25">
      <c r="A341" s="415"/>
      <c r="B341" s="397"/>
      <c r="C341" s="398"/>
      <c r="D341" s="398"/>
      <c r="E341" s="398"/>
      <c r="F341" s="398"/>
      <c r="G341" s="398"/>
      <c r="H341" s="398"/>
      <c r="I341" s="398"/>
      <c r="J341" s="398"/>
      <c r="K341" s="398"/>
      <c r="L341" s="398"/>
      <c r="M341" s="398"/>
      <c r="N341" s="398"/>
      <c r="O341" s="398"/>
      <c r="P341" s="398"/>
      <c r="Q341" s="398"/>
      <c r="R341" s="399"/>
      <c r="S341" s="415"/>
    </row>
    <row r="342" spans="1:19" ht="23.25">
      <c r="A342" s="415"/>
      <c r="B342" s="400"/>
      <c r="C342" s="398"/>
      <c r="D342" s="398"/>
      <c r="E342" s="398"/>
      <c r="F342" s="398"/>
      <c r="G342" s="398"/>
      <c r="H342" s="398"/>
      <c r="I342" s="398"/>
      <c r="J342" s="398"/>
      <c r="K342" s="398"/>
      <c r="L342" s="398"/>
      <c r="M342" s="398"/>
      <c r="N342" s="398"/>
      <c r="O342" s="398"/>
      <c r="P342" s="398"/>
      <c r="Q342" s="398"/>
      <c r="R342" s="399"/>
      <c r="S342" s="415"/>
    </row>
    <row r="343" spans="1:19" ht="23.25">
      <c r="A343" s="415"/>
      <c r="B343" s="401"/>
      <c r="C343" s="396"/>
      <c r="D343" s="396"/>
      <c r="E343" s="396"/>
      <c r="F343" s="396"/>
      <c r="G343" s="396"/>
      <c r="H343" s="396"/>
      <c r="I343" s="396"/>
      <c r="J343" s="396"/>
      <c r="K343" s="396"/>
      <c r="L343" s="396"/>
      <c r="M343" s="396"/>
      <c r="N343" s="396"/>
      <c r="O343" s="396"/>
      <c r="P343" s="396"/>
      <c r="Q343" s="396"/>
      <c r="R343" s="402"/>
      <c r="S343" s="415"/>
    </row>
    <row r="344" spans="1:19">
      <c r="A344" s="417"/>
      <c r="B344" s="403"/>
      <c r="C344" s="404"/>
      <c r="D344" s="404"/>
      <c r="E344" s="404"/>
      <c r="F344" s="404"/>
      <c r="G344" s="404"/>
      <c r="H344" s="404"/>
      <c r="I344" s="404"/>
      <c r="J344" s="404"/>
      <c r="K344" s="404"/>
      <c r="L344" s="404"/>
      <c r="M344" s="404"/>
      <c r="N344" s="404"/>
      <c r="O344" s="404"/>
      <c r="P344" s="404"/>
      <c r="Q344" s="404"/>
      <c r="R344" s="405"/>
    </row>
    <row r="345" spans="1:19">
      <c r="B345" s="406"/>
      <c r="C345" s="333"/>
      <c r="D345" s="333"/>
      <c r="E345" s="333"/>
      <c r="F345" s="333"/>
      <c r="G345" s="333"/>
      <c r="H345" s="333"/>
      <c r="I345" s="333"/>
      <c r="J345" s="333"/>
      <c r="K345" s="333"/>
      <c r="L345" s="333"/>
      <c r="M345" s="333"/>
      <c r="N345" s="333"/>
      <c r="O345" s="333"/>
      <c r="P345" s="333"/>
      <c r="Q345" s="333"/>
      <c r="R345" s="407"/>
    </row>
    <row r="346" spans="1:19">
      <c r="B346" s="406"/>
      <c r="C346" s="333"/>
      <c r="D346" s="333"/>
      <c r="E346" s="333"/>
      <c r="F346" s="333"/>
      <c r="G346" s="333"/>
      <c r="H346" s="333"/>
      <c r="I346" s="333"/>
      <c r="J346" s="333"/>
      <c r="K346" s="333"/>
      <c r="L346" s="333"/>
      <c r="M346" s="333"/>
      <c r="N346" s="333"/>
      <c r="O346" s="333"/>
      <c r="P346" s="333"/>
      <c r="Q346" s="333"/>
      <c r="R346" s="407"/>
    </row>
    <row r="347" spans="1:19">
      <c r="B347" s="406"/>
      <c r="C347" s="333"/>
      <c r="D347" s="333"/>
      <c r="E347" s="333"/>
      <c r="F347" s="333"/>
      <c r="G347" s="333"/>
      <c r="H347" s="333"/>
      <c r="I347" s="333"/>
      <c r="J347" s="333"/>
      <c r="K347" s="333"/>
      <c r="L347" s="333"/>
      <c r="M347" s="333"/>
      <c r="N347" s="333"/>
      <c r="O347" s="333"/>
      <c r="P347" s="333"/>
      <c r="Q347" s="333"/>
      <c r="R347" s="407"/>
    </row>
    <row r="348" spans="1:19">
      <c r="B348" s="406"/>
      <c r="C348" s="333"/>
      <c r="D348" s="333"/>
      <c r="E348" s="333"/>
      <c r="F348" s="333"/>
      <c r="G348" s="333"/>
      <c r="H348" s="333"/>
      <c r="I348" s="333"/>
      <c r="J348" s="333"/>
      <c r="K348" s="333"/>
      <c r="L348" s="333"/>
      <c r="M348" s="333"/>
      <c r="N348" s="333"/>
      <c r="O348" s="333"/>
      <c r="P348" s="333"/>
      <c r="Q348" s="333"/>
      <c r="R348" s="407"/>
    </row>
    <row r="349" spans="1:19">
      <c r="B349" s="406"/>
      <c r="C349" s="333"/>
      <c r="D349" s="333"/>
      <c r="E349" s="333"/>
      <c r="F349" s="333"/>
      <c r="G349" s="333"/>
      <c r="H349" s="333"/>
      <c r="I349" s="333"/>
      <c r="J349" s="333"/>
      <c r="K349" s="333"/>
      <c r="L349" s="333"/>
      <c r="M349" s="333"/>
      <c r="N349" s="333"/>
      <c r="O349" s="333"/>
      <c r="P349" s="333"/>
      <c r="Q349" s="333"/>
      <c r="R349" s="407"/>
    </row>
    <row r="350" spans="1:19">
      <c r="B350" s="406"/>
      <c r="C350" s="333"/>
      <c r="D350" s="333"/>
      <c r="E350" s="333"/>
      <c r="F350" s="333"/>
      <c r="G350" s="333"/>
      <c r="H350" s="333"/>
      <c r="I350" s="333"/>
      <c r="J350" s="333"/>
      <c r="K350" s="333"/>
      <c r="L350" s="333"/>
      <c r="M350" s="333"/>
      <c r="N350" s="333"/>
      <c r="O350" s="333"/>
      <c r="P350" s="333"/>
      <c r="Q350" s="333"/>
      <c r="R350" s="407"/>
    </row>
    <row r="351" spans="1:19">
      <c r="B351" s="406"/>
      <c r="C351" s="333"/>
      <c r="D351" s="333"/>
      <c r="E351" s="333"/>
      <c r="F351" s="333"/>
      <c r="G351" s="333"/>
      <c r="H351" s="333"/>
      <c r="I351" s="333"/>
      <c r="J351" s="333"/>
      <c r="K351" s="333"/>
      <c r="L351" s="333"/>
      <c r="M351" s="333"/>
      <c r="N351" s="333"/>
      <c r="O351" s="333"/>
      <c r="P351" s="333"/>
      <c r="Q351" s="333"/>
      <c r="R351" s="407"/>
    </row>
    <row r="352" spans="1:19">
      <c r="B352" s="406"/>
      <c r="C352" s="333"/>
      <c r="D352" s="333"/>
      <c r="E352" s="333"/>
      <c r="F352" s="333"/>
      <c r="G352" s="333"/>
      <c r="H352" s="333"/>
      <c r="I352" s="333"/>
      <c r="J352" s="333"/>
      <c r="K352" s="333"/>
      <c r="L352" s="333"/>
      <c r="M352" s="333"/>
      <c r="N352" s="333"/>
      <c r="O352" s="333"/>
      <c r="P352" s="333"/>
      <c r="Q352" s="333"/>
      <c r="R352" s="407"/>
    </row>
    <row r="353" spans="2:18">
      <c r="B353" s="406"/>
      <c r="C353" s="333"/>
      <c r="D353" s="333"/>
      <c r="E353" s="333"/>
      <c r="F353" s="333"/>
      <c r="G353" s="333"/>
      <c r="H353" s="333"/>
      <c r="I353" s="333"/>
      <c r="J353" s="333"/>
      <c r="K353" s="333"/>
      <c r="L353" s="333"/>
      <c r="M353" s="333"/>
      <c r="N353" s="333"/>
      <c r="O353" s="333"/>
      <c r="P353" s="333"/>
      <c r="Q353" s="333"/>
      <c r="R353" s="407"/>
    </row>
    <row r="354" spans="2:18">
      <c r="B354" s="406"/>
      <c r="C354" s="333"/>
      <c r="D354" s="333"/>
      <c r="E354" s="333"/>
      <c r="F354" s="333"/>
      <c r="G354" s="333"/>
      <c r="H354" s="333"/>
      <c r="I354" s="333"/>
      <c r="J354" s="333"/>
      <c r="K354" s="333"/>
      <c r="L354" s="333"/>
      <c r="M354" s="333"/>
      <c r="N354" s="333"/>
      <c r="O354" s="333"/>
      <c r="P354" s="333"/>
      <c r="Q354" s="333"/>
      <c r="R354" s="407"/>
    </row>
    <row r="355" spans="2:18">
      <c r="B355" s="406"/>
      <c r="C355" s="333"/>
      <c r="D355" s="333"/>
      <c r="E355" s="333"/>
      <c r="F355" s="333"/>
      <c r="G355" s="333"/>
      <c r="H355" s="333"/>
      <c r="I355" s="333"/>
      <c r="J355" s="333"/>
      <c r="K355" s="333"/>
      <c r="L355" s="333"/>
      <c r="M355" s="333"/>
      <c r="N355" s="333"/>
      <c r="O355" s="333"/>
      <c r="P355" s="333"/>
      <c r="Q355" s="333"/>
      <c r="R355" s="407"/>
    </row>
    <row r="356" spans="2:18">
      <c r="B356" s="406"/>
      <c r="C356" s="333"/>
      <c r="D356" s="333"/>
      <c r="E356" s="333"/>
      <c r="F356" s="333"/>
      <c r="G356" s="333"/>
      <c r="H356" s="333"/>
      <c r="I356" s="333"/>
      <c r="J356" s="333"/>
      <c r="K356" s="333"/>
      <c r="L356" s="333"/>
      <c r="M356" s="333"/>
      <c r="N356" s="333"/>
      <c r="O356" s="333"/>
      <c r="P356" s="333"/>
      <c r="Q356" s="333"/>
      <c r="R356" s="407"/>
    </row>
    <row r="357" spans="2:18">
      <c r="B357" s="406"/>
      <c r="C357" s="333"/>
      <c r="D357" s="333"/>
      <c r="E357" s="333"/>
      <c r="F357" s="333"/>
      <c r="G357" s="333"/>
      <c r="H357" s="333"/>
      <c r="I357" s="333"/>
      <c r="J357" s="333"/>
      <c r="K357" s="333"/>
      <c r="L357" s="333"/>
      <c r="M357" s="333"/>
      <c r="N357" s="333"/>
      <c r="O357" s="333"/>
      <c r="P357" s="333"/>
      <c r="Q357" s="333"/>
      <c r="R357" s="407"/>
    </row>
    <row r="358" spans="2:18">
      <c r="B358" s="406"/>
      <c r="C358" s="333"/>
      <c r="D358" s="333"/>
      <c r="E358" s="333"/>
      <c r="F358" s="333"/>
      <c r="G358" s="333"/>
      <c r="H358" s="333"/>
      <c r="I358" s="333"/>
      <c r="J358" s="333"/>
      <c r="K358" s="333"/>
      <c r="L358" s="333"/>
      <c r="M358" s="333"/>
      <c r="N358" s="333"/>
      <c r="O358" s="333"/>
      <c r="P358" s="333"/>
      <c r="Q358" s="333"/>
      <c r="R358" s="407"/>
    </row>
    <row r="359" spans="2:18">
      <c r="B359" s="406"/>
      <c r="C359" s="333"/>
      <c r="D359" s="333"/>
      <c r="E359" s="333"/>
      <c r="F359" s="333"/>
      <c r="G359" s="333"/>
      <c r="H359" s="333"/>
      <c r="I359" s="333"/>
      <c r="J359" s="333"/>
      <c r="K359" s="333"/>
      <c r="L359" s="333"/>
      <c r="M359" s="333"/>
      <c r="N359" s="333"/>
      <c r="O359" s="333"/>
      <c r="P359" s="333"/>
      <c r="Q359" s="333"/>
      <c r="R359" s="407"/>
    </row>
    <row r="360" spans="2:18">
      <c r="B360" s="406"/>
      <c r="C360" s="333"/>
      <c r="D360" s="333"/>
      <c r="E360" s="333"/>
      <c r="F360" s="333"/>
      <c r="G360" s="333"/>
      <c r="H360" s="333"/>
      <c r="I360" s="333"/>
      <c r="J360" s="333"/>
      <c r="K360" s="333"/>
      <c r="L360" s="333"/>
      <c r="M360" s="333"/>
      <c r="N360" s="333"/>
      <c r="O360" s="333"/>
      <c r="P360" s="333"/>
      <c r="Q360" s="333"/>
      <c r="R360" s="407"/>
    </row>
    <row r="361" spans="2:18">
      <c r="B361" s="406"/>
      <c r="C361" s="333"/>
      <c r="D361" s="333"/>
      <c r="E361" s="333"/>
      <c r="F361" s="333"/>
      <c r="G361" s="333"/>
      <c r="H361" s="333"/>
      <c r="I361" s="333"/>
      <c r="J361" s="333"/>
      <c r="K361" s="333"/>
      <c r="L361" s="333"/>
      <c r="M361" s="333"/>
      <c r="N361" s="333"/>
      <c r="O361" s="333"/>
      <c r="P361" s="333"/>
      <c r="Q361" s="333"/>
      <c r="R361" s="407"/>
    </row>
    <row r="362" spans="2:18">
      <c r="B362" s="406"/>
      <c r="C362" s="333"/>
      <c r="D362" s="333"/>
      <c r="E362" s="333"/>
      <c r="F362" s="333"/>
      <c r="G362" s="333"/>
      <c r="H362" s="333"/>
      <c r="I362" s="333"/>
      <c r="J362" s="333"/>
      <c r="K362" s="333"/>
      <c r="L362" s="333"/>
      <c r="M362" s="333"/>
      <c r="N362" s="333"/>
      <c r="O362" s="333"/>
      <c r="P362" s="333"/>
      <c r="Q362" s="333"/>
      <c r="R362" s="407"/>
    </row>
    <row r="363" spans="2:18">
      <c r="B363" s="406"/>
      <c r="C363" s="333"/>
      <c r="D363" s="333"/>
      <c r="E363" s="333"/>
      <c r="F363" s="333"/>
      <c r="G363" s="333"/>
      <c r="H363" s="333"/>
      <c r="I363" s="333"/>
      <c r="J363" s="333"/>
      <c r="K363" s="333"/>
      <c r="L363" s="333"/>
      <c r="M363" s="333"/>
      <c r="N363" s="333"/>
      <c r="O363" s="333"/>
      <c r="P363" s="333"/>
      <c r="Q363" s="333"/>
      <c r="R363" s="407"/>
    </row>
    <row r="364" spans="2:18">
      <c r="B364" s="406"/>
      <c r="C364" s="333"/>
      <c r="D364" s="333"/>
      <c r="E364" s="333"/>
      <c r="F364" s="333"/>
      <c r="G364" s="333"/>
      <c r="H364" s="333"/>
      <c r="I364" s="333"/>
      <c r="J364" s="333"/>
      <c r="K364" s="333"/>
      <c r="L364" s="333"/>
      <c r="M364" s="333"/>
      <c r="N364" s="333"/>
      <c r="O364" s="333"/>
      <c r="P364" s="333"/>
      <c r="Q364" s="333"/>
      <c r="R364" s="407"/>
    </row>
    <row r="365" spans="2:18">
      <c r="B365" s="406"/>
      <c r="C365" s="333"/>
      <c r="D365" s="333"/>
      <c r="E365" s="333"/>
      <c r="F365" s="333"/>
      <c r="G365" s="333"/>
      <c r="H365" s="333"/>
      <c r="I365" s="333"/>
      <c r="J365" s="333"/>
      <c r="K365" s="333"/>
      <c r="L365" s="333"/>
      <c r="M365" s="333"/>
      <c r="N365" s="333"/>
      <c r="O365" s="333"/>
      <c r="P365" s="333"/>
      <c r="Q365" s="333"/>
      <c r="R365" s="407"/>
    </row>
    <row r="366" spans="2:18">
      <c r="B366" s="406"/>
      <c r="C366" s="333"/>
      <c r="D366" s="333"/>
      <c r="E366" s="333"/>
      <c r="F366" s="333"/>
      <c r="G366" s="333"/>
      <c r="H366" s="333"/>
      <c r="I366" s="333"/>
      <c r="J366" s="333"/>
      <c r="K366" s="333"/>
      <c r="L366" s="333"/>
      <c r="M366" s="333"/>
      <c r="N366" s="333"/>
      <c r="O366" s="333"/>
      <c r="P366" s="333"/>
      <c r="Q366" s="333"/>
      <c r="R366" s="407"/>
    </row>
    <row r="367" spans="2:18">
      <c r="B367" s="406"/>
      <c r="C367" s="333"/>
      <c r="D367" s="333"/>
      <c r="E367" s="333"/>
      <c r="F367" s="333"/>
      <c r="G367" s="333"/>
      <c r="H367" s="333"/>
      <c r="I367" s="333"/>
      <c r="J367" s="333"/>
      <c r="K367" s="333"/>
      <c r="L367" s="333"/>
      <c r="M367" s="333"/>
      <c r="N367" s="333"/>
      <c r="O367" s="333"/>
      <c r="P367" s="333"/>
      <c r="Q367" s="333"/>
      <c r="R367" s="407"/>
    </row>
    <row r="368" spans="2:18">
      <c r="B368" s="406"/>
      <c r="C368" s="333"/>
      <c r="D368" s="333"/>
      <c r="E368" s="333"/>
      <c r="F368" s="333"/>
      <c r="G368" s="333"/>
      <c r="H368" s="333"/>
      <c r="I368" s="333"/>
      <c r="J368" s="333"/>
      <c r="K368" s="333"/>
      <c r="L368" s="333"/>
      <c r="M368" s="333"/>
      <c r="N368" s="333"/>
      <c r="O368" s="333"/>
      <c r="P368" s="333"/>
      <c r="Q368" s="333"/>
      <c r="R368" s="407"/>
    </row>
    <row r="369" spans="2:18">
      <c r="B369" s="406"/>
      <c r="C369" s="333"/>
      <c r="D369" s="333"/>
      <c r="E369" s="333"/>
      <c r="F369" s="333"/>
      <c r="G369" s="333"/>
      <c r="H369" s="333"/>
      <c r="I369" s="333"/>
      <c r="J369" s="333"/>
      <c r="K369" s="333"/>
      <c r="L369" s="333"/>
      <c r="M369" s="333"/>
      <c r="N369" s="333"/>
      <c r="O369" s="333"/>
      <c r="P369" s="333"/>
      <c r="Q369" s="333"/>
      <c r="R369" s="407"/>
    </row>
    <row r="370" spans="2:18">
      <c r="B370" s="406"/>
      <c r="C370" s="333"/>
      <c r="D370" s="333"/>
      <c r="E370" s="333"/>
      <c r="F370" s="333"/>
      <c r="G370" s="333"/>
      <c r="H370" s="333"/>
      <c r="I370" s="333"/>
      <c r="J370" s="333"/>
      <c r="K370" s="333"/>
      <c r="L370" s="333"/>
      <c r="M370" s="333"/>
      <c r="N370" s="333"/>
      <c r="O370" s="333"/>
      <c r="P370" s="333"/>
      <c r="Q370" s="333"/>
      <c r="R370" s="407"/>
    </row>
    <row r="371" spans="2:18">
      <c r="B371" s="406"/>
      <c r="C371" s="333"/>
      <c r="D371" s="333"/>
      <c r="E371" s="333"/>
      <c r="F371" s="333"/>
      <c r="G371" s="333"/>
      <c r="H371" s="333"/>
      <c r="I371" s="333"/>
      <c r="J371" s="333"/>
      <c r="K371" s="333"/>
      <c r="L371" s="333"/>
      <c r="M371" s="333"/>
      <c r="N371" s="333"/>
      <c r="O371" s="333"/>
      <c r="P371" s="333"/>
      <c r="Q371" s="333"/>
      <c r="R371" s="407"/>
    </row>
    <row r="372" spans="2:18">
      <c r="B372" s="406"/>
      <c r="C372" s="333"/>
      <c r="D372" s="333"/>
      <c r="E372" s="333"/>
      <c r="F372" s="333"/>
      <c r="G372" s="333"/>
      <c r="H372" s="333"/>
      <c r="I372" s="333"/>
      <c r="J372" s="333"/>
      <c r="K372" s="333"/>
      <c r="L372" s="333"/>
      <c r="M372" s="333"/>
      <c r="N372" s="333"/>
      <c r="O372" s="333"/>
      <c r="P372" s="333"/>
      <c r="Q372" s="333"/>
      <c r="R372" s="407"/>
    </row>
    <row r="373" spans="2:18">
      <c r="B373" s="406"/>
      <c r="C373" s="333"/>
      <c r="D373" s="333"/>
      <c r="E373" s="333"/>
      <c r="F373" s="333"/>
      <c r="G373" s="333"/>
      <c r="H373" s="333"/>
      <c r="I373" s="333"/>
      <c r="J373" s="333"/>
      <c r="K373" s="333"/>
      <c r="L373" s="333"/>
      <c r="M373" s="333"/>
      <c r="N373" s="333"/>
      <c r="O373" s="333"/>
      <c r="P373" s="333"/>
      <c r="Q373" s="333"/>
      <c r="R373" s="407"/>
    </row>
    <row r="374" spans="2:18">
      <c r="B374" s="406"/>
      <c r="C374" s="333"/>
      <c r="D374" s="333"/>
      <c r="E374" s="333"/>
      <c r="F374" s="333"/>
      <c r="G374" s="333"/>
      <c r="H374" s="333"/>
      <c r="I374" s="333"/>
      <c r="J374" s="333"/>
      <c r="K374" s="333"/>
      <c r="L374" s="333"/>
      <c r="M374" s="333"/>
      <c r="N374" s="333"/>
      <c r="O374" s="333"/>
      <c r="P374" s="333"/>
      <c r="Q374" s="333"/>
      <c r="R374" s="407"/>
    </row>
    <row r="375" spans="2:18">
      <c r="B375" s="406"/>
      <c r="C375" s="333"/>
      <c r="D375" s="333"/>
      <c r="E375" s="333"/>
      <c r="F375" s="333"/>
      <c r="G375" s="333"/>
      <c r="H375" s="333"/>
      <c r="I375" s="333"/>
      <c r="J375" s="333"/>
      <c r="K375" s="333"/>
      <c r="L375" s="333"/>
      <c r="M375" s="333"/>
      <c r="N375" s="333"/>
      <c r="O375" s="333"/>
      <c r="P375" s="333"/>
      <c r="Q375" s="333"/>
      <c r="R375" s="407"/>
    </row>
    <row r="376" spans="2:18">
      <c r="B376" s="406"/>
      <c r="C376" s="333"/>
      <c r="D376" s="333"/>
      <c r="E376" s="333"/>
      <c r="F376" s="333"/>
      <c r="G376" s="333"/>
      <c r="H376" s="333"/>
      <c r="I376" s="333"/>
      <c r="J376" s="333"/>
      <c r="K376" s="333"/>
      <c r="L376" s="333"/>
      <c r="M376" s="333"/>
      <c r="N376" s="333"/>
      <c r="O376" s="333"/>
      <c r="P376" s="333"/>
      <c r="Q376" s="333"/>
      <c r="R376" s="407"/>
    </row>
    <row r="377" spans="2:18">
      <c r="B377" s="406"/>
      <c r="C377" s="333"/>
      <c r="D377" s="333"/>
      <c r="E377" s="333"/>
      <c r="F377" s="333"/>
      <c r="G377" s="333"/>
      <c r="H377" s="333"/>
      <c r="I377" s="333"/>
      <c r="J377" s="333"/>
      <c r="K377" s="333"/>
      <c r="L377" s="333"/>
      <c r="M377" s="333"/>
      <c r="N377" s="333"/>
      <c r="O377" s="333"/>
      <c r="P377" s="333"/>
      <c r="Q377" s="333"/>
      <c r="R377" s="407"/>
    </row>
    <row r="378" spans="2:18">
      <c r="B378" s="406"/>
      <c r="C378" s="333"/>
      <c r="D378" s="333"/>
      <c r="E378" s="333"/>
      <c r="F378" s="333"/>
      <c r="G378" s="333"/>
      <c r="H378" s="333"/>
      <c r="I378" s="333"/>
      <c r="J378" s="333"/>
      <c r="K378" s="333"/>
      <c r="L378" s="333"/>
      <c r="M378" s="333"/>
      <c r="N378" s="333"/>
      <c r="O378" s="333"/>
      <c r="P378" s="333"/>
      <c r="Q378" s="333"/>
      <c r="R378" s="407"/>
    </row>
    <row r="379" spans="2:18">
      <c r="B379" s="406"/>
      <c r="C379" s="333"/>
      <c r="D379" s="333"/>
      <c r="E379" s="333"/>
      <c r="F379" s="333"/>
      <c r="G379" s="333"/>
      <c r="H379" s="333"/>
      <c r="I379" s="333"/>
      <c r="J379" s="333"/>
      <c r="K379" s="333"/>
      <c r="L379" s="333"/>
      <c r="M379" s="333"/>
      <c r="N379" s="333"/>
      <c r="O379" s="333"/>
      <c r="P379" s="333"/>
      <c r="Q379" s="333"/>
      <c r="R379" s="407"/>
    </row>
    <row r="380" spans="2:18">
      <c r="B380" s="406"/>
      <c r="C380" s="333"/>
      <c r="D380" s="333"/>
      <c r="E380" s="333"/>
      <c r="F380" s="333"/>
      <c r="G380" s="333"/>
      <c r="H380" s="333"/>
      <c r="I380" s="333"/>
      <c r="J380" s="333"/>
      <c r="K380" s="333"/>
      <c r="L380" s="333"/>
      <c r="M380" s="333"/>
      <c r="N380" s="333"/>
      <c r="O380" s="333"/>
      <c r="P380" s="333"/>
      <c r="Q380" s="333"/>
      <c r="R380" s="407"/>
    </row>
    <row r="381" spans="2:18">
      <c r="B381" s="406"/>
      <c r="C381" s="333"/>
      <c r="D381" s="333"/>
      <c r="E381" s="333"/>
      <c r="F381" s="333"/>
      <c r="G381" s="333"/>
      <c r="H381" s="333"/>
      <c r="I381" s="333"/>
      <c r="J381" s="333"/>
      <c r="K381" s="333"/>
      <c r="L381" s="333"/>
      <c r="M381" s="333"/>
      <c r="N381" s="333"/>
      <c r="O381" s="333"/>
      <c r="P381" s="333"/>
      <c r="Q381" s="333"/>
      <c r="R381" s="407"/>
    </row>
    <row r="382" spans="2:18">
      <c r="B382" s="406"/>
      <c r="C382" s="333"/>
      <c r="D382" s="333"/>
      <c r="E382" s="333"/>
      <c r="F382" s="333"/>
      <c r="G382" s="333"/>
      <c r="H382" s="333"/>
      <c r="I382" s="333"/>
      <c r="J382" s="333"/>
      <c r="K382" s="333"/>
      <c r="L382" s="333"/>
      <c r="M382" s="333"/>
      <c r="N382" s="333"/>
      <c r="O382" s="333"/>
      <c r="P382" s="333"/>
      <c r="Q382" s="333"/>
      <c r="R382" s="407"/>
    </row>
    <row r="383" spans="2:18">
      <c r="B383" s="406"/>
      <c r="C383" s="333"/>
      <c r="D383" s="333"/>
      <c r="E383" s="333"/>
      <c r="F383" s="333"/>
      <c r="G383" s="333"/>
      <c r="H383" s="333"/>
      <c r="I383" s="333"/>
      <c r="J383" s="333"/>
      <c r="K383" s="333"/>
      <c r="L383" s="333"/>
      <c r="M383" s="333"/>
      <c r="N383" s="333"/>
      <c r="O383" s="333"/>
      <c r="P383" s="333"/>
      <c r="Q383" s="333"/>
      <c r="R383" s="407"/>
    </row>
    <row r="384" spans="2:18">
      <c r="B384" s="406"/>
      <c r="C384" s="333"/>
      <c r="D384" s="333"/>
      <c r="E384" s="333"/>
      <c r="F384" s="333"/>
      <c r="G384" s="333"/>
      <c r="H384" s="333"/>
      <c r="I384" s="333"/>
      <c r="J384" s="333"/>
      <c r="K384" s="333"/>
      <c r="L384" s="333"/>
      <c r="M384" s="333"/>
      <c r="N384" s="333"/>
      <c r="O384" s="333"/>
      <c r="P384" s="333"/>
      <c r="Q384" s="333"/>
      <c r="R384" s="407"/>
    </row>
    <row r="385" spans="2:18">
      <c r="B385" s="406"/>
      <c r="C385" s="333"/>
      <c r="D385" s="333"/>
      <c r="E385" s="333"/>
      <c r="F385" s="333"/>
      <c r="G385" s="333"/>
      <c r="H385" s="333"/>
      <c r="I385" s="333"/>
      <c r="J385" s="333"/>
      <c r="K385" s="333"/>
      <c r="L385" s="333"/>
      <c r="M385" s="333"/>
      <c r="N385" s="333"/>
      <c r="O385" s="333"/>
      <c r="P385" s="333"/>
      <c r="Q385" s="333"/>
      <c r="R385" s="407"/>
    </row>
    <row r="386" spans="2:18">
      <c r="B386" s="406"/>
      <c r="C386" s="333"/>
      <c r="D386" s="333"/>
      <c r="E386" s="333"/>
      <c r="F386" s="333"/>
      <c r="G386" s="333"/>
      <c r="H386" s="333"/>
      <c r="I386" s="333"/>
      <c r="J386" s="333"/>
      <c r="K386" s="333"/>
      <c r="L386" s="333"/>
      <c r="M386" s="333"/>
      <c r="N386" s="333"/>
      <c r="O386" s="333"/>
      <c r="P386" s="333"/>
      <c r="Q386" s="333"/>
      <c r="R386" s="407"/>
    </row>
    <row r="387" spans="2:18">
      <c r="B387" s="406"/>
      <c r="C387" s="333"/>
      <c r="D387" s="333"/>
      <c r="E387" s="333"/>
      <c r="F387" s="333"/>
      <c r="G387" s="333"/>
      <c r="H387" s="333"/>
      <c r="I387" s="333"/>
      <c r="J387" s="333"/>
      <c r="K387" s="333"/>
      <c r="L387" s="333"/>
      <c r="M387" s="333"/>
      <c r="N387" s="333"/>
      <c r="O387" s="333"/>
      <c r="P387" s="333"/>
      <c r="Q387" s="333"/>
      <c r="R387" s="407"/>
    </row>
    <row r="388" spans="2:18">
      <c r="B388" s="406"/>
      <c r="C388" s="333"/>
      <c r="D388" s="333"/>
      <c r="E388" s="333"/>
      <c r="F388" s="333"/>
      <c r="G388" s="333"/>
      <c r="H388" s="333"/>
      <c r="I388" s="333"/>
      <c r="J388" s="333"/>
      <c r="K388" s="333"/>
      <c r="L388" s="333"/>
      <c r="M388" s="333"/>
      <c r="N388" s="333"/>
      <c r="O388" s="333"/>
      <c r="P388" s="333"/>
      <c r="Q388" s="333"/>
      <c r="R388" s="407"/>
    </row>
    <row r="389" spans="2:18">
      <c r="B389" s="406"/>
      <c r="C389" s="333"/>
      <c r="D389" s="333"/>
      <c r="E389" s="333"/>
      <c r="F389" s="333"/>
      <c r="G389" s="333"/>
      <c r="H389" s="333"/>
      <c r="I389" s="333"/>
      <c r="J389" s="333"/>
      <c r="K389" s="333"/>
      <c r="L389" s="333"/>
      <c r="M389" s="333"/>
      <c r="N389" s="333"/>
      <c r="O389" s="333"/>
      <c r="P389" s="333"/>
      <c r="Q389" s="333"/>
      <c r="R389" s="407"/>
    </row>
    <row r="390" spans="2:18">
      <c r="B390" s="406"/>
      <c r="C390" s="333"/>
      <c r="D390" s="333"/>
      <c r="E390" s="333"/>
      <c r="F390" s="333"/>
      <c r="G390" s="333"/>
      <c r="H390" s="333"/>
      <c r="I390" s="333"/>
      <c r="J390" s="333"/>
      <c r="K390" s="333"/>
      <c r="L390" s="333"/>
      <c r="M390" s="333"/>
      <c r="N390" s="333"/>
      <c r="O390" s="333"/>
      <c r="P390" s="333"/>
      <c r="Q390" s="333"/>
      <c r="R390" s="407"/>
    </row>
    <row r="391" spans="2:18">
      <c r="B391" s="406"/>
      <c r="C391" s="333"/>
      <c r="D391" s="333"/>
      <c r="E391" s="333"/>
      <c r="F391" s="333"/>
      <c r="G391" s="333"/>
      <c r="H391" s="333"/>
      <c r="I391" s="333"/>
      <c r="J391" s="333"/>
      <c r="K391" s="333"/>
      <c r="L391" s="333"/>
      <c r="M391" s="333"/>
      <c r="N391" s="333"/>
      <c r="O391" s="333"/>
      <c r="P391" s="333"/>
      <c r="Q391" s="333"/>
      <c r="R391" s="407"/>
    </row>
    <row r="392" spans="2:18">
      <c r="B392" s="406"/>
      <c r="C392" s="333"/>
      <c r="D392" s="333"/>
      <c r="E392" s="333"/>
      <c r="F392" s="333"/>
      <c r="G392" s="333"/>
      <c r="H392" s="333"/>
      <c r="I392" s="333"/>
      <c r="J392" s="333"/>
      <c r="K392" s="333"/>
      <c r="L392" s="333"/>
      <c r="M392" s="333"/>
      <c r="N392" s="333"/>
      <c r="O392" s="333"/>
      <c r="P392" s="333"/>
      <c r="Q392" s="333"/>
      <c r="R392" s="407"/>
    </row>
    <row r="393" spans="2:18">
      <c r="B393" s="406"/>
      <c r="C393" s="333"/>
      <c r="D393" s="333"/>
      <c r="E393" s="333"/>
      <c r="F393" s="333"/>
      <c r="G393" s="333"/>
      <c r="H393" s="333"/>
      <c r="I393" s="333"/>
      <c r="J393" s="333"/>
      <c r="K393" s="333"/>
      <c r="L393" s="333"/>
      <c r="M393" s="333"/>
      <c r="N393" s="333"/>
      <c r="O393" s="333"/>
      <c r="P393" s="333"/>
      <c r="Q393" s="333"/>
      <c r="R393" s="407"/>
    </row>
    <row r="394" spans="2:18">
      <c r="B394" s="406"/>
      <c r="C394" s="333"/>
      <c r="D394" s="333"/>
      <c r="E394" s="333"/>
      <c r="F394" s="333"/>
      <c r="G394" s="333"/>
      <c r="H394" s="333"/>
      <c r="I394" s="333"/>
      <c r="J394" s="333"/>
      <c r="K394" s="333"/>
      <c r="L394" s="333"/>
      <c r="M394" s="333"/>
      <c r="N394" s="333"/>
      <c r="O394" s="333"/>
      <c r="P394" s="333"/>
      <c r="Q394" s="333"/>
      <c r="R394" s="407"/>
    </row>
    <row r="395" spans="2:18">
      <c r="B395" s="406"/>
      <c r="C395" s="333"/>
      <c r="D395" s="333"/>
      <c r="E395" s="333"/>
      <c r="F395" s="333"/>
      <c r="G395" s="333"/>
      <c r="H395" s="333"/>
      <c r="I395" s="333"/>
      <c r="J395" s="333"/>
      <c r="K395" s="333"/>
      <c r="L395" s="333"/>
      <c r="M395" s="333"/>
      <c r="N395" s="333"/>
      <c r="O395" s="333"/>
      <c r="P395" s="333"/>
      <c r="Q395" s="333"/>
      <c r="R395" s="407"/>
    </row>
    <row r="396" spans="2:18">
      <c r="B396" s="406"/>
      <c r="C396" s="333"/>
      <c r="D396" s="333"/>
      <c r="E396" s="333"/>
      <c r="F396" s="333"/>
      <c r="G396" s="333"/>
      <c r="H396" s="333"/>
      <c r="I396" s="333"/>
      <c r="J396" s="333"/>
      <c r="K396" s="333"/>
      <c r="L396" s="333"/>
      <c r="M396" s="333"/>
      <c r="N396" s="333"/>
      <c r="O396" s="333"/>
      <c r="P396" s="333"/>
      <c r="Q396" s="333"/>
      <c r="R396" s="407"/>
    </row>
    <row r="397" spans="2:18">
      <c r="B397" s="406"/>
      <c r="C397" s="333"/>
      <c r="D397" s="333"/>
      <c r="E397" s="333"/>
      <c r="F397" s="333"/>
      <c r="G397" s="333"/>
      <c r="H397" s="333"/>
      <c r="I397" s="333"/>
      <c r="J397" s="333"/>
      <c r="K397" s="333"/>
      <c r="L397" s="333"/>
      <c r="M397" s="333"/>
      <c r="N397" s="333"/>
      <c r="O397" s="333"/>
      <c r="P397" s="333"/>
      <c r="Q397" s="333"/>
      <c r="R397" s="407"/>
    </row>
    <row r="398" spans="2:18">
      <c r="B398" s="406"/>
      <c r="C398" s="333"/>
      <c r="D398" s="333"/>
      <c r="E398" s="333"/>
      <c r="F398" s="333"/>
      <c r="G398" s="333"/>
      <c r="H398" s="333"/>
      <c r="I398" s="333"/>
      <c r="J398" s="333"/>
      <c r="K398" s="333"/>
      <c r="L398" s="333"/>
      <c r="M398" s="333"/>
      <c r="N398" s="333"/>
      <c r="O398" s="333"/>
      <c r="P398" s="333"/>
      <c r="Q398" s="333"/>
      <c r="R398" s="407"/>
    </row>
    <row r="399" spans="2:18">
      <c r="B399" s="406"/>
      <c r="C399" s="333"/>
      <c r="D399" s="333"/>
      <c r="E399" s="333"/>
      <c r="F399" s="333"/>
      <c r="G399" s="333"/>
      <c r="H399" s="333"/>
      <c r="I399" s="333"/>
      <c r="J399" s="333"/>
      <c r="K399" s="333"/>
      <c r="L399" s="333"/>
      <c r="M399" s="333"/>
      <c r="N399" s="333"/>
      <c r="O399" s="333"/>
      <c r="P399" s="333"/>
      <c r="Q399" s="333"/>
      <c r="R399" s="407"/>
    </row>
    <row r="400" spans="2:18">
      <c r="B400" s="406"/>
      <c r="C400" s="333"/>
      <c r="D400" s="333"/>
      <c r="E400" s="333"/>
      <c r="F400" s="333"/>
      <c r="G400" s="333"/>
      <c r="H400" s="333"/>
      <c r="I400" s="333"/>
      <c r="J400" s="333"/>
      <c r="K400" s="333"/>
      <c r="L400" s="333"/>
      <c r="M400" s="333"/>
      <c r="N400" s="333"/>
      <c r="O400" s="333"/>
      <c r="P400" s="333"/>
      <c r="Q400" s="333"/>
      <c r="R400" s="407"/>
    </row>
    <row r="401" spans="2:18">
      <c r="B401" s="406"/>
      <c r="C401" s="333"/>
      <c r="D401" s="333"/>
      <c r="E401" s="333"/>
      <c r="F401" s="333"/>
      <c r="G401" s="333"/>
      <c r="H401" s="333"/>
      <c r="I401" s="333"/>
      <c r="J401" s="333"/>
      <c r="K401" s="333"/>
      <c r="L401" s="333"/>
      <c r="M401" s="333"/>
      <c r="N401" s="333"/>
      <c r="O401" s="333"/>
      <c r="P401" s="333"/>
      <c r="Q401" s="333"/>
      <c r="R401" s="407"/>
    </row>
    <row r="402" spans="2:18">
      <c r="B402" s="406"/>
      <c r="C402" s="333"/>
      <c r="D402" s="333"/>
      <c r="E402" s="333"/>
      <c r="F402" s="333"/>
      <c r="G402" s="333"/>
      <c r="H402" s="333"/>
      <c r="I402" s="333"/>
      <c r="J402" s="333"/>
      <c r="K402" s="333"/>
      <c r="L402" s="333"/>
      <c r="M402" s="333"/>
      <c r="N402" s="333"/>
      <c r="O402" s="333"/>
      <c r="P402" s="333"/>
      <c r="Q402" s="333"/>
      <c r="R402" s="407"/>
    </row>
    <row r="403" spans="2:18">
      <c r="B403" s="406"/>
      <c r="C403" s="333"/>
      <c r="D403" s="333"/>
      <c r="E403" s="333"/>
      <c r="F403" s="333"/>
      <c r="G403" s="333"/>
      <c r="H403" s="333"/>
      <c r="I403" s="333"/>
      <c r="J403" s="333"/>
      <c r="K403" s="333"/>
      <c r="L403" s="333"/>
      <c r="M403" s="333"/>
      <c r="N403" s="333"/>
      <c r="O403" s="333"/>
      <c r="P403" s="333"/>
      <c r="Q403" s="333"/>
      <c r="R403" s="407"/>
    </row>
    <row r="404" spans="2:18">
      <c r="B404" s="406"/>
      <c r="C404" s="333"/>
      <c r="D404" s="333"/>
      <c r="E404" s="333"/>
      <c r="F404" s="333"/>
      <c r="G404" s="333"/>
      <c r="H404" s="333"/>
      <c r="I404" s="333"/>
      <c r="J404" s="333"/>
      <c r="K404" s="333"/>
      <c r="L404" s="333"/>
      <c r="M404" s="333"/>
      <c r="N404" s="333"/>
      <c r="O404" s="333"/>
      <c r="P404" s="333"/>
      <c r="Q404" s="333"/>
      <c r="R404" s="407"/>
    </row>
    <row r="405" spans="2:18">
      <c r="B405" s="406"/>
      <c r="C405" s="333"/>
      <c r="D405" s="333"/>
      <c r="E405" s="333"/>
      <c r="F405" s="333"/>
      <c r="G405" s="333"/>
      <c r="H405" s="333"/>
      <c r="I405" s="333"/>
      <c r="J405" s="333"/>
      <c r="K405" s="333"/>
      <c r="L405" s="333"/>
      <c r="M405" s="333"/>
      <c r="N405" s="333"/>
      <c r="O405" s="333"/>
      <c r="P405" s="333"/>
      <c r="Q405" s="333"/>
      <c r="R405" s="407"/>
    </row>
    <row r="406" spans="2:18">
      <c r="B406" s="406"/>
      <c r="C406" s="333"/>
      <c r="D406" s="333"/>
      <c r="E406" s="333"/>
      <c r="F406" s="333"/>
      <c r="G406" s="333"/>
      <c r="H406" s="333"/>
      <c r="I406" s="333"/>
      <c r="J406" s="333"/>
      <c r="K406" s="333"/>
      <c r="L406" s="333"/>
      <c r="M406" s="333"/>
      <c r="N406" s="333"/>
      <c r="O406" s="333"/>
      <c r="P406" s="333"/>
      <c r="Q406" s="333"/>
      <c r="R406" s="407"/>
    </row>
    <row r="407" spans="2:18">
      <c r="B407" s="406"/>
      <c r="C407" s="333"/>
      <c r="D407" s="333"/>
      <c r="E407" s="333"/>
      <c r="F407" s="333"/>
      <c r="G407" s="333"/>
      <c r="H407" s="333"/>
      <c r="I407" s="333"/>
      <c r="J407" s="333"/>
      <c r="K407" s="333"/>
      <c r="L407" s="333"/>
      <c r="M407" s="333"/>
      <c r="N407" s="333"/>
      <c r="O407" s="333"/>
      <c r="P407" s="333"/>
      <c r="Q407" s="333"/>
      <c r="R407" s="407"/>
    </row>
    <row r="408" spans="2:18">
      <c r="B408" s="406"/>
      <c r="C408" s="333"/>
      <c r="D408" s="333"/>
      <c r="E408" s="333"/>
      <c r="F408" s="333"/>
      <c r="G408" s="333"/>
      <c r="H408" s="333"/>
      <c r="I408" s="333"/>
      <c r="J408" s="333"/>
      <c r="K408" s="333"/>
      <c r="L408" s="333"/>
      <c r="M408" s="333"/>
      <c r="N408" s="333"/>
      <c r="O408" s="333"/>
      <c r="P408" s="333"/>
      <c r="Q408" s="333"/>
      <c r="R408" s="407"/>
    </row>
    <row r="409" spans="2:18">
      <c r="B409" s="406"/>
      <c r="C409" s="333"/>
      <c r="D409" s="333"/>
      <c r="E409" s="333"/>
      <c r="F409" s="333"/>
      <c r="G409" s="333"/>
      <c r="H409" s="333"/>
      <c r="I409" s="333"/>
      <c r="J409" s="333"/>
      <c r="K409" s="333"/>
      <c r="L409" s="333"/>
      <c r="M409" s="333"/>
      <c r="N409" s="333"/>
      <c r="O409" s="333"/>
      <c r="P409" s="333"/>
      <c r="Q409" s="333"/>
      <c r="R409" s="407"/>
    </row>
    <row r="410" spans="2:18">
      <c r="B410" s="406"/>
      <c r="C410" s="333"/>
      <c r="D410" s="333"/>
      <c r="E410" s="333"/>
      <c r="F410" s="333"/>
      <c r="G410" s="333"/>
      <c r="H410" s="333"/>
      <c r="I410" s="333"/>
      <c r="J410" s="333"/>
      <c r="K410" s="333"/>
      <c r="L410" s="333"/>
      <c r="M410" s="333"/>
      <c r="N410" s="333"/>
      <c r="O410" s="333"/>
      <c r="P410" s="333"/>
      <c r="Q410" s="333"/>
      <c r="R410" s="407"/>
    </row>
    <row r="411" spans="2:18">
      <c r="B411" s="406"/>
      <c r="C411" s="333"/>
      <c r="D411" s="333"/>
      <c r="E411" s="333"/>
      <c r="F411" s="333"/>
      <c r="G411" s="333"/>
      <c r="H411" s="333"/>
      <c r="I411" s="333"/>
      <c r="J411" s="333"/>
      <c r="K411" s="333"/>
      <c r="L411" s="333"/>
      <c r="M411" s="333"/>
      <c r="N411" s="333"/>
      <c r="O411" s="333"/>
      <c r="P411" s="333"/>
      <c r="Q411" s="333"/>
      <c r="R411" s="407"/>
    </row>
    <row r="412" spans="2:18">
      <c r="B412" s="406"/>
      <c r="C412" s="333"/>
      <c r="D412" s="333"/>
      <c r="E412" s="333"/>
      <c r="F412" s="333"/>
      <c r="G412" s="333"/>
      <c r="H412" s="333"/>
      <c r="I412" s="333"/>
      <c r="J412" s="333"/>
      <c r="K412" s="333"/>
      <c r="L412" s="333"/>
      <c r="M412" s="333"/>
      <c r="N412" s="333"/>
      <c r="O412" s="333"/>
      <c r="P412" s="333"/>
      <c r="Q412" s="333"/>
      <c r="R412" s="407"/>
    </row>
    <row r="413" spans="2:18">
      <c r="B413" s="406"/>
      <c r="C413" s="333"/>
      <c r="D413" s="333"/>
      <c r="E413" s="333"/>
      <c r="F413" s="333"/>
      <c r="G413" s="333"/>
      <c r="H413" s="333"/>
      <c r="I413" s="333"/>
      <c r="J413" s="333"/>
      <c r="K413" s="333"/>
      <c r="L413" s="333"/>
      <c r="M413" s="333"/>
      <c r="N413" s="333"/>
      <c r="O413" s="333"/>
      <c r="P413" s="333"/>
      <c r="Q413" s="333"/>
      <c r="R413" s="407"/>
    </row>
    <row r="414" spans="2:18">
      <c r="B414" s="406"/>
      <c r="C414" s="333"/>
      <c r="D414" s="333"/>
      <c r="E414" s="333"/>
      <c r="F414" s="333"/>
      <c r="G414" s="333"/>
      <c r="H414" s="333"/>
      <c r="I414" s="333"/>
      <c r="J414" s="333"/>
      <c r="K414" s="333"/>
      <c r="L414" s="333"/>
      <c r="M414" s="333"/>
      <c r="N414" s="333"/>
      <c r="O414" s="333"/>
      <c r="P414" s="333"/>
      <c r="Q414" s="333"/>
      <c r="R414" s="407"/>
    </row>
    <row r="415" spans="2:18">
      <c r="B415" s="406"/>
      <c r="C415" s="333"/>
      <c r="D415" s="333"/>
      <c r="E415" s="333"/>
      <c r="F415" s="333"/>
      <c r="G415" s="333"/>
      <c r="H415" s="333"/>
      <c r="I415" s="333"/>
      <c r="J415" s="333"/>
      <c r="K415" s="333"/>
      <c r="L415" s="333"/>
      <c r="M415" s="333"/>
      <c r="N415" s="333"/>
      <c r="O415" s="333"/>
      <c r="P415" s="333"/>
      <c r="Q415" s="333"/>
      <c r="R415" s="407"/>
    </row>
    <row r="416" spans="2:18">
      <c r="B416" s="406"/>
      <c r="C416" s="333"/>
      <c r="D416" s="333"/>
      <c r="E416" s="333"/>
      <c r="F416" s="333"/>
      <c r="G416" s="333"/>
      <c r="H416" s="333"/>
      <c r="I416" s="333"/>
      <c r="J416" s="333"/>
      <c r="K416" s="333"/>
      <c r="L416" s="333"/>
      <c r="M416" s="333"/>
      <c r="N416" s="333"/>
      <c r="O416" s="333"/>
      <c r="P416" s="333"/>
      <c r="Q416" s="333"/>
      <c r="R416" s="407"/>
    </row>
    <row r="417" spans="2:18">
      <c r="B417" s="406"/>
      <c r="C417" s="333"/>
      <c r="D417" s="333"/>
      <c r="E417" s="333"/>
      <c r="F417" s="333"/>
      <c r="G417" s="333"/>
      <c r="H417" s="333"/>
      <c r="I417" s="333"/>
      <c r="J417" s="333"/>
      <c r="K417" s="333"/>
      <c r="L417" s="333"/>
      <c r="M417" s="333"/>
      <c r="N417" s="333"/>
      <c r="O417" s="333"/>
      <c r="P417" s="333"/>
      <c r="Q417" s="333"/>
      <c r="R417" s="407"/>
    </row>
    <row r="418" spans="2:18">
      <c r="B418" s="406"/>
      <c r="C418" s="333"/>
      <c r="D418" s="333"/>
      <c r="E418" s="333"/>
      <c r="F418" s="333"/>
      <c r="G418" s="333"/>
      <c r="H418" s="333"/>
      <c r="I418" s="333"/>
      <c r="J418" s="333"/>
      <c r="K418" s="333"/>
      <c r="L418" s="333"/>
      <c r="M418" s="333"/>
      <c r="N418" s="333"/>
      <c r="O418" s="333"/>
      <c r="P418" s="333"/>
      <c r="Q418" s="333"/>
      <c r="R418" s="407"/>
    </row>
    <row r="419" spans="2:18">
      <c r="B419" s="406"/>
      <c r="C419" s="333"/>
      <c r="D419" s="333"/>
      <c r="E419" s="333"/>
      <c r="F419" s="333"/>
      <c r="G419" s="333"/>
      <c r="H419" s="333"/>
      <c r="I419" s="333"/>
      <c r="J419" s="333"/>
      <c r="K419" s="333"/>
      <c r="L419" s="333"/>
      <c r="M419" s="333"/>
      <c r="N419" s="333"/>
      <c r="O419" s="333"/>
      <c r="P419" s="333"/>
      <c r="Q419" s="333"/>
      <c r="R419" s="407"/>
    </row>
    <row r="420" spans="2:18">
      <c r="B420" s="406"/>
      <c r="C420" s="333"/>
      <c r="D420" s="333"/>
      <c r="E420" s="333"/>
      <c r="F420" s="333"/>
      <c r="G420" s="333"/>
      <c r="H420" s="333"/>
      <c r="I420" s="333"/>
      <c r="J420" s="333"/>
      <c r="K420" s="333"/>
      <c r="L420" s="333"/>
      <c r="M420" s="333"/>
      <c r="N420" s="333"/>
      <c r="O420" s="333"/>
      <c r="P420" s="333"/>
      <c r="Q420" s="333"/>
      <c r="R420" s="407"/>
    </row>
    <row r="421" spans="2:18">
      <c r="B421" s="406"/>
      <c r="C421" s="333"/>
      <c r="D421" s="333"/>
      <c r="E421" s="333"/>
      <c r="F421" s="333"/>
      <c r="G421" s="333"/>
      <c r="H421" s="333"/>
      <c r="I421" s="333"/>
      <c r="J421" s="333"/>
      <c r="K421" s="333"/>
      <c r="L421" s="333"/>
      <c r="M421" s="333"/>
      <c r="N421" s="333"/>
      <c r="O421" s="333"/>
      <c r="P421" s="333"/>
      <c r="Q421" s="333"/>
      <c r="R421" s="407"/>
    </row>
    <row r="422" spans="2:18">
      <c r="B422" s="406"/>
      <c r="C422" s="333"/>
      <c r="D422" s="333"/>
      <c r="E422" s="333"/>
      <c r="F422" s="333"/>
      <c r="G422" s="333"/>
      <c r="H422" s="333"/>
      <c r="I422" s="333"/>
      <c r="J422" s="333"/>
      <c r="K422" s="333"/>
      <c r="L422" s="333"/>
      <c r="M422" s="333"/>
      <c r="N422" s="333"/>
      <c r="O422" s="333"/>
      <c r="P422" s="333"/>
      <c r="Q422" s="333"/>
      <c r="R422" s="407"/>
    </row>
    <row r="423" spans="2:18">
      <c r="B423" s="406"/>
      <c r="C423" s="333"/>
      <c r="D423" s="333"/>
      <c r="E423" s="333"/>
      <c r="F423" s="333"/>
      <c r="G423" s="333"/>
      <c r="H423" s="333"/>
      <c r="I423" s="333"/>
      <c r="J423" s="333"/>
      <c r="K423" s="333"/>
      <c r="L423" s="333"/>
      <c r="M423" s="333"/>
      <c r="N423" s="333"/>
      <c r="O423" s="333"/>
      <c r="P423" s="333"/>
      <c r="Q423" s="333"/>
      <c r="R423" s="407"/>
    </row>
    <row r="424" spans="2:18">
      <c r="B424" s="406"/>
      <c r="C424" s="333"/>
      <c r="D424" s="333"/>
      <c r="E424" s="333"/>
      <c r="F424" s="333"/>
      <c r="G424" s="333"/>
      <c r="H424" s="333"/>
      <c r="I424" s="333"/>
      <c r="J424" s="333"/>
      <c r="K424" s="333"/>
      <c r="L424" s="333"/>
      <c r="M424" s="333"/>
      <c r="N424" s="333"/>
      <c r="O424" s="333"/>
      <c r="P424" s="333"/>
      <c r="Q424" s="333"/>
      <c r="R424" s="407"/>
    </row>
    <row r="425" spans="2:18">
      <c r="B425" s="406"/>
      <c r="C425" s="333"/>
      <c r="D425" s="333"/>
      <c r="E425" s="333"/>
      <c r="F425" s="333"/>
      <c r="G425" s="333"/>
      <c r="H425" s="333"/>
      <c r="I425" s="333"/>
      <c r="J425" s="333"/>
      <c r="K425" s="333"/>
      <c r="L425" s="333"/>
      <c r="M425" s="333"/>
      <c r="N425" s="333"/>
      <c r="O425" s="333"/>
      <c r="P425" s="333"/>
      <c r="Q425" s="333"/>
      <c r="R425" s="407"/>
    </row>
    <row r="426" spans="2:18">
      <c r="B426" s="406"/>
      <c r="C426" s="333"/>
      <c r="D426" s="333"/>
      <c r="E426" s="333"/>
      <c r="F426" s="333"/>
      <c r="G426" s="333"/>
      <c r="H426" s="333"/>
      <c r="I426" s="333"/>
      <c r="J426" s="333"/>
      <c r="K426" s="333"/>
      <c r="L426" s="333"/>
      <c r="M426" s="333"/>
      <c r="N426" s="333"/>
      <c r="O426" s="333"/>
      <c r="P426" s="333"/>
      <c r="Q426" s="333"/>
      <c r="R426" s="407"/>
    </row>
    <row r="427" spans="2:18">
      <c r="B427" s="406"/>
      <c r="C427" s="333"/>
      <c r="D427" s="333"/>
      <c r="E427" s="333"/>
      <c r="F427" s="333"/>
      <c r="G427" s="333"/>
      <c r="H427" s="333"/>
      <c r="I427" s="333"/>
      <c r="J427" s="333"/>
      <c r="K427" s="333"/>
      <c r="L427" s="333"/>
      <c r="M427" s="333"/>
      <c r="N427" s="333"/>
      <c r="O427" s="333"/>
      <c r="P427" s="333"/>
      <c r="Q427" s="333"/>
      <c r="R427" s="407"/>
    </row>
    <row r="428" spans="2:18">
      <c r="B428" s="406"/>
      <c r="C428" s="333"/>
      <c r="D428" s="333"/>
      <c r="E428" s="333"/>
      <c r="F428" s="333"/>
      <c r="G428" s="333"/>
      <c r="H428" s="333"/>
      <c r="I428" s="333"/>
      <c r="J428" s="333"/>
      <c r="K428" s="333"/>
      <c r="L428" s="333"/>
      <c r="M428" s="333"/>
      <c r="N428" s="333"/>
      <c r="O428" s="333"/>
      <c r="P428" s="333"/>
      <c r="Q428" s="333"/>
      <c r="R428" s="407"/>
    </row>
    <row r="429" spans="2:18">
      <c r="B429" s="406"/>
      <c r="C429" s="333"/>
      <c r="D429" s="333"/>
      <c r="E429" s="333"/>
      <c r="F429" s="333"/>
      <c r="G429" s="333"/>
      <c r="H429" s="333"/>
      <c r="I429" s="333"/>
      <c r="J429" s="333"/>
      <c r="K429" s="333"/>
      <c r="L429" s="333"/>
      <c r="M429" s="333"/>
      <c r="N429" s="333"/>
      <c r="O429" s="333"/>
      <c r="P429" s="333"/>
      <c r="Q429" s="333"/>
      <c r="R429" s="407"/>
    </row>
    <row r="430" spans="2:18">
      <c r="B430" s="406"/>
      <c r="C430" s="333"/>
      <c r="D430" s="333"/>
      <c r="E430" s="333"/>
      <c r="F430" s="333"/>
      <c r="G430" s="333"/>
      <c r="H430" s="333"/>
      <c r="I430" s="333"/>
      <c r="J430" s="333"/>
      <c r="K430" s="333"/>
      <c r="L430" s="333"/>
      <c r="M430" s="333"/>
      <c r="N430" s="333"/>
      <c r="O430" s="333"/>
      <c r="P430" s="333"/>
      <c r="Q430" s="333"/>
      <c r="R430" s="407"/>
    </row>
    <row r="431" spans="2:18">
      <c r="B431" s="406"/>
      <c r="C431" s="333"/>
      <c r="D431" s="333"/>
      <c r="E431" s="333"/>
      <c r="F431" s="333"/>
      <c r="G431" s="333"/>
      <c r="H431" s="333"/>
      <c r="I431" s="333"/>
      <c r="J431" s="333"/>
      <c r="K431" s="333"/>
      <c r="L431" s="333"/>
      <c r="M431" s="333"/>
      <c r="N431" s="333"/>
      <c r="O431" s="333"/>
      <c r="P431" s="333"/>
      <c r="Q431" s="333"/>
      <c r="R431" s="407"/>
    </row>
    <row r="432" spans="2:18">
      <c r="B432" s="406"/>
      <c r="C432" s="333"/>
      <c r="D432" s="333"/>
      <c r="E432" s="333"/>
      <c r="F432" s="333"/>
      <c r="G432" s="333"/>
      <c r="H432" s="333"/>
      <c r="I432" s="333"/>
      <c r="J432" s="333"/>
      <c r="K432" s="333"/>
      <c r="L432" s="333"/>
      <c r="M432" s="333"/>
      <c r="N432" s="333"/>
      <c r="O432" s="333"/>
      <c r="P432" s="333"/>
      <c r="Q432" s="333"/>
      <c r="R432" s="407"/>
    </row>
    <row r="433" spans="2:18">
      <c r="B433" s="406"/>
      <c r="C433" s="333"/>
      <c r="D433" s="333"/>
      <c r="E433" s="333"/>
      <c r="F433" s="333"/>
      <c r="G433" s="333"/>
      <c r="H433" s="333"/>
      <c r="I433" s="333"/>
      <c r="J433" s="333"/>
      <c r="K433" s="333"/>
      <c r="L433" s="333"/>
      <c r="M433" s="333"/>
      <c r="N433" s="333"/>
      <c r="O433" s="333"/>
      <c r="P433" s="333"/>
      <c r="Q433" s="333"/>
      <c r="R433" s="407"/>
    </row>
    <row r="434" spans="2:18">
      <c r="B434" s="406"/>
      <c r="C434" s="333"/>
      <c r="D434" s="333"/>
      <c r="E434" s="333"/>
      <c r="F434" s="333"/>
      <c r="G434" s="333"/>
      <c r="H434" s="333"/>
      <c r="I434" s="333"/>
      <c r="J434" s="333"/>
      <c r="K434" s="333"/>
      <c r="L434" s="333"/>
      <c r="M434" s="333"/>
      <c r="N434" s="333"/>
      <c r="O434" s="333"/>
      <c r="P434" s="333"/>
      <c r="Q434" s="333"/>
      <c r="R434" s="407"/>
    </row>
    <row r="435" spans="2:18">
      <c r="B435" s="406"/>
      <c r="C435" s="333"/>
      <c r="D435" s="333"/>
      <c r="E435" s="333"/>
      <c r="F435" s="333"/>
      <c r="G435" s="333"/>
      <c r="H435" s="333"/>
      <c r="I435" s="333"/>
      <c r="J435" s="333"/>
      <c r="K435" s="333"/>
      <c r="L435" s="333"/>
      <c r="M435" s="333"/>
      <c r="N435" s="333"/>
      <c r="O435" s="333"/>
      <c r="P435" s="333"/>
      <c r="Q435" s="333"/>
      <c r="R435" s="407"/>
    </row>
    <row r="436" spans="2:18">
      <c r="B436" s="406"/>
      <c r="C436" s="333"/>
      <c r="D436" s="333"/>
      <c r="E436" s="333"/>
      <c r="F436" s="333"/>
      <c r="G436" s="333"/>
      <c r="H436" s="333"/>
      <c r="I436" s="333"/>
      <c r="J436" s="333"/>
      <c r="K436" s="333"/>
      <c r="L436" s="333"/>
      <c r="M436" s="333"/>
      <c r="N436" s="333"/>
      <c r="O436" s="333"/>
      <c r="P436" s="333"/>
      <c r="Q436" s="333"/>
      <c r="R436" s="407"/>
    </row>
    <row r="437" spans="2:18">
      <c r="B437" s="406"/>
      <c r="C437" s="333"/>
      <c r="D437" s="333"/>
      <c r="E437" s="333"/>
      <c r="F437" s="333"/>
      <c r="G437" s="333"/>
      <c r="H437" s="333"/>
      <c r="I437" s="333"/>
      <c r="J437" s="333"/>
      <c r="K437" s="333"/>
      <c r="L437" s="333"/>
      <c r="M437" s="333"/>
      <c r="N437" s="333"/>
      <c r="O437" s="333"/>
      <c r="P437" s="333"/>
      <c r="Q437" s="333"/>
      <c r="R437" s="407"/>
    </row>
    <row r="438" spans="2:18">
      <c r="B438" s="406"/>
      <c r="C438" s="333"/>
      <c r="D438" s="333"/>
      <c r="E438" s="333"/>
      <c r="F438" s="333"/>
      <c r="G438" s="333"/>
      <c r="H438" s="333"/>
      <c r="I438" s="333"/>
      <c r="J438" s="333"/>
      <c r="K438" s="333"/>
      <c r="L438" s="333"/>
      <c r="M438" s="333"/>
      <c r="N438" s="333"/>
      <c r="O438" s="333"/>
      <c r="P438" s="333"/>
      <c r="Q438" s="333"/>
      <c r="R438" s="407"/>
    </row>
    <row r="439" spans="2:18">
      <c r="B439" s="406"/>
      <c r="C439" s="333"/>
      <c r="D439" s="333"/>
      <c r="E439" s="333"/>
      <c r="F439" s="333"/>
      <c r="G439" s="333"/>
      <c r="H439" s="333"/>
      <c r="I439" s="333"/>
      <c r="J439" s="333"/>
      <c r="K439" s="333"/>
      <c r="L439" s="333"/>
      <c r="M439" s="333"/>
      <c r="N439" s="333"/>
      <c r="O439" s="333"/>
      <c r="P439" s="333"/>
      <c r="Q439" s="333"/>
      <c r="R439" s="407"/>
    </row>
    <row r="440" spans="2:18">
      <c r="B440" s="406"/>
      <c r="C440" s="333"/>
      <c r="D440" s="333"/>
      <c r="E440" s="333"/>
      <c r="F440" s="333"/>
      <c r="G440" s="333"/>
      <c r="H440" s="333"/>
      <c r="I440" s="333"/>
      <c r="J440" s="333"/>
      <c r="K440" s="333"/>
      <c r="L440" s="333"/>
      <c r="M440" s="333"/>
      <c r="N440" s="333"/>
      <c r="O440" s="333"/>
      <c r="P440" s="333"/>
      <c r="Q440" s="333"/>
      <c r="R440" s="407"/>
    </row>
    <row r="441" spans="2:18">
      <c r="B441" s="406"/>
      <c r="C441" s="333"/>
      <c r="D441" s="333"/>
      <c r="E441" s="333"/>
      <c r="F441" s="333"/>
      <c r="G441" s="333"/>
      <c r="H441" s="333"/>
      <c r="I441" s="333"/>
      <c r="J441" s="333"/>
      <c r="K441" s="333"/>
      <c r="L441" s="333"/>
      <c r="M441" s="333"/>
      <c r="N441" s="333"/>
      <c r="O441" s="333"/>
      <c r="P441" s="333"/>
      <c r="Q441" s="333"/>
      <c r="R441" s="407"/>
    </row>
    <row r="442" spans="2:18">
      <c r="B442" s="406"/>
      <c r="C442" s="333"/>
      <c r="D442" s="333"/>
      <c r="E442" s="333"/>
      <c r="F442" s="333"/>
      <c r="G442" s="333"/>
      <c r="H442" s="333"/>
      <c r="I442" s="333"/>
      <c r="J442" s="333"/>
      <c r="K442" s="333"/>
      <c r="L442" s="333"/>
      <c r="M442" s="333"/>
      <c r="N442" s="333"/>
      <c r="O442" s="333"/>
      <c r="P442" s="333"/>
      <c r="Q442" s="333"/>
      <c r="R442" s="407"/>
    </row>
    <row r="443" spans="2:18">
      <c r="B443" s="406"/>
      <c r="C443" s="333"/>
      <c r="D443" s="333"/>
      <c r="E443" s="333"/>
      <c r="F443" s="333"/>
      <c r="G443" s="333"/>
      <c r="H443" s="333"/>
      <c r="I443" s="333"/>
      <c r="J443" s="333"/>
      <c r="K443" s="333"/>
      <c r="L443" s="333"/>
      <c r="M443" s="333"/>
      <c r="N443" s="333"/>
      <c r="O443" s="333"/>
      <c r="P443" s="333"/>
      <c r="Q443" s="333"/>
      <c r="R443" s="407"/>
    </row>
    <row r="444" spans="2:18">
      <c r="B444" s="406"/>
      <c r="C444" s="333"/>
      <c r="D444" s="333"/>
      <c r="E444" s="333"/>
      <c r="F444" s="333"/>
      <c r="G444" s="333"/>
      <c r="H444" s="333"/>
      <c r="I444" s="333"/>
      <c r="J444" s="333"/>
      <c r="K444" s="333"/>
      <c r="L444" s="333"/>
      <c r="M444" s="333"/>
      <c r="N444" s="333"/>
      <c r="O444" s="333"/>
      <c r="P444" s="333"/>
      <c r="Q444" s="333"/>
      <c r="R444" s="407"/>
    </row>
    <row r="445" spans="2:18">
      <c r="B445" s="406"/>
      <c r="C445" s="333"/>
      <c r="D445" s="333"/>
      <c r="E445" s="333"/>
      <c r="F445" s="333"/>
      <c r="G445" s="333"/>
      <c r="H445" s="333"/>
      <c r="I445" s="333"/>
      <c r="J445" s="333"/>
      <c r="K445" s="333"/>
      <c r="L445" s="333"/>
      <c r="M445" s="333"/>
      <c r="N445" s="333"/>
      <c r="O445" s="333"/>
      <c r="P445" s="333"/>
      <c r="Q445" s="333"/>
      <c r="R445" s="407"/>
    </row>
    <row r="446" spans="2:18">
      <c r="B446" s="406"/>
      <c r="C446" s="333"/>
      <c r="D446" s="333"/>
      <c r="E446" s="333"/>
      <c r="F446" s="333"/>
      <c r="G446" s="333"/>
      <c r="H446" s="333"/>
      <c r="I446" s="333"/>
      <c r="J446" s="333"/>
      <c r="K446" s="333"/>
      <c r="L446" s="333"/>
      <c r="M446" s="333"/>
      <c r="N446" s="333"/>
      <c r="O446" s="333"/>
      <c r="P446" s="333"/>
      <c r="Q446" s="333"/>
      <c r="R446" s="407"/>
    </row>
    <row r="447" spans="2:18">
      <c r="B447" s="406"/>
      <c r="C447" s="333"/>
      <c r="D447" s="333"/>
      <c r="E447" s="333"/>
      <c r="F447" s="333"/>
      <c r="G447" s="333"/>
      <c r="H447" s="333"/>
      <c r="I447" s="333"/>
      <c r="J447" s="333"/>
      <c r="K447" s="333"/>
      <c r="L447" s="333"/>
      <c r="M447" s="333"/>
      <c r="N447" s="333"/>
      <c r="O447" s="333"/>
      <c r="P447" s="333"/>
      <c r="Q447" s="333"/>
      <c r="R447" s="407"/>
    </row>
    <row r="448" spans="2:18">
      <c r="B448" s="406"/>
      <c r="C448" s="333"/>
      <c r="D448" s="333"/>
      <c r="E448" s="333"/>
      <c r="F448" s="333"/>
      <c r="G448" s="333"/>
      <c r="H448" s="333"/>
      <c r="I448" s="333"/>
      <c r="J448" s="333"/>
      <c r="K448" s="333"/>
      <c r="L448" s="333"/>
      <c r="M448" s="333"/>
      <c r="N448" s="333"/>
      <c r="O448" s="333"/>
      <c r="P448" s="333"/>
      <c r="Q448" s="333"/>
      <c r="R448" s="407"/>
    </row>
    <row r="449" spans="2:18">
      <c r="B449" s="406"/>
      <c r="C449" s="333"/>
      <c r="D449" s="333"/>
      <c r="E449" s="333"/>
      <c r="F449" s="333"/>
      <c r="G449" s="333"/>
      <c r="H449" s="333"/>
      <c r="I449" s="333"/>
      <c r="J449" s="333"/>
      <c r="K449" s="333"/>
      <c r="L449" s="333"/>
      <c r="M449" s="333"/>
      <c r="N449" s="333"/>
      <c r="O449" s="333"/>
      <c r="P449" s="333"/>
      <c r="Q449" s="333"/>
      <c r="R449" s="407"/>
    </row>
    <row r="450" spans="2:18">
      <c r="B450" s="406"/>
      <c r="C450" s="333"/>
      <c r="D450" s="333"/>
      <c r="E450" s="333"/>
      <c r="F450" s="333"/>
      <c r="G450" s="333"/>
      <c r="H450" s="333"/>
      <c r="I450" s="333"/>
      <c r="J450" s="333"/>
      <c r="K450" s="333"/>
      <c r="L450" s="333"/>
      <c r="M450" s="333"/>
      <c r="N450" s="333"/>
      <c r="O450" s="333"/>
      <c r="P450" s="333"/>
      <c r="Q450" s="333"/>
      <c r="R450" s="407"/>
    </row>
    <row r="451" spans="2:18">
      <c r="B451" s="406"/>
      <c r="C451" s="333"/>
      <c r="D451" s="333"/>
      <c r="E451" s="333"/>
      <c r="F451" s="333"/>
      <c r="G451" s="333"/>
      <c r="H451" s="333"/>
      <c r="I451" s="333"/>
      <c r="J451" s="333"/>
      <c r="K451" s="333"/>
      <c r="L451" s="333"/>
      <c r="M451" s="333"/>
      <c r="N451" s="333"/>
      <c r="O451" s="333"/>
      <c r="P451" s="333"/>
      <c r="Q451" s="333"/>
      <c r="R451" s="407"/>
    </row>
    <row r="452" spans="2:18">
      <c r="B452" s="406"/>
      <c r="C452" s="333"/>
      <c r="D452" s="333"/>
      <c r="E452" s="333"/>
      <c r="F452" s="333"/>
      <c r="G452" s="333"/>
      <c r="H452" s="333"/>
      <c r="I452" s="333"/>
      <c r="J452" s="333"/>
      <c r="K452" s="333"/>
      <c r="L452" s="333"/>
      <c r="M452" s="333"/>
      <c r="N452" s="333"/>
      <c r="O452" s="333"/>
      <c r="P452" s="333"/>
      <c r="Q452" s="333"/>
      <c r="R452" s="407"/>
    </row>
    <row r="453" spans="2:18">
      <c r="B453" s="406"/>
      <c r="C453" s="333"/>
      <c r="D453" s="333"/>
      <c r="E453" s="333"/>
      <c r="F453" s="333"/>
      <c r="G453" s="333"/>
      <c r="H453" s="333"/>
      <c r="I453" s="333"/>
      <c r="J453" s="333"/>
      <c r="K453" s="333"/>
      <c r="L453" s="333"/>
      <c r="M453" s="333"/>
      <c r="N453" s="333"/>
      <c r="O453" s="333"/>
      <c r="P453" s="333"/>
      <c r="Q453" s="333"/>
      <c r="R453" s="407"/>
    </row>
    <row r="454" spans="2:18">
      <c r="B454" s="406"/>
      <c r="C454" s="333"/>
      <c r="D454" s="333"/>
      <c r="E454" s="333"/>
      <c r="F454" s="333"/>
      <c r="G454" s="333"/>
      <c r="H454" s="333"/>
      <c r="I454" s="333"/>
      <c r="J454" s="333"/>
      <c r="K454" s="333"/>
      <c r="L454" s="333"/>
      <c r="M454" s="333"/>
      <c r="N454" s="333"/>
      <c r="O454" s="333"/>
      <c r="P454" s="333"/>
      <c r="Q454" s="333"/>
      <c r="R454" s="407"/>
    </row>
    <row r="455" spans="2:18">
      <c r="B455" s="406"/>
      <c r="C455" s="333"/>
      <c r="D455" s="333"/>
      <c r="E455" s="333"/>
      <c r="F455" s="333"/>
      <c r="G455" s="333"/>
      <c r="H455" s="333"/>
      <c r="I455" s="333"/>
      <c r="J455" s="333"/>
      <c r="K455" s="333"/>
      <c r="L455" s="333"/>
      <c r="M455" s="333"/>
      <c r="N455" s="333"/>
      <c r="O455" s="333"/>
      <c r="P455" s="333"/>
      <c r="Q455" s="333"/>
      <c r="R455" s="407"/>
    </row>
    <row r="456" spans="2:18">
      <c r="B456" s="406"/>
      <c r="C456" s="333"/>
      <c r="D456" s="333"/>
      <c r="E456" s="333"/>
      <c r="F456" s="333"/>
      <c r="G456" s="333"/>
      <c r="H456" s="333"/>
      <c r="I456" s="333"/>
      <c r="J456" s="333"/>
      <c r="K456" s="333"/>
      <c r="L456" s="333"/>
      <c r="M456" s="333"/>
      <c r="N456" s="333"/>
      <c r="O456" s="333"/>
      <c r="P456" s="333"/>
      <c r="Q456" s="333"/>
      <c r="R456" s="407"/>
    </row>
    <row r="457" spans="2:18">
      <c r="B457" s="406"/>
      <c r="C457" s="333"/>
      <c r="D457" s="333"/>
      <c r="E457" s="333"/>
      <c r="F457" s="333"/>
      <c r="G457" s="333"/>
      <c r="H457" s="333"/>
      <c r="I457" s="333"/>
      <c r="J457" s="333"/>
      <c r="K457" s="333"/>
      <c r="L457" s="333"/>
      <c r="M457" s="333"/>
      <c r="N457" s="333"/>
      <c r="O457" s="333"/>
      <c r="P457" s="333"/>
      <c r="Q457" s="333"/>
      <c r="R457" s="407"/>
    </row>
    <row r="458" spans="2:18">
      <c r="B458" s="406"/>
      <c r="C458" s="333"/>
      <c r="D458" s="333"/>
      <c r="E458" s="333"/>
      <c r="F458" s="333"/>
      <c r="G458" s="333"/>
      <c r="H458" s="333"/>
      <c r="I458" s="333"/>
      <c r="J458" s="333"/>
      <c r="K458" s="333"/>
      <c r="L458" s="333"/>
      <c r="M458" s="333"/>
      <c r="N458" s="333"/>
      <c r="O458" s="333"/>
      <c r="P458" s="333"/>
      <c r="Q458" s="333"/>
      <c r="R458" s="407"/>
    </row>
    <row r="459" spans="2:18">
      <c r="B459" s="406"/>
      <c r="C459" s="333"/>
      <c r="D459" s="333"/>
      <c r="E459" s="333"/>
      <c r="F459" s="333"/>
      <c r="G459" s="333"/>
      <c r="H459" s="333"/>
      <c r="I459" s="333"/>
      <c r="J459" s="333"/>
      <c r="K459" s="333"/>
      <c r="L459" s="333"/>
      <c r="M459" s="333"/>
      <c r="N459" s="333"/>
      <c r="O459" s="333"/>
      <c r="P459" s="333"/>
      <c r="Q459" s="333"/>
      <c r="R459" s="407"/>
    </row>
    <row r="460" spans="2:18">
      <c r="B460" s="406"/>
      <c r="C460" s="333"/>
      <c r="D460" s="333"/>
      <c r="E460" s="333"/>
      <c r="F460" s="333"/>
      <c r="G460" s="333"/>
      <c r="H460" s="333"/>
      <c r="I460" s="333"/>
      <c r="J460" s="333"/>
      <c r="K460" s="333"/>
      <c r="L460" s="333"/>
      <c r="M460" s="333"/>
      <c r="N460" s="333"/>
      <c r="O460" s="333"/>
      <c r="P460" s="333"/>
      <c r="Q460" s="333"/>
      <c r="R460" s="407"/>
    </row>
    <row r="461" spans="2:18">
      <c r="B461" s="406"/>
      <c r="C461" s="333"/>
      <c r="D461" s="333"/>
      <c r="E461" s="333"/>
      <c r="F461" s="333"/>
      <c r="G461" s="333"/>
      <c r="H461" s="333"/>
      <c r="I461" s="333"/>
      <c r="J461" s="333"/>
      <c r="K461" s="333"/>
      <c r="L461" s="333"/>
      <c r="M461" s="333"/>
      <c r="N461" s="333"/>
      <c r="O461" s="333"/>
      <c r="P461" s="333"/>
      <c r="Q461" s="333"/>
      <c r="R461" s="407"/>
    </row>
    <row r="462" spans="2:18">
      <c r="B462" s="406"/>
      <c r="C462" s="333"/>
      <c r="D462" s="333"/>
      <c r="E462" s="333"/>
      <c r="F462" s="333"/>
      <c r="G462" s="333"/>
      <c r="H462" s="333"/>
      <c r="I462" s="333"/>
      <c r="J462" s="333"/>
      <c r="K462" s="333"/>
      <c r="L462" s="333"/>
      <c r="M462" s="333"/>
      <c r="N462" s="333"/>
      <c r="O462" s="333"/>
      <c r="P462" s="333"/>
      <c r="Q462" s="333"/>
      <c r="R462" s="407"/>
    </row>
    <row r="463" spans="2:18">
      <c r="B463" s="406"/>
      <c r="C463" s="333"/>
      <c r="D463" s="333"/>
      <c r="E463" s="333"/>
      <c r="F463" s="333"/>
      <c r="G463" s="333"/>
      <c r="H463" s="333"/>
      <c r="I463" s="333"/>
      <c r="J463" s="333"/>
      <c r="K463" s="333"/>
      <c r="L463" s="333"/>
      <c r="M463" s="333"/>
      <c r="N463" s="333"/>
      <c r="O463" s="333"/>
      <c r="P463" s="333"/>
      <c r="Q463" s="333"/>
      <c r="R463" s="407"/>
    </row>
    <row r="464" spans="2:18">
      <c r="B464" s="406"/>
      <c r="C464" s="333"/>
      <c r="D464" s="333"/>
      <c r="E464" s="333"/>
      <c r="F464" s="333"/>
      <c r="G464" s="333"/>
      <c r="H464" s="333"/>
      <c r="I464" s="333"/>
      <c r="J464" s="333"/>
      <c r="K464" s="333"/>
      <c r="L464" s="333"/>
      <c r="M464" s="333"/>
      <c r="N464" s="333"/>
      <c r="O464" s="333"/>
      <c r="P464" s="333"/>
      <c r="Q464" s="333"/>
      <c r="R464" s="407"/>
    </row>
    <row r="465" spans="2:18">
      <c r="B465" s="406"/>
      <c r="C465" s="333"/>
      <c r="D465" s="333"/>
      <c r="E465" s="333"/>
      <c r="F465" s="333"/>
      <c r="G465" s="333"/>
      <c r="H465" s="333"/>
      <c r="I465" s="333"/>
      <c r="J465" s="333"/>
      <c r="K465" s="333"/>
      <c r="L465" s="333"/>
      <c r="M465" s="333"/>
      <c r="N465" s="333"/>
      <c r="O465" s="333"/>
      <c r="P465" s="333"/>
      <c r="Q465" s="333"/>
      <c r="R465" s="407"/>
    </row>
    <row r="466" spans="2:18">
      <c r="B466" s="406"/>
      <c r="C466" s="333"/>
      <c r="D466" s="333"/>
      <c r="E466" s="333"/>
      <c r="F466" s="333"/>
      <c r="G466" s="333"/>
      <c r="H466" s="333"/>
      <c r="I466" s="333"/>
      <c r="J466" s="333"/>
      <c r="K466" s="333"/>
      <c r="L466" s="333"/>
      <c r="M466" s="333"/>
      <c r="N466" s="333"/>
      <c r="O466" s="333"/>
      <c r="P466" s="333"/>
      <c r="Q466" s="333"/>
      <c r="R466" s="407"/>
    </row>
    <row r="467" spans="2:18">
      <c r="B467" s="406"/>
      <c r="C467" s="333"/>
      <c r="D467" s="333"/>
      <c r="E467" s="333"/>
      <c r="F467" s="333"/>
      <c r="G467" s="333"/>
      <c r="H467" s="333"/>
      <c r="I467" s="333"/>
      <c r="J467" s="333"/>
      <c r="K467" s="333"/>
      <c r="L467" s="333"/>
      <c r="M467" s="333"/>
      <c r="N467" s="333"/>
      <c r="O467" s="333"/>
      <c r="P467" s="333"/>
      <c r="Q467" s="333"/>
      <c r="R467" s="407"/>
    </row>
    <row r="468" spans="2:18">
      <c r="B468" s="406"/>
      <c r="C468" s="333"/>
      <c r="D468" s="333"/>
      <c r="E468" s="333"/>
      <c r="F468" s="333"/>
      <c r="G468" s="333"/>
      <c r="H468" s="333"/>
      <c r="I468" s="333"/>
      <c r="J468" s="333"/>
      <c r="K468" s="333"/>
      <c r="L468" s="333"/>
      <c r="M468" s="333"/>
      <c r="N468" s="333"/>
      <c r="O468" s="333"/>
      <c r="P468" s="333"/>
      <c r="Q468" s="333"/>
      <c r="R468" s="407"/>
    </row>
    <row r="469" spans="2:18">
      <c r="B469" s="406"/>
      <c r="C469" s="333"/>
      <c r="D469" s="333"/>
      <c r="E469" s="333"/>
      <c r="F469" s="333"/>
      <c r="G469" s="333"/>
      <c r="H469" s="333"/>
      <c r="I469" s="333"/>
      <c r="J469" s="333"/>
      <c r="K469" s="333"/>
      <c r="L469" s="333"/>
      <c r="M469" s="333"/>
      <c r="N469" s="333"/>
      <c r="O469" s="333"/>
      <c r="P469" s="333"/>
      <c r="Q469" s="333"/>
      <c r="R469" s="407"/>
    </row>
    <row r="470" spans="2:18">
      <c r="B470" s="406"/>
      <c r="C470" s="333"/>
      <c r="D470" s="333"/>
      <c r="E470" s="333"/>
      <c r="F470" s="333"/>
      <c r="G470" s="333"/>
      <c r="H470" s="333"/>
      <c r="I470" s="333"/>
      <c r="J470" s="333"/>
      <c r="K470" s="333"/>
      <c r="L470" s="333"/>
      <c r="M470" s="333"/>
      <c r="N470" s="333"/>
      <c r="O470" s="333"/>
      <c r="P470" s="333"/>
      <c r="Q470" s="333"/>
      <c r="R470" s="407"/>
    </row>
    <row r="471" spans="2:18">
      <c r="B471" s="406"/>
      <c r="C471" s="333"/>
      <c r="D471" s="333"/>
      <c r="E471" s="333"/>
      <c r="F471" s="333"/>
      <c r="G471" s="333"/>
      <c r="H471" s="333"/>
      <c r="I471" s="333"/>
      <c r="J471" s="333"/>
      <c r="K471" s="333"/>
      <c r="L471" s="333"/>
      <c r="M471" s="333"/>
      <c r="N471" s="333"/>
      <c r="O471" s="333"/>
      <c r="P471" s="333"/>
      <c r="Q471" s="333"/>
      <c r="R471" s="407"/>
    </row>
    <row r="472" spans="2:18">
      <c r="B472" s="406"/>
      <c r="C472" s="333"/>
      <c r="D472" s="333"/>
      <c r="E472" s="333"/>
      <c r="F472" s="333"/>
      <c r="G472" s="333"/>
      <c r="H472" s="333"/>
      <c r="I472" s="333"/>
      <c r="J472" s="333"/>
      <c r="K472" s="333"/>
      <c r="L472" s="333"/>
      <c r="M472" s="333"/>
      <c r="N472" s="333"/>
      <c r="O472" s="333"/>
      <c r="P472" s="333"/>
      <c r="Q472" s="333"/>
      <c r="R472" s="407"/>
    </row>
    <row r="473" spans="2:18">
      <c r="B473" s="406"/>
      <c r="C473" s="333"/>
      <c r="D473" s="333"/>
      <c r="E473" s="333"/>
      <c r="F473" s="333"/>
      <c r="G473" s="333"/>
      <c r="H473" s="333"/>
      <c r="I473" s="333"/>
      <c r="J473" s="333"/>
      <c r="K473" s="333"/>
      <c r="L473" s="333"/>
      <c r="M473" s="333"/>
      <c r="N473" s="333"/>
      <c r="O473" s="333"/>
      <c r="P473" s="333"/>
      <c r="Q473" s="333"/>
      <c r="R473" s="407"/>
    </row>
    <row r="474" spans="2:18">
      <c r="B474" s="406"/>
      <c r="C474" s="333"/>
      <c r="D474" s="333"/>
      <c r="E474" s="333"/>
      <c r="F474" s="333"/>
      <c r="G474" s="333"/>
      <c r="H474" s="333"/>
      <c r="I474" s="333"/>
      <c r="J474" s="333"/>
      <c r="K474" s="333"/>
      <c r="L474" s="333"/>
      <c r="M474" s="333"/>
      <c r="N474" s="333"/>
      <c r="O474" s="333"/>
      <c r="P474" s="333"/>
      <c r="Q474" s="333"/>
      <c r="R474" s="407"/>
    </row>
    <row r="475" spans="2:18">
      <c r="B475" s="406"/>
      <c r="C475" s="333"/>
      <c r="D475" s="333"/>
      <c r="E475" s="333"/>
      <c r="F475" s="333"/>
      <c r="G475" s="333"/>
      <c r="H475" s="333"/>
      <c r="I475" s="333"/>
      <c r="J475" s="333"/>
      <c r="K475" s="333"/>
      <c r="L475" s="333"/>
      <c r="M475" s="333"/>
      <c r="N475" s="333"/>
      <c r="O475" s="333"/>
      <c r="P475" s="333"/>
      <c r="Q475" s="333"/>
      <c r="R475" s="407"/>
    </row>
    <row r="476" spans="2:18">
      <c r="B476" s="406"/>
      <c r="C476" s="333"/>
      <c r="D476" s="333"/>
      <c r="E476" s="333"/>
      <c r="F476" s="333"/>
      <c r="G476" s="333"/>
      <c r="H476" s="333"/>
      <c r="I476" s="333"/>
      <c r="J476" s="333"/>
      <c r="K476" s="333"/>
      <c r="L476" s="333"/>
      <c r="M476" s="333"/>
      <c r="N476" s="333"/>
      <c r="O476" s="333"/>
      <c r="P476" s="333"/>
      <c r="Q476" s="333"/>
      <c r="R476" s="407"/>
    </row>
    <row r="477" spans="2:18">
      <c r="B477" s="406"/>
      <c r="C477" s="333"/>
      <c r="D477" s="333"/>
      <c r="E477" s="333"/>
      <c r="F477" s="333"/>
      <c r="G477" s="333"/>
      <c r="H477" s="333"/>
      <c r="I477" s="333"/>
      <c r="J477" s="333"/>
      <c r="K477" s="333"/>
      <c r="L477" s="333"/>
      <c r="M477" s="333"/>
      <c r="N477" s="333"/>
      <c r="O477" s="333"/>
      <c r="P477" s="333"/>
      <c r="Q477" s="333"/>
      <c r="R477" s="407"/>
    </row>
    <row r="478" spans="2:18">
      <c r="B478" s="406"/>
      <c r="C478" s="333"/>
      <c r="D478" s="333"/>
      <c r="E478" s="333"/>
      <c r="F478" s="333"/>
      <c r="G478" s="333"/>
      <c r="H478" s="333"/>
      <c r="I478" s="333"/>
      <c r="J478" s="333"/>
      <c r="K478" s="333"/>
      <c r="L478" s="333"/>
      <c r="M478" s="333"/>
      <c r="N478" s="333"/>
      <c r="O478" s="333"/>
      <c r="P478" s="333"/>
      <c r="Q478" s="333"/>
      <c r="R478" s="407"/>
    </row>
    <row r="479" spans="2:18">
      <c r="B479" s="406"/>
      <c r="C479" s="333"/>
      <c r="D479" s="333"/>
      <c r="E479" s="333"/>
      <c r="F479" s="333"/>
      <c r="G479" s="333"/>
      <c r="H479" s="333"/>
      <c r="I479" s="333"/>
      <c r="J479" s="333"/>
      <c r="K479" s="333"/>
      <c r="L479" s="333"/>
      <c r="M479" s="333"/>
      <c r="N479" s="333"/>
      <c r="O479" s="333"/>
      <c r="P479" s="333"/>
      <c r="Q479" s="333"/>
      <c r="R479" s="407"/>
    </row>
    <row r="480" spans="2:18">
      <c r="B480" s="406"/>
      <c r="C480" s="333"/>
      <c r="D480" s="333"/>
      <c r="E480" s="333"/>
      <c r="F480" s="333"/>
      <c r="G480" s="333"/>
      <c r="H480" s="333"/>
      <c r="I480" s="333"/>
      <c r="J480" s="333"/>
      <c r="K480" s="333"/>
      <c r="L480" s="333"/>
      <c r="M480" s="333"/>
      <c r="N480" s="333"/>
      <c r="O480" s="333"/>
      <c r="P480" s="333"/>
      <c r="Q480" s="333"/>
      <c r="R480" s="407"/>
    </row>
    <row r="481" spans="2:18">
      <c r="B481" s="406"/>
      <c r="C481" s="333"/>
      <c r="D481" s="333"/>
      <c r="E481" s="333"/>
      <c r="F481" s="333"/>
      <c r="G481" s="333"/>
      <c r="H481" s="333"/>
      <c r="I481" s="333"/>
      <c r="J481" s="333"/>
      <c r="K481" s="333"/>
      <c r="L481" s="333"/>
      <c r="M481" s="333"/>
      <c r="N481" s="333"/>
      <c r="O481" s="333"/>
      <c r="P481" s="333"/>
      <c r="Q481" s="333"/>
      <c r="R481" s="407"/>
    </row>
    <row r="482" spans="2:18">
      <c r="B482" s="406"/>
      <c r="C482" s="333"/>
      <c r="D482" s="333"/>
      <c r="E482" s="333"/>
      <c r="F482" s="333"/>
      <c r="G482" s="333"/>
      <c r="H482" s="333"/>
      <c r="I482" s="333"/>
      <c r="J482" s="333"/>
      <c r="K482" s="333"/>
      <c r="L482" s="333"/>
      <c r="M482" s="333"/>
      <c r="N482" s="333"/>
      <c r="O482" s="333"/>
      <c r="P482" s="333"/>
      <c r="Q482" s="333"/>
      <c r="R482" s="407"/>
    </row>
    <row r="483" spans="2:18">
      <c r="B483" s="406"/>
      <c r="C483" s="333"/>
      <c r="D483" s="333"/>
      <c r="E483" s="333"/>
      <c r="F483" s="333"/>
      <c r="G483" s="333"/>
      <c r="H483" s="333"/>
      <c r="I483" s="333"/>
      <c r="J483" s="333"/>
      <c r="K483" s="333"/>
      <c r="L483" s="333"/>
      <c r="M483" s="333"/>
      <c r="N483" s="333"/>
      <c r="O483" s="333"/>
      <c r="P483" s="333"/>
      <c r="Q483" s="333"/>
      <c r="R483" s="407"/>
    </row>
    <row r="484" spans="2:18">
      <c r="B484" s="406"/>
      <c r="C484" s="333"/>
      <c r="D484" s="333"/>
      <c r="E484" s="333"/>
      <c r="F484" s="333"/>
      <c r="G484" s="333"/>
      <c r="H484" s="333"/>
      <c r="I484" s="333"/>
      <c r="J484" s="333"/>
      <c r="K484" s="333"/>
      <c r="L484" s="333"/>
      <c r="M484" s="333"/>
      <c r="N484" s="333"/>
      <c r="O484" s="333"/>
      <c r="P484" s="333"/>
      <c r="Q484" s="333"/>
      <c r="R484" s="407"/>
    </row>
    <row r="485" spans="2:18">
      <c r="B485" s="406"/>
      <c r="C485" s="333"/>
      <c r="D485" s="333"/>
      <c r="E485" s="333"/>
      <c r="F485" s="333"/>
      <c r="G485" s="333"/>
      <c r="H485" s="333"/>
      <c r="I485" s="333"/>
      <c r="J485" s="333"/>
      <c r="K485" s="333"/>
      <c r="L485" s="333"/>
      <c r="M485" s="333"/>
      <c r="N485" s="333"/>
      <c r="O485" s="333"/>
      <c r="P485" s="333"/>
      <c r="Q485" s="333"/>
      <c r="R485" s="407"/>
    </row>
    <row r="486" spans="2:18">
      <c r="B486" s="406"/>
      <c r="C486" s="333"/>
      <c r="D486" s="333"/>
      <c r="E486" s="333"/>
      <c r="F486" s="333"/>
      <c r="G486" s="333"/>
      <c r="H486" s="333"/>
      <c r="I486" s="333"/>
      <c r="J486" s="333"/>
      <c r="K486" s="333"/>
      <c r="L486" s="333"/>
      <c r="M486" s="333"/>
      <c r="N486" s="333"/>
      <c r="O486" s="333"/>
      <c r="P486" s="333"/>
      <c r="Q486" s="333"/>
      <c r="R486" s="407"/>
    </row>
    <row r="487" spans="2:18">
      <c r="B487" s="406"/>
      <c r="C487" s="333"/>
      <c r="D487" s="333"/>
      <c r="E487" s="333"/>
      <c r="F487" s="333"/>
      <c r="G487" s="333"/>
      <c r="H487" s="333"/>
      <c r="I487" s="333"/>
      <c r="J487" s="333"/>
      <c r="K487" s="333"/>
      <c r="L487" s="333"/>
      <c r="M487" s="333"/>
      <c r="N487" s="333"/>
      <c r="O487" s="333"/>
      <c r="P487" s="333"/>
      <c r="Q487" s="333"/>
      <c r="R487" s="407"/>
    </row>
    <row r="488" spans="2:18">
      <c r="B488" s="406"/>
      <c r="C488" s="333"/>
      <c r="D488" s="333"/>
      <c r="E488" s="333"/>
      <c r="F488" s="333"/>
      <c r="G488" s="333"/>
      <c r="H488" s="333"/>
      <c r="I488" s="333"/>
      <c r="J488" s="333"/>
      <c r="K488" s="333"/>
      <c r="L488" s="333"/>
      <c r="M488" s="333"/>
      <c r="N488" s="333"/>
      <c r="O488" s="333"/>
      <c r="P488" s="333"/>
      <c r="Q488" s="333"/>
      <c r="R488" s="407"/>
    </row>
    <row r="489" spans="2:18">
      <c r="B489" s="406"/>
      <c r="C489" s="333"/>
      <c r="D489" s="333"/>
      <c r="E489" s="333"/>
      <c r="F489" s="333"/>
      <c r="G489" s="333"/>
      <c r="H489" s="333"/>
      <c r="I489" s="333"/>
      <c r="J489" s="333"/>
      <c r="K489" s="333"/>
      <c r="L489" s="333"/>
      <c r="M489" s="333"/>
      <c r="N489" s="333"/>
      <c r="O489" s="333"/>
      <c r="P489" s="333"/>
      <c r="Q489" s="333"/>
      <c r="R489" s="407"/>
    </row>
    <row r="490" spans="2:18">
      <c r="B490" s="406"/>
      <c r="C490" s="333"/>
      <c r="D490" s="333"/>
      <c r="E490" s="333"/>
      <c r="F490" s="333"/>
      <c r="G490" s="333"/>
      <c r="H490" s="333"/>
      <c r="I490" s="333"/>
      <c r="J490" s="333"/>
      <c r="K490" s="333"/>
      <c r="L490" s="333"/>
      <c r="M490" s="333"/>
      <c r="N490" s="333"/>
      <c r="O490" s="333"/>
      <c r="P490" s="333"/>
      <c r="Q490" s="333"/>
      <c r="R490" s="407"/>
    </row>
    <row r="491" spans="2:18">
      <c r="B491" s="406"/>
      <c r="C491" s="333"/>
      <c r="D491" s="333"/>
      <c r="E491" s="333"/>
      <c r="F491" s="333"/>
      <c r="G491" s="333"/>
      <c r="H491" s="333"/>
      <c r="I491" s="333"/>
      <c r="J491" s="333"/>
      <c r="K491" s="333"/>
      <c r="L491" s="333"/>
      <c r="M491" s="333"/>
      <c r="N491" s="333"/>
      <c r="O491" s="333"/>
      <c r="P491" s="333"/>
      <c r="Q491" s="333"/>
      <c r="R491" s="407"/>
    </row>
    <row r="492" spans="2:18">
      <c r="B492" s="406"/>
      <c r="C492" s="333"/>
      <c r="D492" s="333"/>
      <c r="E492" s="333"/>
      <c r="F492" s="333"/>
      <c r="G492" s="333"/>
      <c r="H492" s="333"/>
      <c r="I492" s="333"/>
      <c r="J492" s="333"/>
      <c r="K492" s="333"/>
      <c r="L492" s="333"/>
      <c r="M492" s="333"/>
      <c r="N492" s="333"/>
      <c r="O492" s="333"/>
      <c r="P492" s="333"/>
      <c r="Q492" s="333"/>
      <c r="R492" s="407"/>
    </row>
    <row r="493" spans="2:18">
      <c r="B493" s="406"/>
      <c r="C493" s="333"/>
      <c r="D493" s="333"/>
      <c r="E493" s="333"/>
      <c r="F493" s="333"/>
      <c r="G493" s="333"/>
      <c r="H493" s="333"/>
      <c r="I493" s="333"/>
      <c r="J493" s="333"/>
      <c r="K493" s="333"/>
      <c r="L493" s="333"/>
      <c r="M493" s="333"/>
      <c r="N493" s="333"/>
      <c r="O493" s="333"/>
      <c r="P493" s="333"/>
      <c r="Q493" s="333"/>
      <c r="R493" s="407"/>
    </row>
    <row r="494" spans="2:18">
      <c r="B494" s="406"/>
      <c r="C494" s="333"/>
      <c r="D494" s="333"/>
      <c r="E494" s="333"/>
      <c r="F494" s="333"/>
      <c r="G494" s="333"/>
      <c r="H494" s="333"/>
      <c r="I494" s="333"/>
      <c r="J494" s="333"/>
      <c r="K494" s="333"/>
      <c r="L494" s="333"/>
      <c r="M494" s="333"/>
      <c r="N494" s="333"/>
      <c r="O494" s="333"/>
      <c r="P494" s="333"/>
      <c r="Q494" s="333"/>
      <c r="R494" s="407"/>
    </row>
    <row r="495" spans="2:18">
      <c r="B495" s="406"/>
      <c r="C495" s="333"/>
      <c r="D495" s="333"/>
      <c r="E495" s="333"/>
      <c r="F495" s="333"/>
      <c r="G495" s="333"/>
      <c r="H495" s="333"/>
      <c r="I495" s="333"/>
      <c r="J495" s="333"/>
      <c r="K495" s="333"/>
      <c r="L495" s="333"/>
      <c r="M495" s="333"/>
      <c r="N495" s="333"/>
      <c r="O495" s="333"/>
      <c r="P495" s="333"/>
      <c r="Q495" s="333"/>
      <c r="R495" s="407"/>
    </row>
    <row r="496" spans="2:18">
      <c r="B496" s="406"/>
      <c r="C496" s="333"/>
      <c r="D496" s="333"/>
      <c r="E496" s="333"/>
      <c r="F496" s="333"/>
      <c r="G496" s="333"/>
      <c r="H496" s="333"/>
      <c r="I496" s="333"/>
      <c r="J496" s="333"/>
      <c r="K496" s="333"/>
      <c r="L496" s="333"/>
      <c r="M496" s="333"/>
      <c r="N496" s="333"/>
      <c r="O496" s="333"/>
      <c r="P496" s="333"/>
      <c r="Q496" s="333"/>
      <c r="R496" s="407"/>
    </row>
    <row r="497" spans="2:18">
      <c r="B497" s="406"/>
      <c r="C497" s="333"/>
      <c r="D497" s="333"/>
      <c r="E497" s="333"/>
      <c r="F497" s="333"/>
      <c r="G497" s="333"/>
      <c r="H497" s="333"/>
      <c r="I497" s="333"/>
      <c r="J497" s="333"/>
      <c r="K497" s="333"/>
      <c r="L497" s="333"/>
      <c r="M497" s="333"/>
      <c r="N497" s="333"/>
      <c r="O497" s="333"/>
      <c r="P497" s="333"/>
      <c r="Q497" s="333"/>
      <c r="R497" s="407"/>
    </row>
    <row r="498" spans="2:18">
      <c r="B498" s="406"/>
      <c r="C498" s="333"/>
      <c r="D498" s="333"/>
      <c r="E498" s="333"/>
      <c r="F498" s="333"/>
      <c r="G498" s="333"/>
      <c r="H498" s="333"/>
      <c r="I498" s="333"/>
      <c r="J498" s="333"/>
      <c r="K498" s="333"/>
      <c r="L498" s="333"/>
      <c r="M498" s="333"/>
      <c r="N498" s="333"/>
      <c r="O498" s="333"/>
      <c r="P498" s="333"/>
      <c r="Q498" s="333"/>
      <c r="R498" s="407"/>
    </row>
    <row r="499" spans="2:18">
      <c r="B499" s="406"/>
      <c r="C499" s="333"/>
      <c r="D499" s="333"/>
      <c r="E499" s="333"/>
      <c r="F499" s="333"/>
      <c r="G499" s="333"/>
      <c r="H499" s="333"/>
      <c r="I499" s="333"/>
      <c r="J499" s="333"/>
      <c r="K499" s="333"/>
      <c r="L499" s="333"/>
      <c r="M499" s="333"/>
      <c r="N499" s="333"/>
      <c r="O499" s="333"/>
      <c r="P499" s="333"/>
      <c r="Q499" s="333"/>
      <c r="R499" s="407"/>
    </row>
    <row r="500" spans="2:18">
      <c r="B500" s="406"/>
      <c r="C500" s="333"/>
      <c r="D500" s="333"/>
      <c r="E500" s="333"/>
      <c r="F500" s="333"/>
      <c r="G500" s="333"/>
      <c r="H500" s="333"/>
      <c r="I500" s="333"/>
      <c r="J500" s="333"/>
      <c r="K500" s="333"/>
      <c r="L500" s="333"/>
      <c r="M500" s="333"/>
      <c r="N500" s="333"/>
      <c r="O500" s="333"/>
      <c r="P500" s="333"/>
      <c r="Q500" s="333"/>
      <c r="R500" s="407"/>
    </row>
    <row r="501" spans="2:18">
      <c r="B501" s="406"/>
      <c r="C501" s="333"/>
      <c r="D501" s="333"/>
      <c r="E501" s="333"/>
      <c r="F501" s="333"/>
      <c r="G501" s="333"/>
      <c r="H501" s="333"/>
      <c r="I501" s="333"/>
      <c r="J501" s="333"/>
      <c r="K501" s="333"/>
      <c r="L501" s="333"/>
      <c r="M501" s="333"/>
      <c r="N501" s="333"/>
      <c r="O501" s="333"/>
      <c r="P501" s="333"/>
      <c r="Q501" s="333"/>
      <c r="R501" s="407"/>
    </row>
    <row r="502" spans="2:18">
      <c r="B502" s="406"/>
      <c r="C502" s="333"/>
      <c r="D502" s="333"/>
      <c r="E502" s="333"/>
      <c r="F502" s="333"/>
      <c r="G502" s="333"/>
      <c r="H502" s="333"/>
      <c r="I502" s="333"/>
      <c r="J502" s="333"/>
      <c r="K502" s="333"/>
      <c r="L502" s="333"/>
      <c r="M502" s="333"/>
      <c r="N502" s="333"/>
      <c r="O502" s="333"/>
      <c r="P502" s="333"/>
      <c r="Q502" s="333"/>
      <c r="R502" s="407"/>
    </row>
    <row r="503" spans="2:18">
      <c r="B503" s="406"/>
      <c r="C503" s="333"/>
      <c r="D503" s="333"/>
      <c r="E503" s="333"/>
      <c r="F503" s="333"/>
      <c r="G503" s="333"/>
      <c r="H503" s="333"/>
      <c r="I503" s="333"/>
      <c r="J503" s="333"/>
      <c r="K503" s="333"/>
      <c r="L503" s="333"/>
      <c r="M503" s="333"/>
      <c r="N503" s="333"/>
      <c r="O503" s="333"/>
      <c r="P503" s="333"/>
      <c r="Q503" s="333"/>
      <c r="R503" s="407"/>
    </row>
    <row r="504" spans="2:18">
      <c r="B504" s="406"/>
      <c r="C504" s="333"/>
      <c r="D504" s="333"/>
      <c r="E504" s="333"/>
      <c r="F504" s="333"/>
      <c r="G504" s="333"/>
      <c r="H504" s="333"/>
      <c r="I504" s="333"/>
      <c r="J504" s="333"/>
      <c r="K504" s="333"/>
      <c r="L504" s="333"/>
      <c r="M504" s="333"/>
      <c r="N504" s="333"/>
      <c r="O504" s="333"/>
      <c r="P504" s="333"/>
      <c r="Q504" s="333"/>
      <c r="R504" s="407"/>
    </row>
    <row r="505" spans="2:18">
      <c r="B505" s="406"/>
      <c r="C505" s="333"/>
      <c r="D505" s="333"/>
      <c r="E505" s="333"/>
      <c r="F505" s="333"/>
      <c r="G505" s="333"/>
      <c r="H505" s="333"/>
      <c r="I505" s="333"/>
      <c r="J505" s="333"/>
      <c r="K505" s="333"/>
      <c r="L505" s="333"/>
      <c r="M505" s="333"/>
      <c r="N505" s="333"/>
      <c r="O505" s="333"/>
      <c r="P505" s="333"/>
      <c r="Q505" s="333"/>
      <c r="R505" s="407"/>
    </row>
    <row r="506" spans="2:18">
      <c r="B506" s="406"/>
      <c r="C506" s="333"/>
      <c r="D506" s="333"/>
      <c r="E506" s="333"/>
      <c r="F506" s="333"/>
      <c r="G506" s="333"/>
      <c r="H506" s="333"/>
      <c r="I506" s="333"/>
      <c r="J506" s="333"/>
      <c r="K506" s="333"/>
      <c r="L506" s="333"/>
      <c r="M506" s="333"/>
      <c r="N506" s="333"/>
      <c r="O506" s="333"/>
      <c r="P506" s="333"/>
      <c r="Q506" s="333"/>
      <c r="R506" s="407"/>
    </row>
    <row r="507" spans="2:18">
      <c r="B507" s="406"/>
      <c r="C507" s="333"/>
      <c r="D507" s="333"/>
      <c r="E507" s="333"/>
      <c r="F507" s="333"/>
      <c r="G507" s="333"/>
      <c r="H507" s="333"/>
      <c r="I507" s="333"/>
      <c r="J507" s="333"/>
      <c r="K507" s="333"/>
      <c r="L507" s="333"/>
      <c r="M507" s="333"/>
      <c r="N507" s="333"/>
      <c r="O507" s="333"/>
      <c r="P507" s="333"/>
      <c r="Q507" s="333"/>
      <c r="R507" s="407"/>
    </row>
    <row r="508" spans="2:18">
      <c r="B508" s="406"/>
      <c r="C508" s="333"/>
      <c r="D508" s="333"/>
      <c r="E508" s="333"/>
      <c r="F508" s="333"/>
      <c r="G508" s="333"/>
      <c r="H508" s="333"/>
      <c r="I508" s="333"/>
      <c r="J508" s="333"/>
      <c r="K508" s="333"/>
      <c r="L508" s="333"/>
      <c r="M508" s="333"/>
      <c r="N508" s="333"/>
      <c r="O508" s="333"/>
      <c r="P508" s="333"/>
      <c r="Q508" s="333"/>
      <c r="R508" s="407"/>
    </row>
    <row r="509" spans="2:18">
      <c r="B509" s="406"/>
      <c r="C509" s="333"/>
      <c r="D509" s="333"/>
      <c r="E509" s="333"/>
      <c r="F509" s="333"/>
      <c r="G509" s="333"/>
      <c r="H509" s="333"/>
      <c r="I509" s="333"/>
      <c r="J509" s="333"/>
      <c r="K509" s="333"/>
      <c r="L509" s="333"/>
      <c r="M509" s="333"/>
      <c r="N509" s="333"/>
      <c r="O509" s="333"/>
      <c r="P509" s="333"/>
      <c r="Q509" s="333"/>
      <c r="R509" s="407"/>
    </row>
    <row r="510" spans="2:18">
      <c r="B510" s="406"/>
      <c r="C510" s="333"/>
      <c r="D510" s="333"/>
      <c r="E510" s="333"/>
      <c r="F510" s="333"/>
      <c r="G510" s="333"/>
      <c r="H510" s="333"/>
      <c r="I510" s="333"/>
      <c r="J510" s="333"/>
      <c r="K510" s="333"/>
      <c r="L510" s="333"/>
      <c r="M510" s="333"/>
      <c r="N510" s="333"/>
      <c r="O510" s="333"/>
      <c r="P510" s="333"/>
      <c r="Q510" s="333"/>
      <c r="R510" s="407"/>
    </row>
    <row r="511" spans="2:18">
      <c r="B511" s="406"/>
      <c r="C511" s="333"/>
      <c r="D511" s="333"/>
      <c r="E511" s="333"/>
      <c r="F511" s="333"/>
      <c r="G511" s="333"/>
      <c r="H511" s="333"/>
      <c r="I511" s="333"/>
      <c r="J511" s="333"/>
      <c r="K511" s="333"/>
      <c r="L511" s="333"/>
      <c r="M511" s="333"/>
      <c r="N511" s="333"/>
      <c r="O511" s="333"/>
      <c r="P511" s="333"/>
      <c r="Q511" s="333"/>
      <c r="R511" s="407"/>
    </row>
    <row r="512" spans="2:18">
      <c r="B512" s="406"/>
      <c r="C512" s="333"/>
      <c r="D512" s="333"/>
      <c r="E512" s="333"/>
      <c r="F512" s="333"/>
      <c r="G512" s="333"/>
      <c r="H512" s="333"/>
      <c r="I512" s="333"/>
      <c r="J512" s="333"/>
      <c r="K512" s="333"/>
      <c r="L512" s="333"/>
      <c r="M512" s="333"/>
      <c r="N512" s="333"/>
      <c r="O512" s="333"/>
      <c r="P512" s="333"/>
      <c r="Q512" s="333"/>
      <c r="R512" s="407"/>
    </row>
    <row r="513" spans="2:18">
      <c r="B513" s="406"/>
      <c r="C513" s="333"/>
      <c r="D513" s="333"/>
      <c r="E513" s="333"/>
      <c r="F513" s="333"/>
      <c r="G513" s="333"/>
      <c r="H513" s="333"/>
      <c r="I513" s="333"/>
      <c r="J513" s="333"/>
      <c r="K513" s="333"/>
      <c r="L513" s="333"/>
      <c r="M513" s="333"/>
      <c r="N513" s="333"/>
      <c r="O513" s="333"/>
      <c r="P513" s="333"/>
      <c r="Q513" s="333"/>
      <c r="R513" s="407"/>
    </row>
    <row r="514" spans="2:18">
      <c r="B514" s="406"/>
      <c r="C514" s="333"/>
      <c r="D514" s="333"/>
      <c r="E514" s="333"/>
      <c r="F514" s="333"/>
      <c r="G514" s="333"/>
      <c r="H514" s="333"/>
      <c r="I514" s="333"/>
      <c r="J514" s="333"/>
      <c r="K514" s="333"/>
      <c r="L514" s="333"/>
      <c r="M514" s="333"/>
      <c r="N514" s="333"/>
      <c r="O514" s="333"/>
      <c r="P514" s="333"/>
      <c r="Q514" s="333"/>
      <c r="R514" s="407"/>
    </row>
    <row r="515" spans="2:18">
      <c r="B515" s="406"/>
      <c r="C515" s="333"/>
      <c r="D515" s="333"/>
      <c r="E515" s="333"/>
      <c r="F515" s="333"/>
      <c r="G515" s="333"/>
      <c r="H515" s="333"/>
      <c r="I515" s="333"/>
      <c r="J515" s="333"/>
      <c r="K515" s="333"/>
      <c r="L515" s="333"/>
      <c r="M515" s="333"/>
      <c r="N515" s="333"/>
      <c r="O515" s="333"/>
      <c r="P515" s="333"/>
      <c r="Q515" s="333"/>
      <c r="R515" s="407"/>
    </row>
    <row r="516" spans="2:18">
      <c r="B516" s="406"/>
      <c r="C516" s="333"/>
      <c r="D516" s="333"/>
      <c r="E516" s="333"/>
      <c r="F516" s="333"/>
      <c r="G516" s="333"/>
      <c r="H516" s="333"/>
      <c r="I516" s="333"/>
      <c r="J516" s="333"/>
      <c r="K516" s="333"/>
      <c r="L516" s="333"/>
      <c r="M516" s="333"/>
      <c r="N516" s="333"/>
      <c r="O516" s="333"/>
      <c r="P516" s="333"/>
      <c r="Q516" s="333"/>
      <c r="R516" s="407"/>
    </row>
    <row r="517" spans="2:18">
      <c r="B517" s="406"/>
      <c r="C517" s="333"/>
      <c r="D517" s="333"/>
      <c r="E517" s="333"/>
      <c r="F517" s="333"/>
      <c r="G517" s="333"/>
      <c r="H517" s="333"/>
      <c r="I517" s="333"/>
      <c r="J517" s="333"/>
      <c r="K517" s="333"/>
      <c r="L517" s="333"/>
      <c r="M517" s="333"/>
      <c r="N517" s="333"/>
      <c r="O517" s="333"/>
      <c r="P517" s="333"/>
      <c r="Q517" s="333"/>
      <c r="R517" s="407"/>
    </row>
    <row r="518" spans="2:18">
      <c r="B518" s="406"/>
      <c r="C518" s="333"/>
      <c r="D518" s="333"/>
      <c r="E518" s="333"/>
      <c r="F518" s="333"/>
      <c r="G518" s="333"/>
      <c r="H518" s="333"/>
      <c r="I518" s="333"/>
      <c r="J518" s="333"/>
      <c r="K518" s="333"/>
      <c r="L518" s="333"/>
      <c r="M518" s="333"/>
      <c r="N518" s="333"/>
      <c r="O518" s="333"/>
      <c r="P518" s="333"/>
      <c r="Q518" s="333"/>
      <c r="R518" s="407"/>
    </row>
    <row r="519" spans="2:18">
      <c r="B519" s="406"/>
      <c r="C519" s="333"/>
      <c r="D519" s="333"/>
      <c r="E519" s="333"/>
      <c r="F519" s="333"/>
      <c r="G519" s="333"/>
      <c r="H519" s="333"/>
      <c r="I519" s="333"/>
      <c r="J519" s="333"/>
      <c r="K519" s="333"/>
      <c r="L519" s="333"/>
      <c r="M519" s="333"/>
      <c r="N519" s="333"/>
      <c r="O519" s="333"/>
      <c r="P519" s="333"/>
      <c r="Q519" s="333"/>
      <c r="R519" s="407"/>
    </row>
    <row r="520" spans="2:18">
      <c r="B520" s="406"/>
      <c r="C520" s="333"/>
      <c r="D520" s="333"/>
      <c r="E520" s="333"/>
      <c r="F520" s="333"/>
      <c r="G520" s="333"/>
      <c r="H520" s="333"/>
      <c r="I520" s="333"/>
      <c r="J520" s="333"/>
      <c r="K520" s="333"/>
      <c r="L520" s="333"/>
      <c r="M520" s="333"/>
      <c r="N520" s="333"/>
      <c r="O520" s="333"/>
      <c r="P520" s="333"/>
      <c r="Q520" s="333"/>
      <c r="R520" s="407"/>
    </row>
    <row r="521" spans="2:18">
      <c r="B521" s="406"/>
      <c r="C521" s="333"/>
      <c r="D521" s="333"/>
      <c r="E521" s="333"/>
      <c r="F521" s="333"/>
      <c r="G521" s="333"/>
      <c r="H521" s="333"/>
      <c r="I521" s="333"/>
      <c r="J521" s="333"/>
      <c r="K521" s="333"/>
      <c r="L521" s="333"/>
      <c r="M521" s="333"/>
      <c r="N521" s="333"/>
      <c r="O521" s="333"/>
      <c r="P521" s="333"/>
      <c r="Q521" s="333"/>
      <c r="R521" s="407"/>
    </row>
    <row r="522" spans="2:18">
      <c r="B522" s="406"/>
      <c r="C522" s="333"/>
      <c r="D522" s="333"/>
      <c r="E522" s="333"/>
      <c r="F522" s="333"/>
      <c r="G522" s="333"/>
      <c r="H522" s="333"/>
      <c r="I522" s="333"/>
      <c r="J522" s="333"/>
      <c r="K522" s="333"/>
      <c r="L522" s="333"/>
      <c r="M522" s="333"/>
      <c r="N522" s="333"/>
      <c r="O522" s="333"/>
      <c r="P522" s="333"/>
      <c r="Q522" s="333"/>
      <c r="R522" s="407"/>
    </row>
    <row r="523" spans="2:18">
      <c r="B523" s="408"/>
      <c r="C523" s="409"/>
      <c r="D523" s="409"/>
      <c r="E523" s="409"/>
      <c r="F523" s="409"/>
      <c r="G523" s="409"/>
      <c r="H523" s="409"/>
      <c r="I523" s="409"/>
      <c r="J523" s="409"/>
      <c r="K523" s="409"/>
      <c r="L523" s="409"/>
      <c r="M523" s="409"/>
      <c r="N523" s="409"/>
      <c r="O523" s="409"/>
      <c r="P523" s="409"/>
      <c r="Q523" s="409"/>
      <c r="R523" s="410"/>
    </row>
    <row r="526" spans="2:18" ht="15.75">
      <c r="B526" s="414" t="s">
        <v>113</v>
      </c>
      <c r="C526" s="412"/>
      <c r="D526" s="412"/>
      <c r="E526" s="412"/>
      <c r="F526" s="412"/>
      <c r="G526" s="412"/>
      <c r="H526" s="412"/>
      <c r="I526" s="412"/>
      <c r="J526" s="412"/>
      <c r="K526" s="412"/>
      <c r="L526" s="412"/>
      <c r="M526" s="412"/>
      <c r="N526" s="412"/>
      <c r="O526" s="412"/>
      <c r="P526" s="412"/>
      <c r="Q526" s="412"/>
      <c r="R526" s="413"/>
    </row>
    <row r="527" spans="2:18">
      <c r="B527" s="247"/>
      <c r="C527" s="248"/>
      <c r="D527" s="248"/>
      <c r="E527" s="248"/>
      <c r="F527" s="248"/>
      <c r="G527" s="248"/>
      <c r="H527" s="248"/>
      <c r="I527" s="248"/>
      <c r="J527" s="248"/>
      <c r="K527" s="248"/>
      <c r="L527" s="248"/>
      <c r="M527" s="248"/>
      <c r="N527" s="248"/>
      <c r="O527" s="248"/>
      <c r="P527" s="248"/>
      <c r="Q527" s="248"/>
      <c r="R527" s="249"/>
    </row>
    <row r="528" spans="2:18">
      <c r="B528" s="247"/>
      <c r="C528" s="248"/>
      <c r="D528" s="248"/>
      <c r="E528" s="248"/>
      <c r="F528" s="248"/>
      <c r="G528" s="248"/>
      <c r="H528" s="248"/>
      <c r="I528" s="248"/>
      <c r="J528" s="248"/>
      <c r="K528" s="248"/>
      <c r="L528" s="248"/>
      <c r="M528" s="248"/>
      <c r="N528" s="248"/>
      <c r="O528" s="248"/>
      <c r="P528" s="248"/>
      <c r="Q528" s="248"/>
      <c r="R528" s="249"/>
    </row>
    <row r="529" spans="2:18">
      <c r="B529" s="247"/>
      <c r="C529" s="248"/>
      <c r="D529" s="248"/>
      <c r="E529" s="248"/>
      <c r="F529" s="248"/>
      <c r="G529" s="248"/>
      <c r="H529" s="248"/>
      <c r="I529" s="248"/>
      <c r="J529" s="248"/>
      <c r="K529" s="248"/>
      <c r="L529" s="248"/>
      <c r="M529" s="248"/>
      <c r="N529" s="248"/>
      <c r="O529" s="248"/>
      <c r="P529" s="248"/>
      <c r="Q529" s="248"/>
      <c r="R529" s="249"/>
    </row>
    <row r="530" spans="2:18">
      <c r="B530" s="247"/>
      <c r="C530" s="248"/>
      <c r="D530" s="248"/>
      <c r="E530" s="248"/>
      <c r="F530" s="248"/>
      <c r="G530" s="248"/>
      <c r="H530" s="248"/>
      <c r="I530" s="248"/>
      <c r="J530" s="248"/>
      <c r="K530" s="248"/>
      <c r="L530" s="248"/>
      <c r="M530" s="248"/>
      <c r="N530" s="248"/>
      <c r="O530" s="248"/>
      <c r="P530" s="248"/>
      <c r="Q530" s="248"/>
      <c r="R530" s="249"/>
    </row>
    <row r="531" spans="2:18">
      <c r="B531" s="247"/>
      <c r="C531" s="248"/>
      <c r="D531" s="248"/>
      <c r="E531" s="248"/>
      <c r="F531" s="248"/>
      <c r="G531" s="248"/>
      <c r="H531" s="248"/>
      <c r="I531" s="248"/>
      <c r="J531" s="248"/>
      <c r="K531" s="248"/>
      <c r="L531" s="248"/>
      <c r="M531" s="248"/>
      <c r="N531" s="248"/>
      <c r="O531" s="248"/>
      <c r="P531" s="248"/>
      <c r="Q531" s="248"/>
      <c r="R531" s="249"/>
    </row>
    <row r="532" spans="2:18">
      <c r="B532" s="247"/>
      <c r="C532" s="248"/>
      <c r="D532" s="248"/>
      <c r="E532" s="248"/>
      <c r="F532" s="248"/>
      <c r="G532" s="248"/>
      <c r="H532" s="248"/>
      <c r="I532" s="248"/>
      <c r="J532" s="248"/>
      <c r="K532" s="248"/>
      <c r="L532" s="248"/>
      <c r="M532" s="248"/>
      <c r="N532" s="248"/>
      <c r="O532" s="248"/>
      <c r="P532" s="248"/>
      <c r="Q532" s="248"/>
      <c r="R532" s="249"/>
    </row>
    <row r="533" spans="2:18">
      <c r="B533" s="247"/>
      <c r="C533" s="248"/>
      <c r="D533" s="248"/>
      <c r="E533" s="248"/>
      <c r="F533" s="248"/>
      <c r="G533" s="248"/>
      <c r="H533" s="248"/>
      <c r="I533" s="248"/>
      <c r="J533" s="248"/>
      <c r="K533" s="248"/>
      <c r="L533" s="248"/>
      <c r="M533" s="248"/>
      <c r="N533" s="248"/>
      <c r="O533" s="248"/>
      <c r="P533" s="248"/>
      <c r="Q533" s="248"/>
      <c r="R533" s="249"/>
    </row>
    <row r="534" spans="2:18">
      <c r="B534" s="247"/>
      <c r="C534" s="248"/>
      <c r="D534" s="248"/>
      <c r="E534" s="248"/>
      <c r="F534" s="248"/>
      <c r="G534" s="248"/>
      <c r="H534" s="248"/>
      <c r="I534" s="248"/>
      <c r="J534" s="248"/>
      <c r="K534" s="248"/>
      <c r="L534" s="248"/>
      <c r="M534" s="248"/>
      <c r="N534" s="248"/>
      <c r="O534" s="248"/>
      <c r="P534" s="248"/>
      <c r="Q534" s="248"/>
      <c r="R534" s="249"/>
    </row>
    <row r="535" spans="2:18">
      <c r="B535" s="247"/>
      <c r="C535" s="248"/>
      <c r="D535" s="248"/>
      <c r="E535" s="248"/>
      <c r="F535" s="248"/>
      <c r="G535" s="248"/>
      <c r="H535" s="248"/>
      <c r="I535" s="248"/>
      <c r="J535" s="248"/>
      <c r="K535" s="248"/>
      <c r="L535" s="248"/>
      <c r="M535" s="248"/>
      <c r="N535" s="248"/>
      <c r="O535" s="248"/>
      <c r="P535" s="248"/>
      <c r="Q535" s="248"/>
      <c r="R535" s="249"/>
    </row>
    <row r="536" spans="2:18">
      <c r="B536" s="247"/>
      <c r="C536" s="248"/>
      <c r="D536" s="248"/>
      <c r="E536" s="248"/>
      <c r="F536" s="248"/>
      <c r="G536" s="248"/>
      <c r="H536" s="248"/>
      <c r="I536" s="248"/>
      <c r="J536" s="248"/>
      <c r="K536" s="248"/>
      <c r="L536" s="248"/>
      <c r="M536" s="248"/>
      <c r="N536" s="248"/>
      <c r="O536" s="248"/>
      <c r="P536" s="248"/>
      <c r="Q536" s="248"/>
      <c r="R536" s="249"/>
    </row>
    <row r="537" spans="2:18">
      <c r="B537" s="247"/>
      <c r="C537" s="248"/>
      <c r="D537" s="248"/>
      <c r="E537" s="248"/>
      <c r="F537" s="248"/>
      <c r="G537" s="248"/>
      <c r="H537" s="248"/>
      <c r="I537" s="248"/>
      <c r="J537" s="248"/>
      <c r="K537" s="248"/>
      <c r="L537" s="248"/>
      <c r="M537" s="248"/>
      <c r="N537" s="248"/>
      <c r="O537" s="248"/>
      <c r="P537" s="248"/>
      <c r="Q537" s="248"/>
      <c r="R537" s="249"/>
    </row>
    <row r="538" spans="2:18">
      <c r="B538" s="247"/>
      <c r="C538" s="248"/>
      <c r="D538" s="248"/>
      <c r="E538" s="248"/>
      <c r="F538" s="248"/>
      <c r="G538" s="248"/>
      <c r="H538" s="248"/>
      <c r="I538" s="248"/>
      <c r="J538" s="248"/>
      <c r="K538" s="248"/>
      <c r="L538" s="248"/>
      <c r="M538" s="248"/>
      <c r="N538" s="248"/>
      <c r="O538" s="248"/>
      <c r="P538" s="248"/>
      <c r="Q538" s="248"/>
      <c r="R538" s="249"/>
    </row>
    <row r="539" spans="2:18">
      <c r="B539" s="247"/>
      <c r="C539" s="248"/>
      <c r="D539" s="248"/>
      <c r="E539" s="248"/>
      <c r="F539" s="248"/>
      <c r="G539" s="248"/>
      <c r="H539" s="248"/>
      <c r="I539" s="248"/>
      <c r="J539" s="248"/>
      <c r="K539" s="248"/>
      <c r="L539" s="248"/>
      <c r="M539" s="248"/>
      <c r="N539" s="248"/>
      <c r="O539" s="248"/>
      <c r="P539" s="248"/>
      <c r="Q539" s="248"/>
      <c r="R539" s="249"/>
    </row>
    <row r="540" spans="2:18">
      <c r="B540" s="247"/>
      <c r="C540" s="248"/>
      <c r="D540" s="248"/>
      <c r="E540" s="248"/>
      <c r="F540" s="248"/>
      <c r="G540" s="248"/>
      <c r="H540" s="248"/>
      <c r="I540" s="248"/>
      <c r="J540" s="248"/>
      <c r="K540" s="248"/>
      <c r="L540" s="248"/>
      <c r="M540" s="248"/>
      <c r="N540" s="248"/>
      <c r="O540" s="248"/>
      <c r="P540" s="248"/>
      <c r="Q540" s="248"/>
      <c r="R540" s="249"/>
    </row>
    <row r="541" spans="2:18">
      <c r="B541" s="247"/>
      <c r="C541" s="248"/>
      <c r="D541" s="248"/>
      <c r="E541" s="248"/>
      <c r="F541" s="248"/>
      <c r="G541" s="248"/>
      <c r="H541" s="248"/>
      <c r="I541" s="248"/>
      <c r="J541" s="248"/>
      <c r="K541" s="248"/>
      <c r="L541" s="248"/>
      <c r="M541" s="248"/>
      <c r="N541" s="248"/>
      <c r="O541" s="248"/>
      <c r="P541" s="248"/>
      <c r="Q541" s="248"/>
      <c r="R541" s="249"/>
    </row>
    <row r="542" spans="2:18">
      <c r="B542" s="247"/>
      <c r="C542" s="248"/>
      <c r="D542" s="248"/>
      <c r="E542" s="248"/>
      <c r="F542" s="248"/>
      <c r="G542" s="248"/>
      <c r="H542" s="248"/>
      <c r="I542" s="248"/>
      <c r="J542" s="248"/>
      <c r="K542" s="248"/>
      <c r="L542" s="248"/>
      <c r="M542" s="248"/>
      <c r="N542" s="248"/>
      <c r="O542" s="248"/>
      <c r="P542" s="248"/>
      <c r="Q542" s="248"/>
      <c r="R542" s="249"/>
    </row>
    <row r="543" spans="2:18">
      <c r="B543" s="247"/>
      <c r="C543" s="248"/>
      <c r="D543" s="248"/>
      <c r="E543" s="248"/>
      <c r="F543" s="248"/>
      <c r="G543" s="248"/>
      <c r="H543" s="248"/>
      <c r="I543" s="248"/>
      <c r="J543" s="248"/>
      <c r="K543" s="248"/>
      <c r="L543" s="248"/>
      <c r="M543" s="248"/>
      <c r="N543" s="248"/>
      <c r="O543" s="248"/>
      <c r="P543" s="248"/>
      <c r="Q543" s="248"/>
      <c r="R543" s="249"/>
    </row>
    <row r="544" spans="2:18">
      <c r="B544" s="247"/>
      <c r="C544" s="248"/>
      <c r="D544" s="248"/>
      <c r="E544" s="248"/>
      <c r="F544" s="248"/>
      <c r="G544" s="248"/>
      <c r="H544" s="248"/>
      <c r="I544" s="248"/>
      <c r="J544" s="248"/>
      <c r="K544" s="248"/>
      <c r="L544" s="248"/>
      <c r="M544" s="248"/>
      <c r="N544" s="248"/>
      <c r="O544" s="248"/>
      <c r="P544" s="248"/>
      <c r="Q544" s="248"/>
      <c r="R544" s="249"/>
    </row>
    <row r="545" spans="2:18">
      <c r="B545" s="247"/>
      <c r="C545" s="248"/>
      <c r="D545" s="248"/>
      <c r="E545" s="248"/>
      <c r="F545" s="248"/>
      <c r="G545" s="248"/>
      <c r="H545" s="248"/>
      <c r="I545" s="248"/>
      <c r="J545" s="248"/>
      <c r="K545" s="248"/>
      <c r="L545" s="248"/>
      <c r="M545" s="248"/>
      <c r="N545" s="248"/>
      <c r="O545" s="248"/>
      <c r="P545" s="248"/>
      <c r="Q545" s="248"/>
      <c r="R545" s="249"/>
    </row>
    <row r="546" spans="2:18">
      <c r="B546" s="247"/>
      <c r="C546" s="248"/>
      <c r="D546" s="248"/>
      <c r="E546" s="248"/>
      <c r="F546" s="248"/>
      <c r="G546" s="248"/>
      <c r="H546" s="248"/>
      <c r="I546" s="248"/>
      <c r="J546" s="248"/>
      <c r="K546" s="248"/>
      <c r="L546" s="248"/>
      <c r="M546" s="248"/>
      <c r="N546" s="248"/>
      <c r="O546" s="248"/>
      <c r="P546" s="248"/>
      <c r="Q546" s="248"/>
      <c r="R546" s="249"/>
    </row>
    <row r="547" spans="2:18">
      <c r="B547" s="247"/>
      <c r="C547" s="248"/>
      <c r="D547" s="248"/>
      <c r="E547" s="248"/>
      <c r="F547" s="248"/>
      <c r="G547" s="248"/>
      <c r="H547" s="248"/>
      <c r="I547" s="248"/>
      <c r="J547" s="248"/>
      <c r="K547" s="248"/>
      <c r="L547" s="248"/>
      <c r="M547" s="248"/>
      <c r="N547" s="248"/>
      <c r="O547" s="248"/>
      <c r="P547" s="248"/>
      <c r="Q547" s="248"/>
      <c r="R547" s="249"/>
    </row>
    <row r="548" spans="2:18">
      <c r="B548" s="247"/>
      <c r="C548" s="248"/>
      <c r="D548" s="248"/>
      <c r="E548" s="248"/>
      <c r="F548" s="248"/>
      <c r="G548" s="248"/>
      <c r="H548" s="248"/>
      <c r="I548" s="248"/>
      <c r="J548" s="248"/>
      <c r="K548" s="248"/>
      <c r="L548" s="248"/>
      <c r="M548" s="248"/>
      <c r="N548" s="248"/>
      <c r="O548" s="248"/>
      <c r="P548" s="248"/>
      <c r="Q548" s="248"/>
      <c r="R548" s="249"/>
    </row>
    <row r="549" spans="2:18">
      <c r="B549" s="247"/>
      <c r="C549" s="248"/>
      <c r="D549" s="248"/>
      <c r="E549" s="248"/>
      <c r="F549" s="248"/>
      <c r="G549" s="248"/>
      <c r="H549" s="248"/>
      <c r="I549" s="248"/>
      <c r="J549" s="248"/>
      <c r="K549" s="248"/>
      <c r="L549" s="248"/>
      <c r="M549" s="248"/>
      <c r="N549" s="248"/>
      <c r="O549" s="248"/>
      <c r="P549" s="248"/>
      <c r="Q549" s="248"/>
      <c r="R549" s="249"/>
    </row>
    <row r="550" spans="2:18">
      <c r="B550" s="247"/>
      <c r="C550" s="248"/>
      <c r="D550" s="248"/>
      <c r="E550" s="248"/>
      <c r="F550" s="248"/>
      <c r="G550" s="248"/>
      <c r="H550" s="248"/>
      <c r="I550" s="248"/>
      <c r="J550" s="248"/>
      <c r="K550" s="248"/>
      <c r="L550" s="248"/>
      <c r="M550" s="248"/>
      <c r="N550" s="248"/>
      <c r="O550" s="248"/>
      <c r="P550" s="248"/>
      <c r="Q550" s="248"/>
      <c r="R550" s="249"/>
    </row>
    <row r="551" spans="2:18">
      <c r="B551" s="247"/>
      <c r="C551" s="248"/>
      <c r="D551" s="248"/>
      <c r="E551" s="248"/>
      <c r="F551" s="248"/>
      <c r="G551" s="248"/>
      <c r="H551" s="248"/>
      <c r="I551" s="248"/>
      <c r="J551" s="248"/>
      <c r="K551" s="248"/>
      <c r="L551" s="248"/>
      <c r="M551" s="248"/>
      <c r="N551" s="248"/>
      <c r="O551" s="248"/>
      <c r="P551" s="248"/>
      <c r="Q551" s="248"/>
      <c r="R551" s="249"/>
    </row>
    <row r="552" spans="2:18">
      <c r="B552" s="247"/>
      <c r="C552" s="248"/>
      <c r="D552" s="248"/>
      <c r="E552" s="248"/>
      <c r="F552" s="248"/>
      <c r="G552" s="248"/>
      <c r="H552" s="248"/>
      <c r="I552" s="248"/>
      <c r="J552" s="248"/>
      <c r="K552" s="248"/>
      <c r="L552" s="248"/>
      <c r="M552" s="248"/>
      <c r="N552" s="248"/>
      <c r="O552" s="248"/>
      <c r="P552" s="248"/>
      <c r="Q552" s="248"/>
      <c r="R552" s="249"/>
    </row>
    <row r="553" spans="2:18">
      <c r="B553" s="247"/>
      <c r="C553" s="248"/>
      <c r="D553" s="248"/>
      <c r="E553" s="248"/>
      <c r="F553" s="248"/>
      <c r="G553" s="248"/>
      <c r="H553" s="248"/>
      <c r="I553" s="248"/>
      <c r="J553" s="248"/>
      <c r="K553" s="248"/>
      <c r="L553" s="248"/>
      <c r="M553" s="248"/>
      <c r="N553" s="248"/>
      <c r="O553" s="248"/>
      <c r="P553" s="248"/>
      <c r="Q553" s="248"/>
      <c r="R553" s="249"/>
    </row>
    <row r="554" spans="2:18">
      <c r="B554" s="247"/>
      <c r="C554" s="248"/>
      <c r="D554" s="248"/>
      <c r="E554" s="248"/>
      <c r="F554" s="248"/>
      <c r="G554" s="248"/>
      <c r="H554" s="248"/>
      <c r="I554" s="248"/>
      <c r="J554" s="248"/>
      <c r="K554" s="248"/>
      <c r="L554" s="248"/>
      <c r="M554" s="248"/>
      <c r="N554" s="248"/>
      <c r="O554" s="248"/>
      <c r="P554" s="248"/>
      <c r="Q554" s="248"/>
      <c r="R554" s="249"/>
    </row>
    <row r="555" spans="2:18">
      <c r="B555" s="247"/>
      <c r="C555" s="248"/>
      <c r="D555" s="248"/>
      <c r="E555" s="248"/>
      <c r="F555" s="248"/>
      <c r="G555" s="248"/>
      <c r="H555" s="248"/>
      <c r="I555" s="248"/>
      <c r="J555" s="248"/>
      <c r="K555" s="248"/>
      <c r="L555" s="248"/>
      <c r="M555" s="248"/>
      <c r="N555" s="248"/>
      <c r="O555" s="248"/>
      <c r="P555" s="248"/>
      <c r="Q555" s="248"/>
      <c r="R555" s="249"/>
    </row>
    <row r="556" spans="2:18">
      <c r="B556" s="247"/>
      <c r="C556" s="248"/>
      <c r="D556" s="248"/>
      <c r="E556" s="248"/>
      <c r="F556" s="248"/>
      <c r="G556" s="248"/>
      <c r="H556" s="248"/>
      <c r="I556" s="248"/>
      <c r="J556" s="248"/>
      <c r="K556" s="248"/>
      <c r="L556" s="248"/>
      <c r="M556" s="248"/>
      <c r="N556" s="248"/>
      <c r="O556" s="248"/>
      <c r="P556" s="248"/>
      <c r="Q556" s="248"/>
      <c r="R556" s="249"/>
    </row>
    <row r="557" spans="2:18">
      <c r="B557" s="247"/>
      <c r="C557" s="248"/>
      <c r="D557" s="248"/>
      <c r="E557" s="248"/>
      <c r="F557" s="248"/>
      <c r="G557" s="248"/>
      <c r="H557" s="248"/>
      <c r="I557" s="248"/>
      <c r="J557" s="248"/>
      <c r="K557" s="248"/>
      <c r="L557" s="248"/>
      <c r="M557" s="248"/>
      <c r="N557" s="248"/>
      <c r="O557" s="248"/>
      <c r="P557" s="248"/>
      <c r="Q557" s="248"/>
      <c r="R557" s="249"/>
    </row>
    <row r="558" spans="2:18">
      <c r="B558" s="247"/>
      <c r="C558" s="248"/>
      <c r="D558" s="248"/>
      <c r="E558" s="248"/>
      <c r="F558" s="248"/>
      <c r="G558" s="248"/>
      <c r="H558" s="248"/>
      <c r="I558" s="248"/>
      <c r="J558" s="248"/>
      <c r="K558" s="248"/>
      <c r="L558" s="248"/>
      <c r="M558" s="248"/>
      <c r="N558" s="248"/>
      <c r="O558" s="248"/>
      <c r="P558" s="248"/>
      <c r="Q558" s="248"/>
      <c r="R558" s="249"/>
    </row>
    <row r="559" spans="2:18">
      <c r="B559" s="247"/>
      <c r="C559" s="248"/>
      <c r="D559" s="248"/>
      <c r="E559" s="248"/>
      <c r="F559" s="248"/>
      <c r="G559" s="248"/>
      <c r="H559" s="248"/>
      <c r="I559" s="248"/>
      <c r="J559" s="248"/>
      <c r="K559" s="248"/>
      <c r="L559" s="248"/>
      <c r="M559" s="248"/>
      <c r="N559" s="248"/>
      <c r="O559" s="248"/>
      <c r="P559" s="248"/>
      <c r="Q559" s="248"/>
      <c r="R559" s="249"/>
    </row>
    <row r="560" spans="2:18">
      <c r="B560" s="247"/>
      <c r="C560" s="248"/>
      <c r="D560" s="248"/>
      <c r="E560" s="248"/>
      <c r="F560" s="248"/>
      <c r="G560" s="248"/>
      <c r="H560" s="248"/>
      <c r="I560" s="248"/>
      <c r="J560" s="248"/>
      <c r="K560" s="248"/>
      <c r="L560" s="248"/>
      <c r="M560" s="248"/>
      <c r="N560" s="248"/>
      <c r="O560" s="248"/>
      <c r="P560" s="248"/>
      <c r="Q560" s="248"/>
      <c r="R560" s="249"/>
    </row>
    <row r="561" spans="2:18">
      <c r="B561" s="250"/>
      <c r="C561" s="251"/>
      <c r="D561" s="251"/>
      <c r="E561" s="251"/>
      <c r="F561" s="251"/>
      <c r="G561" s="251"/>
      <c r="H561" s="251"/>
      <c r="I561" s="251"/>
      <c r="J561" s="251"/>
      <c r="K561" s="251"/>
      <c r="L561" s="251"/>
      <c r="M561" s="251"/>
      <c r="N561" s="251"/>
      <c r="O561" s="251"/>
      <c r="P561" s="251"/>
      <c r="Q561" s="251"/>
      <c r="R561" s="252"/>
    </row>
    <row r="564" spans="2:18" ht="15.75">
      <c r="B564" s="414" t="s">
        <v>455</v>
      </c>
      <c r="C564" s="412"/>
      <c r="D564" s="412"/>
      <c r="E564" s="412"/>
      <c r="F564" s="412"/>
      <c r="G564" s="412"/>
      <c r="H564" s="412"/>
      <c r="I564" s="412"/>
      <c r="J564" s="412"/>
      <c r="K564" s="412"/>
      <c r="L564" s="412"/>
      <c r="M564" s="412"/>
      <c r="N564" s="412"/>
      <c r="O564" s="412"/>
      <c r="P564" s="412"/>
      <c r="Q564" s="412"/>
      <c r="R564" s="413"/>
    </row>
    <row r="565" spans="2:18">
      <c r="B565" s="247"/>
      <c r="C565" s="248"/>
      <c r="D565" s="248"/>
      <c r="E565" s="248"/>
      <c r="F565" s="248"/>
      <c r="G565" s="248"/>
      <c r="H565" s="248"/>
      <c r="I565" s="248"/>
      <c r="J565" s="248"/>
      <c r="K565" s="248"/>
      <c r="L565" s="248"/>
      <c r="M565" s="248"/>
      <c r="N565" s="248"/>
      <c r="O565" s="248"/>
      <c r="P565" s="248"/>
      <c r="Q565" s="248"/>
      <c r="R565" s="249"/>
    </row>
    <row r="566" spans="2:18">
      <c r="B566" s="247"/>
      <c r="C566" s="248"/>
      <c r="D566" s="248"/>
      <c r="E566" s="248"/>
      <c r="F566" s="248"/>
      <c r="G566" s="248"/>
      <c r="H566" s="248"/>
      <c r="I566" s="248"/>
      <c r="J566" s="248"/>
      <c r="K566" s="248"/>
      <c r="L566" s="248"/>
      <c r="M566" s="248"/>
      <c r="N566" s="248"/>
      <c r="O566" s="248"/>
      <c r="P566" s="248"/>
      <c r="Q566" s="248"/>
      <c r="R566" s="249"/>
    </row>
    <row r="567" spans="2:18">
      <c r="B567" s="247"/>
      <c r="C567" s="248"/>
      <c r="D567" s="248"/>
      <c r="E567" s="248"/>
      <c r="F567" s="248"/>
      <c r="G567" s="248"/>
      <c r="H567" s="248"/>
      <c r="I567" s="248"/>
      <c r="J567" s="248"/>
      <c r="K567" s="248"/>
      <c r="L567" s="248"/>
      <c r="M567" s="248"/>
      <c r="N567" s="248"/>
      <c r="O567" s="248"/>
      <c r="P567" s="248"/>
      <c r="Q567" s="248"/>
      <c r="R567" s="249"/>
    </row>
    <row r="568" spans="2:18">
      <c r="B568" s="247"/>
      <c r="C568" s="248"/>
      <c r="D568" s="248"/>
      <c r="E568" s="248"/>
      <c r="F568" s="248"/>
      <c r="G568" s="248"/>
      <c r="H568" s="248"/>
      <c r="I568" s="248"/>
      <c r="J568" s="248"/>
      <c r="K568" s="248"/>
      <c r="L568" s="248"/>
      <c r="M568" s="248"/>
      <c r="N568" s="248"/>
      <c r="O568" s="248"/>
      <c r="P568" s="248"/>
      <c r="Q568" s="248"/>
      <c r="R568" s="249"/>
    </row>
    <row r="569" spans="2:18">
      <c r="B569" s="247"/>
      <c r="C569" s="248"/>
      <c r="D569" s="248"/>
      <c r="E569" s="248"/>
      <c r="F569" s="248"/>
      <c r="G569" s="248"/>
      <c r="H569" s="248"/>
      <c r="I569" s="248"/>
      <c r="J569" s="248"/>
      <c r="K569" s="248"/>
      <c r="L569" s="248"/>
      <c r="M569" s="248"/>
      <c r="N569" s="248"/>
      <c r="O569" s="248"/>
      <c r="P569" s="248"/>
      <c r="Q569" s="248"/>
      <c r="R569" s="249"/>
    </row>
    <row r="570" spans="2:18">
      <c r="B570" s="247"/>
      <c r="C570" s="248"/>
      <c r="D570" s="248"/>
      <c r="E570" s="248"/>
      <c r="F570" s="248"/>
      <c r="G570" s="248"/>
      <c r="H570" s="248"/>
      <c r="I570" s="248"/>
      <c r="J570" s="248"/>
      <c r="K570" s="248"/>
      <c r="L570" s="248"/>
      <c r="M570" s="248"/>
      <c r="N570" s="248"/>
      <c r="O570" s="248"/>
      <c r="P570" s="248"/>
      <c r="Q570" s="248"/>
      <c r="R570" s="249"/>
    </row>
    <row r="571" spans="2:18">
      <c r="B571" s="247"/>
      <c r="C571" s="248"/>
      <c r="D571" s="248"/>
      <c r="E571" s="248"/>
      <c r="F571" s="248"/>
      <c r="G571" s="248"/>
      <c r="H571" s="248"/>
      <c r="I571" s="248"/>
      <c r="J571" s="248"/>
      <c r="K571" s="248"/>
      <c r="L571" s="248"/>
      <c r="M571" s="248"/>
      <c r="N571" s="248"/>
      <c r="O571" s="248"/>
      <c r="P571" s="248"/>
      <c r="Q571" s="248"/>
      <c r="R571" s="249"/>
    </row>
    <row r="572" spans="2:18">
      <c r="B572" s="247"/>
      <c r="C572" s="248"/>
      <c r="D572" s="248"/>
      <c r="E572" s="248"/>
      <c r="F572" s="248"/>
      <c r="G572" s="248"/>
      <c r="H572" s="248"/>
      <c r="I572" s="248"/>
      <c r="J572" s="248"/>
      <c r="K572" s="248"/>
      <c r="L572" s="248"/>
      <c r="M572" s="248"/>
      <c r="N572" s="248"/>
      <c r="O572" s="248"/>
      <c r="P572" s="248"/>
      <c r="Q572" s="248"/>
      <c r="R572" s="249"/>
    </row>
    <row r="573" spans="2:18">
      <c r="B573" s="247"/>
      <c r="C573" s="248"/>
      <c r="D573" s="248"/>
      <c r="E573" s="248"/>
      <c r="F573" s="248"/>
      <c r="G573" s="248"/>
      <c r="H573" s="248"/>
      <c r="I573" s="248"/>
      <c r="J573" s="248"/>
      <c r="K573" s="248"/>
      <c r="L573" s="248"/>
      <c r="M573" s="248"/>
      <c r="N573" s="248"/>
      <c r="O573" s="248"/>
      <c r="P573" s="248"/>
      <c r="Q573" s="248"/>
      <c r="R573" s="249"/>
    </row>
    <row r="574" spans="2:18">
      <c r="B574" s="247"/>
      <c r="C574" s="248"/>
      <c r="D574" s="248"/>
      <c r="E574" s="248"/>
      <c r="F574" s="248"/>
      <c r="G574" s="248"/>
      <c r="H574" s="248"/>
      <c r="I574" s="248"/>
      <c r="J574" s="248"/>
      <c r="K574" s="248"/>
      <c r="L574" s="248"/>
      <c r="M574" s="248"/>
      <c r="N574" s="248"/>
      <c r="O574" s="248"/>
      <c r="P574" s="248"/>
      <c r="Q574" s="248"/>
      <c r="R574" s="249"/>
    </row>
    <row r="575" spans="2:18">
      <c r="B575" s="247"/>
      <c r="C575" s="248"/>
      <c r="D575" s="248"/>
      <c r="E575" s="248"/>
      <c r="F575" s="248"/>
      <c r="G575" s="248"/>
      <c r="H575" s="248"/>
      <c r="I575" s="248"/>
      <c r="J575" s="248"/>
      <c r="K575" s="248"/>
      <c r="L575" s="248"/>
      <c r="M575" s="248"/>
      <c r="N575" s="248"/>
      <c r="O575" s="248"/>
      <c r="P575" s="248"/>
      <c r="Q575" s="248"/>
      <c r="R575" s="249"/>
    </row>
    <row r="576" spans="2:18">
      <c r="B576" s="247"/>
      <c r="C576" s="248"/>
      <c r="D576" s="248"/>
      <c r="E576" s="248"/>
      <c r="F576" s="248"/>
      <c r="G576" s="248"/>
      <c r="H576" s="248"/>
      <c r="I576" s="248"/>
      <c r="J576" s="248"/>
      <c r="K576" s="248"/>
      <c r="L576" s="248"/>
      <c r="M576" s="248"/>
      <c r="N576" s="248"/>
      <c r="O576" s="248"/>
      <c r="P576" s="248"/>
      <c r="Q576" s="248"/>
      <c r="R576" s="249"/>
    </row>
    <row r="577" spans="2:18">
      <c r="B577" s="247"/>
      <c r="C577" s="248"/>
      <c r="D577" s="248"/>
      <c r="E577" s="248"/>
      <c r="F577" s="248"/>
      <c r="G577" s="248"/>
      <c r="H577" s="248"/>
      <c r="I577" s="248"/>
      <c r="J577" s="248"/>
      <c r="K577" s="248"/>
      <c r="L577" s="248"/>
      <c r="M577" s="248"/>
      <c r="N577" s="248"/>
      <c r="O577" s="248"/>
      <c r="P577" s="248"/>
      <c r="Q577" s="248"/>
      <c r="R577" s="249"/>
    </row>
    <row r="578" spans="2:18">
      <c r="B578" s="247"/>
      <c r="C578" s="248"/>
      <c r="D578" s="248"/>
      <c r="E578" s="248"/>
      <c r="F578" s="248"/>
      <c r="G578" s="248"/>
      <c r="H578" s="248"/>
      <c r="I578" s="248"/>
      <c r="J578" s="248"/>
      <c r="K578" s="248"/>
      <c r="L578" s="248"/>
      <c r="M578" s="248"/>
      <c r="N578" s="248"/>
      <c r="O578" s="248"/>
      <c r="P578" s="248"/>
      <c r="Q578" s="248"/>
      <c r="R578" s="249"/>
    </row>
    <row r="579" spans="2:18">
      <c r="B579" s="247"/>
      <c r="C579" s="248"/>
      <c r="D579" s="248"/>
      <c r="E579" s="248"/>
      <c r="F579" s="248"/>
      <c r="G579" s="248"/>
      <c r="H579" s="248"/>
      <c r="I579" s="248"/>
      <c r="J579" s="248"/>
      <c r="K579" s="248"/>
      <c r="L579" s="248"/>
      <c r="M579" s="248"/>
      <c r="N579" s="248"/>
      <c r="O579" s="248"/>
      <c r="P579" s="248"/>
      <c r="Q579" s="248"/>
      <c r="R579" s="249"/>
    </row>
    <row r="580" spans="2:18">
      <c r="B580" s="247"/>
      <c r="C580" s="248"/>
      <c r="D580" s="248"/>
      <c r="E580" s="248"/>
      <c r="F580" s="248"/>
      <c r="G580" s="248"/>
      <c r="H580" s="248"/>
      <c r="I580" s="248"/>
      <c r="J580" s="248"/>
      <c r="K580" s="248"/>
      <c r="L580" s="248"/>
      <c r="M580" s="248"/>
      <c r="N580" s="248"/>
      <c r="O580" s="248"/>
      <c r="P580" s="248"/>
      <c r="Q580" s="248"/>
      <c r="R580" s="249"/>
    </row>
    <row r="581" spans="2:18">
      <c r="B581" s="247"/>
      <c r="C581" s="248"/>
      <c r="D581" s="248"/>
      <c r="E581" s="248"/>
      <c r="F581" s="248"/>
      <c r="G581" s="248"/>
      <c r="H581" s="248"/>
      <c r="I581" s="248"/>
      <c r="J581" s="248"/>
      <c r="K581" s="248"/>
      <c r="L581" s="248"/>
      <c r="M581" s="248"/>
      <c r="N581" s="248"/>
      <c r="O581" s="248"/>
      <c r="P581" s="248"/>
      <c r="Q581" s="248"/>
      <c r="R581" s="249"/>
    </row>
    <row r="582" spans="2:18">
      <c r="B582" s="247"/>
      <c r="C582" s="248"/>
      <c r="D582" s="248"/>
      <c r="E582" s="248"/>
      <c r="F582" s="248"/>
      <c r="G582" s="248"/>
      <c r="H582" s="248"/>
      <c r="I582" s="248"/>
      <c r="J582" s="248"/>
      <c r="K582" s="248"/>
      <c r="L582" s="248"/>
      <c r="M582" s="248"/>
      <c r="N582" s="248"/>
      <c r="O582" s="248"/>
      <c r="P582" s="248"/>
      <c r="Q582" s="248"/>
      <c r="R582" s="249"/>
    </row>
    <row r="583" spans="2:18">
      <c r="B583" s="247"/>
      <c r="C583" s="248"/>
      <c r="D583" s="248"/>
      <c r="E583" s="248"/>
      <c r="F583" s="248"/>
      <c r="G583" s="248"/>
      <c r="H583" s="248"/>
      <c r="I583" s="248"/>
      <c r="J583" s="248"/>
      <c r="K583" s="248"/>
      <c r="L583" s="248"/>
      <c r="M583" s="248"/>
      <c r="N583" s="248"/>
      <c r="O583" s="248"/>
      <c r="P583" s="248"/>
      <c r="Q583" s="248"/>
      <c r="R583" s="249"/>
    </row>
    <row r="584" spans="2:18">
      <c r="B584" s="247"/>
      <c r="C584" s="248"/>
      <c r="D584" s="248"/>
      <c r="E584" s="248"/>
      <c r="F584" s="248"/>
      <c r="G584" s="248"/>
      <c r="H584" s="248"/>
      <c r="I584" s="248"/>
      <c r="J584" s="248"/>
      <c r="K584" s="248"/>
      <c r="L584" s="248"/>
      <c r="M584" s="248"/>
      <c r="N584" s="248"/>
      <c r="O584" s="248"/>
      <c r="P584" s="248"/>
      <c r="Q584" s="248"/>
      <c r="R584" s="249"/>
    </row>
    <row r="585" spans="2:18">
      <c r="B585" s="247"/>
      <c r="C585" s="248"/>
      <c r="D585" s="248"/>
      <c r="E585" s="248"/>
      <c r="F585" s="248"/>
      <c r="G585" s="248"/>
      <c r="H585" s="248"/>
      <c r="I585" s="248"/>
      <c r="J585" s="248"/>
      <c r="K585" s="248"/>
      <c r="L585" s="248"/>
      <c r="M585" s="248"/>
      <c r="N585" s="248"/>
      <c r="O585" s="248"/>
      <c r="P585" s="248"/>
      <c r="Q585" s="248"/>
      <c r="R585" s="249"/>
    </row>
    <row r="586" spans="2:18">
      <c r="B586" s="247"/>
      <c r="C586" s="248"/>
      <c r="D586" s="248"/>
      <c r="E586" s="248"/>
      <c r="F586" s="248"/>
      <c r="G586" s="248"/>
      <c r="H586" s="248"/>
      <c r="I586" s="248"/>
      <c r="J586" s="248"/>
      <c r="K586" s="248"/>
      <c r="L586" s="248"/>
      <c r="M586" s="248"/>
      <c r="N586" s="248"/>
      <c r="O586" s="248"/>
      <c r="P586" s="248"/>
      <c r="Q586" s="248"/>
      <c r="R586" s="249"/>
    </row>
    <row r="587" spans="2:18">
      <c r="B587" s="247"/>
      <c r="C587" s="248"/>
      <c r="D587" s="248"/>
      <c r="E587" s="248"/>
      <c r="F587" s="248"/>
      <c r="G587" s="248"/>
      <c r="H587" s="248"/>
      <c r="I587" s="248"/>
      <c r="J587" s="248"/>
      <c r="K587" s="248"/>
      <c r="L587" s="248"/>
      <c r="M587" s="248"/>
      <c r="N587" s="248"/>
      <c r="O587" s="248"/>
      <c r="P587" s="248"/>
      <c r="Q587" s="248"/>
      <c r="R587" s="249"/>
    </row>
    <row r="588" spans="2:18">
      <c r="B588" s="247"/>
      <c r="C588" s="248"/>
      <c r="D588" s="248"/>
      <c r="E588" s="248"/>
      <c r="F588" s="248"/>
      <c r="G588" s="248"/>
      <c r="H588" s="248"/>
      <c r="I588" s="248"/>
      <c r="J588" s="248"/>
      <c r="K588" s="248"/>
      <c r="L588" s="248"/>
      <c r="M588" s="248"/>
      <c r="N588" s="248"/>
      <c r="O588" s="248"/>
      <c r="P588" s="248"/>
      <c r="Q588" s="248"/>
      <c r="R588" s="249"/>
    </row>
    <row r="589" spans="2:18">
      <c r="B589" s="247"/>
      <c r="C589" s="248"/>
      <c r="D589" s="248"/>
      <c r="E589" s="248"/>
      <c r="F589" s="248"/>
      <c r="G589" s="248"/>
      <c r="H589" s="248"/>
      <c r="I589" s="248"/>
      <c r="J589" s="248"/>
      <c r="K589" s="248"/>
      <c r="L589" s="248"/>
      <c r="M589" s="248"/>
      <c r="N589" s="248"/>
      <c r="O589" s="248"/>
      <c r="P589" s="248"/>
      <c r="Q589" s="248"/>
      <c r="R589" s="249"/>
    </row>
    <row r="590" spans="2:18">
      <c r="B590" s="247"/>
      <c r="C590" s="248"/>
      <c r="D590" s="248"/>
      <c r="E590" s="248"/>
      <c r="F590" s="248"/>
      <c r="G590" s="248"/>
      <c r="H590" s="248"/>
      <c r="I590" s="248"/>
      <c r="J590" s="248"/>
      <c r="K590" s="248"/>
      <c r="L590" s="248"/>
      <c r="M590" s="248"/>
      <c r="N590" s="248"/>
      <c r="O590" s="248"/>
      <c r="P590" s="248"/>
      <c r="Q590" s="248"/>
      <c r="R590" s="249"/>
    </row>
    <row r="591" spans="2:18">
      <c r="B591" s="247"/>
      <c r="C591" s="248"/>
      <c r="D591" s="248"/>
      <c r="E591" s="248"/>
      <c r="F591" s="248"/>
      <c r="G591" s="248"/>
      <c r="H591" s="248"/>
      <c r="I591" s="248"/>
      <c r="J591" s="248"/>
      <c r="K591" s="248"/>
      <c r="L591" s="248"/>
      <c r="M591" s="248"/>
      <c r="N591" s="248"/>
      <c r="O591" s="248"/>
      <c r="P591" s="248"/>
      <c r="Q591" s="248"/>
      <c r="R591" s="249"/>
    </row>
    <row r="592" spans="2:18">
      <c r="B592" s="247"/>
      <c r="C592" s="248"/>
      <c r="D592" s="248"/>
      <c r="E592" s="248"/>
      <c r="F592" s="248"/>
      <c r="G592" s="248"/>
      <c r="H592" s="248"/>
      <c r="I592" s="248"/>
      <c r="J592" s="248"/>
      <c r="K592" s="248"/>
      <c r="L592" s="248"/>
      <c r="M592" s="248"/>
      <c r="N592" s="248"/>
      <c r="O592" s="248"/>
      <c r="P592" s="248"/>
      <c r="Q592" s="248"/>
      <c r="R592" s="249"/>
    </row>
    <row r="593" spans="2:18">
      <c r="B593" s="247"/>
      <c r="C593" s="248"/>
      <c r="D593" s="248"/>
      <c r="E593" s="248"/>
      <c r="F593" s="248"/>
      <c r="G593" s="248"/>
      <c r="H593" s="248"/>
      <c r="I593" s="248"/>
      <c r="J593" s="248"/>
      <c r="K593" s="248"/>
      <c r="L593" s="248"/>
      <c r="M593" s="248"/>
      <c r="N593" s="248"/>
      <c r="O593" s="248"/>
      <c r="P593" s="248"/>
      <c r="Q593" s="248"/>
      <c r="R593" s="249"/>
    </row>
    <row r="594" spans="2:18">
      <c r="B594" s="247"/>
      <c r="C594" s="248"/>
      <c r="D594" s="248"/>
      <c r="E594" s="248"/>
      <c r="F594" s="248"/>
      <c r="G594" s="248"/>
      <c r="H594" s="248"/>
      <c r="I594" s="248"/>
      <c r="J594" s="248"/>
      <c r="K594" s="248"/>
      <c r="L594" s="248"/>
      <c r="M594" s="248"/>
      <c r="N594" s="248"/>
      <c r="O594" s="248"/>
      <c r="P594" s="248"/>
      <c r="Q594" s="248"/>
      <c r="R594" s="249"/>
    </row>
    <row r="595" spans="2:18">
      <c r="B595" s="247"/>
      <c r="C595" s="248"/>
      <c r="D595" s="248"/>
      <c r="E595" s="248"/>
      <c r="F595" s="248"/>
      <c r="G595" s="248"/>
      <c r="H595" s="248"/>
      <c r="I595" s="248"/>
      <c r="J595" s="248"/>
      <c r="K595" s="248"/>
      <c r="L595" s="248"/>
      <c r="M595" s="248"/>
      <c r="N595" s="248"/>
      <c r="O595" s="248"/>
      <c r="P595" s="248"/>
      <c r="Q595" s="248"/>
      <c r="R595" s="249"/>
    </row>
    <row r="596" spans="2:18">
      <c r="B596" s="247"/>
      <c r="C596" s="248"/>
      <c r="D596" s="248"/>
      <c r="E596" s="248"/>
      <c r="F596" s="248"/>
      <c r="G596" s="248"/>
      <c r="H596" s="248"/>
      <c r="I596" s="248"/>
      <c r="J596" s="248"/>
      <c r="K596" s="248"/>
      <c r="L596" s="248"/>
      <c r="M596" s="248"/>
      <c r="N596" s="248"/>
      <c r="O596" s="248"/>
      <c r="P596" s="248"/>
      <c r="Q596" s="248"/>
      <c r="R596" s="249"/>
    </row>
    <row r="597" spans="2:18">
      <c r="B597" s="247"/>
      <c r="C597" s="248"/>
      <c r="D597" s="248"/>
      <c r="E597" s="248"/>
      <c r="F597" s="248"/>
      <c r="G597" s="248"/>
      <c r="H597" s="248"/>
      <c r="I597" s="248"/>
      <c r="J597" s="248"/>
      <c r="K597" s="248"/>
      <c r="L597" s="248"/>
      <c r="M597" s="248"/>
      <c r="N597" s="248"/>
      <c r="O597" s="248"/>
      <c r="P597" s="248"/>
      <c r="Q597" s="248"/>
      <c r="R597" s="249"/>
    </row>
    <row r="598" spans="2:18">
      <c r="B598" s="247"/>
      <c r="C598" s="248"/>
      <c r="D598" s="248"/>
      <c r="E598" s="248"/>
      <c r="F598" s="248"/>
      <c r="G598" s="248"/>
      <c r="H598" s="248"/>
      <c r="I598" s="248"/>
      <c r="J598" s="248"/>
      <c r="K598" s="248"/>
      <c r="L598" s="248"/>
      <c r="M598" s="248"/>
      <c r="N598" s="248"/>
      <c r="O598" s="248"/>
      <c r="P598" s="248"/>
      <c r="Q598" s="248"/>
      <c r="R598" s="249"/>
    </row>
    <row r="599" spans="2:18">
      <c r="B599" s="247"/>
      <c r="C599" s="248"/>
      <c r="D599" s="248"/>
      <c r="E599" s="248"/>
      <c r="F599" s="248"/>
      <c r="G599" s="248"/>
      <c r="H599" s="248"/>
      <c r="I599" s="248"/>
      <c r="J599" s="248"/>
      <c r="K599" s="248"/>
      <c r="L599" s="248"/>
      <c r="M599" s="248"/>
      <c r="N599" s="248"/>
      <c r="O599" s="248"/>
      <c r="P599" s="248"/>
      <c r="Q599" s="248"/>
      <c r="R599" s="249"/>
    </row>
    <row r="600" spans="2:18">
      <c r="B600" s="247"/>
      <c r="C600" s="248"/>
      <c r="D600" s="248"/>
      <c r="E600" s="248"/>
      <c r="F600" s="248"/>
      <c r="G600" s="248"/>
      <c r="H600" s="248"/>
      <c r="I600" s="248"/>
      <c r="J600" s="248"/>
      <c r="K600" s="248"/>
      <c r="L600" s="248"/>
      <c r="M600" s="248"/>
      <c r="N600" s="248"/>
      <c r="O600" s="248"/>
      <c r="P600" s="248"/>
      <c r="Q600" s="248"/>
      <c r="R600" s="249"/>
    </row>
    <row r="601" spans="2:18">
      <c r="B601" s="247"/>
      <c r="C601" s="248"/>
      <c r="D601" s="248"/>
      <c r="E601" s="248"/>
      <c r="F601" s="248"/>
      <c r="G601" s="248"/>
      <c r="H601" s="248"/>
      <c r="I601" s="248"/>
      <c r="J601" s="248"/>
      <c r="K601" s="248"/>
      <c r="L601" s="248"/>
      <c r="M601" s="248"/>
      <c r="N601" s="248"/>
      <c r="O601" s="248"/>
      <c r="P601" s="248"/>
      <c r="Q601" s="248"/>
      <c r="R601" s="249"/>
    </row>
    <row r="602" spans="2:18">
      <c r="B602" s="247"/>
      <c r="C602" s="248"/>
      <c r="D602" s="248"/>
      <c r="E602" s="248"/>
      <c r="F602" s="248"/>
      <c r="G602" s="248"/>
      <c r="H602" s="248"/>
      <c r="I602" s="248"/>
      <c r="J602" s="248"/>
      <c r="K602" s="248"/>
      <c r="L602" s="248"/>
      <c r="M602" s="248"/>
      <c r="N602" s="248"/>
      <c r="O602" s="248"/>
      <c r="P602" s="248"/>
      <c r="Q602" s="248"/>
      <c r="R602" s="249"/>
    </row>
    <row r="603" spans="2:18">
      <c r="B603" s="247"/>
      <c r="C603" s="248"/>
      <c r="D603" s="248"/>
      <c r="E603" s="248"/>
      <c r="F603" s="248"/>
      <c r="G603" s="248"/>
      <c r="H603" s="248"/>
      <c r="I603" s="248"/>
      <c r="J603" s="248"/>
      <c r="K603" s="248"/>
      <c r="L603" s="248"/>
      <c r="M603" s="248"/>
      <c r="N603" s="248"/>
      <c r="O603" s="248"/>
      <c r="P603" s="248"/>
      <c r="Q603" s="248"/>
      <c r="R603" s="249"/>
    </row>
    <row r="604" spans="2:18">
      <c r="B604" s="250"/>
      <c r="C604" s="251"/>
      <c r="D604" s="251"/>
      <c r="E604" s="251"/>
      <c r="F604" s="251"/>
      <c r="G604" s="251"/>
      <c r="H604" s="251"/>
      <c r="I604" s="251"/>
      <c r="J604" s="251"/>
      <c r="K604" s="251"/>
      <c r="L604" s="251"/>
      <c r="M604" s="251"/>
      <c r="N604" s="251"/>
      <c r="O604" s="251"/>
      <c r="P604" s="251"/>
      <c r="Q604" s="251"/>
      <c r="R604" s="252"/>
    </row>
  </sheetData>
  <pageMargins left="0.70866141732283472" right="0.70866141732283472" top="0.74803149606299213" bottom="0.74803149606299213" header="0.31496062992125984" footer="0.31496062992125984"/>
  <pageSetup paperSize="8" scale="40" fitToHeight="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345"/>
  <sheetViews>
    <sheetView showGridLines="0" zoomScale="70" zoomScaleNormal="70" workbookViewId="0">
      <pane xSplit="5" ySplit="2" topLeftCell="F3" activePane="bottomRight" state="frozen"/>
      <selection activeCell="B43" sqref="B43:M43"/>
      <selection pane="topRight" activeCell="B43" sqref="B43:M43"/>
      <selection pane="bottomLeft" activeCell="B43" sqref="B43:M43"/>
      <selection pane="bottomRight" activeCell="C16" sqref="C16"/>
    </sheetView>
  </sheetViews>
  <sheetFormatPr defaultColWidth="9.140625" defaultRowHeight="12.75"/>
  <cols>
    <col min="1" max="1" width="5.7109375" customWidth="1"/>
    <col min="2" max="2" width="6.42578125" customWidth="1"/>
    <col min="3" max="3" width="49.28515625" customWidth="1"/>
    <col min="4" max="4" width="4" customWidth="1"/>
    <col min="5" max="5" width="19.5703125" customWidth="1"/>
    <col min="6" max="14" width="7.5703125" customWidth="1"/>
    <col min="15" max="15" width="7.7109375" customWidth="1"/>
  </cols>
  <sheetData>
    <row r="1" spans="1:15">
      <c r="C1" t="s">
        <v>179</v>
      </c>
    </row>
    <row r="2" spans="1:15">
      <c r="A2" t="s">
        <v>180</v>
      </c>
      <c r="B2" t="s">
        <v>23</v>
      </c>
      <c r="C2" t="s">
        <v>22</v>
      </c>
      <c r="D2" t="s">
        <v>76</v>
      </c>
      <c r="E2" t="s">
        <v>181</v>
      </c>
      <c r="F2" t="s">
        <v>5</v>
      </c>
      <c r="G2" t="s">
        <v>6</v>
      </c>
      <c r="H2" t="s">
        <v>7</v>
      </c>
      <c r="I2" t="s">
        <v>8</v>
      </c>
      <c r="J2" t="s">
        <v>9</v>
      </c>
      <c r="K2" t="s">
        <v>34</v>
      </c>
      <c r="L2" t="s">
        <v>35</v>
      </c>
      <c r="M2" t="s">
        <v>36</v>
      </c>
      <c r="N2" t="s">
        <v>37</v>
      </c>
      <c r="O2" t="s">
        <v>38</v>
      </c>
    </row>
    <row r="4" spans="1:15">
      <c r="A4" t="s">
        <v>31</v>
      </c>
      <c r="B4" t="s">
        <v>78</v>
      </c>
      <c r="C4" t="s">
        <v>132</v>
      </c>
      <c r="D4" t="s">
        <v>74</v>
      </c>
      <c r="E4" t="s">
        <v>182</v>
      </c>
      <c r="F4" s="242">
        <v>66.394612035248798</v>
      </c>
      <c r="G4" s="242">
        <v>69.691143824587101</v>
      </c>
      <c r="H4" s="242">
        <v>72.755156342561506</v>
      </c>
      <c r="I4" s="242">
        <v>65.433786189459894</v>
      </c>
      <c r="J4" s="242">
        <v>65.834615479751506</v>
      </c>
      <c r="K4" s="242">
        <v>66.744750480811305</v>
      </c>
      <c r="L4" s="242">
        <v>67.458328347404503</v>
      </c>
      <c r="M4" s="242">
        <v>68.246521397978896</v>
      </c>
      <c r="N4" s="242">
        <v>69.125517761991205</v>
      </c>
      <c r="O4" s="242">
        <v>70.095994252410406</v>
      </c>
    </row>
    <row r="5" spans="1:15">
      <c r="A5" t="s">
        <v>31</v>
      </c>
      <c r="B5" t="s">
        <v>97</v>
      </c>
      <c r="C5" t="s">
        <v>99</v>
      </c>
      <c r="D5" t="s">
        <v>74</v>
      </c>
      <c r="E5" t="s">
        <v>182</v>
      </c>
      <c r="F5" s="242">
        <v>11.438846683005</v>
      </c>
      <c r="G5" s="242">
        <v>8.1697614779143208</v>
      </c>
      <c r="H5" s="242">
        <v>1.6975380036263401</v>
      </c>
      <c r="I5" s="242">
        <v>1.5340745459398599</v>
      </c>
      <c r="J5" s="242">
        <v>0.895120675200614</v>
      </c>
      <c r="K5" s="242">
        <v>0.44459397568258602</v>
      </c>
      <c r="L5" s="242">
        <v>0.21935021961416501</v>
      </c>
      <c r="M5" s="242">
        <v>0.14750721232071701</v>
      </c>
      <c r="N5" s="242">
        <v>0.119674792483659</v>
      </c>
      <c r="O5" s="242">
        <v>3.4421922010499997E-2</v>
      </c>
    </row>
    <row r="6" spans="1:15">
      <c r="A6" t="s">
        <v>31</v>
      </c>
      <c r="B6" t="s">
        <v>98</v>
      </c>
      <c r="C6" t="s">
        <v>100</v>
      </c>
      <c r="D6" t="s">
        <v>74</v>
      </c>
      <c r="E6" t="s">
        <v>182</v>
      </c>
      <c r="F6" s="242"/>
      <c r="G6" s="242"/>
      <c r="H6" s="242"/>
      <c r="I6" s="242"/>
      <c r="J6" s="242"/>
      <c r="K6" s="242">
        <v>0.404260584336054</v>
      </c>
      <c r="L6" s="242">
        <v>1.21643413318496</v>
      </c>
      <c r="M6" s="242">
        <v>1.6970683436835301</v>
      </c>
      <c r="N6" s="242">
        <v>1.8356476128177901</v>
      </c>
      <c r="O6" s="242">
        <v>1.90697340089715</v>
      </c>
    </row>
    <row r="7" spans="1:15">
      <c r="A7" t="s">
        <v>31</v>
      </c>
      <c r="B7" t="s">
        <v>79</v>
      </c>
      <c r="C7" t="s">
        <v>135</v>
      </c>
      <c r="D7" t="s">
        <v>74</v>
      </c>
      <c r="E7" t="s">
        <v>182</v>
      </c>
      <c r="F7" s="242">
        <v>0.21927898558990999</v>
      </c>
      <c r="G7" s="242">
        <v>0.23958100711036801</v>
      </c>
      <c r="H7" s="242">
        <v>0.26473155923199099</v>
      </c>
      <c r="I7" s="242">
        <v>0.28987751397775402</v>
      </c>
      <c r="J7" s="242">
        <v>0.31221045787341101</v>
      </c>
      <c r="K7" s="242">
        <v>0.33402756259004202</v>
      </c>
      <c r="L7" s="242">
        <v>0.35591939167372899</v>
      </c>
      <c r="M7" s="242">
        <v>0.377931743930085</v>
      </c>
      <c r="N7" s="242">
        <v>0.399705460304555</v>
      </c>
      <c r="O7" s="242">
        <v>0.420358311173199</v>
      </c>
    </row>
    <row r="8" spans="1:15">
      <c r="A8" t="s">
        <v>31</v>
      </c>
      <c r="B8" t="s">
        <v>80</v>
      </c>
      <c r="C8" t="s">
        <v>136</v>
      </c>
      <c r="D8" t="s">
        <v>74</v>
      </c>
      <c r="E8" t="s">
        <v>182</v>
      </c>
      <c r="F8" s="242">
        <v>1.3115237078082</v>
      </c>
      <c r="G8" s="242">
        <v>1.41529375125298</v>
      </c>
      <c r="H8" s="242">
        <v>1.50623576502052</v>
      </c>
      <c r="I8" s="242">
        <v>1.55079740026748</v>
      </c>
      <c r="J8" s="242">
        <v>1.5962318954336601</v>
      </c>
      <c r="K8" s="242">
        <v>1.64181898848782</v>
      </c>
      <c r="L8" s="242">
        <v>1.6881934866439401</v>
      </c>
      <c r="M8" s="242">
        <v>1.7357002611288399</v>
      </c>
      <c r="N8" s="242">
        <v>1.78577678404727</v>
      </c>
      <c r="O8" s="242">
        <v>1.8391158498106499</v>
      </c>
    </row>
    <row r="9" spans="1:15">
      <c r="A9" t="s">
        <v>31</v>
      </c>
      <c r="B9" t="s">
        <v>81</v>
      </c>
      <c r="C9" t="s">
        <v>137</v>
      </c>
      <c r="D9" t="s">
        <v>74</v>
      </c>
      <c r="E9" t="s">
        <v>182</v>
      </c>
      <c r="F9" s="242">
        <v>3.6604045339751101</v>
      </c>
      <c r="G9" s="242">
        <v>3.98074532956303</v>
      </c>
      <c r="H9" s="242">
        <v>4.2913981517846302</v>
      </c>
      <c r="I9" s="242">
        <v>4.4781967449559703</v>
      </c>
      <c r="J9" s="242">
        <v>4.6478989316919401</v>
      </c>
      <c r="K9" s="242">
        <v>4.8083236042213997</v>
      </c>
      <c r="L9" s="242">
        <v>4.9689314525341004</v>
      </c>
      <c r="M9" s="242">
        <v>5.1296071437294799</v>
      </c>
      <c r="N9" s="242">
        <v>5.2905542064555702</v>
      </c>
      <c r="O9" s="242">
        <v>5.44437776650026</v>
      </c>
    </row>
    <row r="10" spans="1:15">
      <c r="A10" t="s">
        <v>31</v>
      </c>
      <c r="B10" t="s">
        <v>82</v>
      </c>
      <c r="C10" t="s">
        <v>89</v>
      </c>
      <c r="D10" t="s">
        <v>183</v>
      </c>
      <c r="E10" t="s">
        <v>182</v>
      </c>
      <c r="F10" s="242">
        <v>132.48400000000001</v>
      </c>
      <c r="G10" s="242">
        <v>128.56700000000001</v>
      </c>
      <c r="H10" s="242">
        <v>122.422</v>
      </c>
      <c r="I10" s="242">
        <v>115.05200000000001</v>
      </c>
      <c r="J10" s="242">
        <v>105.756</v>
      </c>
      <c r="K10" s="242">
        <v>98.325000000000003</v>
      </c>
      <c r="L10" s="242">
        <v>90.906999999999996</v>
      </c>
      <c r="M10" s="242">
        <v>83.548000000000002</v>
      </c>
      <c r="N10" s="242">
        <v>76.350999999999999</v>
      </c>
      <c r="O10" s="242">
        <v>69.706999999999994</v>
      </c>
    </row>
    <row r="11" spans="1:15">
      <c r="A11" t="s">
        <v>31</v>
      </c>
      <c r="B11" t="s">
        <v>87</v>
      </c>
      <c r="C11" t="s">
        <v>90</v>
      </c>
      <c r="D11" t="s">
        <v>183</v>
      </c>
      <c r="E11" t="s">
        <v>182</v>
      </c>
      <c r="F11" s="242">
        <v>98.088999999999999</v>
      </c>
      <c r="G11" s="242">
        <v>102.279</v>
      </c>
      <c r="H11" s="242">
        <v>109.82599999999999</v>
      </c>
      <c r="I11" s="242">
        <v>117.932</v>
      </c>
      <c r="J11" s="242">
        <v>129.523</v>
      </c>
      <c r="K11" s="242">
        <v>138.57400000000001</v>
      </c>
      <c r="L11" s="242">
        <v>147.65600000000001</v>
      </c>
      <c r="M11" s="242">
        <v>156.78800000000001</v>
      </c>
      <c r="N11" s="242">
        <v>165.821</v>
      </c>
      <c r="O11" s="242">
        <v>174.38900000000001</v>
      </c>
    </row>
    <row r="12" spans="1:15">
      <c r="A12" t="s">
        <v>31</v>
      </c>
      <c r="B12" t="s">
        <v>83</v>
      </c>
      <c r="C12" t="s">
        <v>91</v>
      </c>
      <c r="D12" t="s">
        <v>183</v>
      </c>
      <c r="E12" t="s">
        <v>182</v>
      </c>
      <c r="F12" s="242">
        <v>325.209</v>
      </c>
      <c r="G12" s="242">
        <v>315.14499999999998</v>
      </c>
      <c r="H12" s="242">
        <v>303.37099999999998</v>
      </c>
      <c r="I12" s="242">
        <v>292.30700000000002</v>
      </c>
      <c r="J12" s="242">
        <v>281.13900000000001</v>
      </c>
      <c r="K12" s="242">
        <v>269.91699999999997</v>
      </c>
      <c r="L12" s="242">
        <v>258.678</v>
      </c>
      <c r="M12" s="242">
        <v>247.46199999999999</v>
      </c>
      <c r="N12" s="242">
        <v>236.30699999999999</v>
      </c>
      <c r="O12" s="242">
        <v>225.24799999999999</v>
      </c>
    </row>
    <row r="13" spans="1:15">
      <c r="A13" t="s">
        <v>31</v>
      </c>
      <c r="B13" t="s">
        <v>84</v>
      </c>
      <c r="C13" t="s">
        <v>92</v>
      </c>
      <c r="D13" t="s">
        <v>183</v>
      </c>
      <c r="E13" t="s">
        <v>182</v>
      </c>
      <c r="F13" s="242">
        <v>463.697</v>
      </c>
      <c r="G13" s="242">
        <v>477.41699999999997</v>
      </c>
      <c r="H13" s="242">
        <v>493.53100000000001</v>
      </c>
      <c r="I13" s="242">
        <v>505.98099999999999</v>
      </c>
      <c r="J13" s="242">
        <v>523.01900000000001</v>
      </c>
      <c r="K13" s="242">
        <v>537.95600000000002</v>
      </c>
      <c r="L13" s="242">
        <v>553.15099999999995</v>
      </c>
      <c r="M13" s="242">
        <v>568.71699999999998</v>
      </c>
      <c r="N13" s="242">
        <v>585.125</v>
      </c>
      <c r="O13" s="242">
        <v>602.60199999999998</v>
      </c>
    </row>
    <row r="14" spans="1:15">
      <c r="A14" t="s">
        <v>31</v>
      </c>
      <c r="B14" t="s">
        <v>85</v>
      </c>
      <c r="C14" t="s">
        <v>93</v>
      </c>
      <c r="D14" t="s">
        <v>183</v>
      </c>
      <c r="E14" t="s">
        <v>182</v>
      </c>
      <c r="F14" s="242">
        <v>480.96499999999997</v>
      </c>
      <c r="G14" s="242">
        <v>449.88799999999998</v>
      </c>
      <c r="H14" s="242">
        <v>407.28300000000002</v>
      </c>
      <c r="I14" s="242">
        <v>369.65300000000002</v>
      </c>
      <c r="J14" s="242">
        <v>329.61099999999999</v>
      </c>
      <c r="K14" s="242">
        <v>296.858</v>
      </c>
      <c r="L14" s="242">
        <v>264.87700000000001</v>
      </c>
      <c r="M14" s="242">
        <v>233.91</v>
      </c>
      <c r="N14" s="242">
        <v>203.89099999999999</v>
      </c>
      <c r="O14" s="242">
        <v>176.89099999999999</v>
      </c>
    </row>
    <row r="15" spans="1:15">
      <c r="A15" t="s">
        <v>31</v>
      </c>
      <c r="B15" t="s">
        <v>86</v>
      </c>
      <c r="C15" t="s">
        <v>94</v>
      </c>
      <c r="D15" t="s">
        <v>183</v>
      </c>
      <c r="E15" t="s">
        <v>182</v>
      </c>
      <c r="F15" s="242">
        <v>1165.944</v>
      </c>
      <c r="G15" s="242">
        <v>1208.136</v>
      </c>
      <c r="H15" s="242">
        <v>1265.0989999999999</v>
      </c>
      <c r="I15" s="242">
        <v>1314.7380000000001</v>
      </c>
      <c r="J15" s="242">
        <v>1370.1949999999999</v>
      </c>
      <c r="K15" s="242">
        <v>1417.4880000000001</v>
      </c>
      <c r="L15" s="242">
        <v>1464.835</v>
      </c>
      <c r="M15" s="242">
        <v>1512.202</v>
      </c>
      <c r="N15" s="242">
        <v>1559.6489999999999</v>
      </c>
      <c r="O15" s="242">
        <v>1604.9960000000001</v>
      </c>
    </row>
    <row r="16" spans="1:15">
      <c r="A16" t="s">
        <v>31</v>
      </c>
      <c r="B16" t="s">
        <v>174</v>
      </c>
      <c r="C16" t="s">
        <v>184</v>
      </c>
      <c r="D16" t="s">
        <v>74</v>
      </c>
      <c r="E16" t="s">
        <v>182</v>
      </c>
      <c r="F16" s="242"/>
      <c r="G16" s="242"/>
      <c r="H16" s="242"/>
      <c r="I16" s="242"/>
      <c r="J16" s="242">
        <v>0</v>
      </c>
      <c r="K16" s="242">
        <v>0</v>
      </c>
      <c r="L16" s="242">
        <v>0</v>
      </c>
      <c r="M16" s="242">
        <v>0</v>
      </c>
      <c r="N16" s="242">
        <v>0</v>
      </c>
      <c r="O16" s="242">
        <v>0</v>
      </c>
    </row>
    <row r="17" spans="1:15">
      <c r="A17" t="s">
        <v>31</v>
      </c>
      <c r="B17" t="s">
        <v>156</v>
      </c>
      <c r="C17" t="s">
        <v>157</v>
      </c>
      <c r="D17" t="s">
        <v>74</v>
      </c>
      <c r="E17" t="s">
        <v>182</v>
      </c>
      <c r="F17" s="242">
        <v>1.61952041313559</v>
      </c>
      <c r="G17" s="242">
        <v>1.6956444041313601</v>
      </c>
      <c r="H17" s="242">
        <v>1.67954872881356</v>
      </c>
      <c r="I17" s="242">
        <v>1.6751575391478299</v>
      </c>
      <c r="J17" s="242">
        <v>1.67110146762447</v>
      </c>
      <c r="K17" s="242">
        <v>1.6562216631355899</v>
      </c>
      <c r="L17" s="242">
        <v>1.6562216631355899</v>
      </c>
      <c r="M17" s="242">
        <v>1.6562216631355899</v>
      </c>
      <c r="N17" s="242">
        <v>1.6562216631355899</v>
      </c>
      <c r="O17" s="242">
        <v>1.6562216631355899</v>
      </c>
    </row>
    <row r="18" spans="1:15">
      <c r="A18" t="s">
        <v>31</v>
      </c>
      <c r="B18" t="s">
        <v>159</v>
      </c>
      <c r="C18" t="s">
        <v>158</v>
      </c>
      <c r="D18" t="s">
        <v>74</v>
      </c>
      <c r="E18" t="s">
        <v>182</v>
      </c>
      <c r="F18" s="242"/>
      <c r="G18" s="242"/>
      <c r="H18" s="242"/>
      <c r="I18" s="242"/>
      <c r="J18" s="242"/>
      <c r="K18" s="242">
        <v>0</v>
      </c>
      <c r="L18" s="242">
        <v>0</v>
      </c>
      <c r="M18" s="242">
        <v>0</v>
      </c>
      <c r="N18" s="242">
        <v>0</v>
      </c>
      <c r="O18" s="242">
        <v>0</v>
      </c>
    </row>
    <row r="19" spans="1:15">
      <c r="A19" t="s">
        <v>31</v>
      </c>
      <c r="B19" t="s">
        <v>235</v>
      </c>
      <c r="C19" t="s">
        <v>234</v>
      </c>
      <c r="D19" t="s">
        <v>74</v>
      </c>
      <c r="E19" t="s">
        <v>182</v>
      </c>
      <c r="F19" s="242">
        <v>1.8216073059439899</v>
      </c>
      <c r="G19" s="242">
        <v>2.2001848186906701</v>
      </c>
      <c r="H19" s="242">
        <v>2.2854191608660499</v>
      </c>
      <c r="I19" s="242">
        <v>2.3560775521303299</v>
      </c>
      <c r="J19" s="242">
        <v>2.92045016472624</v>
      </c>
      <c r="K19" s="242">
        <v>2.67353808134337</v>
      </c>
      <c r="L19" s="242">
        <v>2.16043882346144</v>
      </c>
      <c r="M19" s="242">
        <v>1.65574009673913</v>
      </c>
      <c r="N19" s="242">
        <v>1.0253265599679899</v>
      </c>
      <c r="O19" s="242">
        <v>0.24192907822672399</v>
      </c>
    </row>
    <row r="20" spans="1:15">
      <c r="A20" t="s">
        <v>31</v>
      </c>
      <c r="B20" t="s">
        <v>237</v>
      </c>
      <c r="C20" t="s">
        <v>236</v>
      </c>
      <c r="D20" t="s">
        <v>74</v>
      </c>
      <c r="E20" t="s">
        <v>182</v>
      </c>
      <c r="F20" s="242">
        <v>0</v>
      </c>
      <c r="G20" s="242">
        <v>0</v>
      </c>
      <c r="H20" s="242">
        <v>0</v>
      </c>
      <c r="I20" s="242">
        <v>0</v>
      </c>
      <c r="J20" s="242">
        <v>0</v>
      </c>
      <c r="K20" s="242">
        <v>0</v>
      </c>
      <c r="L20" s="242">
        <v>0</v>
      </c>
      <c r="M20" s="242">
        <v>0</v>
      </c>
      <c r="N20" s="242">
        <v>0</v>
      </c>
      <c r="O20" s="242">
        <v>0</v>
      </c>
    </row>
    <row r="21" spans="1:15">
      <c r="A21" t="s">
        <v>31</v>
      </c>
      <c r="B21" t="s">
        <v>239</v>
      </c>
      <c r="C21" t="s">
        <v>238</v>
      </c>
      <c r="D21" t="s">
        <v>74</v>
      </c>
      <c r="E21" t="s">
        <v>182</v>
      </c>
      <c r="F21" s="242"/>
      <c r="G21" s="242"/>
      <c r="H21" s="242"/>
      <c r="I21" s="242"/>
      <c r="J21" s="242"/>
      <c r="K21" s="242">
        <v>0.52348938284363</v>
      </c>
      <c r="L21" s="242">
        <v>1.5354016252160401</v>
      </c>
      <c r="M21" s="242">
        <v>2.1651245942672501</v>
      </c>
      <c r="N21" s="242">
        <v>2.4782357587025499</v>
      </c>
      <c r="O21" s="242">
        <v>2.7842761377279199</v>
      </c>
    </row>
    <row r="22" spans="1:15">
      <c r="A22" t="s">
        <v>31</v>
      </c>
      <c r="B22" t="s">
        <v>241</v>
      </c>
      <c r="C22" t="s">
        <v>240</v>
      </c>
      <c r="D22" t="s">
        <v>74</v>
      </c>
      <c r="E22" t="s">
        <v>182</v>
      </c>
      <c r="F22" s="242"/>
      <c r="G22" s="242"/>
      <c r="H22" s="242"/>
      <c r="I22" s="242"/>
      <c r="J22" s="242"/>
      <c r="K22" s="242">
        <v>0</v>
      </c>
      <c r="L22" s="242">
        <v>0</v>
      </c>
      <c r="M22" s="242">
        <v>0</v>
      </c>
      <c r="N22" s="242">
        <v>0</v>
      </c>
      <c r="O22" s="242">
        <v>0</v>
      </c>
    </row>
    <row r="23" spans="1:15">
      <c r="A23" t="s">
        <v>32</v>
      </c>
      <c r="B23" t="s">
        <v>78</v>
      </c>
      <c r="C23" t="s">
        <v>132</v>
      </c>
      <c r="D23" t="s">
        <v>74</v>
      </c>
      <c r="E23" t="s">
        <v>182</v>
      </c>
      <c r="F23" s="242">
        <v>44.850605133363899</v>
      </c>
      <c r="G23" s="242">
        <v>48.5033630388481</v>
      </c>
      <c r="H23" s="242">
        <v>42.228372830616401</v>
      </c>
      <c r="I23" s="242">
        <v>42.4356423314211</v>
      </c>
      <c r="J23" s="242">
        <v>43.792205457172699</v>
      </c>
      <c r="K23" s="242">
        <v>42.3562197096022</v>
      </c>
      <c r="L23" s="242">
        <v>41.1412113544961</v>
      </c>
      <c r="M23" s="242">
        <v>40.262588312452699</v>
      </c>
      <c r="N23" s="242">
        <v>39.376552928926998</v>
      </c>
      <c r="O23" s="242">
        <v>39.5073535033479</v>
      </c>
    </row>
    <row r="24" spans="1:15">
      <c r="A24" t="s">
        <v>32</v>
      </c>
      <c r="B24" t="s">
        <v>97</v>
      </c>
      <c r="C24" t="s">
        <v>99</v>
      </c>
      <c r="D24" t="s">
        <v>74</v>
      </c>
      <c r="E24" t="s">
        <v>182</v>
      </c>
      <c r="F24" s="242">
        <v>0.39751680525510202</v>
      </c>
      <c r="G24" s="242">
        <v>0.64264164477887198</v>
      </c>
      <c r="H24" s="242">
        <v>0.87866178137640405</v>
      </c>
      <c r="I24" s="242">
        <v>1.0094957846986801</v>
      </c>
      <c r="J24" s="242">
        <v>1.748</v>
      </c>
      <c r="K24" s="242">
        <v>3.12</v>
      </c>
      <c r="L24" s="242">
        <v>3</v>
      </c>
      <c r="M24" s="242">
        <v>2.8149999999999999</v>
      </c>
      <c r="N24" s="242">
        <v>2.7370000000000001</v>
      </c>
      <c r="O24" s="242">
        <v>2.7320000000000002</v>
      </c>
    </row>
    <row r="25" spans="1:15">
      <c r="A25" t="s">
        <v>32</v>
      </c>
      <c r="B25" t="s">
        <v>98</v>
      </c>
      <c r="C25" t="s">
        <v>100</v>
      </c>
      <c r="D25" t="s">
        <v>74</v>
      </c>
      <c r="E25" t="s">
        <v>182</v>
      </c>
      <c r="F25" s="242"/>
      <c r="G25" s="242"/>
      <c r="H25" s="242"/>
      <c r="I25" s="242"/>
      <c r="J25" s="242"/>
      <c r="K25" s="242">
        <v>0.71499999999999997</v>
      </c>
      <c r="L25" s="242">
        <v>1.1539999999999999</v>
      </c>
      <c r="M25" s="242">
        <v>1.323</v>
      </c>
      <c r="N25" s="242">
        <v>1.44</v>
      </c>
      <c r="O25" s="242">
        <v>1.518</v>
      </c>
    </row>
    <row r="26" spans="1:15">
      <c r="A26" t="s">
        <v>32</v>
      </c>
      <c r="B26" t="s">
        <v>79</v>
      </c>
      <c r="C26" t="s">
        <v>135</v>
      </c>
      <c r="D26" t="s">
        <v>74</v>
      </c>
      <c r="E26" t="s">
        <v>182</v>
      </c>
      <c r="F26" s="242">
        <v>0.09</v>
      </c>
      <c r="G26" s="242">
        <v>9.1999999999999998E-2</v>
      </c>
      <c r="H26" s="242">
        <v>0.17976238855943899</v>
      </c>
      <c r="I26" s="242">
        <v>0.198427353824771</v>
      </c>
      <c r="J26" s="242">
        <v>0.19729582787576</v>
      </c>
      <c r="K26" s="242">
        <v>0.19491902768104499</v>
      </c>
      <c r="L26" s="242">
        <v>0.19067109228056001</v>
      </c>
      <c r="M26" s="242">
        <v>0.18655714310794899</v>
      </c>
      <c r="N26" s="242">
        <v>0.180530259288192</v>
      </c>
      <c r="O26" s="242">
        <v>0.17976193074299099</v>
      </c>
    </row>
    <row r="27" spans="1:15">
      <c r="A27" t="s">
        <v>32</v>
      </c>
      <c r="B27" t="s">
        <v>80</v>
      </c>
      <c r="C27" t="s">
        <v>136</v>
      </c>
      <c r="D27" t="s">
        <v>74</v>
      </c>
      <c r="E27" t="s">
        <v>182</v>
      </c>
      <c r="F27" s="242">
        <v>0.21</v>
      </c>
      <c r="G27" s="242">
        <v>0.222</v>
      </c>
      <c r="H27" s="242">
        <v>0.48972549328141401</v>
      </c>
      <c r="I27" s="242">
        <v>0.52993991546752595</v>
      </c>
      <c r="J27" s="242">
        <v>0.51724590559947303</v>
      </c>
      <c r="K27" s="242">
        <v>0.50136537389750502</v>
      </c>
      <c r="L27" s="242">
        <v>0.48121629306153402</v>
      </c>
      <c r="M27" s="242">
        <v>0.46071542144418098</v>
      </c>
      <c r="N27" s="242">
        <v>0.437806690250999</v>
      </c>
      <c r="O27" s="242">
        <v>0.42931107480178898</v>
      </c>
    </row>
    <row r="28" spans="1:15">
      <c r="A28" t="s">
        <v>32</v>
      </c>
      <c r="B28" t="s">
        <v>81</v>
      </c>
      <c r="C28" t="s">
        <v>137</v>
      </c>
      <c r="D28" t="s">
        <v>74</v>
      </c>
      <c r="E28" t="s">
        <v>182</v>
      </c>
      <c r="F28" s="242">
        <v>1.5109999999999999</v>
      </c>
      <c r="G28" s="242">
        <v>1.5429999999999999</v>
      </c>
      <c r="H28" s="242">
        <v>3.05873186521498</v>
      </c>
      <c r="I28" s="242">
        <v>3.4520869511939698</v>
      </c>
      <c r="J28" s="242">
        <v>3.5083972262437801</v>
      </c>
      <c r="K28" s="242">
        <v>3.5272188092294501</v>
      </c>
      <c r="L28" s="242">
        <v>3.5027972262938101</v>
      </c>
      <c r="M28" s="242">
        <v>3.4665277348141501</v>
      </c>
      <c r="N28" s="242">
        <v>3.3982281717454201</v>
      </c>
      <c r="O28" s="242">
        <v>3.4202144016843001</v>
      </c>
    </row>
    <row r="29" spans="1:15">
      <c r="A29" t="s">
        <v>32</v>
      </c>
      <c r="B29" t="s">
        <v>82</v>
      </c>
      <c r="C29" t="s">
        <v>89</v>
      </c>
      <c r="D29" t="s">
        <v>183</v>
      </c>
      <c r="E29" t="s">
        <v>182</v>
      </c>
      <c r="F29" s="242">
        <v>55.576000000000001</v>
      </c>
      <c r="G29" s="242">
        <v>54.869</v>
      </c>
      <c r="H29" s="242">
        <v>54.43</v>
      </c>
      <c r="I29" s="242">
        <v>54.045999999999999</v>
      </c>
      <c r="J29" s="242">
        <v>53.624000000000002</v>
      </c>
      <c r="K29" s="242">
        <v>53.197000000000003</v>
      </c>
      <c r="L29" s="242">
        <v>52.78</v>
      </c>
      <c r="M29" s="242">
        <v>52.375</v>
      </c>
      <c r="N29" s="242">
        <v>51.981000000000002</v>
      </c>
      <c r="O29" s="242">
        <v>51.595999999999997</v>
      </c>
    </row>
    <row r="30" spans="1:15">
      <c r="A30" t="s">
        <v>32</v>
      </c>
      <c r="B30" t="s">
        <v>87</v>
      </c>
      <c r="C30" t="s">
        <v>90</v>
      </c>
      <c r="D30" t="s">
        <v>183</v>
      </c>
      <c r="E30" t="s">
        <v>182</v>
      </c>
      <c r="F30" s="242">
        <v>22.231999999999999</v>
      </c>
      <c r="G30" s="242">
        <v>23.146999999999998</v>
      </c>
      <c r="H30" s="242">
        <v>23.713000000000001</v>
      </c>
      <c r="I30" s="242">
        <v>24.497</v>
      </c>
      <c r="J30" s="242">
        <v>25.318999999999999</v>
      </c>
      <c r="K30" s="242">
        <v>26.146000000000001</v>
      </c>
      <c r="L30" s="242">
        <v>26.99</v>
      </c>
      <c r="M30" s="242">
        <v>27.847999999999999</v>
      </c>
      <c r="N30" s="242">
        <v>28.722000000000001</v>
      </c>
      <c r="O30" s="242">
        <v>29.614000000000001</v>
      </c>
    </row>
    <row r="31" spans="1:15">
      <c r="A31" t="s">
        <v>32</v>
      </c>
      <c r="B31" t="s">
        <v>83</v>
      </c>
      <c r="C31" t="s">
        <v>91</v>
      </c>
      <c r="D31" t="s">
        <v>183</v>
      </c>
      <c r="E31" t="s">
        <v>182</v>
      </c>
      <c r="F31" s="242">
        <v>70.182000000000002</v>
      </c>
      <c r="G31" s="242">
        <v>66.59</v>
      </c>
      <c r="H31" s="242">
        <v>59.552</v>
      </c>
      <c r="I31" s="242">
        <v>59.167999999999999</v>
      </c>
      <c r="J31" s="242">
        <v>58.746000000000002</v>
      </c>
      <c r="K31" s="242">
        <v>58.319000000000003</v>
      </c>
      <c r="L31" s="242">
        <v>57.902000000000001</v>
      </c>
      <c r="M31" s="242">
        <v>57.497</v>
      </c>
      <c r="N31" s="242">
        <v>57.103000000000002</v>
      </c>
      <c r="O31" s="242">
        <v>56.718000000000004</v>
      </c>
    </row>
    <row r="32" spans="1:15">
      <c r="A32" t="s">
        <v>32</v>
      </c>
      <c r="B32" t="s">
        <v>84</v>
      </c>
      <c r="C32" t="s">
        <v>92</v>
      </c>
      <c r="D32" t="s">
        <v>183</v>
      </c>
      <c r="E32" t="s">
        <v>182</v>
      </c>
      <c r="F32" s="242">
        <v>51.960999999999999</v>
      </c>
      <c r="G32" s="242">
        <v>56.100999999999999</v>
      </c>
      <c r="H32" s="242">
        <v>64.727999999999994</v>
      </c>
      <c r="I32" s="242">
        <v>65.512</v>
      </c>
      <c r="J32" s="242">
        <v>66.334000000000003</v>
      </c>
      <c r="K32" s="242">
        <v>67.161000000000001</v>
      </c>
      <c r="L32" s="242">
        <v>68.004999999999995</v>
      </c>
      <c r="M32" s="242">
        <v>68.863</v>
      </c>
      <c r="N32" s="242">
        <v>69.736999999999995</v>
      </c>
      <c r="O32" s="242">
        <v>70.629000000000005</v>
      </c>
    </row>
    <row r="33" spans="1:15">
      <c r="A33" t="s">
        <v>32</v>
      </c>
      <c r="B33" t="s">
        <v>85</v>
      </c>
      <c r="C33" t="s">
        <v>93</v>
      </c>
      <c r="D33" t="s">
        <v>183</v>
      </c>
      <c r="E33" t="s">
        <v>182</v>
      </c>
      <c r="F33" s="242">
        <v>764.51599999999996</v>
      </c>
      <c r="G33" s="242">
        <v>754.78700000000003</v>
      </c>
      <c r="H33" s="242">
        <v>740.98299999999995</v>
      </c>
      <c r="I33" s="242">
        <v>723.71</v>
      </c>
      <c r="J33" s="242">
        <v>706.447</v>
      </c>
      <c r="K33" s="242">
        <v>688.87300000000005</v>
      </c>
      <c r="L33" s="242">
        <v>671.755</v>
      </c>
      <c r="M33" s="242">
        <v>655.08000000000004</v>
      </c>
      <c r="N33" s="242">
        <v>638.83500000000004</v>
      </c>
      <c r="O33" s="242">
        <v>623.00900000000001</v>
      </c>
    </row>
    <row r="34" spans="1:15">
      <c r="A34" t="s">
        <v>32</v>
      </c>
      <c r="B34" t="s">
        <v>86</v>
      </c>
      <c r="C34" t="s">
        <v>94</v>
      </c>
      <c r="D34" t="s">
        <v>183</v>
      </c>
      <c r="E34" t="s">
        <v>182</v>
      </c>
      <c r="F34" s="242">
        <v>373.75099999999998</v>
      </c>
      <c r="G34" s="242">
        <v>389.12400000000002</v>
      </c>
      <c r="H34" s="242">
        <v>404.53100000000001</v>
      </c>
      <c r="I34" s="242">
        <v>427.11799999999999</v>
      </c>
      <c r="J34" s="242">
        <v>449.69499999999999</v>
      </c>
      <c r="K34" s="242">
        <v>472.58300000000003</v>
      </c>
      <c r="L34" s="242">
        <v>495.37</v>
      </c>
      <c r="M34" s="242">
        <v>518.07000000000005</v>
      </c>
      <c r="N34" s="242">
        <v>540.69299999999998</v>
      </c>
      <c r="O34" s="242">
        <v>563.25199999999995</v>
      </c>
    </row>
    <row r="35" spans="1:15">
      <c r="A35" t="s">
        <v>32</v>
      </c>
      <c r="B35" t="s">
        <v>174</v>
      </c>
      <c r="C35" t="s">
        <v>184</v>
      </c>
      <c r="D35" t="s">
        <v>74</v>
      </c>
      <c r="E35" t="s">
        <v>182</v>
      </c>
      <c r="F35" s="242"/>
      <c r="G35" s="242"/>
      <c r="H35" s="242"/>
      <c r="I35" s="242"/>
      <c r="J35" s="242">
        <v>0</v>
      </c>
      <c r="K35" s="242">
        <v>0</v>
      </c>
      <c r="L35" s="242">
        <v>0</v>
      </c>
      <c r="M35" s="242">
        <v>0</v>
      </c>
      <c r="N35" s="242">
        <v>0</v>
      </c>
      <c r="O35" s="242">
        <v>0</v>
      </c>
    </row>
    <row r="36" spans="1:15">
      <c r="A36" t="s">
        <v>32</v>
      </c>
      <c r="B36" t="s">
        <v>156</v>
      </c>
      <c r="C36" t="s">
        <v>157</v>
      </c>
      <c r="D36" t="s">
        <v>74</v>
      </c>
      <c r="E36" t="s">
        <v>182</v>
      </c>
      <c r="F36" s="242">
        <v>0.11700000000000001</v>
      </c>
      <c r="G36" s="242">
        <v>0.22800000000000001</v>
      </c>
      <c r="H36" s="242">
        <v>11.007999999999999</v>
      </c>
      <c r="I36" s="242">
        <v>12.526</v>
      </c>
      <c r="J36" s="242">
        <v>14.042999999999999</v>
      </c>
      <c r="K36" s="242">
        <v>13.497999999999999</v>
      </c>
      <c r="L36" s="242">
        <v>12.98</v>
      </c>
      <c r="M36" s="242">
        <v>12.488</v>
      </c>
      <c r="N36" s="242">
        <v>11.836</v>
      </c>
      <c r="O36" s="242">
        <v>11.391999999999999</v>
      </c>
    </row>
    <row r="37" spans="1:15">
      <c r="A37" t="s">
        <v>32</v>
      </c>
      <c r="B37" t="s">
        <v>159</v>
      </c>
      <c r="C37" t="s">
        <v>158</v>
      </c>
      <c r="D37" t="s">
        <v>74</v>
      </c>
      <c r="E37" t="s">
        <v>182</v>
      </c>
      <c r="F37" s="242"/>
      <c r="G37" s="242"/>
      <c r="H37" s="242"/>
      <c r="I37" s="242"/>
      <c r="J37" s="242"/>
      <c r="K37" s="242">
        <v>0</v>
      </c>
      <c r="L37" s="242">
        <v>0</v>
      </c>
      <c r="M37" s="242">
        <v>0</v>
      </c>
      <c r="N37" s="242">
        <v>0</v>
      </c>
      <c r="O37" s="242">
        <v>0</v>
      </c>
    </row>
    <row r="38" spans="1:15">
      <c r="A38" t="s">
        <v>32</v>
      </c>
      <c r="B38" t="s">
        <v>235</v>
      </c>
      <c r="C38" t="s">
        <v>234</v>
      </c>
      <c r="D38" t="s">
        <v>74</v>
      </c>
      <c r="E38" t="s">
        <v>182</v>
      </c>
      <c r="F38" s="242">
        <v>5.8999999999999997E-2</v>
      </c>
      <c r="G38" s="242">
        <v>0.10199999999999999</v>
      </c>
      <c r="H38" s="242">
        <v>0.19700000000000001</v>
      </c>
      <c r="I38" s="242">
        <v>0.42399999999999999</v>
      </c>
      <c r="J38" s="242">
        <v>0.42399999999999999</v>
      </c>
      <c r="K38" s="242">
        <v>0.42399999999999999</v>
      </c>
      <c r="L38" s="242">
        <v>0.42399999999999999</v>
      </c>
      <c r="M38" s="242">
        <v>0.42399999999999999</v>
      </c>
      <c r="N38" s="242">
        <v>0.42399999999999999</v>
      </c>
      <c r="O38" s="242">
        <v>0.42399999999999999</v>
      </c>
    </row>
    <row r="39" spans="1:15">
      <c r="A39" t="s">
        <v>32</v>
      </c>
      <c r="B39" t="s">
        <v>237</v>
      </c>
      <c r="C39" t="s">
        <v>236</v>
      </c>
      <c r="D39" t="s">
        <v>74</v>
      </c>
      <c r="E39" t="s">
        <v>182</v>
      </c>
      <c r="F39" s="242">
        <v>9.0999999999999998E-2</v>
      </c>
      <c r="G39" s="242">
        <v>9.7000000000000003E-2</v>
      </c>
      <c r="H39" s="242">
        <v>0.11</v>
      </c>
      <c r="I39" s="242">
        <v>9.9000000000000005E-2</v>
      </c>
      <c r="J39" s="242">
        <v>9.9000000000000005E-2</v>
      </c>
      <c r="K39" s="242">
        <v>9.9000000000000005E-2</v>
      </c>
      <c r="L39" s="242">
        <v>9.9000000000000005E-2</v>
      </c>
      <c r="M39" s="242">
        <v>9.9000000000000005E-2</v>
      </c>
      <c r="N39" s="242">
        <v>9.9000000000000005E-2</v>
      </c>
      <c r="O39" s="242">
        <v>9.9000000000000005E-2</v>
      </c>
    </row>
    <row r="40" spans="1:15">
      <c r="A40" t="s">
        <v>32</v>
      </c>
      <c r="B40" t="s">
        <v>239</v>
      </c>
      <c r="C40" t="s">
        <v>238</v>
      </c>
      <c r="D40" t="s">
        <v>74</v>
      </c>
      <c r="E40" t="s">
        <v>182</v>
      </c>
      <c r="F40" s="242"/>
      <c r="G40" s="242"/>
      <c r="H40" s="242"/>
      <c r="I40" s="242"/>
      <c r="J40" s="242"/>
      <c r="K40" s="242">
        <v>0</v>
      </c>
      <c r="L40" s="242">
        <v>0</v>
      </c>
      <c r="M40" s="242">
        <v>0</v>
      </c>
      <c r="N40" s="242">
        <v>0</v>
      </c>
      <c r="O40" s="242">
        <v>0</v>
      </c>
    </row>
    <row r="41" spans="1:15">
      <c r="A41" t="s">
        <v>32</v>
      </c>
      <c r="B41" t="s">
        <v>241</v>
      </c>
      <c r="C41" t="s">
        <v>240</v>
      </c>
      <c r="D41" t="s">
        <v>74</v>
      </c>
      <c r="E41" t="s">
        <v>182</v>
      </c>
      <c r="F41" s="242"/>
      <c r="G41" s="242"/>
      <c r="H41" s="242"/>
      <c r="I41" s="242"/>
      <c r="J41" s="242"/>
      <c r="K41" s="242">
        <v>0</v>
      </c>
      <c r="L41" s="242">
        <v>0</v>
      </c>
      <c r="M41" s="242">
        <v>0</v>
      </c>
      <c r="N41" s="242">
        <v>0</v>
      </c>
      <c r="O41" s="242">
        <v>0</v>
      </c>
    </row>
    <row r="42" spans="1:15">
      <c r="A42" t="s">
        <v>33</v>
      </c>
      <c r="B42" t="s">
        <v>78</v>
      </c>
      <c r="C42" t="s">
        <v>132</v>
      </c>
      <c r="D42" t="s">
        <v>74</v>
      </c>
      <c r="E42" t="s">
        <v>182</v>
      </c>
      <c r="F42" s="242">
        <v>39.039338197115001</v>
      </c>
      <c r="G42" s="242">
        <v>39.415410603842602</v>
      </c>
      <c r="H42" s="242">
        <v>40.473590343145403</v>
      </c>
      <c r="I42" s="242">
        <v>41.185931650850598</v>
      </c>
      <c r="J42" s="242">
        <v>41.806423762550097</v>
      </c>
      <c r="K42" s="242">
        <v>42.426915874249602</v>
      </c>
      <c r="L42" s="242">
        <v>42.849817212122304</v>
      </c>
      <c r="M42" s="242">
        <v>43.279716917288503</v>
      </c>
      <c r="N42" s="242">
        <v>43.715615222991801</v>
      </c>
      <c r="O42" s="242">
        <v>44.156512362476199</v>
      </c>
    </row>
    <row r="43" spans="1:15">
      <c r="A43" t="s">
        <v>33</v>
      </c>
      <c r="B43" t="s">
        <v>97</v>
      </c>
      <c r="C43" t="s">
        <v>99</v>
      </c>
      <c r="D43" t="s">
        <v>74</v>
      </c>
      <c r="E43" t="s">
        <v>182</v>
      </c>
      <c r="F43" s="242">
        <v>1.2767666294659299</v>
      </c>
      <c r="G43" s="242">
        <v>1.13511963930174</v>
      </c>
      <c r="H43" s="242">
        <v>1.1633225540499701</v>
      </c>
      <c r="I43" s="242">
        <v>1.36445563354137</v>
      </c>
      <c r="J43" s="242">
        <v>1.03513604096594</v>
      </c>
      <c r="K43" s="242">
        <v>0.83259413699437501</v>
      </c>
      <c r="L43" s="242">
        <v>0.70673889187886596</v>
      </c>
      <c r="M43" s="242">
        <v>0.56974851329627796</v>
      </c>
      <c r="N43" s="242">
        <v>0.47135275535805798</v>
      </c>
      <c r="O43" s="242">
        <v>0.76103862999679295</v>
      </c>
    </row>
    <row r="44" spans="1:15">
      <c r="A44" t="s">
        <v>33</v>
      </c>
      <c r="B44" t="s">
        <v>98</v>
      </c>
      <c r="C44" t="s">
        <v>100</v>
      </c>
      <c r="D44" t="s">
        <v>74</v>
      </c>
      <c r="E44" t="s">
        <v>182</v>
      </c>
      <c r="F44" s="242"/>
      <c r="G44" s="242"/>
      <c r="H44" s="242"/>
      <c r="I44" s="242"/>
      <c r="J44" s="242"/>
      <c r="K44" s="242">
        <v>0.923660738707059</v>
      </c>
      <c r="L44" s="242">
        <v>1.4983844088946401</v>
      </c>
      <c r="M44" s="242">
        <v>2.1448527209442299</v>
      </c>
      <c r="N44" s="242">
        <v>2.64719821763605</v>
      </c>
      <c r="O44" s="242">
        <v>3.2315675644373298</v>
      </c>
    </row>
    <row r="45" spans="1:15">
      <c r="A45" t="s">
        <v>33</v>
      </c>
      <c r="B45" t="s">
        <v>79</v>
      </c>
      <c r="C45" t="s">
        <v>135</v>
      </c>
      <c r="D45" t="s">
        <v>74</v>
      </c>
      <c r="E45" t="s">
        <v>182</v>
      </c>
      <c r="F45" s="242">
        <v>0.86796238474892096</v>
      </c>
      <c r="G45" s="242">
        <v>1.00014926529299</v>
      </c>
      <c r="H45" s="242">
        <v>0.97973805579721396</v>
      </c>
      <c r="I45" s="242">
        <v>1.01958851243182</v>
      </c>
      <c r="J45" s="242">
        <v>1.0594389690664301</v>
      </c>
      <c r="K45" s="242">
        <v>1.1022053127718701</v>
      </c>
      <c r="L45" s="242">
        <v>1.1449716564773</v>
      </c>
      <c r="M45" s="242">
        <v>1.1896819248966199</v>
      </c>
      <c r="N45" s="242">
        <v>1.2343921933159301</v>
      </c>
      <c r="O45" s="242">
        <v>1.27813049937831</v>
      </c>
    </row>
    <row r="46" spans="1:15">
      <c r="A46" t="s">
        <v>33</v>
      </c>
      <c r="B46" t="s">
        <v>80</v>
      </c>
      <c r="C46" t="s">
        <v>136</v>
      </c>
      <c r="D46" t="s">
        <v>74</v>
      </c>
      <c r="E46" t="s">
        <v>182</v>
      </c>
      <c r="F46" s="242">
        <v>6.6093440272034301E-2</v>
      </c>
      <c r="G46" s="242">
        <v>7.6785026198392697E-2</v>
      </c>
      <c r="H46" s="242">
        <v>7.4841101484509398E-2</v>
      </c>
      <c r="I46" s="242">
        <v>8.0672875626159504E-2</v>
      </c>
      <c r="J46" s="242">
        <v>8.5532687410867905E-2</v>
      </c>
      <c r="K46" s="242">
        <v>9.1364461552517998E-2</v>
      </c>
      <c r="L46" s="242">
        <v>9.6224273337226399E-2</v>
      </c>
      <c r="M46" s="242">
        <v>0.10108408512193499</v>
      </c>
      <c r="N46" s="242">
        <v>0.106915859263585</v>
      </c>
      <c r="O46" s="242">
        <v>0.112747633405235</v>
      </c>
    </row>
    <row r="47" spans="1:15">
      <c r="A47" t="s">
        <v>33</v>
      </c>
      <c r="B47" t="s">
        <v>81</v>
      </c>
      <c r="C47" t="s">
        <v>137</v>
      </c>
      <c r="D47" t="s">
        <v>74</v>
      </c>
      <c r="E47" t="s">
        <v>182</v>
      </c>
      <c r="F47" s="242">
        <v>1.19454173668133</v>
      </c>
      <c r="G47" s="242">
        <v>1.4229528905626201</v>
      </c>
      <c r="H47" s="242">
        <v>1.44725194948616</v>
      </c>
      <c r="I47" s="242">
        <v>1.5493079969650401</v>
      </c>
      <c r="J47" s="242">
        <v>1.6533079691578001</v>
      </c>
      <c r="K47" s="242">
        <v>1.7573079413505599</v>
      </c>
      <c r="L47" s="242">
        <v>1.8622798759002599</v>
      </c>
      <c r="M47" s="242">
        <v>1.9691957351638401</v>
      </c>
      <c r="N47" s="242">
        <v>2.0751396320704898</v>
      </c>
      <c r="O47" s="242">
        <v>2.18205549133407</v>
      </c>
    </row>
    <row r="48" spans="1:15">
      <c r="A48" t="s">
        <v>33</v>
      </c>
      <c r="B48" t="s">
        <v>82</v>
      </c>
      <c r="C48" t="s">
        <v>89</v>
      </c>
      <c r="D48" t="s">
        <v>183</v>
      </c>
      <c r="E48" t="s">
        <v>182</v>
      </c>
      <c r="F48" s="242">
        <v>365.255</v>
      </c>
      <c r="G48" s="242">
        <v>352.85599999999999</v>
      </c>
      <c r="H48" s="242">
        <v>340.86700000000002</v>
      </c>
      <c r="I48" s="242">
        <v>328.83100000000002</v>
      </c>
      <c r="J48" s="242">
        <v>317.02499999999998</v>
      </c>
      <c r="K48" s="242">
        <v>304.31200000000001</v>
      </c>
      <c r="L48" s="242">
        <v>291.65899999999999</v>
      </c>
      <c r="M48" s="242">
        <v>278.53100000000001</v>
      </c>
      <c r="N48" s="242">
        <v>265.41000000000003</v>
      </c>
      <c r="O48" s="242">
        <v>252.82300000000001</v>
      </c>
    </row>
    <row r="49" spans="1:15">
      <c r="A49" t="s">
        <v>33</v>
      </c>
      <c r="B49" t="s">
        <v>87</v>
      </c>
      <c r="C49" t="s">
        <v>90</v>
      </c>
      <c r="D49" t="s">
        <v>183</v>
      </c>
      <c r="E49" t="s">
        <v>182</v>
      </c>
      <c r="F49" s="242">
        <v>351.31299999999999</v>
      </c>
      <c r="G49" s="242">
        <v>364.88799999999998</v>
      </c>
      <c r="H49" s="242">
        <v>379.97</v>
      </c>
      <c r="I49" s="242">
        <v>395.48099999999999</v>
      </c>
      <c r="J49" s="242">
        <v>411.11</v>
      </c>
      <c r="K49" s="242">
        <v>427.69400000000002</v>
      </c>
      <c r="L49" s="242">
        <v>444.28300000000002</v>
      </c>
      <c r="M49" s="242">
        <v>461.40100000000001</v>
      </c>
      <c r="N49" s="242">
        <v>478.72699999999998</v>
      </c>
      <c r="O49" s="242">
        <v>495.71199999999999</v>
      </c>
    </row>
    <row r="50" spans="1:15">
      <c r="A50" t="s">
        <v>33</v>
      </c>
      <c r="B50" t="s">
        <v>83</v>
      </c>
      <c r="C50" t="s">
        <v>91</v>
      </c>
      <c r="D50" t="s">
        <v>183</v>
      </c>
      <c r="E50" t="s">
        <v>182</v>
      </c>
      <c r="F50" s="242">
        <v>37.493000000000002</v>
      </c>
      <c r="G50" s="242">
        <v>35.715000000000003</v>
      </c>
      <c r="H50" s="242">
        <v>35.939</v>
      </c>
      <c r="I50" s="242">
        <v>35.195999999999998</v>
      </c>
      <c r="J50" s="242">
        <v>34.453000000000003</v>
      </c>
      <c r="K50" s="242">
        <v>33.731000000000002</v>
      </c>
      <c r="L50" s="242">
        <v>33.009</v>
      </c>
      <c r="M50" s="242">
        <v>32.286999999999999</v>
      </c>
      <c r="N50" s="242">
        <v>31.565000000000001</v>
      </c>
      <c r="O50" s="242">
        <v>30.843</v>
      </c>
    </row>
    <row r="51" spans="1:15">
      <c r="A51" t="s">
        <v>33</v>
      </c>
      <c r="B51" t="s">
        <v>84</v>
      </c>
      <c r="C51" t="s">
        <v>92</v>
      </c>
      <c r="D51" t="s">
        <v>183</v>
      </c>
      <c r="E51" t="s">
        <v>182</v>
      </c>
      <c r="F51" s="242">
        <v>26.92</v>
      </c>
      <c r="G51" s="242">
        <v>28.164999999999999</v>
      </c>
      <c r="H51" s="242">
        <v>29.216999999999999</v>
      </c>
      <c r="I51" s="242">
        <v>31.207999999999998</v>
      </c>
      <c r="J51" s="242">
        <v>33.24</v>
      </c>
      <c r="K51" s="242">
        <v>35.267000000000003</v>
      </c>
      <c r="L51" s="242">
        <v>37.325000000000003</v>
      </c>
      <c r="M51" s="242">
        <v>39.396000000000001</v>
      </c>
      <c r="N51" s="242">
        <v>41.470999999999997</v>
      </c>
      <c r="O51" s="242">
        <v>43.557000000000002</v>
      </c>
    </row>
    <row r="52" spans="1:15">
      <c r="A52" t="s">
        <v>33</v>
      </c>
      <c r="B52" t="s">
        <v>85</v>
      </c>
      <c r="C52" t="s">
        <v>93</v>
      </c>
      <c r="D52" t="s">
        <v>183</v>
      </c>
      <c r="E52" t="s">
        <v>182</v>
      </c>
      <c r="F52" s="242">
        <v>803.89099999999996</v>
      </c>
      <c r="G52" s="242">
        <v>787.40099999999995</v>
      </c>
      <c r="H52" s="242">
        <v>768.38099999999997</v>
      </c>
      <c r="I52" s="242">
        <v>752.673</v>
      </c>
      <c r="J52" s="242">
        <v>736.96400000000006</v>
      </c>
      <c r="K52" s="242">
        <v>721.72900000000004</v>
      </c>
      <c r="L52" s="242">
        <v>706.49400000000003</v>
      </c>
      <c r="M52" s="242">
        <v>691.25900000000001</v>
      </c>
      <c r="N52" s="242">
        <v>676.024</v>
      </c>
      <c r="O52" s="242">
        <v>660.78800000000001</v>
      </c>
    </row>
    <row r="53" spans="1:15">
      <c r="A53" t="s">
        <v>33</v>
      </c>
      <c r="B53" t="s">
        <v>86</v>
      </c>
      <c r="C53" t="s">
        <v>94</v>
      </c>
      <c r="D53" t="s">
        <v>183</v>
      </c>
      <c r="E53" t="s">
        <v>182</v>
      </c>
      <c r="F53" s="242">
        <v>241.66800000000001</v>
      </c>
      <c r="G53" s="242">
        <v>259.524</v>
      </c>
      <c r="H53" s="242">
        <v>280.66399999999999</v>
      </c>
      <c r="I53" s="242">
        <v>300.45299999999997</v>
      </c>
      <c r="J53" s="242">
        <v>320.66800000000001</v>
      </c>
      <c r="K53" s="242">
        <v>340.822</v>
      </c>
      <c r="L53" s="242">
        <v>361.30500000000001</v>
      </c>
      <c r="M53" s="242">
        <v>381.92500000000001</v>
      </c>
      <c r="N53" s="242">
        <v>402.58</v>
      </c>
      <c r="O53" s="242">
        <v>423.358</v>
      </c>
    </row>
    <row r="54" spans="1:15">
      <c r="A54" t="s">
        <v>33</v>
      </c>
      <c r="B54" t="s">
        <v>174</v>
      </c>
      <c r="C54" t="s">
        <v>184</v>
      </c>
      <c r="D54" t="s">
        <v>74</v>
      </c>
      <c r="E54" t="s">
        <v>182</v>
      </c>
      <c r="F54" s="242"/>
      <c r="G54" s="242"/>
      <c r="H54" s="242"/>
      <c r="I54" s="242"/>
      <c r="J54" s="242">
        <v>0</v>
      </c>
      <c r="K54" s="242">
        <v>0</v>
      </c>
      <c r="L54" s="242">
        <v>0</v>
      </c>
      <c r="M54" s="242">
        <v>0</v>
      </c>
      <c r="N54" s="242">
        <v>0</v>
      </c>
      <c r="O54" s="242">
        <v>0</v>
      </c>
    </row>
    <row r="55" spans="1:15">
      <c r="A55" t="s">
        <v>33</v>
      </c>
      <c r="B55" t="s">
        <v>156</v>
      </c>
      <c r="C55" t="s">
        <v>157</v>
      </c>
      <c r="D55" t="s">
        <v>74</v>
      </c>
      <c r="E55" t="s">
        <v>182</v>
      </c>
      <c r="F55" s="242">
        <v>5.9231386032025997</v>
      </c>
      <c r="G55" s="242">
        <v>5.8696806735708096</v>
      </c>
      <c r="H55" s="242">
        <v>6.5801851564951797</v>
      </c>
      <c r="I55" s="242">
        <v>6.6985329585054796</v>
      </c>
      <c r="J55" s="242">
        <v>6.6985329585054796</v>
      </c>
      <c r="K55" s="242">
        <v>7.4207009897131497</v>
      </c>
      <c r="L55" s="242">
        <v>7.4207009897131497</v>
      </c>
      <c r="M55" s="242">
        <v>7.4207009897131497</v>
      </c>
      <c r="N55" s="242">
        <v>7.4207009897131497</v>
      </c>
      <c r="O55" s="242">
        <v>7.4207009897131497</v>
      </c>
    </row>
    <row r="56" spans="1:15">
      <c r="A56" t="s">
        <v>33</v>
      </c>
      <c r="B56" t="s">
        <v>159</v>
      </c>
      <c r="C56" t="s">
        <v>158</v>
      </c>
      <c r="D56" t="s">
        <v>74</v>
      </c>
      <c r="E56" t="s">
        <v>182</v>
      </c>
      <c r="F56" s="242"/>
      <c r="G56" s="242"/>
      <c r="H56" s="242"/>
      <c r="I56" s="242"/>
      <c r="J56" s="242"/>
      <c r="K56" s="242">
        <v>0</v>
      </c>
      <c r="L56" s="242">
        <v>0</v>
      </c>
      <c r="M56" s="242">
        <v>0</v>
      </c>
      <c r="N56" s="242">
        <v>0</v>
      </c>
      <c r="O56" s="242">
        <v>0</v>
      </c>
    </row>
    <row r="57" spans="1:15">
      <c r="A57" t="s">
        <v>33</v>
      </c>
      <c r="B57" t="s">
        <v>235</v>
      </c>
      <c r="C57" t="s">
        <v>234</v>
      </c>
      <c r="D57" t="s">
        <v>74</v>
      </c>
      <c r="E57" t="s">
        <v>182</v>
      </c>
      <c r="F57" s="242">
        <v>0.74663718354367503</v>
      </c>
      <c r="G57" s="242">
        <v>1.0175551671811001</v>
      </c>
      <c r="H57" s="242">
        <v>1.26668369870061</v>
      </c>
      <c r="I57" s="242">
        <v>1.54219654816741</v>
      </c>
      <c r="J57" s="242">
        <v>2.1135864302392799</v>
      </c>
      <c r="K57" s="242">
        <v>1.8115353301336199</v>
      </c>
      <c r="L57" s="242">
        <v>1.5981721659858501</v>
      </c>
      <c r="M57" s="242">
        <v>1.32879557429517</v>
      </c>
      <c r="N57" s="242">
        <v>1.0607144179216701</v>
      </c>
      <c r="O57" s="242">
        <v>0.64324654670201198</v>
      </c>
    </row>
    <row r="58" spans="1:15">
      <c r="A58" t="s">
        <v>33</v>
      </c>
      <c r="B58" t="s">
        <v>237</v>
      </c>
      <c r="C58" t="s">
        <v>236</v>
      </c>
      <c r="D58" t="s">
        <v>74</v>
      </c>
      <c r="E58" t="s">
        <v>182</v>
      </c>
      <c r="F58" s="242">
        <v>5.03202284179909E-2</v>
      </c>
      <c r="G58" s="242">
        <v>5.03202284179909E-2</v>
      </c>
      <c r="H58" s="242">
        <v>7.7857348951715505E-2</v>
      </c>
      <c r="I58" s="242">
        <v>9.1849196005673095E-2</v>
      </c>
      <c r="J58" s="242">
        <v>9.3844783337518806E-2</v>
      </c>
      <c r="K58" s="242">
        <v>9.3700242513029705E-2</v>
      </c>
      <c r="L58" s="242">
        <v>9.3696695822389195E-2</v>
      </c>
      <c r="M58" s="242">
        <v>9.3609990750743499E-2</v>
      </c>
      <c r="N58" s="242">
        <v>9.3562885006038404E-2</v>
      </c>
      <c r="O58" s="242">
        <v>9.1164032470594195E-2</v>
      </c>
    </row>
    <row r="59" spans="1:15">
      <c r="A59" t="s">
        <v>33</v>
      </c>
      <c r="B59" t="s">
        <v>239</v>
      </c>
      <c r="C59" t="s">
        <v>238</v>
      </c>
      <c r="D59" t="s">
        <v>74</v>
      </c>
      <c r="E59" t="s">
        <v>182</v>
      </c>
      <c r="F59" s="242"/>
      <c r="G59" s="242"/>
      <c r="H59" s="242"/>
      <c r="I59" s="242"/>
      <c r="J59" s="242"/>
      <c r="K59" s="242">
        <v>0.14861678027559699</v>
      </c>
      <c r="L59" s="242">
        <v>0.21648387132531</v>
      </c>
      <c r="M59" s="242">
        <v>0.28391555734997798</v>
      </c>
      <c r="N59" s="242">
        <v>0.33542800058945998</v>
      </c>
      <c r="O59" s="242">
        <v>0.36215305352194999</v>
      </c>
    </row>
    <row r="60" spans="1:15">
      <c r="A60" t="s">
        <v>33</v>
      </c>
      <c r="B60" t="s">
        <v>241</v>
      </c>
      <c r="C60" t="s">
        <v>240</v>
      </c>
      <c r="D60" t="s">
        <v>74</v>
      </c>
      <c r="E60" t="s">
        <v>182</v>
      </c>
      <c r="F60" s="242"/>
      <c r="G60" s="242"/>
      <c r="H60" s="242"/>
      <c r="I60" s="242"/>
      <c r="J60" s="242"/>
      <c r="K60" s="242">
        <v>9.6427312613208693E-2</v>
      </c>
      <c r="L60" s="242">
        <v>0.150980847900784</v>
      </c>
      <c r="M60" s="242">
        <v>0.19422681968528299</v>
      </c>
      <c r="N60" s="242">
        <v>0.227112936295847</v>
      </c>
      <c r="O60" s="242">
        <v>0.26280562072014502</v>
      </c>
    </row>
    <row r="61" spans="1:15">
      <c r="A61" t="s">
        <v>46</v>
      </c>
      <c r="B61" t="s">
        <v>78</v>
      </c>
      <c r="C61" t="s">
        <v>132</v>
      </c>
      <c r="D61" t="s">
        <v>74</v>
      </c>
      <c r="E61" t="s">
        <v>182</v>
      </c>
      <c r="F61" s="242">
        <v>84.637002755000907</v>
      </c>
      <c r="G61" s="242">
        <v>83.888847824360596</v>
      </c>
      <c r="H61" s="242">
        <v>90.592684773300803</v>
      </c>
      <c r="I61" s="242">
        <v>90.491202188613798</v>
      </c>
      <c r="J61" s="242">
        <v>91.450601219653606</v>
      </c>
      <c r="K61" s="242">
        <v>92.243320382017501</v>
      </c>
      <c r="L61" s="242">
        <v>93.909104637880006</v>
      </c>
      <c r="M61" s="242">
        <v>95.682634304043503</v>
      </c>
      <c r="N61" s="242">
        <v>98.490163583470405</v>
      </c>
      <c r="O61" s="242">
        <v>101.857419071482</v>
      </c>
    </row>
    <row r="62" spans="1:15">
      <c r="A62" t="s">
        <v>46</v>
      </c>
      <c r="B62" t="s">
        <v>97</v>
      </c>
      <c r="C62" t="s">
        <v>99</v>
      </c>
      <c r="D62" t="s">
        <v>74</v>
      </c>
      <c r="E62" t="s">
        <v>182</v>
      </c>
      <c r="F62" s="242">
        <v>20.702770789194901</v>
      </c>
      <c r="G62" s="242">
        <v>22.355104608050802</v>
      </c>
      <c r="H62" s="242">
        <v>6.0033369875529701</v>
      </c>
      <c r="I62" s="242">
        <v>4.5619187208686398</v>
      </c>
      <c r="J62" s="242">
        <v>4.8201314110894398</v>
      </c>
      <c r="K62" s="242">
        <v>3.5064506078156401</v>
      </c>
      <c r="L62" s="242">
        <v>2.5334308112799699</v>
      </c>
      <c r="M62" s="242">
        <v>2.2258735380328898</v>
      </c>
      <c r="N62" s="242">
        <v>1.5701797126478301</v>
      </c>
      <c r="O62" s="242">
        <v>1.2916343431078701</v>
      </c>
    </row>
    <row r="63" spans="1:15">
      <c r="A63" t="s">
        <v>46</v>
      </c>
      <c r="B63" t="s">
        <v>98</v>
      </c>
      <c r="C63" t="s">
        <v>100</v>
      </c>
      <c r="D63" t="s">
        <v>74</v>
      </c>
      <c r="E63" t="s">
        <v>182</v>
      </c>
      <c r="F63" s="242"/>
      <c r="G63" s="242"/>
      <c r="H63" s="242"/>
      <c r="I63" s="242"/>
      <c r="J63" s="242"/>
      <c r="K63" s="242">
        <v>0.132377631915924</v>
      </c>
      <c r="L63" s="242">
        <v>0.51912235442594801</v>
      </c>
      <c r="M63" s="242">
        <v>1.20590720239663</v>
      </c>
      <c r="N63" s="242">
        <v>2.0730909570652201</v>
      </c>
      <c r="O63" s="242">
        <v>2.7085940040474399</v>
      </c>
    </row>
    <row r="64" spans="1:15">
      <c r="A64" t="s">
        <v>46</v>
      </c>
      <c r="B64" t="s">
        <v>79</v>
      </c>
      <c r="C64" t="s">
        <v>135</v>
      </c>
      <c r="D64" t="s">
        <v>74</v>
      </c>
      <c r="E64" t="s">
        <v>182</v>
      </c>
      <c r="F64" s="242">
        <v>0.75770995448724299</v>
      </c>
      <c r="G64" s="242">
        <v>0.77680888165061301</v>
      </c>
      <c r="H64" s="242">
        <v>0.72286299192560599</v>
      </c>
      <c r="I64" s="242">
        <v>0.791916751425077</v>
      </c>
      <c r="J64" s="242">
        <v>0.81812161853710097</v>
      </c>
      <c r="K64" s="242">
        <v>0.79497634639068304</v>
      </c>
      <c r="L64" s="242">
        <v>0.80809378792995101</v>
      </c>
      <c r="M64" s="242">
        <v>0.82216489792728598</v>
      </c>
      <c r="N64" s="242">
        <v>0.86852745698713996</v>
      </c>
      <c r="O64" s="242">
        <v>0.92193395808182899</v>
      </c>
    </row>
    <row r="65" spans="1:15">
      <c r="A65" t="s">
        <v>46</v>
      </c>
      <c r="B65" t="s">
        <v>80</v>
      </c>
      <c r="C65" t="s">
        <v>136</v>
      </c>
      <c r="D65" t="s">
        <v>74</v>
      </c>
      <c r="E65" t="s">
        <v>182</v>
      </c>
      <c r="F65" s="242">
        <v>0.15550090390997501</v>
      </c>
      <c r="G65" s="242">
        <v>0.18261271101007401</v>
      </c>
      <c r="H65" s="242">
        <v>9.7761709858962806E-2</v>
      </c>
      <c r="I65" s="242">
        <v>0.106927261543727</v>
      </c>
      <c r="J65" s="242">
        <v>0.15150661418764699</v>
      </c>
      <c r="K65" s="242">
        <v>0.15665783907002701</v>
      </c>
      <c r="L65" s="242">
        <v>0.16198420559840801</v>
      </c>
      <c r="M65" s="242">
        <v>0.16765365279435199</v>
      </c>
      <c r="N65" s="242">
        <v>0.173186223336566</v>
      </c>
      <c r="O65" s="242">
        <v>0.17855499625999899</v>
      </c>
    </row>
    <row r="66" spans="1:15">
      <c r="A66" t="s">
        <v>46</v>
      </c>
      <c r="B66" t="s">
        <v>81</v>
      </c>
      <c r="C66" t="s">
        <v>137</v>
      </c>
      <c r="D66" t="s">
        <v>74</v>
      </c>
      <c r="E66" t="s">
        <v>182</v>
      </c>
      <c r="F66" s="242">
        <v>8.0228885379305304</v>
      </c>
      <c r="G66" s="242">
        <v>8.2710197751152599</v>
      </c>
      <c r="H66" s="242">
        <v>7.7357295372195303</v>
      </c>
      <c r="I66" s="242">
        <v>8.4747094172008293</v>
      </c>
      <c r="J66" s="242">
        <v>8.7551412096728605</v>
      </c>
      <c r="K66" s="242">
        <v>8.5074517202537496</v>
      </c>
      <c r="L66" s="242">
        <v>8.6478282246557097</v>
      </c>
      <c r="M66" s="242">
        <v>8.7984104268762007</v>
      </c>
      <c r="N66" s="242">
        <v>9.2945600728623798</v>
      </c>
      <c r="O66" s="242">
        <v>9.8660905739566296</v>
      </c>
    </row>
    <row r="67" spans="1:15">
      <c r="A67" t="s">
        <v>46</v>
      </c>
      <c r="B67" t="s">
        <v>82</v>
      </c>
      <c r="C67" t="s">
        <v>89</v>
      </c>
      <c r="D67" t="s">
        <v>183</v>
      </c>
      <c r="E67" t="s">
        <v>182</v>
      </c>
      <c r="F67" s="242">
        <v>165.81044</v>
      </c>
      <c r="G67" s="242">
        <v>163.685</v>
      </c>
      <c r="H67" s="242">
        <v>159.43299999999999</v>
      </c>
      <c r="I67" s="242">
        <v>155.49700000000001</v>
      </c>
      <c r="J67" s="242">
        <v>152.13499999999999</v>
      </c>
      <c r="K67" s="242">
        <v>148.935</v>
      </c>
      <c r="L67" s="242">
        <v>145.66900000000001</v>
      </c>
      <c r="M67" s="242">
        <v>142.45599999999999</v>
      </c>
      <c r="N67" s="242">
        <v>139.298</v>
      </c>
      <c r="O67" s="242">
        <v>136.191</v>
      </c>
    </row>
    <row r="68" spans="1:15">
      <c r="A68" t="s">
        <v>46</v>
      </c>
      <c r="B68" t="s">
        <v>87</v>
      </c>
      <c r="C68" t="s">
        <v>90</v>
      </c>
      <c r="D68" t="s">
        <v>183</v>
      </c>
      <c r="E68" t="s">
        <v>182</v>
      </c>
      <c r="F68" s="242">
        <v>93.694220000000001</v>
      </c>
      <c r="G68" s="242">
        <v>95.864999999999995</v>
      </c>
      <c r="H68" s="242">
        <v>100.205</v>
      </c>
      <c r="I68" s="242">
        <v>104.505</v>
      </c>
      <c r="J68" s="242">
        <v>109.024</v>
      </c>
      <c r="K68" s="242">
        <v>113.721</v>
      </c>
      <c r="L68" s="242">
        <v>118.38800000000001</v>
      </c>
      <c r="M68" s="242">
        <v>123.16200000000001</v>
      </c>
      <c r="N68" s="242">
        <v>128.04599999999999</v>
      </c>
      <c r="O68" s="242">
        <v>133.03899999999999</v>
      </c>
    </row>
    <row r="69" spans="1:15">
      <c r="A69" t="s">
        <v>46</v>
      </c>
      <c r="B69" t="s">
        <v>83</v>
      </c>
      <c r="C69" t="s">
        <v>91</v>
      </c>
      <c r="D69" t="s">
        <v>183</v>
      </c>
      <c r="E69" t="s">
        <v>182</v>
      </c>
      <c r="F69" s="242">
        <v>496.77</v>
      </c>
      <c r="G69" s="242">
        <v>492.81400000000002</v>
      </c>
      <c r="H69" s="242">
        <v>484.90100000000001</v>
      </c>
      <c r="I69" s="242">
        <v>478.077</v>
      </c>
      <c r="J69" s="242">
        <v>468.68799999999999</v>
      </c>
      <c r="K69" s="242">
        <v>457.61399999999998</v>
      </c>
      <c r="L69" s="242">
        <v>448.42399999999998</v>
      </c>
      <c r="M69" s="242">
        <v>439.05799999999999</v>
      </c>
      <c r="N69" s="242">
        <v>429.61200000000002</v>
      </c>
      <c r="O69" s="242">
        <v>420.22300000000001</v>
      </c>
    </row>
    <row r="70" spans="1:15">
      <c r="A70" t="s">
        <v>46</v>
      </c>
      <c r="B70" t="s">
        <v>84</v>
      </c>
      <c r="C70" t="s">
        <v>92</v>
      </c>
      <c r="D70" t="s">
        <v>183</v>
      </c>
      <c r="E70" t="s">
        <v>182</v>
      </c>
      <c r="F70" s="242">
        <v>189.93</v>
      </c>
      <c r="G70" s="242">
        <v>196.63399999999999</v>
      </c>
      <c r="H70" s="242">
        <v>210.042</v>
      </c>
      <c r="I70" s="242">
        <v>223.54300000000001</v>
      </c>
      <c r="J70" s="242">
        <v>235.03299999999999</v>
      </c>
      <c r="K70" s="242">
        <v>245.434</v>
      </c>
      <c r="L70" s="242">
        <v>256.99700000000001</v>
      </c>
      <c r="M70" s="242">
        <v>268.89</v>
      </c>
      <c r="N70" s="242">
        <v>281.012</v>
      </c>
      <c r="O70" s="242">
        <v>293.17200000000003</v>
      </c>
    </row>
    <row r="71" spans="1:15">
      <c r="A71" t="s">
        <v>46</v>
      </c>
      <c r="B71" t="s">
        <v>85</v>
      </c>
      <c r="C71" t="s">
        <v>93</v>
      </c>
      <c r="D71" t="s">
        <v>183</v>
      </c>
      <c r="E71" t="s">
        <v>182</v>
      </c>
      <c r="F71" s="242">
        <v>1847.9069999999999</v>
      </c>
      <c r="G71" s="242">
        <v>1832.424</v>
      </c>
      <c r="H71" s="242">
        <v>1801.4580000000001</v>
      </c>
      <c r="I71" s="242">
        <v>1768.6469999999999</v>
      </c>
      <c r="J71" s="242">
        <v>1730.471</v>
      </c>
      <c r="K71" s="242">
        <v>1690.922</v>
      </c>
      <c r="L71" s="242">
        <v>1653.8330000000001</v>
      </c>
      <c r="M71" s="242">
        <v>1617.3630000000001</v>
      </c>
      <c r="N71" s="242">
        <v>1581.5</v>
      </c>
      <c r="O71" s="242">
        <v>1546.2339999999999</v>
      </c>
    </row>
    <row r="72" spans="1:15">
      <c r="A72" t="s">
        <v>46</v>
      </c>
      <c r="B72" t="s">
        <v>86</v>
      </c>
      <c r="C72" t="s">
        <v>94</v>
      </c>
      <c r="D72" t="s">
        <v>183</v>
      </c>
      <c r="E72" t="s">
        <v>182</v>
      </c>
      <c r="F72" s="242">
        <v>992.06600000000003</v>
      </c>
      <c r="G72" s="242">
        <v>1017.944</v>
      </c>
      <c r="H72" s="242">
        <v>1069.6990000000001</v>
      </c>
      <c r="I72" s="242">
        <v>1118.6849999999999</v>
      </c>
      <c r="J72" s="242">
        <v>1167.05</v>
      </c>
      <c r="K72" s="242">
        <v>1216.989</v>
      </c>
      <c r="L72" s="242">
        <v>1266.9280000000001</v>
      </c>
      <c r="M72" s="242">
        <v>1318.0219999999999</v>
      </c>
      <c r="N72" s="242">
        <v>1370.2819999999999</v>
      </c>
      <c r="O72" s="242">
        <v>1423.7190000000001</v>
      </c>
    </row>
    <row r="73" spans="1:15">
      <c r="A73" t="s">
        <v>46</v>
      </c>
      <c r="B73" t="s">
        <v>174</v>
      </c>
      <c r="C73" t="s">
        <v>184</v>
      </c>
      <c r="D73" t="s">
        <v>74</v>
      </c>
      <c r="E73" t="s">
        <v>182</v>
      </c>
      <c r="F73" s="242"/>
      <c r="G73" s="242"/>
      <c r="H73" s="242"/>
      <c r="I73" s="242"/>
      <c r="J73" s="242">
        <v>0</v>
      </c>
      <c r="K73" s="242">
        <v>1.24057028066067</v>
      </c>
      <c r="L73" s="242">
        <v>1.7318184013889799</v>
      </c>
      <c r="M73" s="242">
        <v>2.1006659162080701</v>
      </c>
      <c r="N73" s="242">
        <v>2.2724695094275602</v>
      </c>
      <c r="O73" s="242">
        <v>2.1796518377552001</v>
      </c>
    </row>
    <row r="74" spans="1:15">
      <c r="A74" t="s">
        <v>46</v>
      </c>
      <c r="B74" t="s">
        <v>156</v>
      </c>
      <c r="C74" t="s">
        <v>157</v>
      </c>
      <c r="D74" t="s">
        <v>74</v>
      </c>
      <c r="E74" t="s">
        <v>182</v>
      </c>
      <c r="F74" s="242">
        <v>1.3428982193499801</v>
      </c>
      <c r="G74" s="242">
        <v>-1.8716445359296401</v>
      </c>
      <c r="H74" s="242">
        <v>0.736607465780447</v>
      </c>
      <c r="I74" s="242">
        <v>0.73048407699404705</v>
      </c>
      <c r="J74" s="242">
        <v>3.9557137551573498</v>
      </c>
      <c r="K74" s="242">
        <v>5.0224790648926101</v>
      </c>
      <c r="L74" s="242">
        <v>5.4332948863541803</v>
      </c>
      <c r="M74" s="242">
        <v>6.4632086662657402</v>
      </c>
      <c r="N74" s="242">
        <v>7.4826720045710102</v>
      </c>
      <c r="O74" s="242">
        <v>8.9121956228238002</v>
      </c>
    </row>
    <row r="75" spans="1:15">
      <c r="A75" t="s">
        <v>46</v>
      </c>
      <c r="B75" t="s">
        <v>159</v>
      </c>
      <c r="C75" t="s">
        <v>158</v>
      </c>
      <c r="D75" t="s">
        <v>74</v>
      </c>
      <c r="E75" t="s">
        <v>182</v>
      </c>
      <c r="F75" s="242"/>
      <c r="G75" s="242"/>
      <c r="H75" s="242"/>
      <c r="I75" s="242"/>
      <c r="J75" s="242"/>
      <c r="K75" s="242">
        <v>0.236645130527294</v>
      </c>
      <c r="L75" s="242">
        <v>0.74598648143025303</v>
      </c>
      <c r="M75" s="242">
        <v>1.1361871485702599</v>
      </c>
      <c r="N75" s="242">
        <v>1.3321029674834</v>
      </c>
      <c r="O75" s="242">
        <v>1.2682467921609899</v>
      </c>
    </row>
    <row r="76" spans="1:15">
      <c r="A76" t="s">
        <v>46</v>
      </c>
      <c r="B76" t="s">
        <v>235</v>
      </c>
      <c r="C76" t="s">
        <v>234</v>
      </c>
      <c r="D76" t="s">
        <v>74</v>
      </c>
      <c r="E76" t="s">
        <v>182</v>
      </c>
      <c r="F76" s="242">
        <v>0</v>
      </c>
      <c r="G76" s="242">
        <v>0</v>
      </c>
      <c r="H76" s="242">
        <v>7.2209651825974204</v>
      </c>
      <c r="I76" s="242">
        <v>9.2664149476056696</v>
      </c>
      <c r="J76" s="242">
        <v>5.7078799563108102</v>
      </c>
      <c r="K76" s="242">
        <v>4.8471525799800999</v>
      </c>
      <c r="L76" s="242">
        <v>3.10013281617681</v>
      </c>
      <c r="M76" s="242">
        <v>2.6722106431767201</v>
      </c>
      <c r="N76" s="242">
        <v>2.3564057442680202</v>
      </c>
      <c r="O76" s="242">
        <v>1.9802533563659701</v>
      </c>
    </row>
    <row r="77" spans="1:15">
      <c r="A77" t="s">
        <v>46</v>
      </c>
      <c r="B77" t="s">
        <v>237</v>
      </c>
      <c r="C77" t="s">
        <v>236</v>
      </c>
      <c r="D77" t="s">
        <v>74</v>
      </c>
      <c r="E77" t="s">
        <v>182</v>
      </c>
      <c r="F77" s="242">
        <v>0</v>
      </c>
      <c r="G77" s="242">
        <v>0</v>
      </c>
      <c r="H77" s="242">
        <v>0</v>
      </c>
      <c r="I77" s="242">
        <v>0</v>
      </c>
      <c r="J77" s="242">
        <v>0</v>
      </c>
      <c r="K77" s="242">
        <v>0</v>
      </c>
      <c r="L77" s="242">
        <v>0</v>
      </c>
      <c r="M77" s="242">
        <v>0</v>
      </c>
      <c r="N77" s="242">
        <v>0</v>
      </c>
      <c r="O77" s="242">
        <v>0</v>
      </c>
    </row>
    <row r="78" spans="1:15">
      <c r="A78" t="s">
        <v>46</v>
      </c>
      <c r="B78" t="s">
        <v>239</v>
      </c>
      <c r="C78" t="s">
        <v>238</v>
      </c>
      <c r="D78" t="s">
        <v>74</v>
      </c>
      <c r="E78" t="s">
        <v>182</v>
      </c>
      <c r="F78" s="242"/>
      <c r="G78" s="242"/>
      <c r="H78" s="242"/>
      <c r="I78" s="242"/>
      <c r="J78" s="242"/>
      <c r="K78" s="242">
        <v>0.41573798303645798</v>
      </c>
      <c r="L78" s="242">
        <v>1.15147702025892</v>
      </c>
      <c r="M78" s="242">
        <v>1.8922831549753001</v>
      </c>
      <c r="N78" s="242">
        <v>3.00125454410759</v>
      </c>
      <c r="O78" s="242">
        <v>3.6223145686733198</v>
      </c>
    </row>
    <row r="79" spans="1:15">
      <c r="A79" t="s">
        <v>46</v>
      </c>
      <c r="B79" t="s">
        <v>241</v>
      </c>
      <c r="C79" t="s">
        <v>240</v>
      </c>
      <c r="D79" t="s">
        <v>74</v>
      </c>
      <c r="E79" t="s">
        <v>182</v>
      </c>
      <c r="F79" s="242"/>
      <c r="G79" s="242"/>
      <c r="H79" s="242"/>
      <c r="I79" s="242"/>
      <c r="J79" s="242"/>
      <c r="K79" s="242">
        <v>6.1685082153583801E-2</v>
      </c>
      <c r="L79" s="242">
        <v>0.16192498681033801</v>
      </c>
      <c r="M79" s="242">
        <v>0.29894133469991402</v>
      </c>
      <c r="N79" s="242">
        <v>0.53638286571405802</v>
      </c>
      <c r="O79" s="242">
        <v>0.70020493283103602</v>
      </c>
    </row>
    <row r="80" spans="1:15">
      <c r="A80" t="s">
        <v>47</v>
      </c>
      <c r="B80" t="s">
        <v>78</v>
      </c>
      <c r="C80" t="s">
        <v>132</v>
      </c>
      <c r="D80" t="s">
        <v>74</v>
      </c>
      <c r="E80" t="s">
        <v>182</v>
      </c>
      <c r="F80" s="242">
        <v>27.1789473980403</v>
      </c>
      <c r="G80" s="242">
        <v>27.245040750794502</v>
      </c>
      <c r="H80" s="242">
        <v>28.348216565148299</v>
      </c>
      <c r="I80" s="242">
        <v>28.3550202926377</v>
      </c>
      <c r="J80" s="242">
        <v>27.9633199814619</v>
      </c>
      <c r="K80" s="242">
        <v>19.2584366393008</v>
      </c>
      <c r="L80" s="242">
        <v>19.357576668432198</v>
      </c>
      <c r="M80" s="242">
        <v>19.421726099046602</v>
      </c>
      <c r="N80" s="242">
        <v>19.446025125794499</v>
      </c>
      <c r="O80" s="242">
        <v>19.449912970074099</v>
      </c>
    </row>
    <row r="81" spans="1:15">
      <c r="A81" t="s">
        <v>47</v>
      </c>
      <c r="B81" t="s">
        <v>97</v>
      </c>
      <c r="C81" t="s">
        <v>99</v>
      </c>
      <c r="D81" t="s">
        <v>74</v>
      </c>
      <c r="E81" t="s">
        <v>182</v>
      </c>
      <c r="F81" s="242">
        <v>2.67386490333686</v>
      </c>
      <c r="G81" s="242">
        <v>2.7973039592161002</v>
      </c>
      <c r="H81" s="242">
        <v>3.1238828787076298</v>
      </c>
      <c r="I81" s="242">
        <v>3.1705370100635601</v>
      </c>
      <c r="J81" s="242">
        <v>3.0334904992055098</v>
      </c>
      <c r="K81" s="242">
        <v>0</v>
      </c>
      <c r="L81" s="242">
        <v>0</v>
      </c>
      <c r="M81" s="242">
        <v>0</v>
      </c>
      <c r="N81" s="242">
        <v>0</v>
      </c>
      <c r="O81" s="242">
        <v>0</v>
      </c>
    </row>
    <row r="82" spans="1:15">
      <c r="A82" t="s">
        <v>47</v>
      </c>
      <c r="B82" t="s">
        <v>98</v>
      </c>
      <c r="C82" t="s">
        <v>100</v>
      </c>
      <c r="D82" t="s">
        <v>74</v>
      </c>
      <c r="E82" t="s">
        <v>182</v>
      </c>
      <c r="F82" s="242"/>
      <c r="G82" s="242"/>
      <c r="H82" s="242"/>
      <c r="I82" s="242"/>
      <c r="J82" s="242"/>
      <c r="K82" s="242">
        <v>0.132186705508475</v>
      </c>
      <c r="L82" s="242">
        <v>0.42183110434322002</v>
      </c>
      <c r="M82" s="242">
        <v>0.68134471001059305</v>
      </c>
      <c r="N82" s="242">
        <v>0.89128830111228796</v>
      </c>
      <c r="O82" s="242">
        <v>1.08470855402542</v>
      </c>
    </row>
    <row r="83" spans="1:15">
      <c r="A83" t="s">
        <v>47</v>
      </c>
      <c r="B83" t="s">
        <v>79</v>
      </c>
      <c r="C83" t="s">
        <v>135</v>
      </c>
      <c r="D83" t="s">
        <v>74</v>
      </c>
      <c r="E83" t="s">
        <v>182</v>
      </c>
      <c r="F83" s="242">
        <v>7.6784924523305098E-2</v>
      </c>
      <c r="G83" s="242">
        <v>7.5812963453389795E-2</v>
      </c>
      <c r="H83" s="242">
        <v>7.1925119173728805E-2</v>
      </c>
      <c r="I83" s="242">
        <v>7.8728846663135593E-2</v>
      </c>
      <c r="J83" s="242">
        <v>7.8728846663135593E-2</v>
      </c>
      <c r="K83" s="242">
        <v>8.1644729872881405E-2</v>
      </c>
      <c r="L83" s="242">
        <v>8.5532574152542395E-2</v>
      </c>
      <c r="M83" s="242">
        <v>9.0392379502118606E-2</v>
      </c>
      <c r="N83" s="242">
        <v>9.4280223781779707E-2</v>
      </c>
      <c r="O83" s="242">
        <v>9.4280223781779707E-2</v>
      </c>
    </row>
    <row r="84" spans="1:15">
      <c r="A84" t="s">
        <v>47</v>
      </c>
      <c r="B84" t="s">
        <v>80</v>
      </c>
      <c r="C84" t="s">
        <v>136</v>
      </c>
      <c r="D84" t="s">
        <v>74</v>
      </c>
      <c r="E84" t="s">
        <v>182</v>
      </c>
      <c r="F84" s="242">
        <v>0</v>
      </c>
      <c r="G84" s="242">
        <v>0</v>
      </c>
      <c r="H84" s="242">
        <v>0</v>
      </c>
      <c r="I84" s="242">
        <v>0</v>
      </c>
      <c r="J84" s="242">
        <v>0</v>
      </c>
      <c r="K84" s="242">
        <v>0</v>
      </c>
      <c r="L84" s="242">
        <v>0</v>
      </c>
      <c r="M84" s="242">
        <v>0</v>
      </c>
      <c r="N84" s="242">
        <v>0</v>
      </c>
      <c r="O84" s="242">
        <v>0</v>
      </c>
    </row>
    <row r="85" spans="1:15">
      <c r="A85" t="s">
        <v>47</v>
      </c>
      <c r="B85" t="s">
        <v>81</v>
      </c>
      <c r="C85" t="s">
        <v>137</v>
      </c>
      <c r="D85" t="s">
        <v>74</v>
      </c>
      <c r="E85" t="s">
        <v>182</v>
      </c>
      <c r="F85" s="242">
        <v>1.5250069186970301</v>
      </c>
      <c r="G85" s="242">
        <v>1.49293220338983</v>
      </c>
      <c r="H85" s="242">
        <v>1.4200351231461901</v>
      </c>
      <c r="I85" s="242">
        <v>1.5298667240466099</v>
      </c>
      <c r="J85" s="242">
        <v>1.5007078919491501</v>
      </c>
      <c r="K85" s="242">
        <v>1.54444614009534</v>
      </c>
      <c r="L85" s="242">
        <v>1.5852685050317801</v>
      </c>
      <c r="M85" s="242">
        <v>1.6231749867584699</v>
      </c>
      <c r="N85" s="242">
        <v>1.6591375463453399</v>
      </c>
      <c r="O85" s="242">
        <v>1.6591375463453399</v>
      </c>
    </row>
    <row r="86" spans="1:15">
      <c r="A86" t="s">
        <v>47</v>
      </c>
      <c r="B86" t="s">
        <v>82</v>
      </c>
      <c r="C86" t="s">
        <v>89</v>
      </c>
      <c r="D86" t="s">
        <v>183</v>
      </c>
      <c r="E86" t="s">
        <v>182</v>
      </c>
      <c r="F86" s="242">
        <v>34.552</v>
      </c>
      <c r="G86" s="242">
        <v>33.71</v>
      </c>
      <c r="H86" s="242">
        <v>32.726999999999997</v>
      </c>
      <c r="I86" s="242">
        <v>32.115000000000002</v>
      </c>
      <c r="J86" s="242">
        <v>31.177</v>
      </c>
      <c r="K86" s="242">
        <v>30.221</v>
      </c>
      <c r="L86" s="242">
        <v>29.224</v>
      </c>
      <c r="M86" s="242">
        <v>28.206</v>
      </c>
      <c r="N86" s="242">
        <v>27.18</v>
      </c>
      <c r="O86" s="242">
        <v>26.161000000000001</v>
      </c>
    </row>
    <row r="87" spans="1:15">
      <c r="A87" t="s">
        <v>47</v>
      </c>
      <c r="B87" t="s">
        <v>87</v>
      </c>
      <c r="C87" t="s">
        <v>90</v>
      </c>
      <c r="D87" t="s">
        <v>183</v>
      </c>
      <c r="E87" t="s">
        <v>182</v>
      </c>
      <c r="F87" s="242">
        <v>24.471</v>
      </c>
      <c r="G87" s="242">
        <v>25.629000000000001</v>
      </c>
      <c r="H87" s="242">
        <v>26.748999999999999</v>
      </c>
      <c r="I87" s="242">
        <v>27.384</v>
      </c>
      <c r="J87" s="242">
        <v>28.978999999999999</v>
      </c>
      <c r="K87" s="242">
        <v>30.388000000000002</v>
      </c>
      <c r="L87" s="242">
        <v>31.841999999999999</v>
      </c>
      <c r="M87" s="242">
        <v>33.317</v>
      </c>
      <c r="N87" s="242">
        <v>34.787999999999997</v>
      </c>
      <c r="O87" s="242">
        <v>36.26</v>
      </c>
    </row>
    <row r="88" spans="1:15">
      <c r="A88" t="s">
        <v>47</v>
      </c>
      <c r="B88" t="s">
        <v>83</v>
      </c>
      <c r="C88" t="s">
        <v>91</v>
      </c>
      <c r="D88" t="s">
        <v>183</v>
      </c>
      <c r="E88" t="s">
        <v>182</v>
      </c>
      <c r="F88" s="242">
        <v>2.7669999999999999</v>
      </c>
      <c r="G88" s="242">
        <v>2.6949999999999998</v>
      </c>
      <c r="H88" s="242">
        <v>2.5939999999999999</v>
      </c>
      <c r="I88" s="242">
        <v>2.512</v>
      </c>
      <c r="J88" s="242">
        <v>2.4889999999999999</v>
      </c>
      <c r="K88" s="242">
        <v>2.4390000000000001</v>
      </c>
      <c r="L88" s="242">
        <v>2.395</v>
      </c>
      <c r="M88" s="242">
        <v>2.3559999999999999</v>
      </c>
      <c r="N88" s="242">
        <v>2.3220000000000001</v>
      </c>
      <c r="O88" s="242">
        <v>2.2919999999999998</v>
      </c>
    </row>
    <row r="89" spans="1:15">
      <c r="A89" t="s">
        <v>47</v>
      </c>
      <c r="B89" t="s">
        <v>84</v>
      </c>
      <c r="C89" t="s">
        <v>92</v>
      </c>
      <c r="D89" t="s">
        <v>183</v>
      </c>
      <c r="E89" t="s">
        <v>182</v>
      </c>
      <c r="F89" s="242">
        <v>1.8320000000000001</v>
      </c>
      <c r="G89" s="242">
        <v>1.9139999999999999</v>
      </c>
      <c r="H89" s="242">
        <v>2.0289999999999999</v>
      </c>
      <c r="I89" s="242">
        <v>2.089</v>
      </c>
      <c r="J89" s="242">
        <v>2.1659999999999999</v>
      </c>
      <c r="K89" s="242">
        <v>2.2360000000000002</v>
      </c>
      <c r="L89" s="242">
        <v>2.2989999999999999</v>
      </c>
      <c r="M89" s="242">
        <v>2.3570000000000002</v>
      </c>
      <c r="N89" s="242">
        <v>2.41</v>
      </c>
      <c r="O89" s="242">
        <v>2.4590000000000001</v>
      </c>
    </row>
    <row r="90" spans="1:15">
      <c r="A90" t="s">
        <v>47</v>
      </c>
      <c r="B90" t="s">
        <v>85</v>
      </c>
      <c r="C90" t="s">
        <v>93</v>
      </c>
      <c r="D90" t="s">
        <v>183</v>
      </c>
      <c r="E90" t="s">
        <v>182</v>
      </c>
      <c r="F90" s="242">
        <v>174.91200000000001</v>
      </c>
      <c r="G90" s="242">
        <v>160.74299999999999</v>
      </c>
      <c r="H90" s="242">
        <v>147.16399999999999</v>
      </c>
      <c r="I90" s="242">
        <v>137.31</v>
      </c>
      <c r="J90" s="242">
        <v>129.02799999999999</v>
      </c>
      <c r="K90" s="242">
        <v>120.35599999999999</v>
      </c>
      <c r="L90" s="242">
        <v>112.687</v>
      </c>
      <c r="M90" s="242">
        <v>105.905</v>
      </c>
      <c r="N90" s="242">
        <v>99.906999999999996</v>
      </c>
      <c r="O90" s="242">
        <v>94.605000000000004</v>
      </c>
    </row>
    <row r="91" spans="1:15">
      <c r="A91" t="s">
        <v>47</v>
      </c>
      <c r="B91" t="s">
        <v>86</v>
      </c>
      <c r="C91" t="s">
        <v>94</v>
      </c>
      <c r="D91" t="s">
        <v>183</v>
      </c>
      <c r="E91" t="s">
        <v>182</v>
      </c>
      <c r="F91" s="242">
        <v>459.73899999999998</v>
      </c>
      <c r="G91" s="242">
        <v>480.33</v>
      </c>
      <c r="H91" s="242">
        <v>499.99799999999999</v>
      </c>
      <c r="I91" s="242">
        <v>514.22400000000005</v>
      </c>
      <c r="J91" s="242">
        <v>527.04300000000001</v>
      </c>
      <c r="K91" s="242">
        <v>541.63400000000001</v>
      </c>
      <c r="L91" s="242">
        <v>555.29200000000003</v>
      </c>
      <c r="M91" s="242">
        <v>568.02099999999996</v>
      </c>
      <c r="N91" s="242">
        <v>579.80200000000002</v>
      </c>
      <c r="O91" s="242">
        <v>590.95699999999999</v>
      </c>
    </row>
    <row r="92" spans="1:15">
      <c r="A92" t="s">
        <v>47</v>
      </c>
      <c r="B92" t="s">
        <v>174</v>
      </c>
      <c r="C92" t="s">
        <v>184</v>
      </c>
      <c r="D92" t="s">
        <v>74</v>
      </c>
      <c r="E92" t="s">
        <v>182</v>
      </c>
      <c r="F92" s="242"/>
      <c r="G92" s="242"/>
      <c r="H92" s="242"/>
      <c r="I92" s="242"/>
      <c r="J92" s="242">
        <v>0</v>
      </c>
      <c r="K92" s="242">
        <v>0.5</v>
      </c>
      <c r="L92" s="242">
        <v>0.5</v>
      </c>
      <c r="M92" s="242">
        <v>0.5</v>
      </c>
      <c r="N92" s="242">
        <v>0.5</v>
      </c>
      <c r="O92" s="242">
        <v>0.5</v>
      </c>
    </row>
    <row r="93" spans="1:15">
      <c r="A93" t="s">
        <v>47</v>
      </c>
      <c r="B93" t="s">
        <v>156</v>
      </c>
      <c r="C93" t="s">
        <v>157</v>
      </c>
      <c r="D93" t="s">
        <v>74</v>
      </c>
      <c r="E93" t="s">
        <v>182</v>
      </c>
      <c r="F93" s="242">
        <v>0</v>
      </c>
      <c r="G93" s="242">
        <v>0</v>
      </c>
      <c r="H93" s="242">
        <v>0</v>
      </c>
      <c r="I93" s="242">
        <v>0</v>
      </c>
      <c r="J93" s="242">
        <v>0</v>
      </c>
      <c r="K93" s="242">
        <v>7.7397259997351702</v>
      </c>
      <c r="L93" s="242">
        <v>7.7397259997351702</v>
      </c>
      <c r="M93" s="242">
        <v>7.7397259997351702</v>
      </c>
      <c r="N93" s="242">
        <v>7.7397259997351702</v>
      </c>
      <c r="O93" s="242">
        <v>7.7397259997351702</v>
      </c>
    </row>
    <row r="94" spans="1:15">
      <c r="A94" t="s">
        <v>47</v>
      </c>
      <c r="B94" t="s">
        <v>159</v>
      </c>
      <c r="C94" t="s">
        <v>158</v>
      </c>
      <c r="D94" t="s">
        <v>74</v>
      </c>
      <c r="E94" t="s">
        <v>182</v>
      </c>
      <c r="F94" s="242"/>
      <c r="G94" s="242"/>
      <c r="H94" s="242"/>
      <c r="I94" s="242"/>
      <c r="J94" s="242"/>
      <c r="K94" s="242">
        <v>0</v>
      </c>
      <c r="L94" s="242">
        <v>0</v>
      </c>
      <c r="M94" s="242">
        <v>0</v>
      </c>
      <c r="N94" s="242">
        <v>0</v>
      </c>
      <c r="O94" s="242">
        <v>0</v>
      </c>
    </row>
    <row r="95" spans="1:15">
      <c r="A95" t="s">
        <v>47</v>
      </c>
      <c r="B95" t="s">
        <v>235</v>
      </c>
      <c r="C95" t="s">
        <v>234</v>
      </c>
      <c r="D95" t="s">
        <v>74</v>
      </c>
      <c r="E95" t="s">
        <v>182</v>
      </c>
      <c r="F95" s="242">
        <v>0</v>
      </c>
      <c r="G95" s="242">
        <v>0</v>
      </c>
      <c r="H95" s="242">
        <v>0</v>
      </c>
      <c r="I95" s="242">
        <v>0</v>
      </c>
      <c r="J95" s="242">
        <v>0</v>
      </c>
      <c r="K95" s="242">
        <v>1.9478099841101699</v>
      </c>
      <c r="L95" s="242">
        <v>1.36074549788136</v>
      </c>
      <c r="M95" s="242">
        <v>1.1585775953389801</v>
      </c>
      <c r="N95" s="242">
        <v>0.95446577065677995</v>
      </c>
      <c r="O95" s="242">
        <v>0.54721408236228797</v>
      </c>
    </row>
    <row r="96" spans="1:15">
      <c r="A96" t="s">
        <v>47</v>
      </c>
      <c r="B96" t="s">
        <v>237</v>
      </c>
      <c r="C96" t="s">
        <v>236</v>
      </c>
      <c r="D96" t="s">
        <v>74</v>
      </c>
      <c r="E96" t="s">
        <v>182</v>
      </c>
      <c r="F96" s="242">
        <v>0</v>
      </c>
      <c r="G96" s="242">
        <v>0</v>
      </c>
      <c r="H96" s="242">
        <v>0</v>
      </c>
      <c r="I96" s="242">
        <v>0</v>
      </c>
      <c r="J96" s="242">
        <v>0</v>
      </c>
      <c r="K96" s="242">
        <v>0</v>
      </c>
      <c r="L96" s="242">
        <v>0</v>
      </c>
      <c r="M96" s="242">
        <v>0</v>
      </c>
      <c r="N96" s="242">
        <v>0</v>
      </c>
      <c r="O96" s="242">
        <v>0</v>
      </c>
    </row>
    <row r="97" spans="1:15">
      <c r="A97" t="s">
        <v>47</v>
      </c>
      <c r="B97" t="s">
        <v>239</v>
      </c>
      <c r="C97" t="s">
        <v>238</v>
      </c>
      <c r="D97" t="s">
        <v>74</v>
      </c>
      <c r="E97" t="s">
        <v>182</v>
      </c>
      <c r="F97" s="242"/>
      <c r="G97" s="242"/>
      <c r="H97" s="242"/>
      <c r="I97" s="242"/>
      <c r="J97" s="242"/>
      <c r="K97" s="242">
        <v>0</v>
      </c>
      <c r="L97" s="242">
        <v>0</v>
      </c>
      <c r="M97" s="242">
        <v>0</v>
      </c>
      <c r="N97" s="242">
        <v>0</v>
      </c>
      <c r="O97" s="242">
        <v>0</v>
      </c>
    </row>
    <row r="98" spans="1:15">
      <c r="A98" t="s">
        <v>47</v>
      </c>
      <c r="B98" t="s">
        <v>241</v>
      </c>
      <c r="C98" t="s">
        <v>240</v>
      </c>
      <c r="D98" t="s">
        <v>74</v>
      </c>
      <c r="E98" t="s">
        <v>182</v>
      </c>
      <c r="F98" s="242"/>
      <c r="G98" s="242"/>
      <c r="H98" s="242"/>
      <c r="I98" s="242"/>
      <c r="J98" s="242"/>
      <c r="K98" s="242">
        <v>0</v>
      </c>
      <c r="L98" s="242">
        <v>0</v>
      </c>
      <c r="M98" s="242">
        <v>0</v>
      </c>
      <c r="N98" s="242">
        <v>0</v>
      </c>
      <c r="O98" s="242">
        <v>0</v>
      </c>
    </row>
    <row r="99" spans="1:15">
      <c r="A99" t="s">
        <v>48</v>
      </c>
      <c r="B99" t="s">
        <v>78</v>
      </c>
      <c r="C99" t="s">
        <v>132</v>
      </c>
      <c r="D99" t="s">
        <v>74</v>
      </c>
      <c r="E99" t="s">
        <v>182</v>
      </c>
      <c r="F99" s="242">
        <v>51.344570606139499</v>
      </c>
      <c r="G99" s="242">
        <v>51.121136253279602</v>
      </c>
      <c r="H99" s="242">
        <v>52.229774133994603</v>
      </c>
      <c r="I99" s="242">
        <v>60.727699806730001</v>
      </c>
      <c r="J99" s="242">
        <v>54.3486347337616</v>
      </c>
      <c r="K99" s="242">
        <v>53.4227667006638</v>
      </c>
      <c r="L99" s="242">
        <v>54.630050029084401</v>
      </c>
      <c r="M99" s="242">
        <v>53.963492638260298</v>
      </c>
      <c r="N99" s="242">
        <v>49.696064698587001</v>
      </c>
      <c r="O99" s="242">
        <v>49.757203763603201</v>
      </c>
    </row>
    <row r="100" spans="1:15">
      <c r="A100" t="s">
        <v>48</v>
      </c>
      <c r="B100" t="s">
        <v>97</v>
      </c>
      <c r="C100" t="s">
        <v>99</v>
      </c>
      <c r="D100" t="s">
        <v>74</v>
      </c>
      <c r="E100" t="s">
        <v>182</v>
      </c>
      <c r="F100" s="242">
        <v>6.6829999999999998</v>
      </c>
      <c r="G100" s="242">
        <v>7.7789999999999999</v>
      </c>
      <c r="H100" s="242">
        <v>6.9119999999999999</v>
      </c>
      <c r="I100" s="242">
        <v>8.3360000000000003</v>
      </c>
      <c r="J100" s="242">
        <v>7.6390000000000002</v>
      </c>
      <c r="K100" s="242">
        <v>5.0919999999999996</v>
      </c>
      <c r="L100" s="242">
        <v>4.4660000000000002</v>
      </c>
      <c r="M100" s="242">
        <v>4.0030000000000001</v>
      </c>
      <c r="N100" s="242">
        <v>3.38</v>
      </c>
      <c r="O100" s="242">
        <v>3.12</v>
      </c>
    </row>
    <row r="101" spans="1:15">
      <c r="A101" t="s">
        <v>48</v>
      </c>
      <c r="B101" t="s">
        <v>98</v>
      </c>
      <c r="C101" t="s">
        <v>100</v>
      </c>
      <c r="D101" t="s">
        <v>74</v>
      </c>
      <c r="E101" t="s">
        <v>182</v>
      </c>
      <c r="F101" s="242"/>
      <c r="G101" s="242"/>
      <c r="H101" s="242"/>
      <c r="I101" s="242"/>
      <c r="J101" s="242"/>
      <c r="K101" s="242">
        <v>0.13300000000000001</v>
      </c>
      <c r="L101" s="242">
        <v>0.40400000000000003</v>
      </c>
      <c r="M101" s="242">
        <v>0.67800000000000005</v>
      </c>
      <c r="N101" s="242">
        <v>0.95199999999999996</v>
      </c>
      <c r="O101" s="242">
        <v>1.2230000000000001</v>
      </c>
    </row>
    <row r="102" spans="1:15">
      <c r="A102" t="s">
        <v>48</v>
      </c>
      <c r="B102" t="s">
        <v>79</v>
      </c>
      <c r="C102" t="s">
        <v>135</v>
      </c>
      <c r="D102" t="s">
        <v>74</v>
      </c>
      <c r="E102" t="s">
        <v>182</v>
      </c>
      <c r="F102" s="242">
        <v>0.229737535347737</v>
      </c>
      <c r="G102" s="242">
        <v>0.25509981076273103</v>
      </c>
      <c r="H102" s="242">
        <v>0.294655004733273</v>
      </c>
      <c r="I102" s="242">
        <v>0.33918900396160001</v>
      </c>
      <c r="J102" s="242">
        <v>0.28608641732289602</v>
      </c>
      <c r="K102" s="242">
        <v>0.25118251174995299</v>
      </c>
      <c r="L102" s="242">
        <v>0.25356917838436799</v>
      </c>
      <c r="M102" s="242">
        <v>0.23508418621868599</v>
      </c>
      <c r="N102" s="242">
        <v>0.236987360355709</v>
      </c>
      <c r="O102" s="242">
        <v>0.22342123297687599</v>
      </c>
    </row>
    <row r="103" spans="1:15">
      <c r="A103" t="s">
        <v>48</v>
      </c>
      <c r="B103" t="s">
        <v>80</v>
      </c>
      <c r="C103" t="s">
        <v>136</v>
      </c>
      <c r="D103" t="s">
        <v>74</v>
      </c>
      <c r="E103" t="s">
        <v>182</v>
      </c>
      <c r="F103" s="242">
        <v>1.65045608903083</v>
      </c>
      <c r="G103" s="242">
        <v>1.6478848418465399</v>
      </c>
      <c r="H103" s="242">
        <v>1.8981005156584401</v>
      </c>
      <c r="I103" s="242">
        <v>2.13333579637488</v>
      </c>
      <c r="J103" s="242">
        <v>2.1253679092117501</v>
      </c>
      <c r="K103" s="242">
        <v>2.3623092053689798</v>
      </c>
      <c r="L103" s="242">
        <v>2.3752072808914</v>
      </c>
      <c r="M103" s="242">
        <v>2.36421125342906</v>
      </c>
      <c r="N103" s="242">
        <v>2.32858709848762</v>
      </c>
      <c r="O103" s="242">
        <v>2.4784567902608701</v>
      </c>
    </row>
    <row r="104" spans="1:15">
      <c r="A104" t="s">
        <v>48</v>
      </c>
      <c r="B104" t="s">
        <v>81</v>
      </c>
      <c r="C104" t="s">
        <v>137</v>
      </c>
      <c r="D104" t="s">
        <v>74</v>
      </c>
      <c r="E104" t="s">
        <v>182</v>
      </c>
      <c r="F104" s="242">
        <v>2.5680720780108799</v>
      </c>
      <c r="G104" s="242">
        <v>2.7855387277902799</v>
      </c>
      <c r="H104" s="242">
        <v>3.1651661048403299</v>
      </c>
      <c r="I104" s="242">
        <v>3.58877706428212</v>
      </c>
      <c r="J104" s="242">
        <v>3.0370366875133499</v>
      </c>
      <c r="K104" s="242">
        <v>3.1936212486056998</v>
      </c>
      <c r="L104" s="242">
        <v>3.2017433880762298</v>
      </c>
      <c r="M104" s="242">
        <v>2.9527253009476899</v>
      </c>
      <c r="N104" s="242">
        <v>2.9651256798614001</v>
      </c>
      <c r="O104" s="242">
        <v>2.79045165068379</v>
      </c>
    </row>
    <row r="105" spans="1:15">
      <c r="A105" t="s">
        <v>48</v>
      </c>
      <c r="B105" t="s">
        <v>82</v>
      </c>
      <c r="C105" t="s">
        <v>89</v>
      </c>
      <c r="D105" t="s">
        <v>183</v>
      </c>
      <c r="E105" t="s">
        <v>182</v>
      </c>
      <c r="F105" s="242">
        <v>46.537877728388601</v>
      </c>
      <c r="G105" s="242">
        <v>43.8311437158697</v>
      </c>
      <c r="H105" s="242">
        <v>34.100107801418403</v>
      </c>
      <c r="I105" s="242">
        <v>30.657</v>
      </c>
      <c r="J105" s="242">
        <v>16.083231262406901</v>
      </c>
      <c r="K105" s="242">
        <v>6.6303407958681397</v>
      </c>
      <c r="L105" s="242">
        <v>6.5968377284694597</v>
      </c>
      <c r="M105" s="242">
        <v>6.5633346610707699</v>
      </c>
      <c r="N105" s="242">
        <v>6.5298315936720899</v>
      </c>
      <c r="O105" s="242">
        <v>6.4963285262734001</v>
      </c>
    </row>
    <row r="106" spans="1:15">
      <c r="A106" t="s">
        <v>48</v>
      </c>
      <c r="B106" t="s">
        <v>87</v>
      </c>
      <c r="C106" t="s">
        <v>90</v>
      </c>
      <c r="D106" t="s">
        <v>183</v>
      </c>
      <c r="E106" t="s">
        <v>182</v>
      </c>
      <c r="F106" s="242">
        <v>34.699029197614401</v>
      </c>
      <c r="G106" s="242">
        <v>39.052813181612102</v>
      </c>
      <c r="H106" s="242">
        <v>39.836972843093399</v>
      </c>
      <c r="I106" s="242">
        <v>45.451000000000001</v>
      </c>
      <c r="J106" s="242">
        <v>60.5194847910779</v>
      </c>
      <c r="K106" s="242">
        <v>70.580510722633306</v>
      </c>
      <c r="L106" s="242">
        <v>71.194709843882094</v>
      </c>
      <c r="M106" s="242">
        <v>71.842871137946801</v>
      </c>
      <c r="N106" s="242">
        <v>72.455964546076501</v>
      </c>
      <c r="O106" s="242">
        <v>73.046670592544501</v>
      </c>
    </row>
    <row r="107" spans="1:15">
      <c r="A107" t="s">
        <v>48</v>
      </c>
      <c r="B107" t="s">
        <v>83</v>
      </c>
      <c r="C107" t="s">
        <v>91</v>
      </c>
      <c r="D107" t="s">
        <v>183</v>
      </c>
      <c r="E107" t="s">
        <v>182</v>
      </c>
      <c r="F107" s="242">
        <v>506.76196003549899</v>
      </c>
      <c r="G107" s="242">
        <v>479.69915104880101</v>
      </c>
      <c r="H107" s="242">
        <v>452.30331205673798</v>
      </c>
      <c r="I107" s="242">
        <v>416.75400000000002</v>
      </c>
      <c r="J107" s="242">
        <v>381.92899999999997</v>
      </c>
      <c r="K107" s="242">
        <v>347.05900000000003</v>
      </c>
      <c r="L107" s="242">
        <v>312.09899999999999</v>
      </c>
      <c r="M107" s="242">
        <v>277.13900000000001</v>
      </c>
      <c r="N107" s="242">
        <v>242.179</v>
      </c>
      <c r="O107" s="242">
        <v>207.21899999999999</v>
      </c>
    </row>
    <row r="108" spans="1:15">
      <c r="A108" t="s">
        <v>48</v>
      </c>
      <c r="B108" t="s">
        <v>84</v>
      </c>
      <c r="C108" t="s">
        <v>92</v>
      </c>
      <c r="D108" t="s">
        <v>183</v>
      </c>
      <c r="E108" t="s">
        <v>182</v>
      </c>
      <c r="F108" s="242">
        <v>371.82499431539998</v>
      </c>
      <c r="G108" s="242">
        <v>407.44562261436403</v>
      </c>
      <c r="H108" s="242">
        <v>403.83348245418</v>
      </c>
      <c r="I108" s="242">
        <v>450.66849999999999</v>
      </c>
      <c r="J108" s="242">
        <v>490.76821605348499</v>
      </c>
      <c r="K108" s="242">
        <v>533.21827628666301</v>
      </c>
      <c r="L108" s="242">
        <v>575.54872277417303</v>
      </c>
      <c r="M108" s="242">
        <v>618.34849284897302</v>
      </c>
      <c r="N108" s="242">
        <v>661.53042570671096</v>
      </c>
      <c r="O108" s="242">
        <v>704.107042687746</v>
      </c>
    </row>
    <row r="109" spans="1:15">
      <c r="A109" t="s">
        <v>48</v>
      </c>
      <c r="B109" t="s">
        <v>85</v>
      </c>
      <c r="C109" t="s">
        <v>93</v>
      </c>
      <c r="D109" t="s">
        <v>183</v>
      </c>
      <c r="E109" t="s">
        <v>182</v>
      </c>
      <c r="F109" s="242">
        <v>475.50490744204899</v>
      </c>
      <c r="G109" s="242">
        <v>447.98335458244799</v>
      </c>
      <c r="H109" s="242">
        <v>373.02808014184399</v>
      </c>
      <c r="I109" s="242">
        <v>259.81900000000002</v>
      </c>
      <c r="J109" s="242">
        <v>175.93776873759299</v>
      </c>
      <c r="K109" s="242">
        <v>72.530659204131894</v>
      </c>
      <c r="L109" s="242">
        <v>72.1641622715305</v>
      </c>
      <c r="M109" s="242">
        <v>71.797665338929207</v>
      </c>
      <c r="N109" s="242">
        <v>71.431168406327899</v>
      </c>
      <c r="O109" s="242">
        <v>71.064671473726605</v>
      </c>
    </row>
    <row r="110" spans="1:15">
      <c r="A110" t="s">
        <v>48</v>
      </c>
      <c r="B110" t="s">
        <v>86</v>
      </c>
      <c r="C110" t="s">
        <v>94</v>
      </c>
      <c r="D110" t="s">
        <v>183</v>
      </c>
      <c r="E110" t="s">
        <v>182</v>
      </c>
      <c r="F110" s="242">
        <v>350.90127693015</v>
      </c>
      <c r="G110" s="242">
        <v>387.06857381298602</v>
      </c>
      <c r="H110" s="242">
        <v>538.98004470272701</v>
      </c>
      <c r="I110" s="242">
        <v>655.28499999999997</v>
      </c>
      <c r="J110" s="242">
        <v>745.26851520892205</v>
      </c>
      <c r="K110" s="242">
        <v>856.17692828678298</v>
      </c>
      <c r="L110" s="242">
        <v>863.70626576650795</v>
      </c>
      <c r="M110" s="242">
        <v>871.65452399987305</v>
      </c>
      <c r="N110" s="242">
        <v>879.170222594488</v>
      </c>
      <c r="O110" s="242">
        <v>886.40977482855601</v>
      </c>
    </row>
    <row r="111" spans="1:15">
      <c r="A111" t="s">
        <v>48</v>
      </c>
      <c r="B111" t="s">
        <v>174</v>
      </c>
      <c r="C111" t="s">
        <v>184</v>
      </c>
      <c r="D111" t="s">
        <v>74</v>
      </c>
      <c r="E111" t="s">
        <v>182</v>
      </c>
      <c r="F111" s="242"/>
      <c r="G111" s="242"/>
      <c r="H111" s="242"/>
      <c r="I111" s="242"/>
      <c r="J111" s="242">
        <v>0</v>
      </c>
      <c r="K111" s="242">
        <v>0</v>
      </c>
      <c r="L111" s="242">
        <v>0</v>
      </c>
      <c r="M111" s="242">
        <v>0</v>
      </c>
      <c r="N111" s="242">
        <v>0</v>
      </c>
      <c r="O111" s="242">
        <v>0</v>
      </c>
    </row>
    <row r="112" spans="1:15">
      <c r="A112" t="s">
        <v>48</v>
      </c>
      <c r="B112" t="s">
        <v>156</v>
      </c>
      <c r="C112" t="s">
        <v>157</v>
      </c>
      <c r="D112" t="s">
        <v>74</v>
      </c>
      <c r="E112" t="s">
        <v>182</v>
      </c>
      <c r="F112" s="242">
        <v>2.3199999999999998</v>
      </c>
      <c r="G112" s="242">
        <v>2.34</v>
      </c>
      <c r="H112" s="242">
        <v>2.3578649600000001</v>
      </c>
      <c r="I112" s="242">
        <v>2.8680733668957998</v>
      </c>
      <c r="J112" s="242">
        <v>4.5606105565869699</v>
      </c>
      <c r="K112" s="242">
        <v>4.7949889092537603</v>
      </c>
      <c r="L112" s="242">
        <v>4.7139520810273599</v>
      </c>
      <c r="M112" s="242">
        <v>5.5336025372972397</v>
      </c>
      <c r="N112" s="242">
        <v>6.358383887924</v>
      </c>
      <c r="O112" s="242">
        <v>7.1119284603762001</v>
      </c>
    </row>
    <row r="113" spans="1:15">
      <c r="A113" t="s">
        <v>48</v>
      </c>
      <c r="B113" t="s">
        <v>159</v>
      </c>
      <c r="C113" t="s">
        <v>158</v>
      </c>
      <c r="D113" t="s">
        <v>74</v>
      </c>
      <c r="E113" t="s">
        <v>182</v>
      </c>
      <c r="F113" s="242"/>
      <c r="G113" s="242"/>
      <c r="H113" s="242"/>
      <c r="I113" s="242"/>
      <c r="J113" s="242"/>
      <c r="K113" s="242">
        <v>7.0000000000000097E-3</v>
      </c>
      <c r="L113" s="242">
        <v>2.4E-2</v>
      </c>
      <c r="M113" s="242">
        <v>4.7999999999999897E-2</v>
      </c>
      <c r="N113" s="242">
        <v>7.9000000000000001E-2</v>
      </c>
      <c r="O113" s="242">
        <v>0.11700000000000001</v>
      </c>
    </row>
    <row r="114" spans="1:15">
      <c r="A114" t="s">
        <v>48</v>
      </c>
      <c r="B114" t="s">
        <v>235</v>
      </c>
      <c r="C114" t="s">
        <v>234</v>
      </c>
      <c r="D114" t="s">
        <v>74</v>
      </c>
      <c r="E114" t="s">
        <v>182</v>
      </c>
      <c r="F114" s="242">
        <v>1.6536125526000001</v>
      </c>
      <c r="G114" s="242">
        <v>1.6907985108000001</v>
      </c>
      <c r="H114" s="242">
        <v>2.2394130890000001</v>
      </c>
      <c r="I114" s="242">
        <v>2.0891966804000002</v>
      </c>
      <c r="J114" s="242">
        <v>2.0461764410260002</v>
      </c>
      <c r="K114" s="242">
        <v>2.282675203628</v>
      </c>
      <c r="L114" s="242">
        <v>2.0620863914740002</v>
      </c>
      <c r="M114" s="242">
        <v>1.62122192309</v>
      </c>
      <c r="N114" s="242">
        <v>1.4140272536559999</v>
      </c>
      <c r="O114" s="242">
        <v>0.78928008669799998</v>
      </c>
    </row>
    <row r="115" spans="1:15">
      <c r="A115" t="s">
        <v>48</v>
      </c>
      <c r="B115" t="s">
        <v>237</v>
      </c>
      <c r="C115" t="s">
        <v>236</v>
      </c>
      <c r="D115" t="s">
        <v>74</v>
      </c>
      <c r="E115" t="s">
        <v>182</v>
      </c>
      <c r="F115" s="242">
        <v>0</v>
      </c>
      <c r="G115" s="242">
        <v>0</v>
      </c>
      <c r="H115" s="242">
        <v>0</v>
      </c>
      <c r="I115" s="242">
        <v>0</v>
      </c>
      <c r="J115" s="242">
        <v>0</v>
      </c>
      <c r="K115" s="242">
        <v>0</v>
      </c>
      <c r="L115" s="242">
        <v>0</v>
      </c>
      <c r="M115" s="242">
        <v>0</v>
      </c>
      <c r="N115" s="242">
        <v>0</v>
      </c>
      <c r="O115" s="242">
        <v>0</v>
      </c>
    </row>
    <row r="116" spans="1:15">
      <c r="A116" t="s">
        <v>48</v>
      </c>
      <c r="B116" t="s">
        <v>239</v>
      </c>
      <c r="C116" t="s">
        <v>238</v>
      </c>
      <c r="D116" t="s">
        <v>74</v>
      </c>
      <c r="E116" t="s">
        <v>182</v>
      </c>
      <c r="F116" s="242"/>
      <c r="G116" s="242"/>
      <c r="H116" s="242"/>
      <c r="I116" s="242"/>
      <c r="J116" s="242"/>
      <c r="K116" s="242">
        <v>0.134440387371733</v>
      </c>
      <c r="L116" s="242">
        <v>0.405334816880001</v>
      </c>
      <c r="M116" s="242">
        <v>0.67891411940800495</v>
      </c>
      <c r="N116" s="242">
        <v>0.95249342193600905</v>
      </c>
      <c r="O116" s="242">
        <v>1.22338785144428</v>
      </c>
    </row>
    <row r="117" spans="1:15">
      <c r="A117" t="s">
        <v>48</v>
      </c>
      <c r="B117" t="s">
        <v>241</v>
      </c>
      <c r="C117" t="s">
        <v>240</v>
      </c>
      <c r="D117" t="s">
        <v>74</v>
      </c>
      <c r="E117" t="s">
        <v>182</v>
      </c>
      <c r="F117" s="242"/>
      <c r="G117" s="242"/>
      <c r="H117" s="242"/>
      <c r="I117" s="242"/>
      <c r="J117" s="242"/>
      <c r="K117" s="242">
        <v>0</v>
      </c>
      <c r="L117" s="242">
        <v>0</v>
      </c>
      <c r="M117" s="242">
        <v>0</v>
      </c>
      <c r="N117" s="242">
        <v>0</v>
      </c>
      <c r="O117" s="242">
        <v>0</v>
      </c>
    </row>
    <row r="118" spans="1:15">
      <c r="A118" t="s">
        <v>49</v>
      </c>
      <c r="B118" t="s">
        <v>78</v>
      </c>
      <c r="C118" t="s">
        <v>132</v>
      </c>
      <c r="D118" t="s">
        <v>74</v>
      </c>
      <c r="E118" t="s">
        <v>182</v>
      </c>
      <c r="F118" s="242">
        <v>93.8750403204983</v>
      </c>
      <c r="G118" s="242">
        <v>117.061202345342</v>
      </c>
      <c r="H118" s="242">
        <v>161.75786329166201</v>
      </c>
      <c r="I118" s="242">
        <v>124.605760334184</v>
      </c>
      <c r="J118" s="242">
        <v>129.531397621427</v>
      </c>
      <c r="K118" s="242">
        <v>127.39551722776901</v>
      </c>
      <c r="L118" s="242">
        <v>130.57388935382599</v>
      </c>
      <c r="M118" s="242">
        <v>130.527885108574</v>
      </c>
      <c r="N118" s="242">
        <v>130.77412539493201</v>
      </c>
      <c r="O118" s="242">
        <v>127.464352370802</v>
      </c>
    </row>
    <row r="119" spans="1:15">
      <c r="A119" t="s">
        <v>49</v>
      </c>
      <c r="B119" t="s">
        <v>97</v>
      </c>
      <c r="C119" t="s">
        <v>99</v>
      </c>
      <c r="D119" t="s">
        <v>74</v>
      </c>
      <c r="E119" t="s">
        <v>182</v>
      </c>
      <c r="F119" s="242">
        <v>2.3375694684447401</v>
      </c>
      <c r="G119" s="242">
        <v>2.3453451673002701</v>
      </c>
      <c r="H119" s="242">
        <v>2.2743919152435299</v>
      </c>
      <c r="I119" s="242">
        <v>2.0080742294415099</v>
      </c>
      <c r="J119" s="242">
        <v>3.4611579530693199</v>
      </c>
      <c r="K119" s="242">
        <v>3.0927842197884301</v>
      </c>
      <c r="L119" s="242">
        <v>2.9557375274596498</v>
      </c>
      <c r="M119" s="242">
        <v>2.9557375274596498</v>
      </c>
      <c r="N119" s="242">
        <v>2.1354012982008701</v>
      </c>
      <c r="O119" s="242">
        <v>0.68231757457305997</v>
      </c>
    </row>
    <row r="120" spans="1:15">
      <c r="A120" t="s">
        <v>49</v>
      </c>
      <c r="B120" t="s">
        <v>98</v>
      </c>
      <c r="C120" t="s">
        <v>100</v>
      </c>
      <c r="D120" t="s">
        <v>74</v>
      </c>
      <c r="E120" t="s">
        <v>182</v>
      </c>
      <c r="F120" s="242"/>
      <c r="G120" s="242"/>
      <c r="H120" s="242"/>
      <c r="I120" s="242"/>
      <c r="J120" s="242"/>
      <c r="K120" s="242">
        <v>0.72216803120766804</v>
      </c>
      <c r="L120" s="242">
        <v>2.7438497336463601</v>
      </c>
      <c r="M120" s="242">
        <v>5.6296059714062103</v>
      </c>
      <c r="N120" s="242">
        <v>8.4813435266731005</v>
      </c>
      <c r="O120" s="242">
        <v>10.0636982437742</v>
      </c>
    </row>
    <row r="121" spans="1:15">
      <c r="A121" t="s">
        <v>49</v>
      </c>
      <c r="B121" t="s">
        <v>79</v>
      </c>
      <c r="C121" t="s">
        <v>135</v>
      </c>
      <c r="D121" t="s">
        <v>74</v>
      </c>
      <c r="E121" t="s">
        <v>182</v>
      </c>
      <c r="F121" s="242">
        <v>0.173009299535619</v>
      </c>
      <c r="G121" s="242">
        <v>0.179813036034211</v>
      </c>
      <c r="H121" s="242">
        <v>0.20314013260081101</v>
      </c>
      <c r="I121" s="242">
        <v>0.12897106956933299</v>
      </c>
      <c r="J121" s="242">
        <v>0.117087283863963</v>
      </c>
      <c r="K121" s="242">
        <v>0.1331654442713</v>
      </c>
      <c r="L121" s="242">
        <v>0.127602668844356</v>
      </c>
      <c r="M121" s="242">
        <v>0.118590065813774</v>
      </c>
      <c r="N121" s="242">
        <v>0.10752054011404</v>
      </c>
      <c r="O121" s="242">
        <v>9.8954670592440605E-2</v>
      </c>
    </row>
    <row r="122" spans="1:15">
      <c r="A122" t="s">
        <v>49</v>
      </c>
      <c r="B122" t="s">
        <v>80</v>
      </c>
      <c r="C122" t="s">
        <v>136</v>
      </c>
      <c r="D122" t="s">
        <v>74</v>
      </c>
      <c r="E122" t="s">
        <v>182</v>
      </c>
      <c r="F122" s="242">
        <v>1.89435463367934</v>
      </c>
      <c r="G122" s="242">
        <v>2.6165226648869999</v>
      </c>
      <c r="H122" s="242">
        <v>2.0654200085010701</v>
      </c>
      <c r="I122" s="242">
        <v>3.0876830547812499</v>
      </c>
      <c r="J122" s="242">
        <v>2.9752738632792401</v>
      </c>
      <c r="K122" s="242">
        <v>4.1549035910206404</v>
      </c>
      <c r="L122" s="242">
        <v>4.3600418233759299</v>
      </c>
      <c r="M122" s="242">
        <v>4.4155300171569198</v>
      </c>
      <c r="N122" s="242">
        <v>4.2814422739584801</v>
      </c>
      <c r="O122" s="242">
        <v>4.2170124692766997</v>
      </c>
    </row>
    <row r="123" spans="1:15">
      <c r="A123" t="s">
        <v>49</v>
      </c>
      <c r="B123" t="s">
        <v>81</v>
      </c>
      <c r="C123" t="s">
        <v>137</v>
      </c>
      <c r="D123" t="s">
        <v>74</v>
      </c>
      <c r="E123" t="s">
        <v>182</v>
      </c>
      <c r="F123" s="242">
        <v>12.065940699074</v>
      </c>
      <c r="G123" s="242">
        <v>12.831847036344101</v>
      </c>
      <c r="H123" s="242">
        <v>14.7028745734568</v>
      </c>
      <c r="I123" s="242">
        <v>11.850514907008501</v>
      </c>
      <c r="J123" s="242">
        <v>11.1546654032496</v>
      </c>
      <c r="K123" s="242">
        <v>14.093025996654999</v>
      </c>
      <c r="L123" s="242">
        <v>14.783983112121399</v>
      </c>
      <c r="M123" s="242">
        <v>15.237289276759601</v>
      </c>
      <c r="N123" s="242">
        <v>15.3258206681428</v>
      </c>
      <c r="O123" s="242">
        <v>15.515976436421401</v>
      </c>
    </row>
    <row r="124" spans="1:15">
      <c r="A124" t="s">
        <v>49</v>
      </c>
      <c r="B124" t="s">
        <v>82</v>
      </c>
      <c r="C124" t="s">
        <v>89</v>
      </c>
      <c r="D124" t="s">
        <v>183</v>
      </c>
      <c r="E124" t="s">
        <v>182</v>
      </c>
      <c r="F124" s="242">
        <v>33.268000000000001</v>
      </c>
      <c r="G124" s="242">
        <v>32.923999999999999</v>
      </c>
      <c r="H124" s="242">
        <v>32.362000000000002</v>
      </c>
      <c r="I124" s="242">
        <v>32.143000000000001</v>
      </c>
      <c r="J124" s="242">
        <v>32.143000000000001</v>
      </c>
      <c r="K124" s="242">
        <v>32.143000000000001</v>
      </c>
      <c r="L124" s="242">
        <v>32.143000000000001</v>
      </c>
      <c r="M124" s="242">
        <v>32.143000000000001</v>
      </c>
      <c r="N124" s="242">
        <v>32.143000000000001</v>
      </c>
      <c r="O124" s="242">
        <v>32.143000000000001</v>
      </c>
    </row>
    <row r="125" spans="1:15">
      <c r="A125" t="s">
        <v>49</v>
      </c>
      <c r="B125" t="s">
        <v>87</v>
      </c>
      <c r="C125" t="s">
        <v>90</v>
      </c>
      <c r="D125" t="s">
        <v>183</v>
      </c>
      <c r="E125" t="s">
        <v>182</v>
      </c>
      <c r="F125" s="242">
        <v>13.922000000000001</v>
      </c>
      <c r="G125" s="242">
        <v>14.316000000000001</v>
      </c>
      <c r="H125" s="242">
        <v>15.081</v>
      </c>
      <c r="I125" s="242">
        <v>15.452</v>
      </c>
      <c r="J125" s="242">
        <v>15.452</v>
      </c>
      <c r="K125" s="242">
        <v>15.452</v>
      </c>
      <c r="L125" s="242">
        <v>15.452</v>
      </c>
      <c r="M125" s="242">
        <v>15.452</v>
      </c>
      <c r="N125" s="242">
        <v>15.452</v>
      </c>
      <c r="O125" s="242">
        <v>15.452</v>
      </c>
    </row>
    <row r="126" spans="1:15">
      <c r="A126" t="s">
        <v>49</v>
      </c>
      <c r="B126" t="s">
        <v>83</v>
      </c>
      <c r="C126" t="s">
        <v>91</v>
      </c>
      <c r="D126" t="s">
        <v>183</v>
      </c>
      <c r="E126" t="s">
        <v>182</v>
      </c>
      <c r="F126" s="242">
        <v>1329.231</v>
      </c>
      <c r="G126" s="242">
        <v>1310.4290000000001</v>
      </c>
      <c r="H126" s="242">
        <v>1279.1880000000001</v>
      </c>
      <c r="I126" s="242">
        <v>1262.7260000000001</v>
      </c>
      <c r="J126" s="242">
        <v>1231.7270000000001</v>
      </c>
      <c r="K126" s="242">
        <v>1109.327</v>
      </c>
      <c r="L126" s="242">
        <v>992.49599999999998</v>
      </c>
      <c r="M126" s="242">
        <v>872.70100000000002</v>
      </c>
      <c r="N126" s="242">
        <v>751.452</v>
      </c>
      <c r="O126" s="242">
        <v>637.14400000000001</v>
      </c>
    </row>
    <row r="127" spans="1:15">
      <c r="A127" t="s">
        <v>49</v>
      </c>
      <c r="B127" t="s">
        <v>84</v>
      </c>
      <c r="C127" t="s">
        <v>92</v>
      </c>
      <c r="D127" t="s">
        <v>183</v>
      </c>
      <c r="E127" t="s">
        <v>182</v>
      </c>
      <c r="F127" s="242">
        <v>556.24400000000003</v>
      </c>
      <c r="G127" s="242">
        <v>569.68399999999997</v>
      </c>
      <c r="H127" s="242">
        <v>596.04100000000005</v>
      </c>
      <c r="I127" s="242">
        <v>612.82799999999997</v>
      </c>
      <c r="J127" s="242">
        <v>651.40800000000002</v>
      </c>
      <c r="K127" s="242">
        <v>804.98900000000003</v>
      </c>
      <c r="L127" s="242">
        <v>938.37400000000002</v>
      </c>
      <c r="M127" s="242">
        <v>1074.615</v>
      </c>
      <c r="N127" s="242">
        <v>1212.2</v>
      </c>
      <c r="O127" s="242">
        <v>1342.6849999999999</v>
      </c>
    </row>
    <row r="128" spans="1:15">
      <c r="A128" t="s">
        <v>49</v>
      </c>
      <c r="B128" t="s">
        <v>85</v>
      </c>
      <c r="C128" t="s">
        <v>93</v>
      </c>
      <c r="D128" t="s">
        <v>183</v>
      </c>
      <c r="E128" t="s">
        <v>182</v>
      </c>
      <c r="F128" s="242">
        <v>2333.0430000000001</v>
      </c>
      <c r="G128" s="242">
        <v>2312.1709999999998</v>
      </c>
      <c r="H128" s="242">
        <v>2274.4279999999999</v>
      </c>
      <c r="I128" s="242">
        <v>2250.386</v>
      </c>
      <c r="J128" s="242">
        <v>2224.2559999999999</v>
      </c>
      <c r="K128" s="242">
        <v>2154.703</v>
      </c>
      <c r="L128" s="242">
        <v>2070.2020000000002</v>
      </c>
      <c r="M128" s="242">
        <v>1956.895</v>
      </c>
      <c r="N128" s="242">
        <v>1826.8420000000001</v>
      </c>
      <c r="O128" s="242">
        <v>1693.788</v>
      </c>
    </row>
    <row r="129" spans="1:15">
      <c r="A129" t="s">
        <v>49</v>
      </c>
      <c r="B129" t="s">
        <v>86</v>
      </c>
      <c r="C129" t="s">
        <v>94</v>
      </c>
      <c r="D129" t="s">
        <v>183</v>
      </c>
      <c r="E129" t="s">
        <v>182</v>
      </c>
      <c r="F129" s="242">
        <v>976.31</v>
      </c>
      <c r="G129" s="242">
        <v>1005.376</v>
      </c>
      <c r="H129" s="242">
        <v>1059.8530000000001</v>
      </c>
      <c r="I129" s="242">
        <v>1092.1600000000001</v>
      </c>
      <c r="J129" s="242">
        <v>1132.3699999999999</v>
      </c>
      <c r="K129" s="242">
        <v>1257.923</v>
      </c>
      <c r="L129" s="242">
        <v>1377.124</v>
      </c>
      <c r="M129" s="242">
        <v>1527.2170000000001</v>
      </c>
      <c r="N129" s="242">
        <v>1694.2349999999999</v>
      </c>
      <c r="O129" s="242">
        <v>1863.7349999999999</v>
      </c>
    </row>
    <row r="130" spans="1:15">
      <c r="A130" t="s">
        <v>49</v>
      </c>
      <c r="B130" t="s">
        <v>174</v>
      </c>
      <c r="C130" t="s">
        <v>184</v>
      </c>
      <c r="D130" t="s">
        <v>74</v>
      </c>
      <c r="E130" t="s">
        <v>182</v>
      </c>
      <c r="F130" s="242"/>
      <c r="G130" s="242"/>
      <c r="H130" s="242"/>
      <c r="I130" s="242"/>
      <c r="J130" s="242">
        <v>-0.36199999999999999</v>
      </c>
      <c r="K130" s="242">
        <v>-8.4629999999999992</v>
      </c>
      <c r="L130" s="242">
        <v>2.2679999999999998</v>
      </c>
      <c r="M130" s="242">
        <v>-1.0820000000000001</v>
      </c>
      <c r="N130" s="242">
        <v>0.42399999999999999</v>
      </c>
      <c r="O130" s="242">
        <v>-3.3660000000000001</v>
      </c>
    </row>
    <row r="131" spans="1:15">
      <c r="A131" t="s">
        <v>49</v>
      </c>
      <c r="B131" t="s">
        <v>156</v>
      </c>
      <c r="C131" t="s">
        <v>157</v>
      </c>
      <c r="D131" t="s">
        <v>74</v>
      </c>
      <c r="E131" t="s">
        <v>182</v>
      </c>
      <c r="F131" s="242">
        <v>0</v>
      </c>
      <c r="G131" s="242">
        <v>0</v>
      </c>
      <c r="H131" s="242">
        <v>0</v>
      </c>
      <c r="I131" s="242">
        <v>20.758013882942599</v>
      </c>
      <c r="J131" s="242">
        <v>22.114169308613601</v>
      </c>
      <c r="K131" s="242">
        <v>20.372891860431501</v>
      </c>
      <c r="L131" s="242">
        <v>22.1797146631285</v>
      </c>
      <c r="M131" s="242">
        <v>22.527999201388798</v>
      </c>
      <c r="N131" s="242">
        <v>23.823291213141001</v>
      </c>
      <c r="O131" s="242">
        <v>22.924467231713098</v>
      </c>
    </row>
    <row r="132" spans="1:15">
      <c r="A132" t="s">
        <v>49</v>
      </c>
      <c r="B132" t="s">
        <v>159</v>
      </c>
      <c r="C132" t="s">
        <v>158</v>
      </c>
      <c r="D132" t="s">
        <v>74</v>
      </c>
      <c r="E132" t="s">
        <v>182</v>
      </c>
      <c r="F132" s="242"/>
      <c r="G132" s="242"/>
      <c r="H132" s="242"/>
      <c r="I132" s="242"/>
      <c r="J132" s="242"/>
      <c r="K132" s="242">
        <v>0</v>
      </c>
      <c r="L132" s="242">
        <v>0</v>
      </c>
      <c r="M132" s="242">
        <v>0</v>
      </c>
      <c r="N132" s="242">
        <v>0</v>
      </c>
      <c r="O132" s="242">
        <v>0</v>
      </c>
    </row>
    <row r="133" spans="1:15">
      <c r="A133" t="s">
        <v>49</v>
      </c>
      <c r="B133" t="s">
        <v>235</v>
      </c>
      <c r="C133" t="s">
        <v>234</v>
      </c>
      <c r="D133" t="s">
        <v>74</v>
      </c>
      <c r="E133" t="s">
        <v>182</v>
      </c>
      <c r="F133" s="242">
        <v>0</v>
      </c>
      <c r="G133" s="242">
        <v>0</v>
      </c>
      <c r="H133" s="242">
        <v>0</v>
      </c>
      <c r="I133" s="242">
        <v>0</v>
      </c>
      <c r="J133" s="242">
        <v>0</v>
      </c>
      <c r="K133" s="242">
        <v>4.3378679990307196</v>
      </c>
      <c r="L133" s="242">
        <v>4.0326718189510302</v>
      </c>
      <c r="M133" s="242">
        <v>1.33547627843787</v>
      </c>
      <c r="N133" s="242">
        <v>0.51999986096379902</v>
      </c>
      <c r="O133" s="242">
        <v>0</v>
      </c>
    </row>
    <row r="134" spans="1:15">
      <c r="A134" t="s">
        <v>49</v>
      </c>
      <c r="B134" t="s">
        <v>237</v>
      </c>
      <c r="C134" t="s">
        <v>236</v>
      </c>
      <c r="D134" t="s">
        <v>74</v>
      </c>
      <c r="E134" t="s">
        <v>182</v>
      </c>
      <c r="F134" s="242">
        <v>0</v>
      </c>
      <c r="G134" s="242">
        <v>0</v>
      </c>
      <c r="H134" s="242">
        <v>0</v>
      </c>
      <c r="I134" s="242">
        <v>0</v>
      </c>
      <c r="J134" s="242">
        <v>0</v>
      </c>
      <c r="K134" s="242">
        <v>0</v>
      </c>
      <c r="L134" s="242">
        <v>0</v>
      </c>
      <c r="M134" s="242">
        <v>0</v>
      </c>
      <c r="N134" s="242">
        <v>0</v>
      </c>
      <c r="O134" s="242">
        <v>0</v>
      </c>
    </row>
    <row r="135" spans="1:15">
      <c r="A135" t="s">
        <v>49</v>
      </c>
      <c r="B135" t="s">
        <v>239</v>
      </c>
      <c r="C135" t="s">
        <v>238</v>
      </c>
      <c r="D135" t="s">
        <v>74</v>
      </c>
      <c r="E135" t="s">
        <v>182</v>
      </c>
      <c r="F135" s="242"/>
      <c r="G135" s="242"/>
      <c r="H135" s="242"/>
      <c r="I135" s="242"/>
      <c r="J135" s="242"/>
      <c r="K135" s="242">
        <v>0</v>
      </c>
      <c r="L135" s="242">
        <v>0</v>
      </c>
      <c r="M135" s="242">
        <v>0</v>
      </c>
      <c r="N135" s="242">
        <v>0</v>
      </c>
      <c r="O135" s="242">
        <v>0</v>
      </c>
    </row>
    <row r="136" spans="1:15">
      <c r="A136" t="s">
        <v>49</v>
      </c>
      <c r="B136" t="s">
        <v>241</v>
      </c>
      <c r="C136" t="s">
        <v>240</v>
      </c>
      <c r="D136" t="s">
        <v>74</v>
      </c>
      <c r="E136" t="s">
        <v>182</v>
      </c>
      <c r="F136" s="242"/>
      <c r="G136" s="242"/>
      <c r="H136" s="242"/>
      <c r="I136" s="242"/>
      <c r="J136" s="242"/>
      <c r="K136" s="242">
        <v>0</v>
      </c>
      <c r="L136" s="242">
        <v>0</v>
      </c>
      <c r="M136" s="242">
        <v>0</v>
      </c>
      <c r="N136" s="242">
        <v>0</v>
      </c>
      <c r="O136" s="242">
        <v>0</v>
      </c>
    </row>
    <row r="137" spans="1:15">
      <c r="A137" t="s">
        <v>50</v>
      </c>
      <c r="B137" t="s">
        <v>78</v>
      </c>
      <c r="C137" t="s">
        <v>132</v>
      </c>
      <c r="D137" t="s">
        <v>74</v>
      </c>
      <c r="E137" t="s">
        <v>182</v>
      </c>
      <c r="F137" s="242">
        <v>95.975610096625203</v>
      </c>
      <c r="G137" s="242">
        <v>99.2109004682235</v>
      </c>
      <c r="H137" s="242">
        <v>91.190694960818803</v>
      </c>
      <c r="I137" s="242">
        <v>96.582585052572597</v>
      </c>
      <c r="J137" s="242">
        <v>96.126013292608903</v>
      </c>
      <c r="K137" s="242">
        <v>98.529356684199996</v>
      </c>
      <c r="L137" s="242">
        <v>101.62386180060599</v>
      </c>
      <c r="M137" s="242">
        <v>102.755853538289</v>
      </c>
      <c r="N137" s="242">
        <v>100.755550583718</v>
      </c>
      <c r="O137" s="242">
        <v>101.747667439724</v>
      </c>
    </row>
    <row r="138" spans="1:15">
      <c r="A138" t="s">
        <v>50</v>
      </c>
      <c r="B138" t="s">
        <v>97</v>
      </c>
      <c r="C138" t="s">
        <v>99</v>
      </c>
      <c r="D138" t="s">
        <v>74</v>
      </c>
      <c r="E138" t="s">
        <v>182</v>
      </c>
      <c r="F138" s="242">
        <v>17.8907793584441</v>
      </c>
      <c r="G138" s="242">
        <v>17.986044751902799</v>
      </c>
      <c r="H138" s="242">
        <v>9.6659967757095995</v>
      </c>
      <c r="I138" s="242">
        <v>8.4323425022285399</v>
      </c>
      <c r="J138" s="242">
        <v>7.9505273793326303</v>
      </c>
      <c r="K138" s="242">
        <v>5.4535751847220801</v>
      </c>
      <c r="L138" s="242">
        <v>4.9591345727330296</v>
      </c>
      <c r="M138" s="242">
        <v>4.8295161198574403</v>
      </c>
      <c r="N138" s="242">
        <v>3.8134955923541001</v>
      </c>
      <c r="O138" s="242">
        <v>2.8151020317122701</v>
      </c>
    </row>
    <row r="139" spans="1:15">
      <c r="A139" t="s">
        <v>50</v>
      </c>
      <c r="B139" t="s">
        <v>98</v>
      </c>
      <c r="C139" t="s">
        <v>100</v>
      </c>
      <c r="D139" t="s">
        <v>74</v>
      </c>
      <c r="E139" t="s">
        <v>182</v>
      </c>
      <c r="F139" s="242"/>
      <c r="G139" s="242"/>
      <c r="H139" s="242"/>
      <c r="I139" s="242"/>
      <c r="J139" s="242"/>
      <c r="K139" s="242">
        <v>1.02301266274091</v>
      </c>
      <c r="L139" s="242">
        <v>2.2517511801185002</v>
      </c>
      <c r="M139" s="242">
        <v>2.9410744171212402</v>
      </c>
      <c r="N139" s="242">
        <v>4.3389792227669002</v>
      </c>
      <c r="O139" s="242">
        <v>6.71551888067206</v>
      </c>
    </row>
    <row r="140" spans="1:15">
      <c r="A140" t="s">
        <v>50</v>
      </c>
      <c r="B140" t="s">
        <v>79</v>
      </c>
      <c r="C140" t="s">
        <v>135</v>
      </c>
      <c r="D140" t="s">
        <v>74</v>
      </c>
      <c r="E140" t="s">
        <v>182</v>
      </c>
      <c r="F140" s="242">
        <v>0.104971934549701</v>
      </c>
      <c r="G140" s="242">
        <v>0.128299031116302</v>
      </c>
      <c r="H140" s="242">
        <v>0.129270993473244</v>
      </c>
      <c r="I140" s="242">
        <v>0.110803708691352</v>
      </c>
      <c r="J140" s="242">
        <v>0.121052894667498</v>
      </c>
      <c r="K140" s="242">
        <v>0.15378815262599699</v>
      </c>
      <c r="L140" s="242">
        <v>0.14558968599667099</v>
      </c>
      <c r="M140" s="242">
        <v>0.13260823531281199</v>
      </c>
      <c r="N140" s="242">
        <v>0.119921438505949</v>
      </c>
      <c r="O140" s="242">
        <v>0.112033727997521</v>
      </c>
    </row>
    <row r="141" spans="1:15">
      <c r="A141" t="s">
        <v>50</v>
      </c>
      <c r="B141" t="s">
        <v>80</v>
      </c>
      <c r="C141" t="s">
        <v>136</v>
      </c>
      <c r="D141" t="s">
        <v>74</v>
      </c>
      <c r="E141" t="s">
        <v>182</v>
      </c>
      <c r="F141" s="242">
        <v>1.7093607115475602E-2</v>
      </c>
      <c r="G141" s="242">
        <v>1.7913788286266299E-2</v>
      </c>
      <c r="H141" s="242">
        <v>1.8467284781891899E-2</v>
      </c>
      <c r="I141" s="242">
        <v>1.9000025158931601E-2</v>
      </c>
      <c r="J141" s="242">
        <v>1.94915677854446E-2</v>
      </c>
      <c r="K141" s="242">
        <v>5.8003111166725602E-2</v>
      </c>
      <c r="L141" s="242">
        <v>5.7240148854805203E-2</v>
      </c>
      <c r="M141" s="242">
        <v>5.5905762984325903E-2</v>
      </c>
      <c r="N141" s="242">
        <v>5.4576828086938901E-2</v>
      </c>
      <c r="O141" s="242">
        <v>5.5981356900631503E-2</v>
      </c>
    </row>
    <row r="142" spans="1:15">
      <c r="A142" t="s">
        <v>50</v>
      </c>
      <c r="B142" t="s">
        <v>81</v>
      </c>
      <c r="C142" t="s">
        <v>137</v>
      </c>
      <c r="D142" t="s">
        <v>74</v>
      </c>
      <c r="E142" t="s">
        <v>182</v>
      </c>
      <c r="F142" s="242">
        <v>4.8607837470653399</v>
      </c>
      <c r="G142" s="242">
        <v>5.6791760516102396</v>
      </c>
      <c r="H142" s="242">
        <v>5.5022789026468502</v>
      </c>
      <c r="I142" s="242">
        <v>5.1922229107824602</v>
      </c>
      <c r="J142" s="242">
        <v>5.6566581457337799</v>
      </c>
      <c r="K142" s="242">
        <v>7.5778389983302397</v>
      </c>
      <c r="L142" s="242">
        <v>7.5372090772101101</v>
      </c>
      <c r="M142" s="242">
        <v>7.1690967526109004</v>
      </c>
      <c r="N142" s="242">
        <v>6.7315396274119097</v>
      </c>
      <c r="O142" s="242">
        <v>6.4796446352550801</v>
      </c>
    </row>
    <row r="143" spans="1:15">
      <c r="A143" t="s">
        <v>50</v>
      </c>
      <c r="B143" t="s">
        <v>82</v>
      </c>
      <c r="C143" t="s">
        <v>89</v>
      </c>
      <c r="D143" t="s">
        <v>183</v>
      </c>
      <c r="E143" t="s">
        <v>182</v>
      </c>
      <c r="F143" s="242">
        <v>48.545000000000002</v>
      </c>
      <c r="G143" s="242">
        <v>47.8</v>
      </c>
      <c r="H143" s="242">
        <v>46.94</v>
      </c>
      <c r="I143" s="242">
        <v>46.084000000000003</v>
      </c>
      <c r="J143" s="242">
        <v>47.109000000000002</v>
      </c>
      <c r="K143" s="242">
        <v>47.109000000000002</v>
      </c>
      <c r="L143" s="242">
        <v>47.109000000000002</v>
      </c>
      <c r="M143" s="242">
        <v>47.109000000000002</v>
      </c>
      <c r="N143" s="242">
        <v>47.109000000000002</v>
      </c>
      <c r="O143" s="242">
        <v>47.109000000000002</v>
      </c>
    </row>
    <row r="144" spans="1:15">
      <c r="A144" t="s">
        <v>50</v>
      </c>
      <c r="B144" t="s">
        <v>87</v>
      </c>
      <c r="C144" t="s">
        <v>90</v>
      </c>
      <c r="D144" t="s">
        <v>183</v>
      </c>
      <c r="E144" t="s">
        <v>182</v>
      </c>
      <c r="F144" s="242">
        <v>18.14</v>
      </c>
      <c r="G144" s="242">
        <v>20.219000000000001</v>
      </c>
      <c r="H144" s="242">
        <v>22.327000000000002</v>
      </c>
      <c r="I144" s="242">
        <v>23.175999999999998</v>
      </c>
      <c r="J144" s="242">
        <v>22.893999999999998</v>
      </c>
      <c r="K144" s="242">
        <v>23.187999999999999</v>
      </c>
      <c r="L144" s="242">
        <v>23.503</v>
      </c>
      <c r="M144" s="242">
        <v>23.838000000000001</v>
      </c>
      <c r="N144" s="242">
        <v>24.195</v>
      </c>
      <c r="O144" s="242">
        <v>24.574999999999999</v>
      </c>
    </row>
    <row r="145" spans="1:15">
      <c r="A145" t="s">
        <v>50</v>
      </c>
      <c r="B145" t="s">
        <v>83</v>
      </c>
      <c r="C145" t="s">
        <v>91</v>
      </c>
      <c r="D145" t="s">
        <v>183</v>
      </c>
      <c r="E145" t="s">
        <v>182</v>
      </c>
      <c r="F145" s="242">
        <v>29.373999999999999</v>
      </c>
      <c r="G145" s="242">
        <v>29.032</v>
      </c>
      <c r="H145" s="242">
        <v>28.268999999999998</v>
      </c>
      <c r="I145" s="242">
        <v>27.266999999999999</v>
      </c>
      <c r="J145" s="242">
        <v>28.268999999999998</v>
      </c>
      <c r="K145" s="242">
        <v>28.268999999999998</v>
      </c>
      <c r="L145" s="242">
        <v>28.268999999999998</v>
      </c>
      <c r="M145" s="242">
        <v>28.268999999999998</v>
      </c>
      <c r="N145" s="242">
        <v>28.268999999999998</v>
      </c>
      <c r="O145" s="242">
        <v>28.268999999999998</v>
      </c>
    </row>
    <row r="146" spans="1:15">
      <c r="A146" t="s">
        <v>50</v>
      </c>
      <c r="B146" t="s">
        <v>84</v>
      </c>
      <c r="C146" t="s">
        <v>92</v>
      </c>
      <c r="D146" t="s">
        <v>183</v>
      </c>
      <c r="E146" t="s">
        <v>182</v>
      </c>
      <c r="F146" s="242">
        <v>11.779</v>
      </c>
      <c r="G146" s="242">
        <v>13.238</v>
      </c>
      <c r="H146" s="242">
        <v>14.968</v>
      </c>
      <c r="I146" s="242">
        <v>15.521000000000001</v>
      </c>
      <c r="J146" s="242">
        <v>14.968</v>
      </c>
      <c r="K146" s="242">
        <v>14.968</v>
      </c>
      <c r="L146" s="242">
        <v>14.968</v>
      </c>
      <c r="M146" s="242">
        <v>14.968</v>
      </c>
      <c r="N146" s="242">
        <v>14.968</v>
      </c>
      <c r="O146" s="242">
        <v>14.968</v>
      </c>
    </row>
    <row r="147" spans="1:15">
      <c r="A147" t="s">
        <v>50</v>
      </c>
      <c r="B147" t="s">
        <v>85</v>
      </c>
      <c r="C147" t="s">
        <v>93</v>
      </c>
      <c r="D147" t="s">
        <v>183</v>
      </c>
      <c r="E147" t="s">
        <v>182</v>
      </c>
      <c r="F147" s="242">
        <v>1933.723</v>
      </c>
      <c r="G147" s="242">
        <v>1891.1880000000001</v>
      </c>
      <c r="H147" s="242">
        <v>1843.48</v>
      </c>
      <c r="I147" s="242">
        <v>1793.423</v>
      </c>
      <c r="J147" s="242">
        <v>1736.88</v>
      </c>
      <c r="K147" s="242">
        <v>1678.184</v>
      </c>
      <c r="L147" s="242">
        <v>1616.836</v>
      </c>
      <c r="M147" s="242">
        <v>1558.1020000000001</v>
      </c>
      <c r="N147" s="242">
        <v>1505.809</v>
      </c>
      <c r="O147" s="242">
        <v>1459.174</v>
      </c>
    </row>
    <row r="148" spans="1:15">
      <c r="A148" t="s">
        <v>50</v>
      </c>
      <c r="B148" t="s">
        <v>86</v>
      </c>
      <c r="C148" t="s">
        <v>94</v>
      </c>
      <c r="D148" t="s">
        <v>183</v>
      </c>
      <c r="E148" t="s">
        <v>182</v>
      </c>
      <c r="F148" s="242">
        <v>843.80899999999997</v>
      </c>
      <c r="G148" s="242">
        <v>895.49900000000002</v>
      </c>
      <c r="H148" s="242">
        <v>950.42600000000004</v>
      </c>
      <c r="I148" s="242">
        <v>1006.773</v>
      </c>
      <c r="J148" s="242">
        <v>1072.3820000000001</v>
      </c>
      <c r="K148" s="242">
        <v>1142.0429999999999</v>
      </c>
      <c r="L148" s="242">
        <v>1215.5840000000001</v>
      </c>
      <c r="M148" s="242">
        <v>1287.8969999999999</v>
      </c>
      <c r="N148" s="242">
        <v>1355.3140000000001</v>
      </c>
      <c r="O148" s="242">
        <v>1418.1780000000001</v>
      </c>
    </row>
    <row r="149" spans="1:15">
      <c r="A149" t="s">
        <v>50</v>
      </c>
      <c r="B149" t="s">
        <v>174</v>
      </c>
      <c r="C149" t="s">
        <v>184</v>
      </c>
      <c r="D149" t="s">
        <v>74</v>
      </c>
      <c r="E149" t="s">
        <v>182</v>
      </c>
      <c r="F149" s="242"/>
      <c r="G149" s="242"/>
      <c r="H149" s="242"/>
      <c r="I149" s="242"/>
      <c r="J149" s="242">
        <v>0</v>
      </c>
      <c r="K149" s="242">
        <v>0</v>
      </c>
      <c r="L149" s="242">
        <v>0</v>
      </c>
      <c r="M149" s="242">
        <v>0</v>
      </c>
      <c r="N149" s="242">
        <v>0</v>
      </c>
      <c r="O149" s="242">
        <v>0</v>
      </c>
    </row>
    <row r="150" spans="1:15">
      <c r="A150" t="s">
        <v>50</v>
      </c>
      <c r="B150" t="s">
        <v>156</v>
      </c>
      <c r="C150" t="s">
        <v>157</v>
      </c>
      <c r="D150" t="s">
        <v>74</v>
      </c>
      <c r="E150" t="s">
        <v>182</v>
      </c>
      <c r="F150" s="242">
        <v>18.156402997044999</v>
      </c>
      <c r="G150" s="242">
        <v>20.405726320206799</v>
      </c>
      <c r="H150" s="242">
        <v>19.906134779867401</v>
      </c>
      <c r="I150" s="242">
        <v>18.8568484850903</v>
      </c>
      <c r="J150" s="242">
        <v>20.766702191205301</v>
      </c>
      <c r="K150" s="242">
        <v>21.210787930145798</v>
      </c>
      <c r="L150" s="242">
        <v>21.497418260225999</v>
      </c>
      <c r="M150" s="242">
        <v>22.677881870892001</v>
      </c>
      <c r="N150" s="242">
        <v>23.1910063626209</v>
      </c>
      <c r="O150" s="242">
        <v>23.262882807746099</v>
      </c>
    </row>
    <row r="151" spans="1:15">
      <c r="A151" t="s">
        <v>50</v>
      </c>
      <c r="B151" t="s">
        <v>159</v>
      </c>
      <c r="C151" t="s">
        <v>158</v>
      </c>
      <c r="D151" t="s">
        <v>74</v>
      </c>
      <c r="E151" t="s">
        <v>182</v>
      </c>
      <c r="F151" s="242"/>
      <c r="G151" s="242"/>
      <c r="H151" s="242"/>
      <c r="I151" s="242"/>
      <c r="J151" s="242"/>
      <c r="K151" s="242">
        <v>0</v>
      </c>
      <c r="L151" s="242">
        <v>0</v>
      </c>
      <c r="M151" s="242">
        <v>0</v>
      </c>
      <c r="N151" s="242">
        <v>0</v>
      </c>
      <c r="O151" s="242">
        <v>0</v>
      </c>
    </row>
    <row r="152" spans="1:15">
      <c r="A152" t="s">
        <v>50</v>
      </c>
      <c r="B152" t="s">
        <v>235</v>
      </c>
      <c r="C152" t="s">
        <v>234</v>
      </c>
      <c r="D152" t="s">
        <v>74</v>
      </c>
      <c r="E152" t="s">
        <v>182</v>
      </c>
      <c r="F152" s="242">
        <v>2.6544134517637699</v>
      </c>
      <c r="G152" s="242">
        <v>2.1493420475697498</v>
      </c>
      <c r="H152" s="242">
        <v>3.4076096463625598</v>
      </c>
      <c r="I152" s="242">
        <v>4.5538742951783799</v>
      </c>
      <c r="J152" s="242">
        <v>5.3360098082529603</v>
      </c>
      <c r="K152" s="242">
        <v>5.0050881892226498</v>
      </c>
      <c r="L152" s="242">
        <v>4.2615038473593598</v>
      </c>
      <c r="M152" s="242">
        <v>3.9671716947924001</v>
      </c>
      <c r="N152" s="242">
        <v>3.2645189693116201</v>
      </c>
      <c r="O152" s="242">
        <v>2.53115957669102</v>
      </c>
    </row>
    <row r="153" spans="1:15">
      <c r="A153" t="s">
        <v>50</v>
      </c>
      <c r="B153" t="s">
        <v>237</v>
      </c>
      <c r="C153" t="s">
        <v>236</v>
      </c>
      <c r="D153" t="s">
        <v>74</v>
      </c>
      <c r="E153" t="s">
        <v>182</v>
      </c>
      <c r="F153" s="242">
        <v>0</v>
      </c>
      <c r="G153" s="242">
        <v>0</v>
      </c>
      <c r="H153" s="242">
        <v>0</v>
      </c>
      <c r="I153" s="242">
        <v>0</v>
      </c>
      <c r="J153" s="242">
        <v>0</v>
      </c>
      <c r="K153" s="242">
        <v>0</v>
      </c>
      <c r="L153" s="242">
        <v>0</v>
      </c>
      <c r="M153" s="242">
        <v>0</v>
      </c>
      <c r="N153" s="242">
        <v>0</v>
      </c>
      <c r="O153" s="242">
        <v>0</v>
      </c>
    </row>
    <row r="154" spans="1:15">
      <c r="A154" t="s">
        <v>50</v>
      </c>
      <c r="B154" t="s">
        <v>239</v>
      </c>
      <c r="C154" t="s">
        <v>238</v>
      </c>
      <c r="D154" t="s">
        <v>74</v>
      </c>
      <c r="E154" t="s">
        <v>182</v>
      </c>
      <c r="F154" s="242"/>
      <c r="G154" s="242"/>
      <c r="H154" s="242"/>
      <c r="I154" s="242"/>
      <c r="J154" s="242"/>
      <c r="K154" s="242">
        <v>5.4141191352303802E-2</v>
      </c>
      <c r="L154" s="242">
        <v>0.182423865329708</v>
      </c>
      <c r="M154" s="242">
        <v>0.60251206803244195</v>
      </c>
      <c r="N154" s="242">
        <v>2.8002229897763198</v>
      </c>
      <c r="O154" s="242">
        <v>4.1164122027522403</v>
      </c>
    </row>
    <row r="155" spans="1:15">
      <c r="A155" t="s">
        <v>50</v>
      </c>
      <c r="B155" t="s">
        <v>241</v>
      </c>
      <c r="C155" t="s">
        <v>240</v>
      </c>
      <c r="D155" t="s">
        <v>74</v>
      </c>
      <c r="E155" t="s">
        <v>182</v>
      </c>
      <c r="F155" s="242"/>
      <c r="G155" s="242"/>
      <c r="H155" s="242"/>
      <c r="I155" s="242"/>
      <c r="J155" s="242"/>
      <c r="K155" s="242">
        <v>0</v>
      </c>
      <c r="L155" s="242">
        <v>0</v>
      </c>
      <c r="M155" s="242">
        <v>0</v>
      </c>
      <c r="N155" s="242">
        <v>0</v>
      </c>
      <c r="O155" s="242">
        <v>0</v>
      </c>
    </row>
    <row r="156" spans="1:15">
      <c r="A156" t="s">
        <v>51</v>
      </c>
      <c r="B156" t="s">
        <v>78</v>
      </c>
      <c r="C156" t="s">
        <v>132</v>
      </c>
      <c r="D156" t="s">
        <v>74</v>
      </c>
      <c r="E156" t="s">
        <v>182</v>
      </c>
      <c r="F156" s="242">
        <v>20.911770109600301</v>
      </c>
      <c r="G156" s="242">
        <v>22.355134209658601</v>
      </c>
      <c r="H156" s="242">
        <v>23.6186852736828</v>
      </c>
      <c r="I156" s="242">
        <v>25.757002458954499</v>
      </c>
      <c r="J156" s="242">
        <v>26.168142535940898</v>
      </c>
      <c r="K156" s="242">
        <v>26.746460138321201</v>
      </c>
      <c r="L156" s="242">
        <v>27.3228338159876</v>
      </c>
      <c r="M156" s="242">
        <v>27.8836560959429</v>
      </c>
      <c r="N156" s="242">
        <v>28.417263429903901</v>
      </c>
      <c r="O156" s="242">
        <v>28.925599742584399</v>
      </c>
    </row>
    <row r="157" spans="1:15">
      <c r="A157" t="s">
        <v>51</v>
      </c>
      <c r="B157" t="s">
        <v>97</v>
      </c>
      <c r="C157" t="s">
        <v>99</v>
      </c>
      <c r="D157" t="s">
        <v>74</v>
      </c>
      <c r="E157" t="s">
        <v>182</v>
      </c>
      <c r="F157" s="242">
        <v>1.3879622457127201</v>
      </c>
      <c r="G157" s="242">
        <v>1.6173453619509599</v>
      </c>
      <c r="H157" s="242">
        <v>1.56583135703305</v>
      </c>
      <c r="I157" s="242">
        <v>0.60942039780243396</v>
      </c>
      <c r="J157" s="242">
        <v>0.70272878406883499</v>
      </c>
      <c r="K157" s="242">
        <v>0.70272878406883499</v>
      </c>
      <c r="L157" s="242">
        <v>0.70272878406883499</v>
      </c>
      <c r="M157" s="242">
        <v>0.70272878406883499</v>
      </c>
      <c r="N157" s="242">
        <v>0.70272878406883499</v>
      </c>
      <c r="O157" s="242">
        <v>0.70272878406883499</v>
      </c>
    </row>
    <row r="158" spans="1:15">
      <c r="A158" t="s">
        <v>51</v>
      </c>
      <c r="B158" t="s">
        <v>98</v>
      </c>
      <c r="C158" t="s">
        <v>100</v>
      </c>
      <c r="D158" t="s">
        <v>74</v>
      </c>
      <c r="E158" t="s">
        <v>182</v>
      </c>
      <c r="F158" s="242"/>
      <c r="G158" s="242"/>
      <c r="H158" s="242"/>
      <c r="I158" s="242"/>
      <c r="J158" s="242"/>
      <c r="K158" s="242">
        <v>0.48471688999645701</v>
      </c>
      <c r="L158" s="242">
        <v>0.46138910120443699</v>
      </c>
      <c r="M158" s="242">
        <v>0.58562784967460602</v>
      </c>
      <c r="N158" s="242">
        <v>0.56803855392144997</v>
      </c>
      <c r="O158" s="242">
        <v>0.52372990528111496</v>
      </c>
    </row>
    <row r="159" spans="1:15">
      <c r="A159" t="s">
        <v>51</v>
      </c>
      <c r="B159" t="s">
        <v>79</v>
      </c>
      <c r="C159" t="s">
        <v>135</v>
      </c>
      <c r="D159" t="s">
        <v>74</v>
      </c>
      <c r="E159" t="s">
        <v>182</v>
      </c>
      <c r="F159" s="242">
        <v>6.3177553201209199E-2</v>
      </c>
      <c r="G159" s="242">
        <v>6.6093440272034301E-2</v>
      </c>
      <c r="H159" s="242">
        <v>7.2897176770626002E-2</v>
      </c>
      <c r="I159" s="242">
        <v>7.8728950912276094E-2</v>
      </c>
      <c r="J159" s="242">
        <v>7.8728950912276094E-2</v>
      </c>
      <c r="K159" s="242">
        <v>7.8728950912276094E-2</v>
      </c>
      <c r="L159" s="242">
        <v>7.8728950912276094E-2</v>
      </c>
      <c r="M159" s="242">
        <v>7.8728950912276094E-2</v>
      </c>
      <c r="N159" s="242">
        <v>7.8728950912276094E-2</v>
      </c>
      <c r="O159" s="242">
        <v>7.8728950912276094E-2</v>
      </c>
    </row>
    <row r="160" spans="1:15">
      <c r="A160" t="s">
        <v>51</v>
      </c>
      <c r="B160" t="s">
        <v>80</v>
      </c>
      <c r="C160" t="s">
        <v>136</v>
      </c>
      <c r="D160" t="s">
        <v>74</v>
      </c>
      <c r="E160" t="s">
        <v>182</v>
      </c>
      <c r="F160" s="242">
        <v>1.0254202865734701</v>
      </c>
      <c r="G160" s="242">
        <v>1.0866539150607999</v>
      </c>
      <c r="H160" s="242">
        <v>1.20814920967851</v>
      </c>
      <c r="I160" s="242">
        <v>1.31409310658515</v>
      </c>
      <c r="J160" s="242">
        <v>1.40351364342379</v>
      </c>
      <c r="K160" s="242">
        <v>1.5211210886137301</v>
      </c>
      <c r="L160" s="242">
        <v>1.66302759272722</v>
      </c>
      <c r="M160" s="242">
        <v>1.80979390862541</v>
      </c>
      <c r="N160" s="242">
        <v>1.95072845038195</v>
      </c>
      <c r="O160" s="242">
        <v>2.0858312179968501</v>
      </c>
    </row>
    <row r="161" spans="1:15">
      <c r="A161" t="s">
        <v>51</v>
      </c>
      <c r="B161" t="s">
        <v>81</v>
      </c>
      <c r="C161" t="s">
        <v>137</v>
      </c>
      <c r="D161" t="s">
        <v>74</v>
      </c>
      <c r="E161" t="s">
        <v>182</v>
      </c>
      <c r="F161" s="242">
        <v>1.59401826538436</v>
      </c>
      <c r="G161" s="242">
        <v>1.6737191786535699</v>
      </c>
      <c r="H161" s="242">
        <v>1.8428406287614301</v>
      </c>
      <c r="I161" s="242">
        <v>1.97891535873326</v>
      </c>
      <c r="J161" s="242">
        <v>2.08194336856908</v>
      </c>
      <c r="K161" s="242">
        <v>2.3152143342350802</v>
      </c>
      <c r="L161" s="242">
        <v>2.5212703539067198</v>
      </c>
      <c r="M161" s="242">
        <v>2.7030273146548098</v>
      </c>
      <c r="N161" s="242">
        <v>2.8663169906210202</v>
      </c>
      <c r="O161" s="242">
        <v>3.0121113441622702</v>
      </c>
    </row>
    <row r="162" spans="1:15">
      <c r="A162" t="s">
        <v>51</v>
      </c>
      <c r="B162" t="s">
        <v>82</v>
      </c>
      <c r="C162" t="s">
        <v>89</v>
      </c>
      <c r="D162" t="s">
        <v>183</v>
      </c>
      <c r="E162" t="s">
        <v>182</v>
      </c>
      <c r="F162" s="242">
        <v>23.718</v>
      </c>
      <c r="G162" s="242">
        <v>23.327000000000002</v>
      </c>
      <c r="H162" s="242">
        <v>22.681999999999999</v>
      </c>
      <c r="I162" s="242">
        <v>22.218</v>
      </c>
      <c r="J162" s="242">
        <v>22.218</v>
      </c>
      <c r="K162" s="242">
        <v>22.218</v>
      </c>
      <c r="L162" s="242">
        <v>22.218</v>
      </c>
      <c r="M162" s="242">
        <v>22.218</v>
      </c>
      <c r="N162" s="242">
        <v>22.218</v>
      </c>
      <c r="O162" s="242">
        <v>22.218</v>
      </c>
    </row>
    <row r="163" spans="1:15">
      <c r="A163" t="s">
        <v>51</v>
      </c>
      <c r="B163" t="s">
        <v>87</v>
      </c>
      <c r="C163" t="s">
        <v>90</v>
      </c>
      <c r="D163" t="s">
        <v>183</v>
      </c>
      <c r="E163" t="s">
        <v>182</v>
      </c>
      <c r="F163" s="242">
        <v>14.289</v>
      </c>
      <c r="G163" s="242">
        <v>14.818</v>
      </c>
      <c r="H163" s="242">
        <v>15.744999999999999</v>
      </c>
      <c r="I163" s="242">
        <v>16.611999999999998</v>
      </c>
      <c r="J163" s="242">
        <v>16.611999999999998</v>
      </c>
      <c r="K163" s="242">
        <v>16.611999999999998</v>
      </c>
      <c r="L163" s="242">
        <v>16.611999999999998</v>
      </c>
      <c r="M163" s="242">
        <v>16.611999999999998</v>
      </c>
      <c r="N163" s="242">
        <v>16.611999999999998</v>
      </c>
      <c r="O163" s="242">
        <v>16.611999999999998</v>
      </c>
    </row>
    <row r="164" spans="1:15">
      <c r="A164" t="s">
        <v>51</v>
      </c>
      <c r="B164" t="s">
        <v>83</v>
      </c>
      <c r="C164" t="s">
        <v>91</v>
      </c>
      <c r="D164" t="s">
        <v>183</v>
      </c>
      <c r="E164" t="s">
        <v>182</v>
      </c>
      <c r="F164" s="242">
        <v>357.60700000000003</v>
      </c>
      <c r="G164" s="242">
        <v>348.09300000000002</v>
      </c>
      <c r="H164" s="242">
        <v>335.447</v>
      </c>
      <c r="I164" s="242">
        <v>324.24599999999998</v>
      </c>
      <c r="J164" s="242">
        <v>311.38657144214602</v>
      </c>
      <c r="K164" s="242">
        <v>292.10199999999998</v>
      </c>
      <c r="L164" s="242">
        <v>268.60199999999998</v>
      </c>
      <c r="M164" s="242">
        <v>244.124</v>
      </c>
      <c r="N164" s="242">
        <v>220.78700000000001</v>
      </c>
      <c r="O164" s="242">
        <v>198.536</v>
      </c>
    </row>
    <row r="165" spans="1:15">
      <c r="A165" t="s">
        <v>51</v>
      </c>
      <c r="B165" t="s">
        <v>84</v>
      </c>
      <c r="C165" t="s">
        <v>92</v>
      </c>
      <c r="D165" t="s">
        <v>183</v>
      </c>
      <c r="E165" t="s">
        <v>182</v>
      </c>
      <c r="F165" s="242">
        <v>230.554</v>
      </c>
      <c r="G165" s="242">
        <v>244.40199999999999</v>
      </c>
      <c r="H165" s="242">
        <v>261.40699999999998</v>
      </c>
      <c r="I165" s="242">
        <v>277.37299999999999</v>
      </c>
      <c r="J165" s="242">
        <v>296.268678557854</v>
      </c>
      <c r="K165" s="242">
        <v>321.17500000000001</v>
      </c>
      <c r="L165" s="242">
        <v>351.07</v>
      </c>
      <c r="M165" s="242">
        <v>382.05599999999998</v>
      </c>
      <c r="N165" s="242">
        <v>411.82600000000002</v>
      </c>
      <c r="O165" s="242">
        <v>440.37099999999998</v>
      </c>
    </row>
    <row r="166" spans="1:15">
      <c r="A166" t="s">
        <v>51</v>
      </c>
      <c r="B166" t="s">
        <v>85</v>
      </c>
      <c r="C166" t="s">
        <v>93</v>
      </c>
      <c r="D166" t="s">
        <v>183</v>
      </c>
      <c r="E166" t="s">
        <v>182</v>
      </c>
      <c r="F166" s="242">
        <v>236.58799999999999</v>
      </c>
      <c r="G166" s="242">
        <v>229.06700000000001</v>
      </c>
      <c r="H166" s="242">
        <v>219.28899999999999</v>
      </c>
      <c r="I166" s="242">
        <v>210.52699999999999</v>
      </c>
      <c r="J166" s="242">
        <v>200.63875553147199</v>
      </c>
      <c r="K166" s="242">
        <v>172.98699999999999</v>
      </c>
      <c r="L166" s="242">
        <v>148.68700000000001</v>
      </c>
      <c r="M166" s="242">
        <v>127.64700000000001</v>
      </c>
      <c r="N166" s="242">
        <v>109.414</v>
      </c>
      <c r="O166" s="242">
        <v>93.599000000000004</v>
      </c>
    </row>
    <row r="167" spans="1:15">
      <c r="A167" t="s">
        <v>51</v>
      </c>
      <c r="B167" t="s">
        <v>86</v>
      </c>
      <c r="C167" t="s">
        <v>94</v>
      </c>
      <c r="D167" t="s">
        <v>183</v>
      </c>
      <c r="E167" t="s">
        <v>182</v>
      </c>
      <c r="F167" s="242">
        <v>240.524</v>
      </c>
      <c r="G167" s="242">
        <v>252.46100000000001</v>
      </c>
      <c r="H167" s="242">
        <v>267.31200000000001</v>
      </c>
      <c r="I167" s="242">
        <v>280.26400000000001</v>
      </c>
      <c r="J167" s="242">
        <v>294.80224446852799</v>
      </c>
      <c r="K167" s="242">
        <v>327.89</v>
      </c>
      <c r="L167" s="242">
        <v>356.99</v>
      </c>
      <c r="M167" s="242">
        <v>382.83</v>
      </c>
      <c r="N167" s="242">
        <v>405.863</v>
      </c>
      <c r="O167" s="242">
        <v>426.47800000000001</v>
      </c>
    </row>
    <row r="168" spans="1:15">
      <c r="A168" t="s">
        <v>51</v>
      </c>
      <c r="B168" t="s">
        <v>174</v>
      </c>
      <c r="C168" t="s">
        <v>184</v>
      </c>
      <c r="D168" t="s">
        <v>74</v>
      </c>
      <c r="E168" t="s">
        <v>182</v>
      </c>
      <c r="F168" s="242"/>
      <c r="G168" s="242"/>
      <c r="H168" s="242"/>
      <c r="I168" s="242"/>
      <c r="J168" s="242">
        <v>0</v>
      </c>
      <c r="K168" s="242">
        <v>0</v>
      </c>
      <c r="L168" s="242">
        <v>0</v>
      </c>
      <c r="M168" s="242">
        <v>0</v>
      </c>
      <c r="N168" s="242">
        <v>0</v>
      </c>
      <c r="O168" s="242">
        <v>0</v>
      </c>
    </row>
    <row r="169" spans="1:15">
      <c r="A169" t="s">
        <v>51</v>
      </c>
      <c r="B169" t="s">
        <v>156</v>
      </c>
      <c r="C169" t="s">
        <v>157</v>
      </c>
      <c r="D169" t="s">
        <v>74</v>
      </c>
      <c r="E169" t="s">
        <v>182</v>
      </c>
      <c r="F169" s="242">
        <v>0</v>
      </c>
      <c r="G169" s="242">
        <v>0</v>
      </c>
      <c r="H169" s="242">
        <v>0</v>
      </c>
      <c r="I169" s="242">
        <v>0</v>
      </c>
      <c r="J169" s="242">
        <v>0.52388771039156601</v>
      </c>
      <c r="K169" s="242">
        <v>1.5109181671007801</v>
      </c>
      <c r="L169" s="242">
        <v>2.11067506433124</v>
      </c>
      <c r="M169" s="242">
        <v>2.7523429143566198</v>
      </c>
      <c r="N169" s="242">
        <v>3.4348760683397899</v>
      </c>
      <c r="O169" s="242">
        <v>4.1572226181349299</v>
      </c>
    </row>
    <row r="170" spans="1:15">
      <c r="A170" t="s">
        <v>51</v>
      </c>
      <c r="B170" t="s">
        <v>159</v>
      </c>
      <c r="C170" t="s">
        <v>158</v>
      </c>
      <c r="D170" t="s">
        <v>74</v>
      </c>
      <c r="E170" t="s">
        <v>182</v>
      </c>
      <c r="F170" s="242"/>
      <c r="G170" s="242"/>
      <c r="H170" s="242"/>
      <c r="I170" s="242"/>
      <c r="J170" s="242"/>
      <c r="K170" s="242">
        <v>0</v>
      </c>
      <c r="L170" s="242">
        <v>0</v>
      </c>
      <c r="M170" s="242">
        <v>0</v>
      </c>
      <c r="N170" s="242">
        <v>0</v>
      </c>
      <c r="O170" s="242">
        <v>0</v>
      </c>
    </row>
    <row r="171" spans="1:15">
      <c r="A171" t="s">
        <v>51</v>
      </c>
      <c r="B171" t="s">
        <v>235</v>
      </c>
      <c r="C171" t="s">
        <v>234</v>
      </c>
      <c r="D171" t="s">
        <v>74</v>
      </c>
      <c r="E171" t="s">
        <v>182</v>
      </c>
      <c r="F171" s="242">
        <v>0.361569996782305</v>
      </c>
      <c r="G171" s="242">
        <v>0.13218688054406899</v>
      </c>
      <c r="H171" s="242">
        <v>8.6504649767809499E-2</v>
      </c>
      <c r="I171" s="242">
        <v>9.5252310980284693E-2</v>
      </c>
      <c r="J171" s="242">
        <v>9.9140160408051403E-2</v>
      </c>
      <c r="K171" s="242">
        <v>9.9140160408051403E-2</v>
      </c>
      <c r="L171" s="242">
        <v>9.9140160408051403E-2</v>
      </c>
      <c r="M171" s="242">
        <v>9.9140160408051403E-2</v>
      </c>
      <c r="N171" s="242">
        <v>9.9140160408051403E-2</v>
      </c>
      <c r="O171" s="242">
        <v>9.9140160408051403E-2</v>
      </c>
    </row>
    <row r="172" spans="1:15">
      <c r="A172" t="s">
        <v>51</v>
      </c>
      <c r="B172" t="s">
        <v>237</v>
      </c>
      <c r="C172" t="s">
        <v>236</v>
      </c>
      <c r="D172" t="s">
        <v>74</v>
      </c>
      <c r="E172" t="s">
        <v>182</v>
      </c>
      <c r="F172" s="242">
        <v>0</v>
      </c>
      <c r="G172" s="242">
        <v>0</v>
      </c>
      <c r="H172" s="242">
        <v>0</v>
      </c>
      <c r="I172" s="242">
        <v>0</v>
      </c>
      <c r="J172" s="242">
        <v>0</v>
      </c>
      <c r="K172" s="242">
        <v>0</v>
      </c>
      <c r="L172" s="242">
        <v>0</v>
      </c>
      <c r="M172" s="242">
        <v>0</v>
      </c>
      <c r="N172" s="242">
        <v>0</v>
      </c>
      <c r="O172" s="242">
        <v>0</v>
      </c>
    </row>
    <row r="173" spans="1:15">
      <c r="A173" t="s">
        <v>51</v>
      </c>
      <c r="B173" t="s">
        <v>239</v>
      </c>
      <c r="C173" t="s">
        <v>238</v>
      </c>
      <c r="D173" t="s">
        <v>74</v>
      </c>
      <c r="E173" t="s">
        <v>182</v>
      </c>
      <c r="F173" s="242"/>
      <c r="G173" s="242"/>
      <c r="H173" s="242"/>
      <c r="I173" s="242"/>
      <c r="J173" s="242"/>
      <c r="K173" s="242">
        <v>0</v>
      </c>
      <c r="L173" s="242">
        <v>0</v>
      </c>
      <c r="M173" s="242">
        <v>0</v>
      </c>
      <c r="N173" s="242">
        <v>0</v>
      </c>
      <c r="O173" s="242">
        <v>0</v>
      </c>
    </row>
    <row r="174" spans="1:15">
      <c r="A174" t="s">
        <v>51</v>
      </c>
      <c r="B174" t="s">
        <v>241</v>
      </c>
      <c r="C174" t="s">
        <v>240</v>
      </c>
      <c r="D174" t="s">
        <v>74</v>
      </c>
      <c r="E174" t="s">
        <v>182</v>
      </c>
      <c r="F174" s="242"/>
      <c r="G174" s="242"/>
      <c r="H174" s="242"/>
      <c r="I174" s="242"/>
      <c r="J174" s="242"/>
      <c r="K174" s="242">
        <v>0</v>
      </c>
      <c r="L174" s="242">
        <v>0</v>
      </c>
      <c r="M174" s="242">
        <v>0</v>
      </c>
      <c r="N174" s="242">
        <v>0</v>
      </c>
      <c r="O174" s="242">
        <v>0</v>
      </c>
    </row>
    <row r="175" spans="1:15">
      <c r="A175" t="s">
        <v>52</v>
      </c>
      <c r="B175" t="s">
        <v>78</v>
      </c>
      <c r="C175" t="s">
        <v>132</v>
      </c>
      <c r="D175" t="s">
        <v>74</v>
      </c>
      <c r="E175" t="s">
        <v>182</v>
      </c>
      <c r="F175" s="242">
        <v>49.039649928012203</v>
      </c>
      <c r="G175" s="242">
        <v>48.766352951943901</v>
      </c>
      <c r="H175" s="242">
        <v>45.716210134098603</v>
      </c>
      <c r="I175" s="242">
        <v>47.366505005957698</v>
      </c>
      <c r="J175" s="242">
        <v>47.567713038114697</v>
      </c>
      <c r="K175" s="242">
        <v>47.542428198049599</v>
      </c>
      <c r="L175" s="242">
        <v>47.929086667268599</v>
      </c>
      <c r="M175" s="242">
        <v>48.470486532367502</v>
      </c>
      <c r="N175" s="242">
        <v>49.092938217841102</v>
      </c>
      <c r="O175" s="242">
        <v>49.732786361599501</v>
      </c>
    </row>
    <row r="176" spans="1:15">
      <c r="A176" t="s">
        <v>52</v>
      </c>
      <c r="B176" t="s">
        <v>97</v>
      </c>
      <c r="C176" t="s">
        <v>99</v>
      </c>
      <c r="D176" t="s">
        <v>74</v>
      </c>
      <c r="E176" t="s">
        <v>182</v>
      </c>
      <c r="F176" s="242">
        <v>6.1033607282402302</v>
      </c>
      <c r="G176" s="242">
        <v>5.9902942152150702</v>
      </c>
      <c r="H176" s="242">
        <v>5.9180303814737396</v>
      </c>
      <c r="I176" s="242">
        <v>5.1075522570073897</v>
      </c>
      <c r="J176" s="242">
        <v>4.66569746159331</v>
      </c>
      <c r="K176" s="242">
        <v>4.1520032163945499</v>
      </c>
      <c r="L176" s="242">
        <v>3.72652952749154</v>
      </c>
      <c r="M176" s="242">
        <v>3.05513945745431</v>
      </c>
      <c r="N176" s="242">
        <v>1.24072694310899</v>
      </c>
      <c r="O176" s="242">
        <v>1.19602822048627</v>
      </c>
    </row>
    <row r="177" spans="1:15">
      <c r="A177" t="s">
        <v>52</v>
      </c>
      <c r="B177" t="s">
        <v>98</v>
      </c>
      <c r="C177" t="s">
        <v>100</v>
      </c>
      <c r="D177" t="s">
        <v>74</v>
      </c>
      <c r="E177" t="s">
        <v>182</v>
      </c>
      <c r="F177" s="242"/>
      <c r="G177" s="242"/>
      <c r="H177" s="242"/>
      <c r="I177" s="242"/>
      <c r="J177" s="242"/>
      <c r="K177" s="242">
        <v>6.86052144027961E-2</v>
      </c>
      <c r="L177" s="242">
        <v>0.21359065401496499</v>
      </c>
      <c r="M177" s="242">
        <v>0.37186765972028302</v>
      </c>
      <c r="N177" s="242">
        <v>0.53151454828199696</v>
      </c>
      <c r="O177" s="242">
        <v>0.68538571453025399</v>
      </c>
    </row>
    <row r="178" spans="1:15">
      <c r="A178" t="s">
        <v>52</v>
      </c>
      <c r="B178" t="s">
        <v>79</v>
      </c>
      <c r="C178" t="s">
        <v>135</v>
      </c>
      <c r="D178" t="s">
        <v>74</v>
      </c>
      <c r="E178" t="s">
        <v>182</v>
      </c>
      <c r="F178" s="242">
        <v>0.26400000000000001</v>
      </c>
      <c r="G178" s="242">
        <v>0.193</v>
      </c>
      <c r="H178" s="242">
        <v>0.14499999999999999</v>
      </c>
      <c r="I178" s="242">
        <v>0.21854275211506999</v>
      </c>
      <c r="J178" s="242">
        <v>0.22380890455619401</v>
      </c>
      <c r="K178" s="242">
        <v>0.223603496225665</v>
      </c>
      <c r="L178" s="242">
        <v>0.23526976559396101</v>
      </c>
      <c r="M178" s="242">
        <v>0.24985260230433101</v>
      </c>
      <c r="N178" s="242">
        <v>0.26540762812872498</v>
      </c>
      <c r="O178" s="242">
        <v>0.28290703218116797</v>
      </c>
    </row>
    <row r="179" spans="1:15">
      <c r="A179" t="s">
        <v>52</v>
      </c>
      <c r="B179" t="s">
        <v>80</v>
      </c>
      <c r="C179" t="s">
        <v>136</v>
      </c>
      <c r="D179" t="s">
        <v>74</v>
      </c>
      <c r="E179" t="s">
        <v>182</v>
      </c>
      <c r="F179" s="242">
        <v>0.30199999999999999</v>
      </c>
      <c r="G179" s="242">
        <v>0.218</v>
      </c>
      <c r="H179" s="242">
        <v>0.16</v>
      </c>
      <c r="I179" s="242">
        <v>0.23879512554832799</v>
      </c>
      <c r="J179" s="242">
        <v>0.24817587280460199</v>
      </c>
      <c r="K179" s="242">
        <v>0.24790822407628099</v>
      </c>
      <c r="L179" s="242">
        <v>0.26054668255860203</v>
      </c>
      <c r="M179" s="242">
        <v>0.27610170838299603</v>
      </c>
      <c r="N179" s="242">
        <v>0.29262892332141399</v>
      </c>
      <c r="O179" s="242">
        <v>0.31012832737385798</v>
      </c>
    </row>
    <row r="180" spans="1:15">
      <c r="A180" t="s">
        <v>52</v>
      </c>
      <c r="B180" t="s">
        <v>81</v>
      </c>
      <c r="C180" t="s">
        <v>137</v>
      </c>
      <c r="D180" t="s">
        <v>74</v>
      </c>
      <c r="E180" t="s">
        <v>182</v>
      </c>
      <c r="F180" s="242">
        <v>6.2629999999999999</v>
      </c>
      <c r="G180" s="242">
        <v>4.5960000000000001</v>
      </c>
      <c r="H180" s="242">
        <v>3.4489999999999998</v>
      </c>
      <c r="I180" s="242">
        <v>5.2048352072166804</v>
      </c>
      <c r="J180" s="242">
        <v>5.3857143841981197</v>
      </c>
      <c r="K180" s="242">
        <v>5.3859276916964598</v>
      </c>
      <c r="L180" s="242">
        <v>5.6999447755264203</v>
      </c>
      <c r="M180" s="242">
        <v>6.0742375844258998</v>
      </c>
      <c r="N180" s="242">
        <v>6.4951954707985697</v>
      </c>
      <c r="O180" s="242">
        <v>6.9326805721096596</v>
      </c>
    </row>
    <row r="181" spans="1:15">
      <c r="A181" t="s">
        <v>52</v>
      </c>
      <c r="B181" t="s">
        <v>82</v>
      </c>
      <c r="C181" t="s">
        <v>89</v>
      </c>
      <c r="D181" t="s">
        <v>183</v>
      </c>
      <c r="E181" t="s">
        <v>182</v>
      </c>
      <c r="F181" s="242">
        <v>65.295000000000002</v>
      </c>
      <c r="G181" s="242">
        <v>64.087999999999994</v>
      </c>
      <c r="H181" s="242">
        <v>62.8</v>
      </c>
      <c r="I181" s="242">
        <v>61.487000000000002</v>
      </c>
      <c r="J181" s="242">
        <v>59.6</v>
      </c>
      <c r="K181" s="242">
        <v>55.256999999999998</v>
      </c>
      <c r="L181" s="242">
        <v>53.05</v>
      </c>
      <c r="M181" s="242">
        <v>50.622</v>
      </c>
      <c r="N181" s="242">
        <v>48.304000000000002</v>
      </c>
      <c r="O181" s="242">
        <v>46.207000000000001</v>
      </c>
    </row>
    <row r="182" spans="1:15">
      <c r="A182" t="s">
        <v>52</v>
      </c>
      <c r="B182" t="s">
        <v>87</v>
      </c>
      <c r="C182" t="s">
        <v>90</v>
      </c>
      <c r="D182" t="s">
        <v>183</v>
      </c>
      <c r="E182" t="s">
        <v>182</v>
      </c>
      <c r="F182" s="242">
        <v>36.668999999999997</v>
      </c>
      <c r="G182" s="242">
        <v>38.03</v>
      </c>
      <c r="H182" s="242">
        <v>39.847999999999999</v>
      </c>
      <c r="I182" s="242">
        <v>41.761000000000003</v>
      </c>
      <c r="J182" s="242">
        <v>43.161000000000001</v>
      </c>
      <c r="K182" s="242">
        <v>47.725000000000001</v>
      </c>
      <c r="L182" s="242">
        <v>50.343000000000004</v>
      </c>
      <c r="M182" s="242">
        <v>53.36</v>
      </c>
      <c r="N182" s="242">
        <v>56.402000000000001</v>
      </c>
      <c r="O182" s="242">
        <v>59.347000000000001</v>
      </c>
    </row>
    <row r="183" spans="1:15">
      <c r="A183" t="s">
        <v>52</v>
      </c>
      <c r="B183" t="s">
        <v>83</v>
      </c>
      <c r="C183" t="s">
        <v>91</v>
      </c>
      <c r="D183" t="s">
        <v>183</v>
      </c>
      <c r="E183" t="s">
        <v>182</v>
      </c>
      <c r="F183" s="242">
        <v>78.194999999999993</v>
      </c>
      <c r="G183" s="242">
        <v>76.388000000000005</v>
      </c>
      <c r="H183" s="242">
        <v>73.430000000000007</v>
      </c>
      <c r="I183" s="242">
        <v>70.823999999999998</v>
      </c>
      <c r="J183" s="242">
        <v>70.884</v>
      </c>
      <c r="K183" s="242">
        <v>65.846000000000004</v>
      </c>
      <c r="L183" s="242">
        <v>63.216000000000001</v>
      </c>
      <c r="M183" s="242">
        <v>60.322000000000003</v>
      </c>
      <c r="N183" s="242">
        <v>57.561</v>
      </c>
      <c r="O183" s="242">
        <v>55.061999999999998</v>
      </c>
    </row>
    <row r="184" spans="1:15">
      <c r="A184" t="s">
        <v>52</v>
      </c>
      <c r="B184" t="s">
        <v>84</v>
      </c>
      <c r="C184" t="s">
        <v>92</v>
      </c>
      <c r="D184" t="s">
        <v>183</v>
      </c>
      <c r="E184" t="s">
        <v>182</v>
      </c>
      <c r="F184" s="242">
        <v>38.319000000000003</v>
      </c>
      <c r="G184" s="242">
        <v>38.734999999999999</v>
      </c>
      <c r="H184" s="242">
        <v>39.799999999999997</v>
      </c>
      <c r="I184" s="242">
        <v>41.991999999999997</v>
      </c>
      <c r="J184" s="242">
        <v>43.064999999999998</v>
      </c>
      <c r="K184" s="242">
        <v>48.798999999999999</v>
      </c>
      <c r="L184" s="242">
        <v>51.475999999999999</v>
      </c>
      <c r="M184" s="242">
        <v>54.564</v>
      </c>
      <c r="N184" s="242">
        <v>57.670999999999999</v>
      </c>
      <c r="O184" s="242">
        <v>60.682000000000002</v>
      </c>
    </row>
    <row r="185" spans="1:15">
      <c r="A185" t="s">
        <v>52</v>
      </c>
      <c r="B185" t="s">
        <v>85</v>
      </c>
      <c r="C185" t="s">
        <v>93</v>
      </c>
      <c r="D185" t="s">
        <v>183</v>
      </c>
      <c r="E185" t="s">
        <v>182</v>
      </c>
      <c r="F185" s="242">
        <v>1124.394</v>
      </c>
      <c r="G185" s="242">
        <v>1093.5419999999999</v>
      </c>
      <c r="H185" s="242">
        <v>1058.6479999999999</v>
      </c>
      <c r="I185" s="242">
        <v>1021.321</v>
      </c>
      <c r="J185" s="242">
        <v>987.03099999999995</v>
      </c>
      <c r="K185" s="242">
        <v>946.12099999999998</v>
      </c>
      <c r="L185" s="242">
        <v>908.32799999999997</v>
      </c>
      <c r="M185" s="242">
        <v>866.75599999999997</v>
      </c>
      <c r="N185" s="242">
        <v>827.07399999999996</v>
      </c>
      <c r="O185" s="242">
        <v>791.17100000000005</v>
      </c>
    </row>
    <row r="186" spans="1:15">
      <c r="A186" t="s">
        <v>52</v>
      </c>
      <c r="B186" t="s">
        <v>86</v>
      </c>
      <c r="C186" t="s">
        <v>94</v>
      </c>
      <c r="D186" t="s">
        <v>183</v>
      </c>
      <c r="E186" t="s">
        <v>182</v>
      </c>
      <c r="F186" s="242">
        <v>735.17600000000004</v>
      </c>
      <c r="G186" s="242">
        <v>776.26700000000005</v>
      </c>
      <c r="H186" s="242">
        <v>822.66</v>
      </c>
      <c r="I186" s="242">
        <v>870.19</v>
      </c>
      <c r="J186" s="242">
        <v>915.14599999999996</v>
      </c>
      <c r="K186" s="242">
        <v>966.21500000000003</v>
      </c>
      <c r="L186" s="242">
        <v>1019.213</v>
      </c>
      <c r="M186" s="242">
        <v>1080.3019999999999</v>
      </c>
      <c r="N186" s="242">
        <v>1141.8889999999999</v>
      </c>
      <c r="O186" s="242">
        <v>1201.5029999999999</v>
      </c>
    </row>
    <row r="187" spans="1:15">
      <c r="A187" t="s">
        <v>52</v>
      </c>
      <c r="B187" t="s">
        <v>174</v>
      </c>
      <c r="C187" t="s">
        <v>184</v>
      </c>
      <c r="D187" t="s">
        <v>74</v>
      </c>
      <c r="E187" t="s">
        <v>182</v>
      </c>
      <c r="F187" s="242"/>
      <c r="G187" s="242"/>
      <c r="H187" s="242"/>
      <c r="I187" s="242"/>
      <c r="J187" s="242">
        <v>0</v>
      </c>
      <c r="K187" s="242">
        <v>0</v>
      </c>
      <c r="L187" s="242">
        <v>0</v>
      </c>
      <c r="M187" s="242">
        <v>0</v>
      </c>
      <c r="N187" s="242">
        <v>0</v>
      </c>
      <c r="O187" s="242">
        <v>0</v>
      </c>
    </row>
    <row r="188" spans="1:15">
      <c r="A188" t="s">
        <v>52</v>
      </c>
      <c r="B188" t="s">
        <v>156</v>
      </c>
      <c r="C188" t="s">
        <v>157</v>
      </c>
      <c r="D188" t="s">
        <v>74</v>
      </c>
      <c r="E188" t="s">
        <v>182</v>
      </c>
      <c r="F188" s="242">
        <v>1.17309986024751</v>
      </c>
      <c r="G188" s="242">
        <v>1.3039334944385601</v>
      </c>
      <c r="H188" s="242">
        <v>1.383</v>
      </c>
      <c r="I188" s="242">
        <v>0.95099999999999996</v>
      </c>
      <c r="J188" s="242">
        <v>0.92900000000000005</v>
      </c>
      <c r="K188" s="242">
        <v>2.7610000000000001</v>
      </c>
      <c r="L188" s="242">
        <v>3.6970000000000001</v>
      </c>
      <c r="M188" s="242">
        <v>4.6749999999999998</v>
      </c>
      <c r="N188" s="242">
        <v>5.6989999999999998</v>
      </c>
      <c r="O188" s="242">
        <v>6.7670000000000003</v>
      </c>
    </row>
    <row r="189" spans="1:15">
      <c r="A189" t="s">
        <v>52</v>
      </c>
      <c r="B189" t="s">
        <v>159</v>
      </c>
      <c r="C189" t="s">
        <v>158</v>
      </c>
      <c r="D189" t="s">
        <v>74</v>
      </c>
      <c r="E189" t="s">
        <v>182</v>
      </c>
      <c r="F189" s="242"/>
      <c r="G189" s="242"/>
      <c r="H189" s="242"/>
      <c r="I189" s="242"/>
      <c r="J189" s="242"/>
      <c r="K189" s="242">
        <v>0</v>
      </c>
      <c r="L189" s="242">
        <v>0</v>
      </c>
      <c r="M189" s="242">
        <v>0</v>
      </c>
      <c r="N189" s="242">
        <v>0</v>
      </c>
      <c r="O189" s="242">
        <v>0</v>
      </c>
    </row>
    <row r="190" spans="1:15">
      <c r="A190" t="s">
        <v>52</v>
      </c>
      <c r="B190" t="s">
        <v>235</v>
      </c>
      <c r="C190" t="s">
        <v>234</v>
      </c>
      <c r="D190" t="s">
        <v>74</v>
      </c>
      <c r="E190" t="s">
        <v>182</v>
      </c>
      <c r="F190" s="242">
        <v>0.52822451754729005</v>
      </c>
      <c r="G190" s="242">
        <v>0.52822451754729005</v>
      </c>
      <c r="H190" s="242">
        <v>0.52822451754729005</v>
      </c>
      <c r="I190" s="242">
        <v>0.52822451754729005</v>
      </c>
      <c r="J190" s="242">
        <v>0.52822451754729005</v>
      </c>
      <c r="K190" s="242">
        <v>0.52822451754729005</v>
      </c>
      <c r="L190" s="242">
        <v>0.52822451754729005</v>
      </c>
      <c r="M190" s="242">
        <v>0.52822451754729005</v>
      </c>
      <c r="N190" s="242">
        <v>0.52822451754729005</v>
      </c>
      <c r="O190" s="242">
        <v>0.52822451754729005</v>
      </c>
    </row>
    <row r="191" spans="1:15">
      <c r="A191" t="s">
        <v>52</v>
      </c>
      <c r="B191" t="s">
        <v>237</v>
      </c>
      <c r="C191" t="s">
        <v>236</v>
      </c>
      <c r="D191" t="s">
        <v>74</v>
      </c>
      <c r="E191" t="s">
        <v>182</v>
      </c>
      <c r="F191" s="242">
        <v>0</v>
      </c>
      <c r="G191" s="242">
        <v>0</v>
      </c>
      <c r="H191" s="242">
        <v>0</v>
      </c>
      <c r="I191" s="242">
        <v>0</v>
      </c>
      <c r="J191" s="242">
        <v>0</v>
      </c>
      <c r="K191" s="242">
        <v>0</v>
      </c>
      <c r="L191" s="242">
        <v>0</v>
      </c>
      <c r="M191" s="242">
        <v>0</v>
      </c>
      <c r="N191" s="242">
        <v>0</v>
      </c>
      <c r="O191" s="242">
        <v>0</v>
      </c>
    </row>
    <row r="192" spans="1:15">
      <c r="A192" t="s">
        <v>52</v>
      </c>
      <c r="B192" t="s">
        <v>239</v>
      </c>
      <c r="C192" t="s">
        <v>238</v>
      </c>
      <c r="D192" t="s">
        <v>74</v>
      </c>
      <c r="E192" t="s">
        <v>182</v>
      </c>
      <c r="F192" s="242"/>
      <c r="G192" s="242"/>
      <c r="H192" s="242"/>
      <c r="I192" s="242"/>
      <c r="J192" s="242"/>
      <c r="K192" s="242">
        <v>0</v>
      </c>
      <c r="L192" s="242">
        <v>0</v>
      </c>
      <c r="M192" s="242">
        <v>0</v>
      </c>
      <c r="N192" s="242">
        <v>0</v>
      </c>
      <c r="O192" s="242">
        <v>0</v>
      </c>
    </row>
    <row r="193" spans="1:15">
      <c r="A193" t="s">
        <v>52</v>
      </c>
      <c r="B193" t="s">
        <v>241</v>
      </c>
      <c r="C193" t="s">
        <v>240</v>
      </c>
      <c r="D193" t="s">
        <v>74</v>
      </c>
      <c r="E193" t="s">
        <v>182</v>
      </c>
      <c r="F193" s="242"/>
      <c r="G193" s="242"/>
      <c r="H193" s="242"/>
      <c r="I193" s="242"/>
      <c r="J193" s="242"/>
      <c r="K193" s="242">
        <v>0</v>
      </c>
      <c r="L193" s="242">
        <v>0</v>
      </c>
      <c r="M193" s="242">
        <v>0</v>
      </c>
      <c r="N193" s="242">
        <v>0</v>
      </c>
      <c r="O193" s="242">
        <v>0</v>
      </c>
    </row>
    <row r="194" spans="1:15">
      <c r="A194" t="s">
        <v>53</v>
      </c>
      <c r="B194" t="s">
        <v>78</v>
      </c>
      <c r="C194" t="s">
        <v>132</v>
      </c>
      <c r="D194" t="s">
        <v>74</v>
      </c>
      <c r="E194" t="s">
        <v>182</v>
      </c>
      <c r="F194" s="242">
        <v>32.702695108207301</v>
      </c>
      <c r="G194" s="242">
        <v>27.511564405665801</v>
      </c>
      <c r="H194" s="242">
        <v>27.707945289369299</v>
      </c>
      <c r="I194" s="242">
        <v>25.726041713578699</v>
      </c>
      <c r="J194" s="242">
        <v>25.983473640247201</v>
      </c>
      <c r="K194" s="242">
        <v>25.682501961205801</v>
      </c>
      <c r="L194" s="242">
        <v>25.605795416325101</v>
      </c>
      <c r="M194" s="242">
        <v>25.520940419992701</v>
      </c>
      <c r="N194" s="242">
        <v>25.383547316923998</v>
      </c>
      <c r="O194" s="242">
        <v>25.2788321977138</v>
      </c>
    </row>
    <row r="195" spans="1:15">
      <c r="A195" t="s">
        <v>53</v>
      </c>
      <c r="B195" t="s">
        <v>97</v>
      </c>
      <c r="C195" t="s">
        <v>99</v>
      </c>
      <c r="D195" t="s">
        <v>74</v>
      </c>
      <c r="E195" t="s">
        <v>182</v>
      </c>
      <c r="F195" s="242">
        <v>0.558544039094232</v>
      </c>
      <c r="G195" s="242">
        <v>0.62738058368391902</v>
      </c>
      <c r="H195" s="242">
        <v>0.55838517257610099</v>
      </c>
      <c r="I195" s="242">
        <v>0.84294746377094099</v>
      </c>
      <c r="J195" s="242">
        <v>1.66614930823282</v>
      </c>
      <c r="K195" s="242">
        <v>1.7305229332185399</v>
      </c>
      <c r="L195" s="242">
        <v>1.6754468631596799</v>
      </c>
      <c r="M195" s="242">
        <v>1.6301293109941299</v>
      </c>
      <c r="N195" s="242">
        <v>1.1896396162524701</v>
      </c>
      <c r="O195" s="242">
        <v>0.16888299719754199</v>
      </c>
    </row>
    <row r="196" spans="1:15">
      <c r="A196" t="s">
        <v>53</v>
      </c>
      <c r="B196" t="s">
        <v>98</v>
      </c>
      <c r="C196" t="s">
        <v>100</v>
      </c>
      <c r="D196" t="s">
        <v>74</v>
      </c>
      <c r="E196" t="s">
        <v>182</v>
      </c>
      <c r="F196" s="242"/>
      <c r="G196" s="242"/>
      <c r="H196" s="242"/>
      <c r="I196" s="242"/>
      <c r="J196" s="242"/>
      <c r="K196" s="242">
        <v>0.22800000000000001</v>
      </c>
      <c r="L196" s="242">
        <v>0.45</v>
      </c>
      <c r="M196" s="242">
        <v>0.66600000000000004</v>
      </c>
      <c r="N196" s="242">
        <v>0.876</v>
      </c>
      <c r="O196" s="242">
        <v>1.081</v>
      </c>
    </row>
    <row r="197" spans="1:15">
      <c r="A197" t="s">
        <v>53</v>
      </c>
      <c r="B197" t="s">
        <v>79</v>
      </c>
      <c r="C197" t="s">
        <v>135</v>
      </c>
      <c r="D197" t="s">
        <v>74</v>
      </c>
      <c r="E197" t="s">
        <v>182</v>
      </c>
      <c r="F197" s="242">
        <v>6.7861233702199497</v>
      </c>
      <c r="G197" s="242">
        <v>5.087022322028</v>
      </c>
      <c r="H197" s="242">
        <v>5.1779207212601603</v>
      </c>
      <c r="I197" s="242">
        <v>5.2403120494321502</v>
      </c>
      <c r="J197" s="242">
        <v>5.4029377825718203</v>
      </c>
      <c r="K197" s="242">
        <v>5.4957158221159101</v>
      </c>
      <c r="L197" s="242">
        <v>5.81151439813355</v>
      </c>
      <c r="M197" s="242">
        <v>6.1310324100065596</v>
      </c>
      <c r="N197" s="242">
        <v>6.3839166202295097</v>
      </c>
      <c r="O197" s="242">
        <v>6.5044633839159101</v>
      </c>
    </row>
    <row r="198" spans="1:15">
      <c r="A198" t="s">
        <v>53</v>
      </c>
      <c r="B198" t="s">
        <v>80</v>
      </c>
      <c r="C198" t="s">
        <v>136</v>
      </c>
      <c r="D198" t="s">
        <v>74</v>
      </c>
      <c r="E198" t="s">
        <v>182</v>
      </c>
      <c r="F198" s="242">
        <v>0</v>
      </c>
      <c r="G198" s="242">
        <v>0</v>
      </c>
      <c r="H198" s="242">
        <v>0</v>
      </c>
      <c r="I198" s="242">
        <v>0</v>
      </c>
      <c r="J198" s="242">
        <v>0</v>
      </c>
      <c r="K198" s="242">
        <v>0</v>
      </c>
      <c r="L198" s="242">
        <v>0</v>
      </c>
      <c r="M198" s="242">
        <v>0</v>
      </c>
      <c r="N198" s="242">
        <v>0</v>
      </c>
      <c r="O198" s="242">
        <v>0</v>
      </c>
    </row>
    <row r="199" spans="1:15">
      <c r="A199" t="s">
        <v>53</v>
      </c>
      <c r="B199" t="s">
        <v>81</v>
      </c>
      <c r="C199" t="s">
        <v>137</v>
      </c>
      <c r="D199" t="s">
        <v>74</v>
      </c>
      <c r="E199" t="s">
        <v>182</v>
      </c>
      <c r="F199" s="242">
        <v>0</v>
      </c>
      <c r="G199" s="242">
        <v>0</v>
      </c>
      <c r="H199" s="242">
        <v>0</v>
      </c>
      <c r="I199" s="242">
        <v>0</v>
      </c>
      <c r="J199" s="242">
        <v>0</v>
      </c>
      <c r="K199" s="242">
        <v>0</v>
      </c>
      <c r="L199" s="242">
        <v>0</v>
      </c>
      <c r="M199" s="242">
        <v>0</v>
      </c>
      <c r="N199" s="242">
        <v>0</v>
      </c>
      <c r="O199" s="242">
        <v>0</v>
      </c>
    </row>
    <row r="200" spans="1:15">
      <c r="A200" t="s">
        <v>53</v>
      </c>
      <c r="B200" t="s">
        <v>82</v>
      </c>
      <c r="C200" t="s">
        <v>89</v>
      </c>
      <c r="D200" t="s">
        <v>183</v>
      </c>
      <c r="E200" t="s">
        <v>182</v>
      </c>
      <c r="F200" s="242">
        <v>737.38699999999994</v>
      </c>
      <c r="G200" s="242">
        <v>725.32799999999997</v>
      </c>
      <c r="H200" s="242">
        <v>710.69100000000003</v>
      </c>
      <c r="I200" s="242">
        <v>714.57100000000003</v>
      </c>
      <c r="J200" s="242">
        <v>689.36099999999999</v>
      </c>
      <c r="K200" s="242">
        <v>655.52537209214199</v>
      </c>
      <c r="L200" s="242">
        <v>590.37661627642603</v>
      </c>
      <c r="M200" s="242">
        <v>517.64089305975199</v>
      </c>
      <c r="N200" s="242">
        <v>446.496677152855</v>
      </c>
      <c r="O200" s="242">
        <v>387.71878542949901</v>
      </c>
    </row>
    <row r="201" spans="1:15">
      <c r="A201" t="s">
        <v>53</v>
      </c>
      <c r="B201" t="s">
        <v>87</v>
      </c>
      <c r="C201" t="s">
        <v>90</v>
      </c>
      <c r="D201" t="s">
        <v>183</v>
      </c>
      <c r="E201" t="s">
        <v>182</v>
      </c>
      <c r="F201" s="242">
        <v>574.37300000000005</v>
      </c>
      <c r="G201" s="242">
        <v>596.68600000000004</v>
      </c>
      <c r="H201" s="242">
        <v>622.51700000000005</v>
      </c>
      <c r="I201" s="242">
        <v>658.45100000000002</v>
      </c>
      <c r="J201" s="242">
        <v>662.40300000000002</v>
      </c>
      <c r="K201" s="242">
        <v>705.16162790785802</v>
      </c>
      <c r="L201" s="242">
        <v>778.87838372357396</v>
      </c>
      <c r="M201" s="242">
        <v>859.98610694024796</v>
      </c>
      <c r="N201" s="242">
        <v>939.21782284714504</v>
      </c>
      <c r="O201" s="242">
        <v>1006.1212145705</v>
      </c>
    </row>
    <row r="202" spans="1:15">
      <c r="A202" t="s">
        <v>53</v>
      </c>
      <c r="B202" t="s">
        <v>83</v>
      </c>
      <c r="C202" t="s">
        <v>91</v>
      </c>
      <c r="D202" t="s">
        <v>183</v>
      </c>
      <c r="E202" t="s">
        <v>182</v>
      </c>
      <c r="F202" s="242">
        <v>0</v>
      </c>
      <c r="G202" s="242">
        <v>0</v>
      </c>
      <c r="H202" s="242">
        <v>0</v>
      </c>
      <c r="I202" s="242">
        <v>0</v>
      </c>
      <c r="J202" s="242">
        <v>0</v>
      </c>
      <c r="K202" s="242">
        <v>0</v>
      </c>
      <c r="L202" s="242">
        <v>0</v>
      </c>
      <c r="M202" s="242">
        <v>0</v>
      </c>
      <c r="N202" s="242">
        <v>0</v>
      </c>
      <c r="O202" s="242">
        <v>0</v>
      </c>
    </row>
    <row r="203" spans="1:15">
      <c r="A203" t="s">
        <v>53</v>
      </c>
      <c r="B203" t="s">
        <v>84</v>
      </c>
      <c r="C203" t="s">
        <v>92</v>
      </c>
      <c r="D203" t="s">
        <v>183</v>
      </c>
      <c r="E203" t="s">
        <v>182</v>
      </c>
      <c r="F203" s="242">
        <v>0</v>
      </c>
      <c r="G203" s="242">
        <v>0</v>
      </c>
      <c r="H203" s="242">
        <v>0</v>
      </c>
      <c r="I203" s="242">
        <v>0</v>
      </c>
      <c r="J203" s="242">
        <v>0</v>
      </c>
      <c r="K203" s="242">
        <v>0</v>
      </c>
      <c r="L203" s="242">
        <v>0</v>
      </c>
      <c r="M203" s="242">
        <v>0</v>
      </c>
      <c r="N203" s="242">
        <v>0</v>
      </c>
      <c r="O203" s="242">
        <v>0</v>
      </c>
    </row>
    <row r="204" spans="1:15">
      <c r="A204" t="s">
        <v>53</v>
      </c>
      <c r="B204" t="s">
        <v>85</v>
      </c>
      <c r="C204" t="s">
        <v>93</v>
      </c>
      <c r="D204" t="s">
        <v>183</v>
      </c>
      <c r="E204" t="s">
        <v>182</v>
      </c>
      <c r="F204" s="242">
        <v>0</v>
      </c>
      <c r="G204" s="242">
        <v>0</v>
      </c>
      <c r="H204" s="242">
        <v>0</v>
      </c>
      <c r="I204" s="242">
        <v>0</v>
      </c>
      <c r="J204" s="242">
        <v>0</v>
      </c>
      <c r="K204" s="242">
        <v>0</v>
      </c>
      <c r="L204" s="242">
        <v>0</v>
      </c>
      <c r="M204" s="242">
        <v>0</v>
      </c>
      <c r="N204" s="242">
        <v>0</v>
      </c>
      <c r="O204" s="242">
        <v>0</v>
      </c>
    </row>
    <row r="205" spans="1:15">
      <c r="A205" t="s">
        <v>53</v>
      </c>
      <c r="B205" t="s">
        <v>86</v>
      </c>
      <c r="C205" t="s">
        <v>94</v>
      </c>
      <c r="D205" t="s">
        <v>183</v>
      </c>
      <c r="E205" t="s">
        <v>182</v>
      </c>
      <c r="F205" s="242">
        <v>0</v>
      </c>
      <c r="G205" s="242">
        <v>0</v>
      </c>
      <c r="H205" s="242">
        <v>0</v>
      </c>
      <c r="I205" s="242">
        <v>0</v>
      </c>
      <c r="J205" s="242">
        <v>0</v>
      </c>
      <c r="K205" s="242">
        <v>0</v>
      </c>
      <c r="L205" s="242">
        <v>0</v>
      </c>
      <c r="M205" s="242">
        <v>0</v>
      </c>
      <c r="N205" s="242">
        <v>0</v>
      </c>
      <c r="O205" s="242">
        <v>0</v>
      </c>
    </row>
    <row r="206" spans="1:15">
      <c r="A206" t="s">
        <v>53</v>
      </c>
      <c r="B206" t="s">
        <v>174</v>
      </c>
      <c r="C206" t="s">
        <v>184</v>
      </c>
      <c r="D206" t="s">
        <v>74</v>
      </c>
      <c r="E206" t="s">
        <v>182</v>
      </c>
      <c r="F206" s="242"/>
      <c r="G206" s="242"/>
      <c r="H206" s="242"/>
      <c r="I206" s="242"/>
      <c r="J206" s="242">
        <v>0</v>
      </c>
      <c r="K206" s="242">
        <v>0</v>
      </c>
      <c r="L206" s="242">
        <v>0</v>
      </c>
      <c r="M206" s="242">
        <v>0</v>
      </c>
      <c r="N206" s="242">
        <v>0</v>
      </c>
      <c r="O206" s="242">
        <v>0</v>
      </c>
    </row>
    <row r="207" spans="1:15">
      <c r="A207" t="s">
        <v>53</v>
      </c>
      <c r="B207" t="s">
        <v>156</v>
      </c>
      <c r="C207" t="s">
        <v>157</v>
      </c>
      <c r="D207" t="s">
        <v>74</v>
      </c>
      <c r="E207" t="s">
        <v>182</v>
      </c>
      <c r="F207" s="242">
        <v>0.13566</v>
      </c>
      <c r="G207" s="242">
        <v>0.13566</v>
      </c>
      <c r="H207" s="242">
        <v>0.13566</v>
      </c>
      <c r="I207" s="242">
        <v>0.13566</v>
      </c>
      <c r="J207" s="242">
        <v>0.13566</v>
      </c>
      <c r="K207" s="242">
        <v>0.13566</v>
      </c>
      <c r="L207" s="242">
        <v>0.13566</v>
      </c>
      <c r="M207" s="242">
        <v>0.13566</v>
      </c>
      <c r="N207" s="242">
        <v>0.13566</v>
      </c>
      <c r="O207" s="242">
        <v>0.13566</v>
      </c>
    </row>
    <row r="208" spans="1:15">
      <c r="A208" t="s">
        <v>53</v>
      </c>
      <c r="B208" t="s">
        <v>159</v>
      </c>
      <c r="C208" t="s">
        <v>158</v>
      </c>
      <c r="D208" t="s">
        <v>74</v>
      </c>
      <c r="E208" t="s">
        <v>182</v>
      </c>
      <c r="F208" s="242"/>
      <c r="G208" s="242"/>
      <c r="H208" s="242"/>
      <c r="I208" s="242"/>
      <c r="J208" s="242"/>
      <c r="K208" s="242">
        <v>0</v>
      </c>
      <c r="L208" s="242">
        <v>0</v>
      </c>
      <c r="M208" s="242">
        <v>0</v>
      </c>
      <c r="N208" s="242">
        <v>0</v>
      </c>
      <c r="O208" s="242">
        <v>0</v>
      </c>
    </row>
    <row r="209" spans="1:15">
      <c r="A209" t="s">
        <v>53</v>
      </c>
      <c r="B209" t="s">
        <v>235</v>
      </c>
      <c r="C209" t="s">
        <v>234</v>
      </c>
      <c r="D209" t="s">
        <v>74</v>
      </c>
      <c r="E209" t="s">
        <v>182</v>
      </c>
      <c r="F209" s="242">
        <v>0</v>
      </c>
      <c r="G209" s="242">
        <v>0</v>
      </c>
      <c r="H209" s="242">
        <v>0</v>
      </c>
      <c r="I209" s="242">
        <v>0</v>
      </c>
      <c r="J209" s="242">
        <v>0</v>
      </c>
      <c r="K209" s="242">
        <v>0</v>
      </c>
      <c r="L209" s="242">
        <v>0</v>
      </c>
      <c r="M209" s="242">
        <v>0</v>
      </c>
      <c r="N209" s="242">
        <v>0</v>
      </c>
      <c r="O209" s="242">
        <v>0</v>
      </c>
    </row>
    <row r="210" spans="1:15">
      <c r="A210" t="s">
        <v>53</v>
      </c>
      <c r="B210" t="s">
        <v>237</v>
      </c>
      <c r="C210" t="s">
        <v>236</v>
      </c>
      <c r="D210" t="s">
        <v>74</v>
      </c>
      <c r="E210" t="s">
        <v>182</v>
      </c>
      <c r="F210" s="242">
        <v>0</v>
      </c>
      <c r="G210" s="242">
        <v>0</v>
      </c>
      <c r="H210" s="242">
        <v>0</v>
      </c>
      <c r="I210" s="242">
        <v>0</v>
      </c>
      <c r="J210" s="242">
        <v>0</v>
      </c>
      <c r="K210" s="242">
        <v>0</v>
      </c>
      <c r="L210" s="242">
        <v>0</v>
      </c>
      <c r="M210" s="242">
        <v>0</v>
      </c>
      <c r="N210" s="242">
        <v>0</v>
      </c>
      <c r="O210" s="242">
        <v>0</v>
      </c>
    </row>
    <row r="211" spans="1:15">
      <c r="A211" t="s">
        <v>53</v>
      </c>
      <c r="B211" t="s">
        <v>239</v>
      </c>
      <c r="C211" t="s">
        <v>238</v>
      </c>
      <c r="D211" t="s">
        <v>74</v>
      </c>
      <c r="E211" t="s">
        <v>182</v>
      </c>
      <c r="F211" s="242"/>
      <c r="G211" s="242"/>
      <c r="H211" s="242"/>
      <c r="I211" s="242"/>
      <c r="J211" s="242"/>
      <c r="K211" s="242">
        <v>0</v>
      </c>
      <c r="L211" s="242">
        <v>0</v>
      </c>
      <c r="M211" s="242">
        <v>0</v>
      </c>
      <c r="N211" s="242">
        <v>0</v>
      </c>
      <c r="O211" s="242">
        <v>0</v>
      </c>
    </row>
    <row r="212" spans="1:15">
      <c r="A212" t="s">
        <v>53</v>
      </c>
      <c r="B212" t="s">
        <v>241</v>
      </c>
      <c r="C212" t="s">
        <v>240</v>
      </c>
      <c r="D212" t="s">
        <v>74</v>
      </c>
      <c r="E212" t="s">
        <v>182</v>
      </c>
      <c r="F212" s="242"/>
      <c r="G212" s="242"/>
      <c r="H212" s="242"/>
      <c r="I212" s="242"/>
      <c r="J212" s="242"/>
      <c r="K212" s="242">
        <v>0</v>
      </c>
      <c r="L212" s="242">
        <v>0</v>
      </c>
      <c r="M212" s="242">
        <v>0</v>
      </c>
      <c r="N212" s="242">
        <v>0</v>
      </c>
      <c r="O212" s="242">
        <v>0</v>
      </c>
    </row>
    <row r="213" spans="1:15">
      <c r="A213" t="s">
        <v>54</v>
      </c>
      <c r="B213" t="s">
        <v>78</v>
      </c>
      <c r="C213" t="s">
        <v>132</v>
      </c>
      <c r="D213" t="s">
        <v>74</v>
      </c>
      <c r="E213" t="s">
        <v>182</v>
      </c>
      <c r="F213" s="242">
        <v>8.7896580415232499</v>
      </c>
      <c r="G213" s="242">
        <v>6.3787299320566397</v>
      </c>
      <c r="H213" s="242">
        <v>7.3624006049291602</v>
      </c>
      <c r="I213" s="242">
        <v>8.3352069717081392</v>
      </c>
      <c r="J213" s="242">
        <v>8.4907480397111392</v>
      </c>
      <c r="K213" s="242">
        <v>8.6953489147138292</v>
      </c>
      <c r="L213" s="242">
        <v>8.89124314668633</v>
      </c>
      <c r="M213" s="242">
        <v>9.0769720854024492</v>
      </c>
      <c r="N213" s="242">
        <v>9.2535233828427792</v>
      </c>
      <c r="O213" s="242">
        <v>9.4209357314604407</v>
      </c>
    </row>
    <row r="214" spans="1:15">
      <c r="A214" t="s">
        <v>54</v>
      </c>
      <c r="B214" t="s">
        <v>97</v>
      </c>
      <c r="C214" t="s">
        <v>99</v>
      </c>
      <c r="D214" t="s">
        <v>74</v>
      </c>
      <c r="E214" t="s">
        <v>182</v>
      </c>
      <c r="F214" s="242">
        <v>0.26937609000000001</v>
      </c>
      <c r="G214" s="242">
        <v>0.28195766999999999</v>
      </c>
      <c r="H214" s="242">
        <v>0.30051689999999998</v>
      </c>
      <c r="I214" s="242">
        <v>0.24771967098096301</v>
      </c>
      <c r="J214" s="242">
        <v>0.217</v>
      </c>
      <c r="K214" s="242">
        <v>0.23200000000000001</v>
      </c>
      <c r="L214" s="242">
        <v>0.20799999999999999</v>
      </c>
      <c r="M214" s="242">
        <v>0.14299999999999999</v>
      </c>
      <c r="N214" s="242">
        <v>9.2999999999999999E-2</v>
      </c>
      <c r="O214" s="242">
        <v>4.2000000000000003E-2</v>
      </c>
    </row>
    <row r="215" spans="1:15">
      <c r="A215" t="s">
        <v>54</v>
      </c>
      <c r="B215" t="s">
        <v>98</v>
      </c>
      <c r="C215" t="s">
        <v>100</v>
      </c>
      <c r="D215" t="s">
        <v>74</v>
      </c>
      <c r="E215" t="s">
        <v>182</v>
      </c>
      <c r="F215" s="242"/>
      <c r="G215" s="242"/>
      <c r="H215" s="242"/>
      <c r="I215" s="242"/>
      <c r="J215" s="242"/>
      <c r="K215" s="242">
        <v>5.8000000000000003E-2</v>
      </c>
      <c r="L215" s="242">
        <v>0.17699999999999999</v>
      </c>
      <c r="M215" s="242">
        <v>0.3</v>
      </c>
      <c r="N215" s="242">
        <v>0.42699999999999999</v>
      </c>
      <c r="O215" s="242">
        <v>0.55800000000000005</v>
      </c>
    </row>
    <row r="216" spans="1:15">
      <c r="A216" t="s">
        <v>54</v>
      </c>
      <c r="B216" t="s">
        <v>79</v>
      </c>
      <c r="C216" t="s">
        <v>135</v>
      </c>
      <c r="D216" t="s">
        <v>74</v>
      </c>
      <c r="E216" t="s">
        <v>182</v>
      </c>
      <c r="F216" s="242">
        <v>1.28276020510466</v>
      </c>
      <c r="G216" s="242">
        <v>1.2391877060713601</v>
      </c>
      <c r="H216" s="242">
        <v>1.3708671897329701</v>
      </c>
      <c r="I216" s="242">
        <v>1.4693852131870899</v>
      </c>
      <c r="J216" s="242">
        <v>1.5815695415223201</v>
      </c>
      <c r="K216" s="242">
        <v>1.7432408985121199</v>
      </c>
      <c r="L216" s="242">
        <v>1.9256176635968301</v>
      </c>
      <c r="M216" s="242">
        <v>2.0982853208004499</v>
      </c>
      <c r="N216" s="242">
        <v>2.26131742397056</v>
      </c>
      <c r="O216" s="242">
        <v>2.4152656269640298</v>
      </c>
    </row>
    <row r="217" spans="1:15">
      <c r="A217" t="s">
        <v>54</v>
      </c>
      <c r="B217" t="s">
        <v>80</v>
      </c>
      <c r="C217" t="s">
        <v>136</v>
      </c>
      <c r="D217" t="s">
        <v>74</v>
      </c>
      <c r="E217" t="s">
        <v>182</v>
      </c>
      <c r="F217" s="242">
        <v>0</v>
      </c>
      <c r="G217" s="242">
        <v>0</v>
      </c>
      <c r="H217" s="242">
        <v>0</v>
      </c>
      <c r="I217" s="242">
        <v>0</v>
      </c>
      <c r="J217" s="242">
        <v>0</v>
      </c>
      <c r="K217" s="242">
        <v>0</v>
      </c>
      <c r="L217" s="242">
        <v>0</v>
      </c>
      <c r="M217" s="242">
        <v>0</v>
      </c>
      <c r="N217" s="242">
        <v>0</v>
      </c>
      <c r="O217" s="242">
        <v>0</v>
      </c>
    </row>
    <row r="218" spans="1:15">
      <c r="A218" t="s">
        <v>54</v>
      </c>
      <c r="B218" t="s">
        <v>81</v>
      </c>
      <c r="C218" t="s">
        <v>137</v>
      </c>
      <c r="D218" t="s">
        <v>74</v>
      </c>
      <c r="E218" t="s">
        <v>182</v>
      </c>
      <c r="F218" s="242">
        <v>0</v>
      </c>
      <c r="G218" s="242">
        <v>0</v>
      </c>
      <c r="H218" s="242">
        <v>0</v>
      </c>
      <c r="I218" s="242">
        <v>0</v>
      </c>
      <c r="J218" s="242">
        <v>0</v>
      </c>
      <c r="K218" s="242">
        <v>0</v>
      </c>
      <c r="L218" s="242">
        <v>0</v>
      </c>
      <c r="M218" s="242">
        <v>0</v>
      </c>
      <c r="N218" s="242">
        <v>0</v>
      </c>
      <c r="O218" s="242">
        <v>0</v>
      </c>
    </row>
    <row r="219" spans="1:15">
      <c r="A219" t="s">
        <v>54</v>
      </c>
      <c r="B219" t="s">
        <v>82</v>
      </c>
      <c r="C219" t="s">
        <v>89</v>
      </c>
      <c r="D219" t="s">
        <v>183</v>
      </c>
      <c r="E219" t="s">
        <v>182</v>
      </c>
      <c r="F219" s="242">
        <v>299.36099999999999</v>
      </c>
      <c r="G219" s="242">
        <v>292.21600000000001</v>
      </c>
      <c r="H219" s="242">
        <v>282.80099999999999</v>
      </c>
      <c r="I219" s="242">
        <v>273.38</v>
      </c>
      <c r="J219" s="242">
        <v>262.25700000000001</v>
      </c>
      <c r="K219" s="242">
        <v>245.697</v>
      </c>
      <c r="L219" s="242">
        <v>226.34200000000001</v>
      </c>
      <c r="M219" s="242">
        <v>208.30199999999999</v>
      </c>
      <c r="N219" s="242">
        <v>191.49700000000001</v>
      </c>
      <c r="O219" s="242">
        <v>175.84700000000001</v>
      </c>
    </row>
    <row r="220" spans="1:15">
      <c r="A220" t="s">
        <v>54</v>
      </c>
      <c r="B220" t="s">
        <v>87</v>
      </c>
      <c r="C220" t="s">
        <v>90</v>
      </c>
      <c r="D220" t="s">
        <v>183</v>
      </c>
      <c r="E220" t="s">
        <v>182</v>
      </c>
      <c r="F220" s="242">
        <v>164.21600000000001</v>
      </c>
      <c r="G220" s="242">
        <v>173.679</v>
      </c>
      <c r="H220" s="242">
        <v>186.376</v>
      </c>
      <c r="I220" s="242">
        <v>199.77</v>
      </c>
      <c r="J220" s="242">
        <v>215.02199999999999</v>
      </c>
      <c r="K220" s="242">
        <v>237.00200000000001</v>
      </c>
      <c r="L220" s="242">
        <v>261.79700000000003</v>
      </c>
      <c r="M220" s="242">
        <v>285.27199999999999</v>
      </c>
      <c r="N220" s="242">
        <v>307.43700000000001</v>
      </c>
      <c r="O220" s="242">
        <v>328.36700000000002</v>
      </c>
    </row>
    <row r="221" spans="1:15">
      <c r="A221" t="s">
        <v>54</v>
      </c>
      <c r="B221" t="s">
        <v>83</v>
      </c>
      <c r="C221" t="s">
        <v>91</v>
      </c>
      <c r="D221" t="s">
        <v>183</v>
      </c>
      <c r="E221" t="s">
        <v>182</v>
      </c>
      <c r="F221" s="242">
        <v>0</v>
      </c>
      <c r="G221" s="242">
        <v>0</v>
      </c>
      <c r="H221" s="242">
        <v>0</v>
      </c>
      <c r="I221" s="242">
        <v>0</v>
      </c>
      <c r="J221" s="242">
        <v>0</v>
      </c>
      <c r="K221" s="242">
        <v>0</v>
      </c>
      <c r="L221" s="242">
        <v>0</v>
      </c>
      <c r="M221" s="242">
        <v>0</v>
      </c>
      <c r="N221" s="242">
        <v>0</v>
      </c>
      <c r="O221" s="242">
        <v>0</v>
      </c>
    </row>
    <row r="222" spans="1:15">
      <c r="A222" t="s">
        <v>54</v>
      </c>
      <c r="B222" t="s">
        <v>84</v>
      </c>
      <c r="C222" t="s">
        <v>92</v>
      </c>
      <c r="D222" t="s">
        <v>183</v>
      </c>
      <c r="E222" t="s">
        <v>182</v>
      </c>
      <c r="F222" s="242">
        <v>0</v>
      </c>
      <c r="G222" s="242">
        <v>0</v>
      </c>
      <c r="H222" s="242">
        <v>0</v>
      </c>
      <c r="I222" s="242">
        <v>0</v>
      </c>
      <c r="J222" s="242">
        <v>0</v>
      </c>
      <c r="K222" s="242">
        <v>0</v>
      </c>
      <c r="L222" s="242">
        <v>0</v>
      </c>
      <c r="M222" s="242">
        <v>0</v>
      </c>
      <c r="N222" s="242">
        <v>0</v>
      </c>
      <c r="O222" s="242">
        <v>0</v>
      </c>
    </row>
    <row r="223" spans="1:15">
      <c r="A223" t="s">
        <v>54</v>
      </c>
      <c r="B223" t="s">
        <v>85</v>
      </c>
      <c r="C223" t="s">
        <v>93</v>
      </c>
      <c r="D223" t="s">
        <v>183</v>
      </c>
      <c r="E223" t="s">
        <v>182</v>
      </c>
      <c r="F223" s="242">
        <v>0</v>
      </c>
      <c r="G223" s="242">
        <v>0</v>
      </c>
      <c r="H223" s="242">
        <v>0</v>
      </c>
      <c r="I223" s="242">
        <v>0</v>
      </c>
      <c r="J223" s="242">
        <v>0</v>
      </c>
      <c r="K223" s="242">
        <v>0</v>
      </c>
      <c r="L223" s="242">
        <v>0</v>
      </c>
      <c r="M223" s="242">
        <v>0</v>
      </c>
      <c r="N223" s="242">
        <v>0</v>
      </c>
      <c r="O223" s="242">
        <v>0</v>
      </c>
    </row>
    <row r="224" spans="1:15">
      <c r="A224" t="s">
        <v>54</v>
      </c>
      <c r="B224" t="s">
        <v>86</v>
      </c>
      <c r="C224" t="s">
        <v>94</v>
      </c>
      <c r="D224" t="s">
        <v>183</v>
      </c>
      <c r="E224" t="s">
        <v>182</v>
      </c>
      <c r="F224" s="242">
        <v>0</v>
      </c>
      <c r="G224" s="242">
        <v>0</v>
      </c>
      <c r="H224" s="242">
        <v>0</v>
      </c>
      <c r="I224" s="242">
        <v>0</v>
      </c>
      <c r="J224" s="242">
        <v>0</v>
      </c>
      <c r="K224" s="242">
        <v>0</v>
      </c>
      <c r="L224" s="242">
        <v>0</v>
      </c>
      <c r="M224" s="242">
        <v>0</v>
      </c>
      <c r="N224" s="242">
        <v>0</v>
      </c>
      <c r="O224" s="242">
        <v>0</v>
      </c>
    </row>
    <row r="225" spans="1:15">
      <c r="A225" t="s">
        <v>54</v>
      </c>
      <c r="B225" t="s">
        <v>174</v>
      </c>
      <c r="C225" t="s">
        <v>184</v>
      </c>
      <c r="D225" t="s">
        <v>74</v>
      </c>
      <c r="E225" t="s">
        <v>182</v>
      </c>
      <c r="F225" s="242"/>
      <c r="G225" s="242"/>
      <c r="H225" s="242"/>
      <c r="I225" s="242"/>
      <c r="J225" s="242">
        <v>0</v>
      </c>
      <c r="K225" s="242">
        <v>0</v>
      </c>
      <c r="L225" s="242">
        <v>0</v>
      </c>
      <c r="M225" s="242">
        <v>0</v>
      </c>
      <c r="N225" s="242">
        <v>0</v>
      </c>
      <c r="O225" s="242">
        <v>0</v>
      </c>
    </row>
    <row r="226" spans="1:15">
      <c r="A226" t="s">
        <v>54</v>
      </c>
      <c r="B226" t="s">
        <v>156</v>
      </c>
      <c r="C226" t="s">
        <v>157</v>
      </c>
      <c r="D226" t="s">
        <v>74</v>
      </c>
      <c r="E226" t="s">
        <v>182</v>
      </c>
      <c r="F226" s="242">
        <v>0.153</v>
      </c>
      <c r="G226" s="242">
        <v>8.3979999999999999E-2</v>
      </c>
      <c r="H226" s="242">
        <v>7.0040000000000005E-2</v>
      </c>
      <c r="I226" s="242">
        <v>6.9728487155720303E-2</v>
      </c>
      <c r="J226" s="242">
        <v>0.46829442526513099</v>
      </c>
      <c r="K226" s="242">
        <v>0.64544472657079399</v>
      </c>
      <c r="L226" s="242">
        <v>0.83740711313154603</v>
      </c>
      <c r="M226" s="242">
        <v>1.0438298276936899</v>
      </c>
      <c r="N226" s="242">
        <v>1.2645890129781101</v>
      </c>
      <c r="O226" s="242">
        <v>1.4994593425818701</v>
      </c>
    </row>
    <row r="227" spans="1:15">
      <c r="A227" t="s">
        <v>54</v>
      </c>
      <c r="B227" t="s">
        <v>159</v>
      </c>
      <c r="C227" t="s">
        <v>158</v>
      </c>
      <c r="D227" t="s">
        <v>74</v>
      </c>
      <c r="E227" t="s">
        <v>182</v>
      </c>
      <c r="F227" s="242"/>
      <c r="G227" s="242"/>
      <c r="H227" s="242"/>
      <c r="I227" s="242"/>
      <c r="J227" s="242"/>
      <c r="K227" s="242">
        <v>0</v>
      </c>
      <c r="L227" s="242">
        <v>0</v>
      </c>
      <c r="M227" s="242">
        <v>0</v>
      </c>
      <c r="N227" s="242">
        <v>0</v>
      </c>
      <c r="O227" s="242">
        <v>0</v>
      </c>
    </row>
    <row r="228" spans="1:15">
      <c r="A228" t="s">
        <v>54</v>
      </c>
      <c r="B228" t="s">
        <v>235</v>
      </c>
      <c r="C228" t="s">
        <v>234</v>
      </c>
      <c r="D228" t="s">
        <v>74</v>
      </c>
      <c r="E228" t="s">
        <v>182</v>
      </c>
      <c r="F228" s="242">
        <v>0.185740811520376</v>
      </c>
      <c r="G228" s="242">
        <v>0.183924712659495</v>
      </c>
      <c r="H228" s="242">
        <v>0.23863678179299999</v>
      </c>
      <c r="I228" s="242">
        <v>0.29968154373792</v>
      </c>
      <c r="J228" s="242">
        <v>0.37535484222294202</v>
      </c>
      <c r="K228" s="242">
        <v>0.40904512219362299</v>
      </c>
      <c r="L228" s="242">
        <v>0.38155967440942301</v>
      </c>
      <c r="M228" s="242">
        <v>0.31769831014932998</v>
      </c>
      <c r="N228" s="242">
        <v>0.20569711420328901</v>
      </c>
      <c r="O228" s="242">
        <v>0.100132253741336</v>
      </c>
    </row>
    <row r="229" spans="1:15">
      <c r="A229" t="s">
        <v>54</v>
      </c>
      <c r="B229" t="s">
        <v>237</v>
      </c>
      <c r="C229" t="s">
        <v>236</v>
      </c>
      <c r="D229" t="s">
        <v>74</v>
      </c>
      <c r="E229" t="s">
        <v>182</v>
      </c>
      <c r="F229" s="242">
        <v>0</v>
      </c>
      <c r="G229" s="242">
        <v>0</v>
      </c>
      <c r="H229" s="242">
        <v>0</v>
      </c>
      <c r="I229" s="242">
        <v>0</v>
      </c>
      <c r="J229" s="242">
        <v>0</v>
      </c>
      <c r="K229" s="242">
        <v>0</v>
      </c>
      <c r="L229" s="242">
        <v>0</v>
      </c>
      <c r="M229" s="242">
        <v>0</v>
      </c>
      <c r="N229" s="242">
        <v>0</v>
      </c>
      <c r="O229" s="242">
        <v>0</v>
      </c>
    </row>
    <row r="230" spans="1:15">
      <c r="A230" t="s">
        <v>54</v>
      </c>
      <c r="B230" t="s">
        <v>239</v>
      </c>
      <c r="C230" t="s">
        <v>238</v>
      </c>
      <c r="D230" t="s">
        <v>74</v>
      </c>
      <c r="E230" t="s">
        <v>182</v>
      </c>
      <c r="F230" s="242"/>
      <c r="G230" s="242"/>
      <c r="H230" s="242"/>
      <c r="I230" s="242"/>
      <c r="J230" s="242"/>
      <c r="K230" s="242">
        <v>3.7600645428745999E-2</v>
      </c>
      <c r="L230" s="242">
        <v>0.11531822374269</v>
      </c>
      <c r="M230" s="242">
        <v>0.19640739054843101</v>
      </c>
      <c r="N230" s="242">
        <v>0.28055726879124698</v>
      </c>
      <c r="O230" s="242">
        <v>0.36809744938700301</v>
      </c>
    </row>
    <row r="231" spans="1:15">
      <c r="A231" t="s">
        <v>54</v>
      </c>
      <c r="B231" t="s">
        <v>241</v>
      </c>
      <c r="C231" t="s">
        <v>240</v>
      </c>
      <c r="D231" t="s">
        <v>74</v>
      </c>
      <c r="E231" t="s">
        <v>182</v>
      </c>
      <c r="F231" s="242"/>
      <c r="G231" s="242"/>
      <c r="H231" s="242"/>
      <c r="I231" s="242"/>
      <c r="J231" s="242"/>
      <c r="K231" s="242">
        <v>0</v>
      </c>
      <c r="L231" s="242">
        <v>0</v>
      </c>
      <c r="M231" s="242">
        <v>0</v>
      </c>
      <c r="N231" s="242">
        <v>0</v>
      </c>
      <c r="O231" s="242">
        <v>0</v>
      </c>
    </row>
    <row r="232" spans="1:15">
      <c r="A232" t="s">
        <v>66</v>
      </c>
      <c r="B232" t="s">
        <v>78</v>
      </c>
      <c r="C232" t="s">
        <v>132</v>
      </c>
      <c r="D232" t="s">
        <v>74</v>
      </c>
      <c r="E232" t="s">
        <v>182</v>
      </c>
      <c r="F232" s="242">
        <v>12.7782860672145</v>
      </c>
      <c r="G232" s="242">
        <v>12.0423571158399</v>
      </c>
      <c r="H232" s="242">
        <v>13.3443819623512</v>
      </c>
      <c r="I232" s="242">
        <v>12.512581557262701</v>
      </c>
      <c r="J232" s="242">
        <v>12.601255802565699</v>
      </c>
      <c r="K232" s="242">
        <v>12.7777086783979</v>
      </c>
      <c r="L232" s="242">
        <v>12.935428288685999</v>
      </c>
      <c r="M232" s="242">
        <v>13.071835353016899</v>
      </c>
      <c r="N232" s="242">
        <v>13.1852755069855</v>
      </c>
      <c r="O232" s="242">
        <v>13.2999825391329</v>
      </c>
    </row>
    <row r="233" spans="1:15">
      <c r="A233" t="s">
        <v>66</v>
      </c>
      <c r="B233" t="s">
        <v>97</v>
      </c>
      <c r="C233" t="s">
        <v>99</v>
      </c>
      <c r="D233" t="s">
        <v>74</v>
      </c>
      <c r="E233" t="s">
        <v>182</v>
      </c>
      <c r="F233" s="242">
        <v>0.15043983337320099</v>
      </c>
      <c r="G233" s="242">
        <v>0.22323374006441099</v>
      </c>
      <c r="H233" s="242">
        <v>0.38489723610848198</v>
      </c>
      <c r="I233" s="242">
        <v>0.662261321176978</v>
      </c>
      <c r="J233" s="242">
        <v>0.94947192103873101</v>
      </c>
      <c r="K233" s="242">
        <v>0.99151567980501798</v>
      </c>
      <c r="L233" s="242">
        <v>0.87628679220211403</v>
      </c>
      <c r="M233" s="242">
        <v>0.74572410017937996</v>
      </c>
      <c r="N233" s="242">
        <v>0.43999773671474002</v>
      </c>
      <c r="O233" s="242">
        <v>0.14087629484525199</v>
      </c>
    </row>
    <row r="234" spans="1:15">
      <c r="A234" t="s">
        <v>66</v>
      </c>
      <c r="B234" t="s">
        <v>98</v>
      </c>
      <c r="C234" t="s">
        <v>100</v>
      </c>
      <c r="D234" t="s">
        <v>74</v>
      </c>
      <c r="E234" t="s">
        <v>182</v>
      </c>
      <c r="F234" s="242"/>
      <c r="G234" s="242"/>
      <c r="H234" s="242"/>
      <c r="I234" s="242"/>
      <c r="J234" s="242"/>
      <c r="K234" s="242">
        <v>0.15170220765003201</v>
      </c>
      <c r="L234" s="242">
        <v>0.25502854995095697</v>
      </c>
      <c r="M234" s="242">
        <v>0.34957046918587398</v>
      </c>
      <c r="N234" s="242">
        <v>0.42845319947703697</v>
      </c>
      <c r="O234" s="242">
        <v>0.47797929062863498</v>
      </c>
    </row>
    <row r="235" spans="1:15">
      <c r="A235" t="s">
        <v>66</v>
      </c>
      <c r="B235" t="s">
        <v>79</v>
      </c>
      <c r="C235" t="s">
        <v>135</v>
      </c>
      <c r="D235" t="s">
        <v>74</v>
      </c>
      <c r="E235" t="s">
        <v>182</v>
      </c>
      <c r="F235" s="242">
        <v>1.07799745044013</v>
      </c>
      <c r="G235" s="242">
        <v>1.17463026874618</v>
      </c>
      <c r="H235" s="242">
        <v>1.1696315590134001</v>
      </c>
      <c r="I235" s="242">
        <v>1.2217733871463501</v>
      </c>
      <c r="J235" s="242">
        <v>1.2834134814734499</v>
      </c>
      <c r="K235" s="242">
        <v>1.47969740602849</v>
      </c>
      <c r="L235" s="242">
        <v>1.54623645868458</v>
      </c>
      <c r="M235" s="242">
        <v>1.61362177949311</v>
      </c>
      <c r="N235" s="242">
        <v>1.6817537081648299</v>
      </c>
      <c r="O235" s="242">
        <v>1.7503397033752099</v>
      </c>
    </row>
    <row r="236" spans="1:15">
      <c r="A236" t="s">
        <v>66</v>
      </c>
      <c r="B236" t="s">
        <v>80</v>
      </c>
      <c r="C236" t="s">
        <v>136</v>
      </c>
      <c r="D236" t="s">
        <v>74</v>
      </c>
      <c r="E236" t="s">
        <v>182</v>
      </c>
      <c r="F236" s="242">
        <v>0</v>
      </c>
      <c r="G236" s="242">
        <v>0</v>
      </c>
      <c r="H236" s="242">
        <v>0</v>
      </c>
      <c r="I236" s="242">
        <v>0</v>
      </c>
      <c r="J236" s="242">
        <v>0</v>
      </c>
      <c r="K236" s="242">
        <v>0</v>
      </c>
      <c r="L236" s="242">
        <v>0</v>
      </c>
      <c r="M236" s="242">
        <v>0</v>
      </c>
      <c r="N236" s="242">
        <v>0</v>
      </c>
      <c r="O236" s="242">
        <v>0</v>
      </c>
    </row>
    <row r="237" spans="1:15">
      <c r="A237" t="s">
        <v>66</v>
      </c>
      <c r="B237" t="s">
        <v>81</v>
      </c>
      <c r="C237" t="s">
        <v>137</v>
      </c>
      <c r="D237" t="s">
        <v>74</v>
      </c>
      <c r="E237" t="s">
        <v>182</v>
      </c>
      <c r="F237" s="242">
        <v>0</v>
      </c>
      <c r="G237" s="242">
        <v>0</v>
      </c>
      <c r="H237" s="242">
        <v>0</v>
      </c>
      <c r="I237" s="242">
        <v>0</v>
      </c>
      <c r="J237" s="242">
        <v>0</v>
      </c>
      <c r="K237" s="242">
        <v>0</v>
      </c>
      <c r="L237" s="242">
        <v>0</v>
      </c>
      <c r="M237" s="242">
        <v>0</v>
      </c>
      <c r="N237" s="242">
        <v>0</v>
      </c>
      <c r="O237" s="242">
        <v>0</v>
      </c>
    </row>
    <row r="238" spans="1:15">
      <c r="A238" t="s">
        <v>66</v>
      </c>
      <c r="B238" t="s">
        <v>82</v>
      </c>
      <c r="C238" t="s">
        <v>89</v>
      </c>
      <c r="D238" t="s">
        <v>183</v>
      </c>
      <c r="E238" t="s">
        <v>182</v>
      </c>
      <c r="F238" s="242">
        <v>425.62299999999999</v>
      </c>
      <c r="G238" s="242">
        <v>418.05099999999999</v>
      </c>
      <c r="H238" s="242">
        <v>409.68950000000001</v>
      </c>
      <c r="I238" s="242">
        <v>399.58100000000002</v>
      </c>
      <c r="J238" s="242">
        <v>390.82236157773701</v>
      </c>
      <c r="K238" s="242">
        <v>382.21011365547298</v>
      </c>
      <c r="L238" s="242">
        <v>373.758191524258</v>
      </c>
      <c r="M238" s="242">
        <v>365.31908753388802</v>
      </c>
      <c r="N238" s="242">
        <v>356.88434314554598</v>
      </c>
      <c r="O238" s="242">
        <v>348.45607453592498</v>
      </c>
    </row>
    <row r="239" spans="1:15">
      <c r="A239" t="s">
        <v>66</v>
      </c>
      <c r="B239" t="s">
        <v>87</v>
      </c>
      <c r="C239" t="s">
        <v>90</v>
      </c>
      <c r="D239" t="s">
        <v>183</v>
      </c>
      <c r="E239" t="s">
        <v>182</v>
      </c>
      <c r="F239" s="242">
        <v>206.48699999999999</v>
      </c>
      <c r="G239" s="242">
        <v>221.50200000000001</v>
      </c>
      <c r="H239" s="242">
        <v>233.29300000000001</v>
      </c>
      <c r="I239" s="242">
        <v>248.7355</v>
      </c>
      <c r="J239" s="242">
        <v>260.50471342226302</v>
      </c>
      <c r="K239" s="242">
        <v>272.14275809452602</v>
      </c>
      <c r="L239" s="242">
        <v>284.30728168407501</v>
      </c>
      <c r="M239" s="242">
        <v>296.63267057027798</v>
      </c>
      <c r="N239" s="242">
        <v>309.10801907320399</v>
      </c>
      <c r="O239" s="242">
        <v>321.67376140678402</v>
      </c>
    </row>
    <row r="240" spans="1:15">
      <c r="A240" t="s">
        <v>66</v>
      </c>
      <c r="B240" t="s">
        <v>83</v>
      </c>
      <c r="C240" t="s">
        <v>91</v>
      </c>
      <c r="D240" t="s">
        <v>183</v>
      </c>
      <c r="E240" t="s">
        <v>182</v>
      </c>
      <c r="F240" s="242">
        <v>0</v>
      </c>
      <c r="G240" s="242">
        <v>0</v>
      </c>
      <c r="H240" s="242">
        <v>0</v>
      </c>
      <c r="I240" s="242">
        <v>0</v>
      </c>
      <c r="J240" s="242">
        <v>0</v>
      </c>
      <c r="K240" s="242">
        <v>0</v>
      </c>
      <c r="L240" s="242">
        <v>0</v>
      </c>
      <c r="M240" s="242">
        <v>0</v>
      </c>
      <c r="N240" s="242">
        <v>0</v>
      </c>
      <c r="O240" s="242">
        <v>0</v>
      </c>
    </row>
    <row r="241" spans="1:15">
      <c r="A241" t="s">
        <v>66</v>
      </c>
      <c r="B241" t="s">
        <v>84</v>
      </c>
      <c r="C241" t="s">
        <v>92</v>
      </c>
      <c r="D241" t="s">
        <v>183</v>
      </c>
      <c r="E241" t="s">
        <v>182</v>
      </c>
      <c r="F241" s="242">
        <v>0</v>
      </c>
      <c r="G241" s="242">
        <v>0</v>
      </c>
      <c r="H241" s="242">
        <v>0</v>
      </c>
      <c r="I241" s="242">
        <v>0</v>
      </c>
      <c r="J241" s="242">
        <v>0</v>
      </c>
      <c r="K241" s="242">
        <v>0</v>
      </c>
      <c r="L241" s="242">
        <v>0</v>
      </c>
      <c r="M241" s="242">
        <v>0</v>
      </c>
      <c r="N241" s="242">
        <v>0</v>
      </c>
      <c r="O241" s="242">
        <v>0</v>
      </c>
    </row>
    <row r="242" spans="1:15">
      <c r="A242" t="s">
        <v>66</v>
      </c>
      <c r="B242" t="s">
        <v>85</v>
      </c>
      <c r="C242" t="s">
        <v>93</v>
      </c>
      <c r="D242" t="s">
        <v>183</v>
      </c>
      <c r="E242" t="s">
        <v>182</v>
      </c>
      <c r="F242" s="242">
        <v>0</v>
      </c>
      <c r="G242" s="242">
        <v>0</v>
      </c>
      <c r="H242" s="242">
        <v>0</v>
      </c>
      <c r="I242" s="242">
        <v>0</v>
      </c>
      <c r="J242" s="242">
        <v>0</v>
      </c>
      <c r="K242" s="242">
        <v>0</v>
      </c>
      <c r="L242" s="242">
        <v>0</v>
      </c>
      <c r="M242" s="242">
        <v>0</v>
      </c>
      <c r="N242" s="242">
        <v>0</v>
      </c>
      <c r="O242" s="242">
        <v>0</v>
      </c>
    </row>
    <row r="243" spans="1:15">
      <c r="A243" t="s">
        <v>66</v>
      </c>
      <c r="B243" t="s">
        <v>86</v>
      </c>
      <c r="C243" t="s">
        <v>94</v>
      </c>
      <c r="D243" t="s">
        <v>183</v>
      </c>
      <c r="E243" t="s">
        <v>182</v>
      </c>
      <c r="F243" s="242">
        <v>0</v>
      </c>
      <c r="G243" s="242">
        <v>0</v>
      </c>
      <c r="H243" s="242">
        <v>0</v>
      </c>
      <c r="I243" s="242">
        <v>0</v>
      </c>
      <c r="J243" s="242">
        <v>0</v>
      </c>
      <c r="K243" s="242">
        <v>0</v>
      </c>
      <c r="L243" s="242">
        <v>0</v>
      </c>
      <c r="M243" s="242">
        <v>0</v>
      </c>
      <c r="N243" s="242">
        <v>0</v>
      </c>
      <c r="O243" s="242">
        <v>0</v>
      </c>
    </row>
    <row r="244" spans="1:15">
      <c r="A244" t="s">
        <v>66</v>
      </c>
      <c r="B244" t="s">
        <v>174</v>
      </c>
      <c r="C244" t="s">
        <v>184</v>
      </c>
      <c r="D244" t="s">
        <v>74</v>
      </c>
      <c r="E244" t="s">
        <v>182</v>
      </c>
      <c r="F244" s="242"/>
      <c r="G244" s="242"/>
      <c r="H244" s="242"/>
      <c r="I244" s="242"/>
      <c r="J244" s="242">
        <v>0</v>
      </c>
      <c r="K244" s="242">
        <v>0</v>
      </c>
      <c r="L244" s="242">
        <v>0</v>
      </c>
      <c r="M244" s="242">
        <v>0</v>
      </c>
      <c r="N244" s="242">
        <v>0</v>
      </c>
      <c r="O244" s="242">
        <v>0</v>
      </c>
    </row>
    <row r="245" spans="1:15">
      <c r="A245" t="s">
        <v>66</v>
      </c>
      <c r="B245" t="s">
        <v>156</v>
      </c>
      <c r="C245" t="s">
        <v>157</v>
      </c>
      <c r="D245" t="s">
        <v>74</v>
      </c>
      <c r="E245" t="s">
        <v>182</v>
      </c>
      <c r="F245" s="242">
        <v>1.0754605370350001</v>
      </c>
      <c r="G245" s="242">
        <v>1.1591695779542199</v>
      </c>
      <c r="H245" s="242">
        <v>1.0666873332179401</v>
      </c>
      <c r="I245" s="242">
        <v>1.14089877784352</v>
      </c>
      <c r="J245" s="242">
        <v>1.18330556481349</v>
      </c>
      <c r="K245" s="242">
        <v>1.0184697577445301</v>
      </c>
      <c r="L245" s="242">
        <v>1.17308141251051</v>
      </c>
      <c r="M245" s="242">
        <v>1.51238723243007</v>
      </c>
      <c r="N245" s="242">
        <v>1.93782430706763</v>
      </c>
      <c r="O245" s="242">
        <v>2.3967442718596801</v>
      </c>
    </row>
    <row r="246" spans="1:15">
      <c r="A246" t="s">
        <v>66</v>
      </c>
      <c r="B246" t="s">
        <v>159</v>
      </c>
      <c r="C246" t="s">
        <v>158</v>
      </c>
      <c r="D246" t="s">
        <v>74</v>
      </c>
      <c r="E246" t="s">
        <v>182</v>
      </c>
      <c r="F246" s="242"/>
      <c r="G246" s="242"/>
      <c r="H246" s="242"/>
      <c r="I246" s="242"/>
      <c r="J246" s="242"/>
      <c r="K246" s="242">
        <v>0</v>
      </c>
      <c r="L246" s="242">
        <v>0</v>
      </c>
      <c r="M246" s="242">
        <v>0</v>
      </c>
      <c r="N246" s="242">
        <v>0</v>
      </c>
      <c r="O246" s="242">
        <v>0</v>
      </c>
    </row>
    <row r="247" spans="1:15">
      <c r="A247" t="s">
        <v>66</v>
      </c>
      <c r="B247" t="s">
        <v>235</v>
      </c>
      <c r="C247" t="s">
        <v>234</v>
      </c>
      <c r="D247" t="s">
        <v>74</v>
      </c>
      <c r="E247" t="s">
        <v>182</v>
      </c>
      <c r="F247" s="242">
        <v>1.2328129184200101</v>
      </c>
      <c r="G247" s="242">
        <v>1.20230415557084</v>
      </c>
      <c r="H247" s="242">
        <v>1.01282539795409</v>
      </c>
      <c r="I247" s="242">
        <v>1.0378673747573699</v>
      </c>
      <c r="J247" s="242">
        <v>1.3145549650617701</v>
      </c>
      <c r="K247" s="242">
        <v>1.38505314042911</v>
      </c>
      <c r="L247" s="242">
        <v>1.23026164090446</v>
      </c>
      <c r="M247" s="242">
        <v>0.85730273983456695</v>
      </c>
      <c r="N247" s="242">
        <v>0.34935624975339302</v>
      </c>
      <c r="O247" s="242">
        <v>0.122445712901307</v>
      </c>
    </row>
    <row r="248" spans="1:15">
      <c r="A248" t="s">
        <v>66</v>
      </c>
      <c r="B248" t="s">
        <v>237</v>
      </c>
      <c r="C248" t="s">
        <v>236</v>
      </c>
      <c r="D248" t="s">
        <v>74</v>
      </c>
      <c r="E248" t="s">
        <v>182</v>
      </c>
      <c r="F248" s="242">
        <v>0</v>
      </c>
      <c r="G248" s="242">
        <v>0</v>
      </c>
      <c r="H248" s="242">
        <v>0</v>
      </c>
      <c r="I248" s="242">
        <v>0</v>
      </c>
      <c r="J248" s="242">
        <v>0</v>
      </c>
      <c r="K248" s="242">
        <v>0</v>
      </c>
      <c r="L248" s="242">
        <v>0</v>
      </c>
      <c r="M248" s="242">
        <v>0</v>
      </c>
      <c r="N248" s="242">
        <v>0</v>
      </c>
      <c r="O248" s="242">
        <v>0</v>
      </c>
    </row>
    <row r="249" spans="1:15">
      <c r="A249" t="s">
        <v>66</v>
      </c>
      <c r="B249" t="s">
        <v>239</v>
      </c>
      <c r="C249" t="s">
        <v>238</v>
      </c>
      <c r="D249" t="s">
        <v>74</v>
      </c>
      <c r="E249" t="s">
        <v>182</v>
      </c>
      <c r="F249" s="242"/>
      <c r="G249" s="242"/>
      <c r="H249" s="242"/>
      <c r="I249" s="242"/>
      <c r="J249" s="242"/>
      <c r="K249" s="242">
        <v>5.7546930149127998E-2</v>
      </c>
      <c r="L249" s="242">
        <v>0.15749697197957099</v>
      </c>
      <c r="M249" s="242">
        <v>0.27638516472196101</v>
      </c>
      <c r="N249" s="242">
        <v>0.39122632323741302</v>
      </c>
      <c r="O249" s="242">
        <v>0.47662650394015998</v>
      </c>
    </row>
    <row r="250" spans="1:15">
      <c r="A250" t="s">
        <v>66</v>
      </c>
      <c r="B250" t="s">
        <v>241</v>
      </c>
      <c r="C250" t="s">
        <v>240</v>
      </c>
      <c r="D250" t="s">
        <v>74</v>
      </c>
      <c r="E250" t="s">
        <v>182</v>
      </c>
      <c r="F250" s="242"/>
      <c r="G250" s="242"/>
      <c r="H250" s="242"/>
      <c r="I250" s="242"/>
      <c r="J250" s="242"/>
      <c r="K250" s="242">
        <v>0</v>
      </c>
      <c r="L250" s="242">
        <v>0</v>
      </c>
      <c r="M250" s="242">
        <v>0</v>
      </c>
      <c r="N250" s="242">
        <v>0</v>
      </c>
      <c r="O250" s="242">
        <v>0</v>
      </c>
    </row>
    <row r="251" spans="1:15">
      <c r="A251" t="s">
        <v>55</v>
      </c>
      <c r="B251" t="s">
        <v>78</v>
      </c>
      <c r="C251" t="s">
        <v>132</v>
      </c>
      <c r="D251" t="s">
        <v>74</v>
      </c>
      <c r="E251" t="s">
        <v>182</v>
      </c>
      <c r="F251" s="242">
        <v>2.25</v>
      </c>
      <c r="G251" s="242">
        <v>2.3570000000000002</v>
      </c>
      <c r="H251" s="242">
        <v>2.6709999999999998</v>
      </c>
      <c r="I251" s="242">
        <v>2.4969999999999999</v>
      </c>
      <c r="J251" s="242">
        <v>2.4710000000000001</v>
      </c>
      <c r="K251" s="242">
        <v>2.4460000000000002</v>
      </c>
      <c r="L251" s="242">
        <v>2.4460000000000002</v>
      </c>
      <c r="M251" s="242">
        <v>2.4460000000000002</v>
      </c>
      <c r="N251" s="242">
        <v>2.4460000000000002</v>
      </c>
      <c r="O251" s="242">
        <v>2.4460000000000002</v>
      </c>
    </row>
    <row r="252" spans="1:15">
      <c r="A252" t="s">
        <v>55</v>
      </c>
      <c r="B252" t="s">
        <v>97</v>
      </c>
      <c r="C252" t="s">
        <v>99</v>
      </c>
      <c r="D252" t="s">
        <v>74</v>
      </c>
      <c r="E252" t="s">
        <v>182</v>
      </c>
      <c r="F252" s="242">
        <v>0</v>
      </c>
      <c r="G252" s="242">
        <v>0</v>
      </c>
      <c r="H252" s="242">
        <v>3.9E-2</v>
      </c>
      <c r="I252" s="242">
        <v>3.9E-2</v>
      </c>
      <c r="J252" s="242">
        <v>3.9E-2</v>
      </c>
      <c r="K252" s="242">
        <v>3.9E-2</v>
      </c>
      <c r="L252" s="242">
        <v>3.9E-2</v>
      </c>
      <c r="M252" s="242">
        <v>3.9E-2</v>
      </c>
      <c r="N252" s="242">
        <v>3.9E-2</v>
      </c>
      <c r="O252" s="242">
        <v>3.9E-2</v>
      </c>
    </row>
    <row r="253" spans="1:15">
      <c r="A253" t="s">
        <v>55</v>
      </c>
      <c r="B253" t="s">
        <v>98</v>
      </c>
      <c r="C253" t="s">
        <v>100</v>
      </c>
      <c r="D253" t="s">
        <v>74</v>
      </c>
      <c r="E253" t="s">
        <v>182</v>
      </c>
      <c r="F253" s="242"/>
      <c r="G253" s="242"/>
      <c r="H253" s="242"/>
      <c r="I253" s="242"/>
      <c r="J253" s="242"/>
      <c r="K253" s="242">
        <v>2.1999999999999999E-2</v>
      </c>
      <c r="L253" s="242">
        <v>4.2999999999999997E-2</v>
      </c>
      <c r="M253" s="242">
        <v>6.3E-2</v>
      </c>
      <c r="N253" s="242">
        <v>8.3000000000000004E-2</v>
      </c>
      <c r="O253" s="242">
        <v>0.104</v>
      </c>
    </row>
    <row r="254" spans="1:15">
      <c r="A254" t="s">
        <v>55</v>
      </c>
      <c r="B254" t="s">
        <v>79</v>
      </c>
      <c r="C254" t="s">
        <v>135</v>
      </c>
      <c r="D254" t="s">
        <v>74</v>
      </c>
      <c r="E254" t="s">
        <v>182</v>
      </c>
      <c r="F254" s="242">
        <v>0</v>
      </c>
      <c r="G254" s="242">
        <v>0</v>
      </c>
      <c r="H254" s="242">
        <v>0.17499999999999999</v>
      </c>
      <c r="I254" s="242">
        <v>0.18610599999999999</v>
      </c>
      <c r="J254" s="242">
        <v>0.17499999999999999</v>
      </c>
      <c r="K254" s="242">
        <v>0.202737</v>
      </c>
      <c r="L254" s="242">
        <v>0.21085999999999999</v>
      </c>
      <c r="M254" s="242">
        <v>0.21885399999999999</v>
      </c>
      <c r="N254" s="242">
        <v>0.226849</v>
      </c>
      <c r="O254" s="242">
        <v>0.234843</v>
      </c>
    </row>
    <row r="255" spans="1:15">
      <c r="A255" t="s">
        <v>55</v>
      </c>
      <c r="B255" t="s">
        <v>80</v>
      </c>
      <c r="C255" t="s">
        <v>136</v>
      </c>
      <c r="D255" t="s">
        <v>74</v>
      </c>
      <c r="E255" t="s">
        <v>182</v>
      </c>
      <c r="F255" s="242">
        <v>0</v>
      </c>
      <c r="G255" s="242">
        <v>0</v>
      </c>
      <c r="H255" s="242">
        <v>0</v>
      </c>
      <c r="I255" s="242">
        <v>0</v>
      </c>
      <c r="J255" s="242">
        <v>0</v>
      </c>
      <c r="K255" s="242">
        <v>0</v>
      </c>
      <c r="L255" s="242">
        <v>0</v>
      </c>
      <c r="M255" s="242">
        <v>0</v>
      </c>
      <c r="N255" s="242">
        <v>0</v>
      </c>
      <c r="O255" s="242">
        <v>0</v>
      </c>
    </row>
    <row r="256" spans="1:15">
      <c r="A256" t="s">
        <v>55</v>
      </c>
      <c r="B256" t="s">
        <v>81</v>
      </c>
      <c r="C256" t="s">
        <v>137</v>
      </c>
      <c r="D256" t="s">
        <v>74</v>
      </c>
      <c r="E256" t="s">
        <v>182</v>
      </c>
      <c r="F256" s="242">
        <v>0</v>
      </c>
      <c r="G256" s="242">
        <v>0</v>
      </c>
      <c r="H256" s="242">
        <v>0</v>
      </c>
      <c r="I256" s="242">
        <v>0</v>
      </c>
      <c r="J256" s="242">
        <v>0</v>
      </c>
      <c r="K256" s="242">
        <v>0</v>
      </c>
      <c r="L256" s="242">
        <v>0</v>
      </c>
      <c r="M256" s="242">
        <v>0</v>
      </c>
      <c r="N256" s="242">
        <v>0</v>
      </c>
      <c r="O256" s="242">
        <v>0</v>
      </c>
    </row>
    <row r="257" spans="1:15">
      <c r="A257" t="s">
        <v>55</v>
      </c>
      <c r="B257" t="s">
        <v>82</v>
      </c>
      <c r="C257" t="s">
        <v>89</v>
      </c>
      <c r="D257" t="s">
        <v>183</v>
      </c>
      <c r="E257" t="s">
        <v>182</v>
      </c>
      <c r="F257" s="242">
        <v>54.542000000000002</v>
      </c>
      <c r="G257" s="242">
        <v>53.274999999999999</v>
      </c>
      <c r="H257" s="242">
        <v>51.676000000000002</v>
      </c>
      <c r="I257" s="242">
        <v>49.905999999999999</v>
      </c>
      <c r="J257" s="242">
        <v>49.435000000000002</v>
      </c>
      <c r="K257" s="242">
        <v>47.847999999999999</v>
      </c>
      <c r="L257" s="242">
        <v>46.311999999999998</v>
      </c>
      <c r="M257" s="242">
        <v>44.825000000000003</v>
      </c>
      <c r="N257" s="242">
        <v>43.386000000000003</v>
      </c>
      <c r="O257" s="242">
        <v>41.993000000000002</v>
      </c>
    </row>
    <row r="258" spans="1:15">
      <c r="A258" t="s">
        <v>55</v>
      </c>
      <c r="B258" t="s">
        <v>87</v>
      </c>
      <c r="C258" t="s">
        <v>90</v>
      </c>
      <c r="D258" t="s">
        <v>183</v>
      </c>
      <c r="E258" t="s">
        <v>182</v>
      </c>
      <c r="F258" s="242">
        <v>55.360999999999997</v>
      </c>
      <c r="G258" s="242">
        <v>58.847625000000001</v>
      </c>
      <c r="H258" s="242">
        <v>61.582787156450003</v>
      </c>
      <c r="I258" s="242">
        <v>63.613</v>
      </c>
      <c r="J258" s="242">
        <v>66.88</v>
      </c>
      <c r="K258" s="242">
        <v>69.438999999999993</v>
      </c>
      <c r="L258" s="242">
        <v>71.917000000000002</v>
      </c>
      <c r="M258" s="242">
        <v>74.346000000000004</v>
      </c>
      <c r="N258" s="242">
        <v>76.727000000000004</v>
      </c>
      <c r="O258" s="242">
        <v>79.063000000000002</v>
      </c>
    </row>
    <row r="259" spans="1:15">
      <c r="A259" t="s">
        <v>55</v>
      </c>
      <c r="B259" t="s">
        <v>83</v>
      </c>
      <c r="C259" t="s">
        <v>91</v>
      </c>
      <c r="D259" t="s">
        <v>183</v>
      </c>
      <c r="E259" t="s">
        <v>182</v>
      </c>
      <c r="F259" s="242">
        <v>0</v>
      </c>
      <c r="G259" s="242">
        <v>0</v>
      </c>
      <c r="H259" s="242">
        <v>0</v>
      </c>
      <c r="I259" s="242">
        <v>0</v>
      </c>
      <c r="J259" s="242">
        <v>0</v>
      </c>
      <c r="K259" s="242">
        <v>0</v>
      </c>
      <c r="L259" s="242">
        <v>0</v>
      </c>
      <c r="M259" s="242">
        <v>0</v>
      </c>
      <c r="N259" s="242">
        <v>0</v>
      </c>
      <c r="O259" s="242">
        <v>0</v>
      </c>
    </row>
    <row r="260" spans="1:15">
      <c r="A260" t="s">
        <v>55</v>
      </c>
      <c r="B260" t="s">
        <v>84</v>
      </c>
      <c r="C260" t="s">
        <v>92</v>
      </c>
      <c r="D260" t="s">
        <v>183</v>
      </c>
      <c r="E260" t="s">
        <v>182</v>
      </c>
      <c r="F260" s="242">
        <v>0</v>
      </c>
      <c r="G260" s="242">
        <v>0</v>
      </c>
      <c r="H260" s="242">
        <v>0</v>
      </c>
      <c r="I260" s="242">
        <v>0</v>
      </c>
      <c r="J260" s="242">
        <v>0</v>
      </c>
      <c r="K260" s="242">
        <v>0</v>
      </c>
      <c r="L260" s="242">
        <v>0</v>
      </c>
      <c r="M260" s="242">
        <v>0</v>
      </c>
      <c r="N260" s="242">
        <v>0</v>
      </c>
      <c r="O260" s="242">
        <v>0</v>
      </c>
    </row>
    <row r="261" spans="1:15">
      <c r="A261" t="s">
        <v>55</v>
      </c>
      <c r="B261" t="s">
        <v>85</v>
      </c>
      <c r="C261" t="s">
        <v>93</v>
      </c>
      <c r="D261" t="s">
        <v>183</v>
      </c>
      <c r="E261" t="s">
        <v>182</v>
      </c>
      <c r="F261" s="242">
        <v>0</v>
      </c>
      <c r="G261" s="242">
        <v>0</v>
      </c>
      <c r="H261" s="242">
        <v>0</v>
      </c>
      <c r="I261" s="242">
        <v>0</v>
      </c>
      <c r="J261" s="242">
        <v>0</v>
      </c>
      <c r="K261" s="242">
        <v>0</v>
      </c>
      <c r="L261" s="242">
        <v>0</v>
      </c>
      <c r="M261" s="242">
        <v>0</v>
      </c>
      <c r="N261" s="242">
        <v>0</v>
      </c>
      <c r="O261" s="242">
        <v>0</v>
      </c>
    </row>
    <row r="262" spans="1:15">
      <c r="A262" t="s">
        <v>55</v>
      </c>
      <c r="B262" t="s">
        <v>86</v>
      </c>
      <c r="C262" t="s">
        <v>94</v>
      </c>
      <c r="D262" t="s">
        <v>183</v>
      </c>
      <c r="E262" t="s">
        <v>182</v>
      </c>
      <c r="F262" s="242">
        <v>0</v>
      </c>
      <c r="G262" s="242">
        <v>0</v>
      </c>
      <c r="H262" s="242">
        <v>0</v>
      </c>
      <c r="I262" s="242">
        <v>0</v>
      </c>
      <c r="J262" s="242">
        <v>0</v>
      </c>
      <c r="K262" s="242">
        <v>0</v>
      </c>
      <c r="L262" s="242">
        <v>0</v>
      </c>
      <c r="M262" s="242">
        <v>0</v>
      </c>
      <c r="N262" s="242">
        <v>0</v>
      </c>
      <c r="O262" s="242">
        <v>0</v>
      </c>
    </row>
    <row r="263" spans="1:15">
      <c r="A263" t="s">
        <v>55</v>
      </c>
      <c r="B263" t="s">
        <v>174</v>
      </c>
      <c r="C263" t="s">
        <v>184</v>
      </c>
      <c r="D263" t="s">
        <v>74</v>
      </c>
      <c r="E263" t="s">
        <v>182</v>
      </c>
      <c r="F263" s="242"/>
      <c r="G263" s="242"/>
      <c r="H263" s="242"/>
      <c r="I263" s="242"/>
      <c r="J263" s="242">
        <v>0</v>
      </c>
      <c r="K263" s="242">
        <v>0</v>
      </c>
      <c r="L263" s="242">
        <v>0</v>
      </c>
      <c r="M263" s="242">
        <v>0</v>
      </c>
      <c r="N263" s="242">
        <v>0</v>
      </c>
      <c r="O263" s="242">
        <v>0</v>
      </c>
    </row>
    <row r="264" spans="1:15">
      <c r="A264" t="s">
        <v>55</v>
      </c>
      <c r="B264" t="s">
        <v>156</v>
      </c>
      <c r="C264" t="s">
        <v>157</v>
      </c>
      <c r="D264" t="s">
        <v>74</v>
      </c>
      <c r="E264" t="s">
        <v>182</v>
      </c>
      <c r="F264" s="242">
        <v>0</v>
      </c>
      <c r="G264" s="242">
        <v>0</v>
      </c>
      <c r="H264" s="242">
        <v>0.09</v>
      </c>
      <c r="I264" s="242">
        <v>9.9000000000000005E-2</v>
      </c>
      <c r="J264" s="242">
        <v>0.13200000000000001</v>
      </c>
      <c r="K264" s="242">
        <v>0.36199999999999999</v>
      </c>
      <c r="L264" s="242">
        <v>0.42099999999999999</v>
      </c>
      <c r="M264" s="242">
        <v>0.51200000000000001</v>
      </c>
      <c r="N264" s="242">
        <v>0.56899999999999995</v>
      </c>
      <c r="O264" s="242">
        <v>0.622</v>
      </c>
    </row>
    <row r="265" spans="1:15">
      <c r="A265" t="s">
        <v>55</v>
      </c>
      <c r="B265" t="s">
        <v>159</v>
      </c>
      <c r="C265" t="s">
        <v>158</v>
      </c>
      <c r="D265" t="s">
        <v>74</v>
      </c>
      <c r="E265" t="s">
        <v>182</v>
      </c>
      <c r="F265" s="242"/>
      <c r="G265" s="242"/>
      <c r="H265" s="242"/>
      <c r="I265" s="242"/>
      <c r="J265" s="242"/>
      <c r="K265" s="242">
        <v>0</v>
      </c>
      <c r="L265" s="242">
        <v>0</v>
      </c>
      <c r="M265" s="242">
        <v>0</v>
      </c>
      <c r="N265" s="242">
        <v>0</v>
      </c>
      <c r="O265" s="242">
        <v>0</v>
      </c>
    </row>
    <row r="266" spans="1:15">
      <c r="A266" t="s">
        <v>55</v>
      </c>
      <c r="B266" t="s">
        <v>235</v>
      </c>
      <c r="C266" t="s">
        <v>234</v>
      </c>
      <c r="D266" t="s">
        <v>74</v>
      </c>
      <c r="E266" t="s">
        <v>182</v>
      </c>
      <c r="F266" s="242">
        <v>8.9999999999999993E-3</v>
      </c>
      <c r="G266" s="242">
        <v>8.9999999999999993E-3</v>
      </c>
      <c r="H266" s="242">
        <v>8.9999999999999993E-3</v>
      </c>
      <c r="I266" s="242">
        <v>8.9999999999999993E-3</v>
      </c>
      <c r="J266" s="242">
        <v>8.9999999999999993E-3</v>
      </c>
      <c r="K266" s="242">
        <v>8.9999999999999993E-3</v>
      </c>
      <c r="L266" s="242">
        <v>8.9999999999999993E-3</v>
      </c>
      <c r="M266" s="242">
        <v>8.9999999999999993E-3</v>
      </c>
      <c r="N266" s="242">
        <v>8.9999999999999993E-3</v>
      </c>
      <c r="O266" s="242">
        <v>8.9999999999999993E-3</v>
      </c>
    </row>
    <row r="267" spans="1:15">
      <c r="A267" t="s">
        <v>55</v>
      </c>
      <c r="B267" t="s">
        <v>237</v>
      </c>
      <c r="C267" t="s">
        <v>236</v>
      </c>
      <c r="D267" t="s">
        <v>74</v>
      </c>
      <c r="E267" t="s">
        <v>182</v>
      </c>
      <c r="F267" s="242">
        <v>0</v>
      </c>
      <c r="G267" s="242">
        <v>0</v>
      </c>
      <c r="H267" s="242">
        <v>0</v>
      </c>
      <c r="I267" s="242">
        <v>0</v>
      </c>
      <c r="J267" s="242">
        <v>0</v>
      </c>
      <c r="K267" s="242">
        <v>0</v>
      </c>
      <c r="L267" s="242">
        <v>0</v>
      </c>
      <c r="M267" s="242">
        <v>0</v>
      </c>
      <c r="N267" s="242">
        <v>0</v>
      </c>
      <c r="O267" s="242">
        <v>0</v>
      </c>
    </row>
    <row r="268" spans="1:15">
      <c r="A268" t="s">
        <v>55</v>
      </c>
      <c r="B268" t="s">
        <v>239</v>
      </c>
      <c r="C268" t="s">
        <v>238</v>
      </c>
      <c r="D268" t="s">
        <v>74</v>
      </c>
      <c r="E268" t="s">
        <v>182</v>
      </c>
      <c r="F268" s="242"/>
      <c r="G268" s="242"/>
      <c r="H268" s="242"/>
      <c r="I268" s="242"/>
      <c r="J268" s="242"/>
      <c r="K268" s="242">
        <v>1.2E-2</v>
      </c>
      <c r="L268" s="242">
        <v>2.1000000000000001E-2</v>
      </c>
      <c r="M268" s="242">
        <v>0.02</v>
      </c>
      <c r="N268" s="242">
        <v>1.2999999999999999E-2</v>
      </c>
      <c r="O268" s="242">
        <v>6.0000000000000001E-3</v>
      </c>
    </row>
    <row r="269" spans="1:15">
      <c r="A269" t="s">
        <v>55</v>
      </c>
      <c r="B269" t="s">
        <v>241</v>
      </c>
      <c r="C269" t="s">
        <v>240</v>
      </c>
      <c r="D269" t="s">
        <v>74</v>
      </c>
      <c r="E269" t="s">
        <v>182</v>
      </c>
      <c r="F269" s="242"/>
      <c r="G269" s="242"/>
      <c r="H269" s="242"/>
      <c r="I269" s="242"/>
      <c r="J269" s="242"/>
      <c r="K269" s="242">
        <v>0</v>
      </c>
      <c r="L269" s="242">
        <v>0</v>
      </c>
      <c r="M269" s="242">
        <v>0</v>
      </c>
      <c r="N269" s="242">
        <v>0</v>
      </c>
      <c r="O269" s="242">
        <v>0</v>
      </c>
    </row>
    <row r="270" spans="1:15">
      <c r="A270" t="s">
        <v>56</v>
      </c>
      <c r="B270" t="s">
        <v>78</v>
      </c>
      <c r="C270" t="s">
        <v>132</v>
      </c>
      <c r="D270" t="s">
        <v>74</v>
      </c>
      <c r="E270" t="s">
        <v>182</v>
      </c>
      <c r="F270" s="242">
        <v>3.1989999999999998</v>
      </c>
      <c r="G270" s="242">
        <v>3.4580000000000002</v>
      </c>
      <c r="H270" s="242">
        <v>3.859</v>
      </c>
      <c r="I270" s="242">
        <v>3.9390000000000001</v>
      </c>
      <c r="J270" s="242">
        <v>3.9649999999999999</v>
      </c>
      <c r="K270" s="242">
        <v>4.0469999999999997</v>
      </c>
      <c r="L270" s="242">
        <v>4.0780000000000003</v>
      </c>
      <c r="M270" s="242">
        <v>4.109</v>
      </c>
      <c r="N270" s="242">
        <v>4.1429999999999998</v>
      </c>
      <c r="O270" s="242">
        <v>4.1760000000000002</v>
      </c>
    </row>
    <row r="271" spans="1:15">
      <c r="A271" t="s">
        <v>56</v>
      </c>
      <c r="B271" t="s">
        <v>97</v>
      </c>
      <c r="C271" t="s">
        <v>99</v>
      </c>
      <c r="D271" t="s">
        <v>74</v>
      </c>
      <c r="E271" t="s">
        <v>182</v>
      </c>
      <c r="F271" s="242">
        <v>4.1000000000000002E-2</v>
      </c>
      <c r="G271" s="242">
        <v>4.1000000000000002E-2</v>
      </c>
      <c r="H271" s="242">
        <v>8.1000000000000003E-2</v>
      </c>
      <c r="I271" s="242">
        <v>0.113</v>
      </c>
      <c r="J271" s="242">
        <v>0.12</v>
      </c>
      <c r="K271" s="242">
        <v>0.12</v>
      </c>
      <c r="L271" s="242">
        <v>0.122</v>
      </c>
      <c r="M271" s="242">
        <v>8.5000000000000006E-2</v>
      </c>
      <c r="N271" s="242">
        <v>8.1000000000000003E-2</v>
      </c>
      <c r="O271" s="242">
        <v>7.8E-2</v>
      </c>
    </row>
    <row r="272" spans="1:15">
      <c r="A272" t="s">
        <v>56</v>
      </c>
      <c r="B272" t="s">
        <v>98</v>
      </c>
      <c r="C272" t="s">
        <v>100</v>
      </c>
      <c r="D272" t="s">
        <v>74</v>
      </c>
      <c r="E272" t="s">
        <v>182</v>
      </c>
      <c r="F272" s="242"/>
      <c r="G272" s="242"/>
      <c r="H272" s="242"/>
      <c r="I272" s="242"/>
      <c r="J272" s="242"/>
      <c r="K272" s="242">
        <v>5.0000000000000001E-3</v>
      </c>
      <c r="L272" s="242">
        <v>1.0999999999999999E-2</v>
      </c>
      <c r="M272" s="242">
        <v>1.6E-2</v>
      </c>
      <c r="N272" s="242">
        <v>2.1999999999999999E-2</v>
      </c>
      <c r="O272" s="242">
        <v>2.7E-2</v>
      </c>
    </row>
    <row r="273" spans="1:15">
      <c r="A273" t="s">
        <v>56</v>
      </c>
      <c r="B273" t="s">
        <v>79</v>
      </c>
      <c r="C273" t="s">
        <v>135</v>
      </c>
      <c r="D273" t="s">
        <v>74</v>
      </c>
      <c r="E273" t="s">
        <v>182</v>
      </c>
      <c r="F273" s="242">
        <v>0.2</v>
      </c>
      <c r="G273" s="242">
        <v>0.22500000000000001</v>
      </c>
      <c r="H273" s="242">
        <v>0.255</v>
      </c>
      <c r="I273" s="242">
        <v>0.27900000000000003</v>
      </c>
      <c r="J273" s="242">
        <v>0.30599999999999999</v>
      </c>
      <c r="K273" s="242">
        <v>0.33700000000000002</v>
      </c>
      <c r="L273" s="242">
        <v>0.36799999999999999</v>
      </c>
      <c r="M273" s="242">
        <v>0.39900000000000002</v>
      </c>
      <c r="N273" s="242">
        <v>0.433</v>
      </c>
      <c r="O273" s="242">
        <v>0.46600000000000003</v>
      </c>
    </row>
    <row r="274" spans="1:15">
      <c r="A274" t="s">
        <v>56</v>
      </c>
      <c r="B274" t="s">
        <v>80</v>
      </c>
      <c r="C274" t="s">
        <v>136</v>
      </c>
      <c r="D274" t="s">
        <v>74</v>
      </c>
      <c r="E274" t="s">
        <v>182</v>
      </c>
      <c r="F274" s="242">
        <v>0</v>
      </c>
      <c r="G274" s="242">
        <v>0</v>
      </c>
      <c r="H274" s="242">
        <v>0</v>
      </c>
      <c r="I274" s="242">
        <v>0</v>
      </c>
      <c r="J274" s="242">
        <v>0</v>
      </c>
      <c r="K274" s="242">
        <v>0</v>
      </c>
      <c r="L274" s="242">
        <v>0</v>
      </c>
      <c r="M274" s="242">
        <v>0</v>
      </c>
      <c r="N274" s="242">
        <v>0</v>
      </c>
      <c r="O274" s="242">
        <v>0</v>
      </c>
    </row>
    <row r="275" spans="1:15">
      <c r="A275" t="s">
        <v>56</v>
      </c>
      <c r="B275" t="s">
        <v>81</v>
      </c>
      <c r="C275" t="s">
        <v>137</v>
      </c>
      <c r="D275" t="s">
        <v>74</v>
      </c>
      <c r="E275" t="s">
        <v>182</v>
      </c>
      <c r="F275" s="242">
        <v>0</v>
      </c>
      <c r="G275" s="242">
        <v>0</v>
      </c>
      <c r="H275" s="242">
        <v>0</v>
      </c>
      <c r="I275" s="242">
        <v>0</v>
      </c>
      <c r="J275" s="242">
        <v>0</v>
      </c>
      <c r="K275" s="242">
        <v>0</v>
      </c>
      <c r="L275" s="242">
        <v>0</v>
      </c>
      <c r="M275" s="242">
        <v>0</v>
      </c>
      <c r="N275" s="242">
        <v>0</v>
      </c>
      <c r="O275" s="242">
        <v>0</v>
      </c>
    </row>
    <row r="276" spans="1:15">
      <c r="A276" t="s">
        <v>56</v>
      </c>
      <c r="B276" t="s">
        <v>82</v>
      </c>
      <c r="C276" t="s">
        <v>89</v>
      </c>
      <c r="D276" t="s">
        <v>183</v>
      </c>
      <c r="E276" t="s">
        <v>182</v>
      </c>
      <c r="F276" s="242">
        <v>231.68700000000001</v>
      </c>
      <c r="G276" s="242">
        <v>226.49799999999999</v>
      </c>
      <c r="H276" s="242">
        <v>221.93899999999999</v>
      </c>
      <c r="I276" s="242">
        <v>217.672</v>
      </c>
      <c r="J276" s="242">
        <v>212.672</v>
      </c>
      <c r="K276" s="242">
        <v>207.72300000000001</v>
      </c>
      <c r="L276" s="242">
        <v>202.72300000000001</v>
      </c>
      <c r="M276" s="242">
        <v>197.72300000000001</v>
      </c>
      <c r="N276" s="242">
        <v>192.72300000000001</v>
      </c>
      <c r="O276" s="242">
        <v>187.72300000000001</v>
      </c>
    </row>
    <row r="277" spans="1:15">
      <c r="A277" t="s">
        <v>56</v>
      </c>
      <c r="B277" t="s">
        <v>87</v>
      </c>
      <c r="C277" t="s">
        <v>90</v>
      </c>
      <c r="D277" t="s">
        <v>183</v>
      </c>
      <c r="E277" t="s">
        <v>182</v>
      </c>
      <c r="F277" s="242">
        <v>47.287999999999997</v>
      </c>
      <c r="G277" s="242">
        <v>53.173999999999999</v>
      </c>
      <c r="H277" s="242">
        <v>60.283999999999999</v>
      </c>
      <c r="I277" s="242">
        <v>66.489000000000004</v>
      </c>
      <c r="J277" s="242">
        <v>72.989000000000004</v>
      </c>
      <c r="K277" s="242">
        <v>80.427000000000007</v>
      </c>
      <c r="L277" s="242">
        <v>87.587000000000003</v>
      </c>
      <c r="M277" s="242">
        <v>95.1</v>
      </c>
      <c r="N277" s="242">
        <v>103.10299999999999</v>
      </c>
      <c r="O277" s="242">
        <v>111.041</v>
      </c>
    </row>
    <row r="278" spans="1:15">
      <c r="A278" t="s">
        <v>56</v>
      </c>
      <c r="B278" t="s">
        <v>83</v>
      </c>
      <c r="C278" t="s">
        <v>91</v>
      </c>
      <c r="D278" t="s">
        <v>183</v>
      </c>
      <c r="E278" t="s">
        <v>182</v>
      </c>
      <c r="F278" s="242">
        <v>0</v>
      </c>
      <c r="G278" s="242">
        <v>0</v>
      </c>
      <c r="H278" s="242">
        <v>0</v>
      </c>
      <c r="I278" s="242">
        <v>0</v>
      </c>
      <c r="J278" s="242">
        <v>0</v>
      </c>
      <c r="K278" s="242">
        <v>0</v>
      </c>
      <c r="L278" s="242">
        <v>0</v>
      </c>
      <c r="M278" s="242">
        <v>0</v>
      </c>
      <c r="N278" s="242">
        <v>0</v>
      </c>
      <c r="O278" s="242">
        <v>0</v>
      </c>
    </row>
    <row r="279" spans="1:15">
      <c r="A279" t="s">
        <v>56</v>
      </c>
      <c r="B279" t="s">
        <v>84</v>
      </c>
      <c r="C279" t="s">
        <v>92</v>
      </c>
      <c r="D279" t="s">
        <v>183</v>
      </c>
      <c r="E279" t="s">
        <v>182</v>
      </c>
      <c r="F279" s="242">
        <v>0</v>
      </c>
      <c r="G279" s="242">
        <v>0</v>
      </c>
      <c r="H279" s="242">
        <v>0</v>
      </c>
      <c r="I279" s="242">
        <v>0</v>
      </c>
      <c r="J279" s="242">
        <v>0</v>
      </c>
      <c r="K279" s="242">
        <v>0</v>
      </c>
      <c r="L279" s="242">
        <v>0</v>
      </c>
      <c r="M279" s="242">
        <v>0</v>
      </c>
      <c r="N279" s="242">
        <v>0</v>
      </c>
      <c r="O279" s="242">
        <v>0</v>
      </c>
    </row>
    <row r="280" spans="1:15">
      <c r="A280" t="s">
        <v>56</v>
      </c>
      <c r="B280" t="s">
        <v>85</v>
      </c>
      <c r="C280" t="s">
        <v>93</v>
      </c>
      <c r="D280" t="s">
        <v>183</v>
      </c>
      <c r="E280" t="s">
        <v>182</v>
      </c>
      <c r="F280" s="242">
        <v>0</v>
      </c>
      <c r="G280" s="242">
        <v>0</v>
      </c>
      <c r="H280" s="242">
        <v>0</v>
      </c>
      <c r="I280" s="242">
        <v>0</v>
      </c>
      <c r="J280" s="242">
        <v>0</v>
      </c>
      <c r="K280" s="242">
        <v>0</v>
      </c>
      <c r="L280" s="242">
        <v>0</v>
      </c>
      <c r="M280" s="242">
        <v>0</v>
      </c>
      <c r="N280" s="242">
        <v>0</v>
      </c>
      <c r="O280" s="242">
        <v>0</v>
      </c>
    </row>
    <row r="281" spans="1:15">
      <c r="A281" t="s">
        <v>56</v>
      </c>
      <c r="B281" t="s">
        <v>86</v>
      </c>
      <c r="C281" t="s">
        <v>94</v>
      </c>
      <c r="D281" t="s">
        <v>183</v>
      </c>
      <c r="E281" t="s">
        <v>182</v>
      </c>
      <c r="F281" s="242">
        <v>0</v>
      </c>
      <c r="G281" s="242">
        <v>0</v>
      </c>
      <c r="H281" s="242">
        <v>0</v>
      </c>
      <c r="I281" s="242">
        <v>0</v>
      </c>
      <c r="J281" s="242">
        <v>0</v>
      </c>
      <c r="K281" s="242">
        <v>0</v>
      </c>
      <c r="L281" s="242">
        <v>0</v>
      </c>
      <c r="M281" s="242">
        <v>0</v>
      </c>
      <c r="N281" s="242">
        <v>0</v>
      </c>
      <c r="O281" s="242">
        <v>0</v>
      </c>
    </row>
    <row r="282" spans="1:15">
      <c r="A282" t="s">
        <v>56</v>
      </c>
      <c r="B282" t="s">
        <v>174</v>
      </c>
      <c r="C282" t="s">
        <v>184</v>
      </c>
      <c r="D282" t="s">
        <v>74</v>
      </c>
      <c r="E282" t="s">
        <v>182</v>
      </c>
      <c r="F282" s="242"/>
      <c r="G282" s="242"/>
      <c r="H282" s="242"/>
      <c r="I282" s="242"/>
      <c r="J282" s="242">
        <v>0</v>
      </c>
      <c r="K282" s="242">
        <v>0.29899999999999999</v>
      </c>
      <c r="L282" s="242">
        <v>0.29899999999999999</v>
      </c>
      <c r="M282" s="242">
        <v>0.29899999999999999</v>
      </c>
      <c r="N282" s="242">
        <v>0.29899999999999999</v>
      </c>
      <c r="O282" s="242">
        <v>0.29899999999999999</v>
      </c>
    </row>
    <row r="283" spans="1:15">
      <c r="A283" t="s">
        <v>56</v>
      </c>
      <c r="B283" t="s">
        <v>156</v>
      </c>
      <c r="C283" t="s">
        <v>157</v>
      </c>
      <c r="D283" t="s">
        <v>74</v>
      </c>
      <c r="E283" t="s">
        <v>182</v>
      </c>
      <c r="F283" s="242">
        <v>0</v>
      </c>
      <c r="G283" s="242">
        <v>0</v>
      </c>
      <c r="H283" s="242">
        <v>0</v>
      </c>
      <c r="I283" s="242">
        <v>0</v>
      </c>
      <c r="J283" s="242">
        <v>0.03</v>
      </c>
      <c r="K283" s="242">
        <v>6.0999999999999999E-2</v>
      </c>
      <c r="L283" s="242">
        <v>9.1999999999999998E-2</v>
      </c>
      <c r="M283" s="242">
        <v>0.123</v>
      </c>
      <c r="N283" s="242">
        <v>0.155</v>
      </c>
      <c r="O283" s="242">
        <v>0.187</v>
      </c>
    </row>
    <row r="284" spans="1:15">
      <c r="A284" t="s">
        <v>56</v>
      </c>
      <c r="B284" t="s">
        <v>159</v>
      </c>
      <c r="C284" t="s">
        <v>158</v>
      </c>
      <c r="D284" t="s">
        <v>74</v>
      </c>
      <c r="E284" t="s">
        <v>182</v>
      </c>
      <c r="F284" s="242"/>
      <c r="G284" s="242"/>
      <c r="H284" s="242"/>
      <c r="I284" s="242"/>
      <c r="J284" s="242"/>
      <c r="K284" s="242">
        <v>0</v>
      </c>
      <c r="L284" s="242">
        <v>0</v>
      </c>
      <c r="M284" s="242">
        <v>0</v>
      </c>
      <c r="N284" s="242">
        <v>0</v>
      </c>
      <c r="O284" s="242">
        <v>0</v>
      </c>
    </row>
    <row r="285" spans="1:15">
      <c r="A285" t="s">
        <v>56</v>
      </c>
      <c r="B285" t="s">
        <v>235</v>
      </c>
      <c r="C285" t="s">
        <v>234</v>
      </c>
      <c r="D285" t="s">
        <v>74</v>
      </c>
      <c r="E285" t="s">
        <v>182</v>
      </c>
      <c r="F285" s="242">
        <v>7.0000000000000007E-2</v>
      </c>
      <c r="G285" s="242">
        <v>7.0000000000000007E-2</v>
      </c>
      <c r="H285" s="242">
        <v>9.1999999999999998E-2</v>
      </c>
      <c r="I285" s="242">
        <v>8.3000000000000004E-2</v>
      </c>
      <c r="J285" s="242">
        <v>7.0999999999999994E-2</v>
      </c>
      <c r="K285" s="242">
        <v>5.8999999999999997E-2</v>
      </c>
      <c r="L285" s="242">
        <v>4.9000000000000002E-2</v>
      </c>
      <c r="M285" s="242">
        <v>4.5999999999999999E-2</v>
      </c>
      <c r="N285" s="242">
        <v>2.5999999999999999E-2</v>
      </c>
      <c r="O285" s="242">
        <v>1.4E-2</v>
      </c>
    </row>
    <row r="286" spans="1:15">
      <c r="A286" t="s">
        <v>56</v>
      </c>
      <c r="B286" t="s">
        <v>237</v>
      </c>
      <c r="C286" t="s">
        <v>236</v>
      </c>
      <c r="D286" t="s">
        <v>74</v>
      </c>
      <c r="E286" t="s">
        <v>182</v>
      </c>
      <c r="F286" s="242">
        <v>0</v>
      </c>
      <c r="G286" s="242">
        <v>0</v>
      </c>
      <c r="H286" s="242">
        <v>0</v>
      </c>
      <c r="I286" s="242">
        <v>0</v>
      </c>
      <c r="J286" s="242">
        <v>0</v>
      </c>
      <c r="K286" s="242">
        <v>0</v>
      </c>
      <c r="L286" s="242">
        <v>0</v>
      </c>
      <c r="M286" s="242">
        <v>0</v>
      </c>
      <c r="N286" s="242">
        <v>0</v>
      </c>
      <c r="O286" s="242">
        <v>0</v>
      </c>
    </row>
    <row r="287" spans="1:15">
      <c r="A287" t="s">
        <v>56</v>
      </c>
      <c r="B287" t="s">
        <v>239</v>
      </c>
      <c r="C287" t="s">
        <v>238</v>
      </c>
      <c r="D287" t="s">
        <v>74</v>
      </c>
      <c r="E287" t="s">
        <v>182</v>
      </c>
      <c r="F287" s="242"/>
      <c r="G287" s="242"/>
      <c r="H287" s="242"/>
      <c r="I287" s="242"/>
      <c r="J287" s="242"/>
      <c r="K287" s="242">
        <v>7.0000000000000001E-3</v>
      </c>
      <c r="L287" s="242">
        <v>1.2999999999999999E-2</v>
      </c>
      <c r="M287" s="242">
        <v>0.02</v>
      </c>
      <c r="N287" s="242">
        <v>2.7E-2</v>
      </c>
      <c r="O287" s="242">
        <v>3.4000000000000002E-2</v>
      </c>
    </row>
    <row r="288" spans="1:15">
      <c r="A288" t="s">
        <v>56</v>
      </c>
      <c r="B288" t="s">
        <v>241</v>
      </c>
      <c r="C288" t="s">
        <v>240</v>
      </c>
      <c r="D288" t="s">
        <v>74</v>
      </c>
      <c r="E288" t="s">
        <v>182</v>
      </c>
      <c r="F288" s="242"/>
      <c r="G288" s="242"/>
      <c r="H288" s="242"/>
      <c r="I288" s="242"/>
      <c r="J288" s="242"/>
      <c r="K288" s="242">
        <v>0</v>
      </c>
      <c r="L288" s="242">
        <v>0</v>
      </c>
      <c r="M288" s="242">
        <v>0</v>
      </c>
      <c r="N288" s="242">
        <v>0</v>
      </c>
      <c r="O288" s="242">
        <v>0</v>
      </c>
    </row>
    <row r="289" spans="1:15">
      <c r="A289" t="s">
        <v>57</v>
      </c>
      <c r="B289" t="s">
        <v>78</v>
      </c>
      <c r="C289" t="s">
        <v>132</v>
      </c>
      <c r="D289" t="s">
        <v>74</v>
      </c>
      <c r="E289" t="s">
        <v>182</v>
      </c>
      <c r="F289" s="242">
        <v>3.282</v>
      </c>
      <c r="G289" s="242">
        <v>3.6579999999999999</v>
      </c>
      <c r="H289" s="242">
        <v>3.798</v>
      </c>
      <c r="I289" s="242">
        <v>4.0510000000000002</v>
      </c>
      <c r="J289" s="242">
        <v>4.0810000000000004</v>
      </c>
      <c r="K289" s="242">
        <v>4.1109999999999998</v>
      </c>
      <c r="L289" s="242">
        <v>4.141</v>
      </c>
      <c r="M289" s="242">
        <v>4.1710000000000003</v>
      </c>
      <c r="N289" s="242">
        <v>4.2009999999999996</v>
      </c>
      <c r="O289" s="242">
        <v>4.2309999999999999</v>
      </c>
    </row>
    <row r="290" spans="1:15">
      <c r="A290" t="s">
        <v>57</v>
      </c>
      <c r="B290" t="s">
        <v>97</v>
      </c>
      <c r="C290" t="s">
        <v>99</v>
      </c>
      <c r="D290" t="s">
        <v>74</v>
      </c>
      <c r="E290" t="s">
        <v>182</v>
      </c>
      <c r="F290" s="242">
        <v>0.14000000000000001</v>
      </c>
      <c r="G290" s="242">
        <v>0.14499999999999999</v>
      </c>
      <c r="H290" s="242">
        <v>0.16200000000000001</v>
      </c>
      <c r="I290" s="242">
        <v>0.122</v>
      </c>
      <c r="J290" s="242">
        <v>0.113</v>
      </c>
      <c r="K290" s="242">
        <v>0.248</v>
      </c>
      <c r="L290" s="242">
        <v>0.248</v>
      </c>
      <c r="M290" s="242">
        <v>0.22900000000000001</v>
      </c>
      <c r="N290" s="242">
        <v>0.21099999999999999</v>
      </c>
      <c r="O290" s="242">
        <v>0.14799999999999999</v>
      </c>
    </row>
    <row r="291" spans="1:15">
      <c r="A291" t="s">
        <v>57</v>
      </c>
      <c r="B291" t="s">
        <v>98</v>
      </c>
      <c r="C291" t="s">
        <v>100</v>
      </c>
      <c r="D291" t="s">
        <v>74</v>
      </c>
      <c r="E291" t="s">
        <v>182</v>
      </c>
      <c r="F291" s="242"/>
      <c r="G291" s="242"/>
      <c r="H291" s="242"/>
      <c r="I291" s="242"/>
      <c r="J291" s="242"/>
      <c r="K291" s="242">
        <v>1E-3</v>
      </c>
      <c r="L291" s="242">
        <v>2E-3</v>
      </c>
      <c r="M291" s="242">
        <v>2E-3</v>
      </c>
      <c r="N291" s="242">
        <v>2E-3</v>
      </c>
      <c r="O291" s="242">
        <v>2E-3</v>
      </c>
    </row>
    <row r="292" spans="1:15">
      <c r="A292" t="s">
        <v>57</v>
      </c>
      <c r="B292" t="s">
        <v>79</v>
      </c>
      <c r="C292" t="s">
        <v>135</v>
      </c>
      <c r="D292" t="s">
        <v>74</v>
      </c>
      <c r="E292" t="s">
        <v>182</v>
      </c>
      <c r="F292" s="242">
        <v>0.52100000000000002</v>
      </c>
      <c r="G292" s="242">
        <v>0.56000000000000005</v>
      </c>
      <c r="H292" s="242">
        <v>0.59499999999999997</v>
      </c>
      <c r="I292" s="242">
        <v>0.625</v>
      </c>
      <c r="J292" s="242">
        <v>0.65500000000000003</v>
      </c>
      <c r="K292" s="242">
        <v>0.754</v>
      </c>
      <c r="L292" s="242">
        <v>0.81299999999999994</v>
      </c>
      <c r="M292" s="242">
        <v>0.877</v>
      </c>
      <c r="N292" s="242">
        <v>0.94299999999999995</v>
      </c>
      <c r="O292" s="242">
        <v>1.0089999999999999</v>
      </c>
    </row>
    <row r="293" spans="1:15">
      <c r="A293" t="s">
        <v>57</v>
      </c>
      <c r="B293" t="s">
        <v>80</v>
      </c>
      <c r="C293" t="s">
        <v>136</v>
      </c>
      <c r="D293" t="s">
        <v>74</v>
      </c>
      <c r="E293" t="s">
        <v>182</v>
      </c>
      <c r="F293" s="242">
        <v>0</v>
      </c>
      <c r="G293" s="242">
        <v>0</v>
      </c>
      <c r="H293" s="242">
        <v>0</v>
      </c>
      <c r="I293" s="242">
        <v>0</v>
      </c>
      <c r="J293" s="242">
        <v>0</v>
      </c>
      <c r="K293" s="242">
        <v>0</v>
      </c>
      <c r="L293" s="242">
        <v>0</v>
      </c>
      <c r="M293" s="242">
        <v>0</v>
      </c>
      <c r="N293" s="242">
        <v>0</v>
      </c>
      <c r="O293" s="242">
        <v>0</v>
      </c>
    </row>
    <row r="294" spans="1:15">
      <c r="A294" t="s">
        <v>57</v>
      </c>
      <c r="B294" t="s">
        <v>81</v>
      </c>
      <c r="C294" t="s">
        <v>137</v>
      </c>
      <c r="D294" t="s">
        <v>74</v>
      </c>
      <c r="E294" t="s">
        <v>182</v>
      </c>
      <c r="F294" s="242">
        <v>0</v>
      </c>
      <c r="G294" s="242">
        <v>0</v>
      </c>
      <c r="H294" s="242">
        <v>0</v>
      </c>
      <c r="I294" s="242">
        <v>0</v>
      </c>
      <c r="J294" s="242">
        <v>0</v>
      </c>
      <c r="K294" s="242">
        <v>0</v>
      </c>
      <c r="L294" s="242">
        <v>0</v>
      </c>
      <c r="M294" s="242">
        <v>0</v>
      </c>
      <c r="N294" s="242">
        <v>0</v>
      </c>
      <c r="O294" s="242">
        <v>0</v>
      </c>
    </row>
    <row r="295" spans="1:15">
      <c r="A295" t="s">
        <v>57</v>
      </c>
      <c r="B295" t="s">
        <v>82</v>
      </c>
      <c r="C295" t="s">
        <v>89</v>
      </c>
      <c r="D295" t="s">
        <v>183</v>
      </c>
      <c r="E295" t="s">
        <v>182</v>
      </c>
      <c r="F295" s="242">
        <v>76.569999999999993</v>
      </c>
      <c r="G295" s="242">
        <v>73.33</v>
      </c>
      <c r="H295" s="242">
        <v>69.78</v>
      </c>
      <c r="I295" s="242">
        <v>66.679000000000002</v>
      </c>
      <c r="J295" s="242">
        <v>63.353999999999999</v>
      </c>
      <c r="K295" s="242">
        <v>59.764000000000003</v>
      </c>
      <c r="L295" s="242">
        <v>56.173999999999999</v>
      </c>
      <c r="M295" s="242">
        <v>52.584000000000003</v>
      </c>
      <c r="N295" s="242">
        <v>48.994</v>
      </c>
      <c r="O295" s="242">
        <v>45.404000000000003</v>
      </c>
    </row>
    <row r="296" spans="1:15">
      <c r="A296" t="s">
        <v>57</v>
      </c>
      <c r="B296" t="s">
        <v>87</v>
      </c>
      <c r="C296" t="s">
        <v>90</v>
      </c>
      <c r="D296" t="s">
        <v>183</v>
      </c>
      <c r="E296" t="s">
        <v>182</v>
      </c>
      <c r="F296" s="242">
        <v>105.9</v>
      </c>
      <c r="G296" s="242">
        <v>110.59</v>
      </c>
      <c r="H296" s="242">
        <v>115.17</v>
      </c>
      <c r="I296" s="242">
        <v>119.232</v>
      </c>
      <c r="J296" s="242">
        <v>123.50700000000001</v>
      </c>
      <c r="K296" s="242">
        <v>127.999</v>
      </c>
      <c r="L296" s="242">
        <v>132.67400000000001</v>
      </c>
      <c r="M296" s="242">
        <v>137.482</v>
      </c>
      <c r="N296" s="242">
        <v>142.19200000000001</v>
      </c>
      <c r="O296" s="242">
        <v>146.845</v>
      </c>
    </row>
    <row r="297" spans="1:15">
      <c r="A297" t="s">
        <v>57</v>
      </c>
      <c r="B297" t="s">
        <v>83</v>
      </c>
      <c r="C297" t="s">
        <v>91</v>
      </c>
      <c r="D297" t="s">
        <v>183</v>
      </c>
      <c r="E297" t="s">
        <v>182</v>
      </c>
      <c r="F297" s="242">
        <v>0</v>
      </c>
      <c r="G297" s="242">
        <v>0</v>
      </c>
      <c r="H297" s="242">
        <v>0</v>
      </c>
      <c r="I297" s="242">
        <v>0</v>
      </c>
      <c r="J297" s="242">
        <v>0</v>
      </c>
      <c r="K297" s="242">
        <v>0</v>
      </c>
      <c r="L297" s="242">
        <v>0</v>
      </c>
      <c r="M297" s="242">
        <v>0</v>
      </c>
      <c r="N297" s="242">
        <v>0</v>
      </c>
      <c r="O297" s="242">
        <v>0</v>
      </c>
    </row>
    <row r="298" spans="1:15">
      <c r="A298" t="s">
        <v>57</v>
      </c>
      <c r="B298" t="s">
        <v>84</v>
      </c>
      <c r="C298" t="s">
        <v>92</v>
      </c>
      <c r="D298" t="s">
        <v>183</v>
      </c>
      <c r="E298" t="s">
        <v>182</v>
      </c>
      <c r="F298" s="242">
        <v>0</v>
      </c>
      <c r="G298" s="242">
        <v>0</v>
      </c>
      <c r="H298" s="242">
        <v>0</v>
      </c>
      <c r="I298" s="242">
        <v>0</v>
      </c>
      <c r="J298" s="242">
        <v>0</v>
      </c>
      <c r="K298" s="242">
        <v>0</v>
      </c>
      <c r="L298" s="242">
        <v>0</v>
      </c>
      <c r="M298" s="242">
        <v>0</v>
      </c>
      <c r="N298" s="242">
        <v>0</v>
      </c>
      <c r="O298" s="242">
        <v>0</v>
      </c>
    </row>
    <row r="299" spans="1:15">
      <c r="A299" t="s">
        <v>57</v>
      </c>
      <c r="B299" t="s">
        <v>85</v>
      </c>
      <c r="C299" t="s">
        <v>93</v>
      </c>
      <c r="D299" t="s">
        <v>183</v>
      </c>
      <c r="E299" t="s">
        <v>182</v>
      </c>
      <c r="F299" s="242">
        <v>0</v>
      </c>
      <c r="G299" s="242">
        <v>0</v>
      </c>
      <c r="H299" s="242">
        <v>0</v>
      </c>
      <c r="I299" s="242">
        <v>0</v>
      </c>
      <c r="J299" s="242">
        <v>0</v>
      </c>
      <c r="K299" s="242">
        <v>0</v>
      </c>
      <c r="L299" s="242">
        <v>0</v>
      </c>
      <c r="M299" s="242">
        <v>0</v>
      </c>
      <c r="N299" s="242">
        <v>0</v>
      </c>
      <c r="O299" s="242">
        <v>0</v>
      </c>
    </row>
    <row r="300" spans="1:15">
      <c r="A300" t="s">
        <v>57</v>
      </c>
      <c r="B300" t="s">
        <v>86</v>
      </c>
      <c r="C300" t="s">
        <v>94</v>
      </c>
      <c r="D300" t="s">
        <v>183</v>
      </c>
      <c r="E300" t="s">
        <v>182</v>
      </c>
      <c r="F300" s="242">
        <v>0</v>
      </c>
      <c r="G300" s="242">
        <v>0</v>
      </c>
      <c r="H300" s="242">
        <v>0</v>
      </c>
      <c r="I300" s="242">
        <v>0</v>
      </c>
      <c r="J300" s="242">
        <v>0</v>
      </c>
      <c r="K300" s="242">
        <v>0</v>
      </c>
      <c r="L300" s="242">
        <v>0</v>
      </c>
      <c r="M300" s="242">
        <v>0</v>
      </c>
      <c r="N300" s="242">
        <v>0</v>
      </c>
      <c r="O300" s="242">
        <v>0</v>
      </c>
    </row>
    <row r="301" spans="1:15">
      <c r="A301" t="s">
        <v>57</v>
      </c>
      <c r="B301" t="s">
        <v>174</v>
      </c>
      <c r="C301" t="s">
        <v>184</v>
      </c>
      <c r="D301" t="s">
        <v>74</v>
      </c>
      <c r="E301" t="s">
        <v>182</v>
      </c>
      <c r="F301" s="242"/>
      <c r="G301" s="242"/>
      <c r="H301" s="242"/>
      <c r="I301" s="242"/>
      <c r="J301" s="242">
        <v>0</v>
      </c>
      <c r="K301" s="242">
        <v>0</v>
      </c>
      <c r="L301" s="242">
        <v>0</v>
      </c>
      <c r="M301" s="242">
        <v>0</v>
      </c>
      <c r="N301" s="242">
        <v>0</v>
      </c>
      <c r="O301" s="242">
        <v>0</v>
      </c>
    </row>
    <row r="302" spans="1:15">
      <c r="A302" t="s">
        <v>57</v>
      </c>
      <c r="B302" t="s">
        <v>156</v>
      </c>
      <c r="C302" t="s">
        <v>157</v>
      </c>
      <c r="D302" t="s">
        <v>74</v>
      </c>
      <c r="E302" t="s">
        <v>182</v>
      </c>
      <c r="F302" s="242">
        <v>0.13</v>
      </c>
      <c r="G302" s="242">
        <v>0.13700000000000001</v>
      </c>
      <c r="H302" s="242">
        <v>0.14099999999999999</v>
      </c>
      <c r="I302" s="242">
        <v>0.27400000000000002</v>
      </c>
      <c r="J302" s="242">
        <v>0.44700000000000001</v>
      </c>
      <c r="K302" s="242">
        <v>0.57099999999999995</v>
      </c>
      <c r="L302" s="242">
        <v>0.7</v>
      </c>
      <c r="M302" s="242">
        <v>0.82</v>
      </c>
      <c r="N302" s="242">
        <v>0.81599999999999995</v>
      </c>
      <c r="O302" s="242">
        <v>0.96299999999999997</v>
      </c>
    </row>
    <row r="303" spans="1:15">
      <c r="A303" t="s">
        <v>57</v>
      </c>
      <c r="B303" t="s">
        <v>159</v>
      </c>
      <c r="C303" t="s">
        <v>158</v>
      </c>
      <c r="D303" t="s">
        <v>74</v>
      </c>
      <c r="E303" t="s">
        <v>182</v>
      </c>
      <c r="F303" s="242"/>
      <c r="G303" s="242"/>
      <c r="H303" s="242"/>
      <c r="I303" s="242"/>
      <c r="J303" s="242"/>
      <c r="K303" s="242">
        <v>0</v>
      </c>
      <c r="L303" s="242">
        <v>0</v>
      </c>
      <c r="M303" s="242">
        <v>0</v>
      </c>
      <c r="N303" s="242">
        <v>0</v>
      </c>
      <c r="O303" s="242">
        <v>0</v>
      </c>
    </row>
    <row r="304" spans="1:15">
      <c r="A304" t="s">
        <v>57</v>
      </c>
      <c r="B304" t="s">
        <v>235</v>
      </c>
      <c r="C304" t="s">
        <v>234</v>
      </c>
      <c r="D304" t="s">
        <v>74</v>
      </c>
      <c r="E304" t="s">
        <v>182</v>
      </c>
      <c r="F304" s="242">
        <v>0.185</v>
      </c>
      <c r="G304" s="242">
        <v>0.19</v>
      </c>
      <c r="H304" s="242">
        <v>0.21</v>
      </c>
      <c r="I304" s="242">
        <v>0.19900000000000001</v>
      </c>
      <c r="J304" s="242">
        <v>0.21199999999999999</v>
      </c>
      <c r="K304" s="242">
        <v>0.23899999999999999</v>
      </c>
      <c r="L304" s="242">
        <v>0.22700000000000001</v>
      </c>
      <c r="M304" s="242">
        <v>0.17499999999999999</v>
      </c>
      <c r="N304" s="242">
        <v>9.5000000000000001E-2</v>
      </c>
      <c r="O304" s="242">
        <v>6.5000000000000002E-2</v>
      </c>
    </row>
    <row r="305" spans="1:15">
      <c r="A305" t="s">
        <v>57</v>
      </c>
      <c r="B305" t="s">
        <v>237</v>
      </c>
      <c r="C305" t="s">
        <v>236</v>
      </c>
      <c r="D305" t="s">
        <v>74</v>
      </c>
      <c r="E305" t="s">
        <v>182</v>
      </c>
      <c r="F305" s="242">
        <v>0</v>
      </c>
      <c r="G305" s="242">
        <v>0</v>
      </c>
      <c r="H305" s="242">
        <v>0</v>
      </c>
      <c r="I305" s="242">
        <v>0</v>
      </c>
      <c r="J305" s="242">
        <v>0</v>
      </c>
      <c r="K305" s="242">
        <v>0</v>
      </c>
      <c r="L305" s="242">
        <v>0</v>
      </c>
      <c r="M305" s="242">
        <v>0</v>
      </c>
      <c r="N305" s="242">
        <v>0</v>
      </c>
      <c r="O305" s="242">
        <v>0</v>
      </c>
    </row>
    <row r="306" spans="1:15">
      <c r="A306" t="s">
        <v>57</v>
      </c>
      <c r="B306" t="s">
        <v>239</v>
      </c>
      <c r="C306" t="s">
        <v>238</v>
      </c>
      <c r="D306" t="s">
        <v>74</v>
      </c>
      <c r="E306" t="s">
        <v>182</v>
      </c>
      <c r="F306" s="242"/>
      <c r="G306" s="242"/>
      <c r="H306" s="242"/>
      <c r="I306" s="242"/>
      <c r="J306" s="242"/>
      <c r="K306" s="242">
        <v>5.3999999999999999E-2</v>
      </c>
      <c r="L306" s="242">
        <v>0.11</v>
      </c>
      <c r="M306" s="242">
        <v>0.17299999999999999</v>
      </c>
      <c r="N306" s="242">
        <v>0.23599999999999999</v>
      </c>
      <c r="O306" s="242">
        <v>0.23300000000000001</v>
      </c>
    </row>
    <row r="307" spans="1:15">
      <c r="A307" t="s">
        <v>57</v>
      </c>
      <c r="B307" t="s">
        <v>241</v>
      </c>
      <c r="C307" t="s">
        <v>240</v>
      </c>
      <c r="D307" t="s">
        <v>74</v>
      </c>
      <c r="E307" t="s">
        <v>182</v>
      </c>
      <c r="F307" s="242"/>
      <c r="G307" s="242"/>
      <c r="H307" s="242"/>
      <c r="I307" s="242"/>
      <c r="J307" s="242"/>
      <c r="K307" s="242">
        <v>0</v>
      </c>
      <c r="L307" s="242">
        <v>0</v>
      </c>
      <c r="M307" s="242">
        <v>0</v>
      </c>
      <c r="N307" s="242">
        <v>0</v>
      </c>
      <c r="O307" s="242">
        <v>0</v>
      </c>
    </row>
    <row r="308" spans="1:15">
      <c r="A308" t="s">
        <v>58</v>
      </c>
      <c r="B308" t="s">
        <v>78</v>
      </c>
      <c r="C308" t="s">
        <v>132</v>
      </c>
      <c r="D308" t="s">
        <v>74</v>
      </c>
      <c r="E308" t="s">
        <v>182</v>
      </c>
      <c r="F308" s="242">
        <v>18.625562771429099</v>
      </c>
      <c r="G308" s="242">
        <v>18.313059761445199</v>
      </c>
      <c r="H308" s="242">
        <v>18.076877905013198</v>
      </c>
      <c r="I308" s="242">
        <v>18.156073774429</v>
      </c>
      <c r="J308" s="242">
        <v>18.950952419191001</v>
      </c>
      <c r="K308" s="242">
        <v>17.654438681453399</v>
      </c>
      <c r="L308" s="242">
        <v>18.118219651960199</v>
      </c>
      <c r="M308" s="242">
        <v>18.582875139426299</v>
      </c>
      <c r="N308" s="242">
        <v>19.029397152657001</v>
      </c>
      <c r="O308" s="242">
        <v>19.4714279377629</v>
      </c>
    </row>
    <row r="309" spans="1:15">
      <c r="A309" t="s">
        <v>58</v>
      </c>
      <c r="B309" t="s">
        <v>97</v>
      </c>
      <c r="C309" t="s">
        <v>99</v>
      </c>
      <c r="D309" t="s">
        <v>74</v>
      </c>
      <c r="E309" t="s">
        <v>182</v>
      </c>
      <c r="F309" s="242">
        <v>1.1883982779556199</v>
      </c>
      <c r="G309" s="242">
        <v>1.1680071977809801</v>
      </c>
      <c r="H309" s="242">
        <v>0.96299999999999997</v>
      </c>
      <c r="I309" s="242">
        <v>0.71536334745762697</v>
      </c>
      <c r="J309" s="242">
        <v>0.80699730625580901</v>
      </c>
      <c r="K309" s="242">
        <v>0.73937991240643497</v>
      </c>
      <c r="L309" s="242">
        <v>0.65046130977862804</v>
      </c>
      <c r="M309" s="242">
        <v>0.36258211468201001</v>
      </c>
      <c r="N309" s="242">
        <v>0.19849828339774001</v>
      </c>
      <c r="O309" s="242">
        <v>0.12563411594983601</v>
      </c>
    </row>
    <row r="310" spans="1:15">
      <c r="A310" t="s">
        <v>58</v>
      </c>
      <c r="B310" t="s">
        <v>98</v>
      </c>
      <c r="C310" t="s">
        <v>100</v>
      </c>
      <c r="D310" t="s">
        <v>74</v>
      </c>
      <c r="E310" t="s">
        <v>182</v>
      </c>
      <c r="F310" s="242"/>
      <c r="G310" s="242"/>
      <c r="H310" s="242"/>
      <c r="I310" s="242"/>
      <c r="J310" s="242"/>
      <c r="K310" s="242">
        <v>5.5E-2</v>
      </c>
      <c r="L310" s="242">
        <v>0.22</v>
      </c>
      <c r="M310" s="242">
        <v>0.39200000000000002</v>
      </c>
      <c r="N310" s="242">
        <v>0.51400000000000001</v>
      </c>
      <c r="O310" s="242">
        <v>0.64</v>
      </c>
    </row>
    <row r="311" spans="1:15">
      <c r="A311" t="s">
        <v>58</v>
      </c>
      <c r="B311" t="s">
        <v>79</v>
      </c>
      <c r="C311" t="s">
        <v>135</v>
      </c>
      <c r="D311" t="s">
        <v>74</v>
      </c>
      <c r="E311" t="s">
        <v>182</v>
      </c>
      <c r="F311" s="242">
        <v>2.39479414371836</v>
      </c>
      <c r="G311" s="242">
        <v>2.5156144413000199</v>
      </c>
      <c r="H311" s="242">
        <v>2.8817562022819598</v>
      </c>
      <c r="I311" s="242">
        <v>3.39576389475056</v>
      </c>
      <c r="J311" s="242">
        <v>3.7810227021459801</v>
      </c>
      <c r="K311" s="242">
        <v>4.1037899945101799</v>
      </c>
      <c r="L311" s="242">
        <v>4.4221978815610603</v>
      </c>
      <c r="M311" s="242">
        <v>4.7359919310614096</v>
      </c>
      <c r="N311" s="242">
        <v>5.0423541648494803</v>
      </c>
      <c r="O311" s="242">
        <v>5.3450493835058097</v>
      </c>
    </row>
    <row r="312" spans="1:15">
      <c r="A312" t="s">
        <v>58</v>
      </c>
      <c r="B312" t="s">
        <v>80</v>
      </c>
      <c r="C312" t="s">
        <v>136</v>
      </c>
      <c r="D312" t="s">
        <v>74</v>
      </c>
      <c r="E312" t="s">
        <v>182</v>
      </c>
      <c r="F312" s="242">
        <v>0</v>
      </c>
      <c r="G312" s="242">
        <v>0</v>
      </c>
      <c r="H312" s="242">
        <v>0</v>
      </c>
      <c r="I312" s="242">
        <v>0</v>
      </c>
      <c r="J312" s="242">
        <v>0</v>
      </c>
      <c r="K312" s="242">
        <v>0</v>
      </c>
      <c r="L312" s="242">
        <v>0</v>
      </c>
      <c r="M312" s="242">
        <v>0</v>
      </c>
      <c r="N312" s="242">
        <v>0</v>
      </c>
      <c r="O312" s="242">
        <v>0</v>
      </c>
    </row>
    <row r="313" spans="1:15">
      <c r="A313" t="s">
        <v>58</v>
      </c>
      <c r="B313" t="s">
        <v>81</v>
      </c>
      <c r="C313" t="s">
        <v>137</v>
      </c>
      <c r="D313" t="s">
        <v>74</v>
      </c>
      <c r="E313" t="s">
        <v>182</v>
      </c>
      <c r="F313" s="242">
        <v>0</v>
      </c>
      <c r="G313" s="242">
        <v>0</v>
      </c>
      <c r="H313" s="242">
        <v>0</v>
      </c>
      <c r="I313" s="242">
        <v>0</v>
      </c>
      <c r="J313" s="242">
        <v>0</v>
      </c>
      <c r="K313" s="242">
        <v>0</v>
      </c>
      <c r="L313" s="242">
        <v>0</v>
      </c>
      <c r="M313" s="242">
        <v>0</v>
      </c>
      <c r="N313" s="242">
        <v>0</v>
      </c>
      <c r="O313" s="242">
        <v>0</v>
      </c>
    </row>
    <row r="314" spans="1:15">
      <c r="A314" t="s">
        <v>58</v>
      </c>
      <c r="B314" t="s">
        <v>82</v>
      </c>
      <c r="C314" t="s">
        <v>89</v>
      </c>
      <c r="D314" t="s">
        <v>183</v>
      </c>
      <c r="E314" t="s">
        <v>182</v>
      </c>
      <c r="F314" s="242">
        <v>448.61500000000001</v>
      </c>
      <c r="G314" s="242">
        <v>437.72</v>
      </c>
      <c r="H314" s="242">
        <v>392.49005128205101</v>
      </c>
      <c r="I314" s="242">
        <v>325.05200000000002</v>
      </c>
      <c r="J314" s="242">
        <v>276.96467006462598</v>
      </c>
      <c r="K314" s="242">
        <v>237.65425522721301</v>
      </c>
      <c r="L314" s="242">
        <v>199.321225144583</v>
      </c>
      <c r="M314" s="242">
        <v>161.965579816738</v>
      </c>
      <c r="N314" s="242">
        <v>125.098626866285</v>
      </c>
      <c r="O314" s="242">
        <v>88.720366293223194</v>
      </c>
    </row>
    <row r="315" spans="1:15">
      <c r="A315" t="s">
        <v>58</v>
      </c>
      <c r="B315" t="s">
        <v>87</v>
      </c>
      <c r="C315" t="s">
        <v>90</v>
      </c>
      <c r="D315" t="s">
        <v>183</v>
      </c>
      <c r="E315" t="s">
        <v>182</v>
      </c>
      <c r="F315" s="242">
        <v>349.05</v>
      </c>
      <c r="G315" s="242">
        <v>366.66</v>
      </c>
      <c r="H315" s="242">
        <v>420.0265</v>
      </c>
      <c r="I315" s="242">
        <v>494.94499999999999</v>
      </c>
      <c r="J315" s="242">
        <v>551.09787939220405</v>
      </c>
      <c r="K315" s="242">
        <v>598.14239204697196</v>
      </c>
      <c r="L315" s="242">
        <v>644.551505442642</v>
      </c>
      <c r="M315" s="242">
        <v>690.28813515062598</v>
      </c>
      <c r="N315" s="242">
        <v>734.94155055345902</v>
      </c>
      <c r="O315" s="242">
        <v>779.06048509700997</v>
      </c>
    </row>
    <row r="316" spans="1:15">
      <c r="A316" t="s">
        <v>58</v>
      </c>
      <c r="B316" t="s">
        <v>83</v>
      </c>
      <c r="C316" t="s">
        <v>91</v>
      </c>
      <c r="D316" t="s">
        <v>183</v>
      </c>
      <c r="E316" t="s">
        <v>182</v>
      </c>
      <c r="F316" s="242">
        <v>0</v>
      </c>
      <c r="G316" s="242">
        <v>0</v>
      </c>
      <c r="H316" s="242">
        <v>0</v>
      </c>
      <c r="I316" s="242">
        <v>0</v>
      </c>
      <c r="J316" s="242">
        <v>0</v>
      </c>
      <c r="K316" s="242">
        <v>0</v>
      </c>
      <c r="L316" s="242">
        <v>0</v>
      </c>
      <c r="M316" s="242">
        <v>0</v>
      </c>
      <c r="N316" s="242">
        <v>0</v>
      </c>
      <c r="O316" s="242">
        <v>0</v>
      </c>
    </row>
    <row r="317" spans="1:15">
      <c r="A317" t="s">
        <v>58</v>
      </c>
      <c r="B317" t="s">
        <v>84</v>
      </c>
      <c r="C317" t="s">
        <v>92</v>
      </c>
      <c r="D317" t="s">
        <v>183</v>
      </c>
      <c r="E317" t="s">
        <v>182</v>
      </c>
      <c r="F317" s="242">
        <v>0</v>
      </c>
      <c r="G317" s="242">
        <v>0</v>
      </c>
      <c r="H317" s="242">
        <v>0</v>
      </c>
      <c r="I317" s="242">
        <v>0</v>
      </c>
      <c r="J317" s="242">
        <v>0</v>
      </c>
      <c r="K317" s="242">
        <v>0</v>
      </c>
      <c r="L317" s="242">
        <v>0</v>
      </c>
      <c r="M317" s="242">
        <v>0</v>
      </c>
      <c r="N317" s="242">
        <v>0</v>
      </c>
      <c r="O317" s="242">
        <v>0</v>
      </c>
    </row>
    <row r="318" spans="1:15">
      <c r="A318" t="s">
        <v>58</v>
      </c>
      <c r="B318" t="s">
        <v>85</v>
      </c>
      <c r="C318" t="s">
        <v>93</v>
      </c>
      <c r="D318" t="s">
        <v>183</v>
      </c>
      <c r="E318" t="s">
        <v>182</v>
      </c>
      <c r="F318" s="242">
        <v>0</v>
      </c>
      <c r="G318" s="242">
        <v>0</v>
      </c>
      <c r="H318" s="242">
        <v>0</v>
      </c>
      <c r="I318" s="242">
        <v>0</v>
      </c>
      <c r="J318" s="242">
        <v>0</v>
      </c>
      <c r="K318" s="242">
        <v>0</v>
      </c>
      <c r="L318" s="242">
        <v>0</v>
      </c>
      <c r="M318" s="242">
        <v>0</v>
      </c>
      <c r="N318" s="242">
        <v>0</v>
      </c>
      <c r="O318" s="242">
        <v>0</v>
      </c>
    </row>
    <row r="319" spans="1:15">
      <c r="A319" t="s">
        <v>58</v>
      </c>
      <c r="B319" t="s">
        <v>86</v>
      </c>
      <c r="C319" t="s">
        <v>94</v>
      </c>
      <c r="D319" t="s">
        <v>183</v>
      </c>
      <c r="E319" t="s">
        <v>182</v>
      </c>
      <c r="F319" s="242">
        <v>0</v>
      </c>
      <c r="G319" s="242">
        <v>0</v>
      </c>
      <c r="H319" s="242">
        <v>0</v>
      </c>
      <c r="I319" s="242">
        <v>0</v>
      </c>
      <c r="J319" s="242">
        <v>0</v>
      </c>
      <c r="K319" s="242">
        <v>0</v>
      </c>
      <c r="L319" s="242">
        <v>0</v>
      </c>
      <c r="M319" s="242">
        <v>0</v>
      </c>
      <c r="N319" s="242">
        <v>0</v>
      </c>
      <c r="O319" s="242">
        <v>0</v>
      </c>
    </row>
    <row r="320" spans="1:15">
      <c r="A320" t="s">
        <v>58</v>
      </c>
      <c r="B320" t="s">
        <v>174</v>
      </c>
      <c r="C320" t="s">
        <v>184</v>
      </c>
      <c r="D320" t="s">
        <v>74</v>
      </c>
      <c r="E320" t="s">
        <v>182</v>
      </c>
      <c r="F320" s="242"/>
      <c r="G320" s="242"/>
      <c r="H320" s="242"/>
      <c r="I320" s="242"/>
      <c r="J320" s="242">
        <v>0</v>
      </c>
      <c r="K320" s="242">
        <v>0</v>
      </c>
      <c r="L320" s="242">
        <v>0</v>
      </c>
      <c r="M320" s="242">
        <v>0</v>
      </c>
      <c r="N320" s="242">
        <v>0</v>
      </c>
      <c r="O320" s="242">
        <v>0</v>
      </c>
    </row>
    <row r="321" spans="1:15">
      <c r="A321" t="s">
        <v>58</v>
      </c>
      <c r="B321" t="s">
        <v>156</v>
      </c>
      <c r="C321" t="s">
        <v>157</v>
      </c>
      <c r="D321" t="s">
        <v>74</v>
      </c>
      <c r="E321" t="s">
        <v>182</v>
      </c>
      <c r="F321" s="242">
        <v>-1.3854510777153699</v>
      </c>
      <c r="G321" s="242">
        <v>-0.54887410476726495</v>
      </c>
      <c r="H321" s="242">
        <v>0</v>
      </c>
      <c r="I321" s="242">
        <v>0.52376262684995101</v>
      </c>
      <c r="J321" s="242">
        <v>1.04973237500668</v>
      </c>
      <c r="K321" s="242">
        <v>1.67956969028324</v>
      </c>
      <c r="L321" s="242">
        <v>1.9370224131977101</v>
      </c>
      <c r="M321" s="242">
        <v>2.2432469957615502</v>
      </c>
      <c r="N321" s="242">
        <v>2.5880044925185799</v>
      </c>
      <c r="O321" s="242">
        <v>2.8981570255530298</v>
      </c>
    </row>
    <row r="322" spans="1:15">
      <c r="A322" t="s">
        <v>58</v>
      </c>
      <c r="B322" t="s">
        <v>159</v>
      </c>
      <c r="C322" t="s">
        <v>158</v>
      </c>
      <c r="D322" t="s">
        <v>74</v>
      </c>
      <c r="E322" t="s">
        <v>182</v>
      </c>
      <c r="F322" s="242"/>
      <c r="G322" s="242"/>
      <c r="H322" s="242"/>
      <c r="I322" s="242"/>
      <c r="J322" s="242"/>
      <c r="K322" s="242">
        <v>0</v>
      </c>
      <c r="L322" s="242">
        <v>0</v>
      </c>
      <c r="M322" s="242">
        <v>0</v>
      </c>
      <c r="N322" s="242">
        <v>0</v>
      </c>
      <c r="O322" s="242">
        <v>0</v>
      </c>
    </row>
    <row r="323" spans="1:15">
      <c r="A323" t="s">
        <v>58</v>
      </c>
      <c r="B323" t="s">
        <v>235</v>
      </c>
      <c r="C323" t="s">
        <v>234</v>
      </c>
      <c r="D323" t="s">
        <v>74</v>
      </c>
      <c r="E323" t="s">
        <v>182</v>
      </c>
      <c r="F323" s="242">
        <v>1.1883982779556199</v>
      </c>
      <c r="G323" s="242">
        <v>1.1680071977809801</v>
      </c>
      <c r="H323" s="242">
        <v>0.96299999999999997</v>
      </c>
      <c r="I323" s="242">
        <v>0.71536334745762697</v>
      </c>
      <c r="J323" s="242">
        <v>0.80699730625580901</v>
      </c>
      <c r="K323" s="242">
        <v>0.73937991240643497</v>
      </c>
      <c r="L323" s="242">
        <v>0.65046130977862804</v>
      </c>
      <c r="M323" s="242">
        <v>0.36258211468201001</v>
      </c>
      <c r="N323" s="242">
        <v>0.19849828339774001</v>
      </c>
      <c r="O323" s="242">
        <v>0.12563411594983601</v>
      </c>
    </row>
    <row r="324" spans="1:15">
      <c r="A324" t="s">
        <v>58</v>
      </c>
      <c r="B324" t="s">
        <v>237</v>
      </c>
      <c r="C324" t="s">
        <v>236</v>
      </c>
      <c r="D324" t="s">
        <v>74</v>
      </c>
      <c r="E324" t="s">
        <v>182</v>
      </c>
      <c r="F324" s="242">
        <v>0</v>
      </c>
      <c r="G324" s="242">
        <v>0</v>
      </c>
      <c r="H324" s="242">
        <v>0</v>
      </c>
      <c r="I324" s="242">
        <v>0</v>
      </c>
      <c r="J324" s="242">
        <v>0</v>
      </c>
      <c r="K324" s="242">
        <v>0</v>
      </c>
      <c r="L324" s="242">
        <v>0</v>
      </c>
      <c r="M324" s="242">
        <v>0</v>
      </c>
      <c r="N324" s="242">
        <v>0</v>
      </c>
      <c r="O324" s="242">
        <v>0</v>
      </c>
    </row>
    <row r="325" spans="1:15">
      <c r="A325" t="s">
        <v>58</v>
      </c>
      <c r="B325" t="s">
        <v>239</v>
      </c>
      <c r="C325" t="s">
        <v>238</v>
      </c>
      <c r="D325" t="s">
        <v>74</v>
      </c>
      <c r="E325" t="s">
        <v>182</v>
      </c>
      <c r="F325" s="242"/>
      <c r="G325" s="242"/>
      <c r="H325" s="242"/>
      <c r="I325" s="242"/>
      <c r="J325" s="242"/>
      <c r="K325" s="242">
        <v>4.5038886624920497E-2</v>
      </c>
      <c r="L325" s="242">
        <v>0.14473472829814699</v>
      </c>
      <c r="M325" s="242">
        <v>0.245284974695054</v>
      </c>
      <c r="N325" s="242">
        <v>0.32514530030430999</v>
      </c>
      <c r="O325" s="242">
        <v>0.41418669333882002</v>
      </c>
    </row>
    <row r="326" spans="1:15">
      <c r="A326" t="s">
        <v>58</v>
      </c>
      <c r="B326" t="s">
        <v>241</v>
      </c>
      <c r="C326" t="s">
        <v>240</v>
      </c>
      <c r="D326" t="s">
        <v>74</v>
      </c>
      <c r="E326" t="s">
        <v>182</v>
      </c>
      <c r="F326" s="242"/>
      <c r="G326" s="242"/>
      <c r="H326" s="242"/>
      <c r="I326" s="242"/>
      <c r="J326" s="242"/>
      <c r="K326" s="242">
        <v>0</v>
      </c>
      <c r="L326" s="242">
        <v>0</v>
      </c>
      <c r="M326" s="242">
        <v>0</v>
      </c>
      <c r="N326" s="242">
        <v>0</v>
      </c>
      <c r="O326" s="242">
        <v>0</v>
      </c>
    </row>
    <row r="327" spans="1:15">
      <c r="A327" t="s">
        <v>59</v>
      </c>
      <c r="B327" t="s">
        <v>78</v>
      </c>
      <c r="C327" t="s">
        <v>132</v>
      </c>
      <c r="D327" t="s">
        <v>74</v>
      </c>
      <c r="E327" t="s">
        <v>182</v>
      </c>
      <c r="F327" s="242">
        <v>3.9555776163270902</v>
      </c>
      <c r="G327" s="242">
        <v>4.9073843694494803</v>
      </c>
      <c r="H327" s="242">
        <v>5.1654166666666699</v>
      </c>
      <c r="I327" s="242">
        <v>5.60186987781674</v>
      </c>
      <c r="J327" s="242">
        <v>4.8987316955174496</v>
      </c>
      <c r="K327" s="242">
        <v>5.1344651658058398</v>
      </c>
      <c r="L327" s="242">
        <v>5.1262962552040303</v>
      </c>
      <c r="M327" s="242">
        <v>5.3453125872751199</v>
      </c>
      <c r="N327" s="242">
        <v>5.3351260166270098</v>
      </c>
      <c r="O327" s="242">
        <v>5.2958049825085203</v>
      </c>
    </row>
    <row r="328" spans="1:15">
      <c r="A328" t="s">
        <v>59</v>
      </c>
      <c r="B328" t="s">
        <v>97</v>
      </c>
      <c r="C328" t="s">
        <v>99</v>
      </c>
      <c r="D328" t="s">
        <v>74</v>
      </c>
      <c r="E328" t="s">
        <v>182</v>
      </c>
      <c r="F328" s="242">
        <v>8.8362999999999997E-2</v>
      </c>
      <c r="G328" s="242">
        <v>6.5103999999999995E-2</v>
      </c>
      <c r="H328" s="242">
        <v>5.4174E-2</v>
      </c>
      <c r="I328" s="242">
        <v>4.9001000000000003E-2</v>
      </c>
      <c r="J328" s="242">
        <v>5.88848534840812E-2</v>
      </c>
      <c r="K328" s="242">
        <v>4.7980538222237003E-2</v>
      </c>
      <c r="L328" s="242">
        <v>4.0093169810377902E-2</v>
      </c>
      <c r="M328" s="242">
        <v>3.57679354862694E-2</v>
      </c>
      <c r="N328" s="242">
        <v>1.6775938239191698E-2</v>
      </c>
      <c r="O328" s="242">
        <v>3.0604527083342298E-4</v>
      </c>
    </row>
    <row r="329" spans="1:15">
      <c r="A329" t="s">
        <v>59</v>
      </c>
      <c r="B329" t="s">
        <v>98</v>
      </c>
      <c r="C329" t="s">
        <v>100</v>
      </c>
      <c r="D329" t="s">
        <v>74</v>
      </c>
      <c r="E329" t="s">
        <v>182</v>
      </c>
      <c r="F329" s="242"/>
      <c r="G329" s="242"/>
      <c r="H329" s="242"/>
      <c r="I329" s="242"/>
      <c r="J329" s="242"/>
      <c r="K329" s="242">
        <v>1.9903537609889999E-2</v>
      </c>
      <c r="L329" s="242">
        <v>5.83861136652669E-2</v>
      </c>
      <c r="M329" s="242">
        <v>9.5525735421850805E-2</v>
      </c>
      <c r="N329" s="242">
        <v>0.126154426921055</v>
      </c>
      <c r="O329" s="242">
        <v>0.15071414227118299</v>
      </c>
    </row>
    <row r="330" spans="1:15">
      <c r="A330" t="s">
        <v>59</v>
      </c>
      <c r="B330" t="s">
        <v>79</v>
      </c>
      <c r="C330" t="s">
        <v>135</v>
      </c>
      <c r="D330" t="s">
        <v>74</v>
      </c>
      <c r="E330" t="s">
        <v>182</v>
      </c>
      <c r="F330" s="242">
        <v>0.64642363108598799</v>
      </c>
      <c r="G330" s="242">
        <v>0.67150448939313101</v>
      </c>
      <c r="H330" s="242">
        <v>0.72639844342385895</v>
      </c>
      <c r="I330" s="242">
        <v>0.86285900000000004</v>
      </c>
      <c r="J330" s="242">
        <v>0.866217546982186</v>
      </c>
      <c r="K330" s="242">
        <v>0.89621754698218603</v>
      </c>
      <c r="L330" s="242">
        <v>0.92621754698218595</v>
      </c>
      <c r="M330" s="242">
        <v>0.98450073501728097</v>
      </c>
      <c r="N330" s="242">
        <v>1.0145007350172801</v>
      </c>
      <c r="O330" s="242">
        <v>1.07090532734084</v>
      </c>
    </row>
    <row r="331" spans="1:15">
      <c r="A331" t="s">
        <v>59</v>
      </c>
      <c r="B331" t="s">
        <v>80</v>
      </c>
      <c r="C331" t="s">
        <v>136</v>
      </c>
      <c r="D331" t="s">
        <v>74</v>
      </c>
      <c r="E331" t="s">
        <v>182</v>
      </c>
      <c r="F331" s="242">
        <v>0</v>
      </c>
      <c r="G331" s="242">
        <v>0</v>
      </c>
      <c r="H331" s="242">
        <v>0</v>
      </c>
      <c r="I331" s="242">
        <v>0</v>
      </c>
      <c r="J331" s="242">
        <v>0</v>
      </c>
      <c r="K331" s="242">
        <v>0</v>
      </c>
      <c r="L331" s="242">
        <v>0</v>
      </c>
      <c r="M331" s="242">
        <v>0</v>
      </c>
      <c r="N331" s="242">
        <v>0</v>
      </c>
      <c r="O331" s="242">
        <v>0</v>
      </c>
    </row>
    <row r="332" spans="1:15">
      <c r="A332" t="s">
        <v>59</v>
      </c>
      <c r="B332" t="s">
        <v>81</v>
      </c>
      <c r="C332" t="s">
        <v>137</v>
      </c>
      <c r="D332" t="s">
        <v>74</v>
      </c>
      <c r="E332" t="s">
        <v>182</v>
      </c>
      <c r="F332" s="242">
        <v>0</v>
      </c>
      <c r="G332" s="242">
        <v>0</v>
      </c>
      <c r="H332" s="242">
        <v>0</v>
      </c>
      <c r="I332" s="242">
        <v>0</v>
      </c>
      <c r="J332" s="242">
        <v>0</v>
      </c>
      <c r="K332" s="242">
        <v>0</v>
      </c>
      <c r="L332" s="242">
        <v>0</v>
      </c>
      <c r="M332" s="242">
        <v>0</v>
      </c>
      <c r="N332" s="242">
        <v>0</v>
      </c>
      <c r="O332" s="242">
        <v>0</v>
      </c>
    </row>
    <row r="333" spans="1:15">
      <c r="A333" t="s">
        <v>59</v>
      </c>
      <c r="B333" t="s">
        <v>82</v>
      </c>
      <c r="C333" t="s">
        <v>89</v>
      </c>
      <c r="D333" t="s">
        <v>183</v>
      </c>
      <c r="E333" t="s">
        <v>182</v>
      </c>
      <c r="F333" s="242">
        <v>165.173</v>
      </c>
      <c r="G333" s="242">
        <v>162.05099999999999</v>
      </c>
      <c r="H333" s="242">
        <v>155.47399999999999</v>
      </c>
      <c r="I333" s="242">
        <v>149.05099999999999</v>
      </c>
      <c r="J333" s="242">
        <v>141.98699999999999</v>
      </c>
      <c r="K333" s="242">
        <v>135.46893750000001</v>
      </c>
      <c r="L333" s="242">
        <v>129.01424812499999</v>
      </c>
      <c r="M333" s="242">
        <v>122.62410564375</v>
      </c>
      <c r="N333" s="242">
        <v>116.29786458731201</v>
      </c>
      <c r="O333" s="242">
        <v>110.034885941439</v>
      </c>
    </row>
    <row r="334" spans="1:15">
      <c r="A334" t="s">
        <v>59</v>
      </c>
      <c r="B334" t="s">
        <v>87</v>
      </c>
      <c r="C334" t="s">
        <v>90</v>
      </c>
      <c r="D334" t="s">
        <v>183</v>
      </c>
      <c r="E334" t="s">
        <v>182</v>
      </c>
      <c r="F334" s="242">
        <v>92.26</v>
      </c>
      <c r="G334" s="242">
        <v>95.834999999999994</v>
      </c>
      <c r="H334" s="242">
        <v>103.655</v>
      </c>
      <c r="I334" s="242">
        <v>111.88800000000001</v>
      </c>
      <c r="J334" s="242">
        <v>121.601468253306</v>
      </c>
      <c r="K334" s="242">
        <v>130.51314222472899</v>
      </c>
      <c r="L334" s="242">
        <v>139.37195098761401</v>
      </c>
      <c r="M334" s="242">
        <v>148.142073787269</v>
      </c>
      <c r="N334" s="242">
        <v>156.92568147398501</v>
      </c>
      <c r="O334" s="242">
        <v>165.650494362845</v>
      </c>
    </row>
    <row r="335" spans="1:15">
      <c r="A335" t="s">
        <v>59</v>
      </c>
      <c r="B335" t="s">
        <v>83</v>
      </c>
      <c r="C335" t="s">
        <v>91</v>
      </c>
      <c r="D335" t="s">
        <v>183</v>
      </c>
      <c r="E335" t="s">
        <v>182</v>
      </c>
      <c r="F335" s="242">
        <v>0</v>
      </c>
      <c r="G335" s="242">
        <v>0</v>
      </c>
      <c r="H335" s="242">
        <v>0</v>
      </c>
      <c r="I335" s="242">
        <v>0</v>
      </c>
      <c r="J335" s="242">
        <v>0</v>
      </c>
      <c r="K335" s="242">
        <v>0</v>
      </c>
      <c r="L335" s="242">
        <v>0</v>
      </c>
      <c r="M335" s="242">
        <v>0</v>
      </c>
      <c r="N335" s="242">
        <v>0</v>
      </c>
      <c r="O335" s="242">
        <v>0</v>
      </c>
    </row>
    <row r="336" spans="1:15">
      <c r="A336" t="s">
        <v>59</v>
      </c>
      <c r="B336" t="s">
        <v>84</v>
      </c>
      <c r="C336" t="s">
        <v>92</v>
      </c>
      <c r="D336" t="s">
        <v>183</v>
      </c>
      <c r="E336" t="s">
        <v>182</v>
      </c>
      <c r="F336" s="242">
        <v>0</v>
      </c>
      <c r="G336" s="242">
        <v>0</v>
      </c>
      <c r="H336" s="242">
        <v>0</v>
      </c>
      <c r="I336" s="242">
        <v>0</v>
      </c>
      <c r="J336" s="242">
        <v>0</v>
      </c>
      <c r="K336" s="242">
        <v>0</v>
      </c>
      <c r="L336" s="242">
        <v>0</v>
      </c>
      <c r="M336" s="242">
        <v>0</v>
      </c>
      <c r="N336" s="242">
        <v>0</v>
      </c>
      <c r="O336" s="242">
        <v>0</v>
      </c>
    </row>
    <row r="337" spans="1:15">
      <c r="A337" t="s">
        <v>59</v>
      </c>
      <c r="B337" t="s">
        <v>85</v>
      </c>
      <c r="C337" t="s">
        <v>93</v>
      </c>
      <c r="D337" t="s">
        <v>183</v>
      </c>
      <c r="E337" t="s">
        <v>182</v>
      </c>
      <c r="F337" s="242">
        <v>0</v>
      </c>
      <c r="G337" s="242">
        <v>0</v>
      </c>
      <c r="H337" s="242">
        <v>0</v>
      </c>
      <c r="I337" s="242">
        <v>0</v>
      </c>
      <c r="J337" s="242">
        <v>0</v>
      </c>
      <c r="K337" s="242">
        <v>0</v>
      </c>
      <c r="L337" s="242">
        <v>0</v>
      </c>
      <c r="M337" s="242">
        <v>0</v>
      </c>
      <c r="N337" s="242">
        <v>0</v>
      </c>
      <c r="O337" s="242">
        <v>0</v>
      </c>
    </row>
    <row r="338" spans="1:15">
      <c r="A338" t="s">
        <v>59</v>
      </c>
      <c r="B338" t="s">
        <v>86</v>
      </c>
      <c r="C338" t="s">
        <v>94</v>
      </c>
      <c r="D338" t="s">
        <v>183</v>
      </c>
      <c r="E338" t="s">
        <v>182</v>
      </c>
      <c r="F338" s="242">
        <v>0</v>
      </c>
      <c r="G338" s="242">
        <v>0</v>
      </c>
      <c r="H338" s="242">
        <v>0</v>
      </c>
      <c r="I338" s="242">
        <v>0</v>
      </c>
      <c r="J338" s="242">
        <v>0</v>
      </c>
      <c r="K338" s="242">
        <v>0</v>
      </c>
      <c r="L338" s="242">
        <v>0</v>
      </c>
      <c r="M338" s="242">
        <v>0</v>
      </c>
      <c r="N338" s="242">
        <v>0</v>
      </c>
      <c r="O338" s="242">
        <v>0</v>
      </c>
    </row>
    <row r="339" spans="1:15">
      <c r="A339" t="s">
        <v>59</v>
      </c>
      <c r="B339" t="s">
        <v>174</v>
      </c>
      <c r="C339" t="s">
        <v>184</v>
      </c>
      <c r="D339" t="s">
        <v>74</v>
      </c>
      <c r="E339" t="s">
        <v>182</v>
      </c>
      <c r="F339" s="242"/>
      <c r="G339" s="242"/>
      <c r="H339" s="242"/>
      <c r="I339" s="242"/>
      <c r="J339" s="242">
        <v>0</v>
      </c>
      <c r="K339" s="242">
        <v>3.5999999999999997E-2</v>
      </c>
      <c r="L339" s="242">
        <v>3.5999999999999997E-2</v>
      </c>
      <c r="M339" s="242">
        <v>3.5999999999999997E-2</v>
      </c>
      <c r="N339" s="242">
        <v>3.5999999999999997E-2</v>
      </c>
      <c r="O339" s="242">
        <v>3.5999999999999997E-2</v>
      </c>
    </row>
    <row r="340" spans="1:15">
      <c r="A340" t="s">
        <v>59</v>
      </c>
      <c r="B340" t="s">
        <v>156</v>
      </c>
      <c r="C340" t="s">
        <v>157</v>
      </c>
      <c r="D340" t="s">
        <v>74</v>
      </c>
      <c r="E340" t="s">
        <v>182</v>
      </c>
      <c r="F340" s="242">
        <v>0</v>
      </c>
      <c r="G340" s="242">
        <v>0</v>
      </c>
      <c r="H340" s="242">
        <v>0</v>
      </c>
      <c r="I340" s="242">
        <v>0</v>
      </c>
      <c r="J340" s="242">
        <v>0</v>
      </c>
      <c r="K340" s="242">
        <v>0.42199999999999999</v>
      </c>
      <c r="L340" s="242">
        <v>0.503</v>
      </c>
      <c r="M340" s="242">
        <v>0.60899999999999999</v>
      </c>
      <c r="N340" s="242">
        <v>0.69499999999999995</v>
      </c>
      <c r="O340" s="242">
        <v>0.77900000000000003</v>
      </c>
    </row>
    <row r="341" spans="1:15">
      <c r="A341" t="s">
        <v>59</v>
      </c>
      <c r="B341" t="s">
        <v>159</v>
      </c>
      <c r="C341" t="s">
        <v>158</v>
      </c>
      <c r="D341" t="s">
        <v>74</v>
      </c>
      <c r="E341" t="s">
        <v>182</v>
      </c>
      <c r="F341" s="242"/>
      <c r="G341" s="242"/>
      <c r="H341" s="242"/>
      <c r="I341" s="242"/>
      <c r="J341" s="242"/>
      <c r="K341" s="242">
        <v>0</v>
      </c>
      <c r="L341" s="242">
        <v>0</v>
      </c>
      <c r="M341" s="242">
        <v>0</v>
      </c>
      <c r="N341" s="242">
        <v>0</v>
      </c>
      <c r="O341" s="242">
        <v>0</v>
      </c>
    </row>
    <row r="342" spans="1:15">
      <c r="A342" t="s">
        <v>59</v>
      </c>
      <c r="B342" t="s">
        <v>235</v>
      </c>
      <c r="C342" t="s">
        <v>234</v>
      </c>
      <c r="D342" t="s">
        <v>74</v>
      </c>
      <c r="E342" t="s">
        <v>182</v>
      </c>
      <c r="F342" s="242">
        <v>0</v>
      </c>
      <c r="G342" s="242">
        <v>0</v>
      </c>
      <c r="H342" s="242">
        <v>0</v>
      </c>
      <c r="I342" s="242">
        <v>0.16158259999999999</v>
      </c>
      <c r="J342" s="242">
        <v>0.16347500000000001</v>
      </c>
      <c r="K342" s="242">
        <v>0.14688000000000001</v>
      </c>
      <c r="L342" s="242">
        <v>0.12145</v>
      </c>
      <c r="M342" s="242">
        <v>0.10506500000000001</v>
      </c>
      <c r="N342" s="242">
        <v>9.2515E-2</v>
      </c>
      <c r="O342" s="242">
        <v>8.2924999999999999E-2</v>
      </c>
    </row>
    <row r="343" spans="1:15">
      <c r="A343" t="s">
        <v>59</v>
      </c>
      <c r="B343" t="s">
        <v>237</v>
      </c>
      <c r="C343" t="s">
        <v>236</v>
      </c>
      <c r="D343" t="s">
        <v>74</v>
      </c>
      <c r="E343" t="s">
        <v>182</v>
      </c>
      <c r="F343" s="242">
        <v>0</v>
      </c>
      <c r="G343" s="242">
        <v>0</v>
      </c>
      <c r="H343" s="242">
        <v>0</v>
      </c>
      <c r="I343" s="242">
        <v>0</v>
      </c>
      <c r="J343" s="242">
        <v>0</v>
      </c>
      <c r="K343" s="242">
        <v>0</v>
      </c>
      <c r="L343" s="242">
        <v>0</v>
      </c>
      <c r="M343" s="242">
        <v>0</v>
      </c>
      <c r="N343" s="242">
        <v>0</v>
      </c>
      <c r="O343" s="242">
        <v>0</v>
      </c>
    </row>
    <row r="344" spans="1:15">
      <c r="A344" t="s">
        <v>59</v>
      </c>
      <c r="B344" t="s">
        <v>239</v>
      </c>
      <c r="C344" t="s">
        <v>238</v>
      </c>
      <c r="D344" t="s">
        <v>74</v>
      </c>
      <c r="E344" t="s">
        <v>182</v>
      </c>
      <c r="F344" s="242"/>
      <c r="G344" s="242"/>
      <c r="H344" s="242"/>
      <c r="I344" s="242"/>
      <c r="J344" s="242"/>
      <c r="K344" s="242">
        <v>1.47026E-2</v>
      </c>
      <c r="L344" s="242">
        <v>4.0132599999999997E-2</v>
      </c>
      <c r="M344" s="242">
        <v>5.6517600000000001E-2</v>
      </c>
      <c r="N344" s="242">
        <v>6.9067600000000007E-2</v>
      </c>
      <c r="O344" s="242">
        <v>7.8657599999999994E-2</v>
      </c>
    </row>
    <row r="345" spans="1:15">
      <c r="A345" t="s">
        <v>59</v>
      </c>
      <c r="B345" t="s">
        <v>241</v>
      </c>
      <c r="C345" t="s">
        <v>240</v>
      </c>
      <c r="D345" t="s">
        <v>74</v>
      </c>
      <c r="E345" t="s">
        <v>182</v>
      </c>
      <c r="F345" s="242"/>
      <c r="G345" s="242"/>
      <c r="H345" s="242"/>
      <c r="I345" s="242"/>
      <c r="J345" s="242"/>
      <c r="K345" s="242">
        <v>0</v>
      </c>
      <c r="L345" s="242">
        <v>0</v>
      </c>
      <c r="M345" s="242">
        <v>0</v>
      </c>
      <c r="N345" s="242">
        <v>0</v>
      </c>
      <c r="O345" s="242">
        <v>0</v>
      </c>
    </row>
  </sheetData>
  <pageMargins left="0.70866141732283472" right="0.70866141732283472" top="0.74803149606299213" bottom="0.74803149606299213" header="0.31496062992125984" footer="0.31496062992125984"/>
  <pageSetup paperSize="9" scale="11" orientation="portrait" r:id="rId1"/>
  <headerFooter>
    <oddFooter>&amp;L&amp;Z
&amp;F&amp;R&amp;D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D264"/>
  <sheetViews>
    <sheetView zoomScale="70" zoomScaleNormal="70" workbookViewId="0">
      <pane xSplit="5" ySplit="2" topLeftCell="F87" activePane="bottomRight" state="frozen"/>
      <selection pane="topRight" activeCell="F1" sqref="F1"/>
      <selection pane="bottomLeft" activeCell="A4" sqref="A4"/>
      <selection pane="bottomRight" activeCell="P92" sqref="P92"/>
    </sheetView>
  </sheetViews>
  <sheetFormatPr defaultRowHeight="12.75"/>
  <cols>
    <col min="1" max="1" width="9.140625" style="308"/>
    <col min="2" max="2" width="14.5703125" style="308" customWidth="1"/>
    <col min="3" max="4" width="9.140625" style="308"/>
    <col min="5" max="5" width="10.140625" style="311" customWidth="1"/>
    <col min="6" max="8" width="10.5703125" style="308" bestFit="1" customWidth="1"/>
    <col min="9" max="9" width="11.7109375" style="308" bestFit="1" customWidth="1"/>
    <col min="10" max="10" width="11.7109375" style="311" bestFit="1" customWidth="1"/>
    <col min="11" max="15" width="11.7109375" style="308" bestFit="1" customWidth="1"/>
    <col min="16" max="16384" width="9.140625" style="308"/>
  </cols>
  <sheetData>
    <row r="1" spans="1:16384" s="14" customFormat="1" ht="33.75">
      <c r="A1" s="76"/>
      <c r="B1" s="108"/>
      <c r="C1" s="76"/>
      <c r="D1" s="77"/>
      <c r="E1" s="438" t="s">
        <v>421</v>
      </c>
      <c r="F1" s="119"/>
      <c r="G1" s="119"/>
      <c r="H1" s="119"/>
      <c r="I1" s="119"/>
      <c r="J1" s="445"/>
      <c r="K1" s="37"/>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c r="B2" s="439" t="s">
        <v>4</v>
      </c>
      <c r="F2" s="308" t="s">
        <v>5</v>
      </c>
      <c r="G2" s="308" t="s">
        <v>6</v>
      </c>
      <c r="H2" s="308" t="s">
        <v>7</v>
      </c>
      <c r="I2" s="308" t="s">
        <v>8</v>
      </c>
      <c r="J2" s="311" t="s">
        <v>9</v>
      </c>
      <c r="K2" s="308" t="s">
        <v>34</v>
      </c>
      <c r="L2" s="308" t="s">
        <v>35</v>
      </c>
      <c r="M2" s="308" t="s">
        <v>36</v>
      </c>
      <c r="N2" s="308" t="s">
        <v>37</v>
      </c>
      <c r="O2" s="308" t="s">
        <v>38</v>
      </c>
    </row>
    <row r="3" spans="1:16384">
      <c r="B3" s="344"/>
    </row>
    <row r="4" spans="1:16384" s="298" customFormat="1" ht="14.1" customHeight="1">
      <c r="A4" s="293" t="s">
        <v>426</v>
      </c>
      <c r="B4" s="293"/>
      <c r="C4" s="293"/>
      <c r="D4" s="293"/>
      <c r="E4" s="293"/>
      <c r="F4" s="293"/>
      <c r="G4" s="293"/>
      <c r="H4" s="293"/>
      <c r="I4" s="293"/>
      <c r="J4" s="300"/>
      <c r="K4" s="293"/>
      <c r="L4" s="293"/>
      <c r="M4" s="293"/>
      <c r="N4" s="293"/>
      <c r="O4" s="293"/>
      <c r="P4" s="293"/>
      <c r="Q4" s="293"/>
      <c r="R4" s="293"/>
      <c r="S4" s="293"/>
      <c r="T4" s="293"/>
      <c r="U4" s="293"/>
    </row>
    <row r="5" spans="1:16384" s="268" customFormat="1" ht="14.1" customHeight="1">
      <c r="A5" s="276"/>
      <c r="B5" s="276" t="s">
        <v>215</v>
      </c>
      <c r="C5" s="276" t="s">
        <v>74</v>
      </c>
      <c r="D5" s="276"/>
      <c r="E5" s="312" t="s">
        <v>244</v>
      </c>
      <c r="F5" s="276"/>
      <c r="G5" s="276"/>
      <c r="H5" s="276"/>
      <c r="I5" s="276"/>
      <c r="J5" s="286"/>
      <c r="K5" s="276"/>
      <c r="L5" s="276"/>
      <c r="M5" s="276"/>
      <c r="N5" s="276"/>
      <c r="O5" s="276"/>
      <c r="P5" s="276"/>
      <c r="Q5" s="276"/>
      <c r="R5" s="276"/>
      <c r="S5" s="276"/>
      <c r="T5" s="276"/>
      <c r="U5" s="276"/>
      <c r="V5" s="276"/>
    </row>
    <row r="6" spans="1:16384" s="268" customFormat="1" ht="14.1" customHeight="1">
      <c r="A6" s="276"/>
      <c r="B6" s="276" t="s">
        <v>216</v>
      </c>
      <c r="C6" s="276" t="s">
        <v>74</v>
      </c>
      <c r="D6" s="276"/>
      <c r="E6" s="312" t="s">
        <v>244</v>
      </c>
      <c r="F6" s="276"/>
      <c r="G6" s="276"/>
      <c r="H6" s="276"/>
      <c r="I6" s="276"/>
      <c r="J6" s="286"/>
      <c r="K6" s="276"/>
      <c r="L6" s="276"/>
      <c r="M6" s="276"/>
      <c r="N6" s="276"/>
      <c r="O6" s="276"/>
      <c r="P6" s="276"/>
      <c r="Q6" s="276"/>
      <c r="R6" s="276"/>
      <c r="S6" s="276"/>
      <c r="T6" s="276"/>
      <c r="U6" s="276"/>
      <c r="V6" s="276"/>
    </row>
    <row r="7" spans="1:16384" s="268" customFormat="1" ht="14.1" customHeight="1">
      <c r="A7" s="276"/>
      <c r="B7" s="276" t="s">
        <v>217</v>
      </c>
      <c r="C7" s="276" t="s">
        <v>74</v>
      </c>
      <c r="D7" s="276"/>
      <c r="E7" s="312" t="s">
        <v>303</v>
      </c>
      <c r="F7" s="276"/>
      <c r="G7" s="276"/>
      <c r="H7" s="276"/>
      <c r="I7" s="276"/>
      <c r="J7" s="286"/>
      <c r="K7" s="276" t="s">
        <v>518</v>
      </c>
      <c r="L7" s="276"/>
      <c r="M7" s="276"/>
      <c r="N7" s="276"/>
      <c r="O7" s="276"/>
      <c r="P7" s="276"/>
      <c r="Q7" s="276"/>
      <c r="R7" s="276"/>
      <c r="S7" s="276"/>
      <c r="T7" s="276"/>
      <c r="U7" s="276"/>
      <c r="V7" s="276"/>
    </row>
    <row r="8" spans="1:16384" s="268" customFormat="1" ht="14.1" customHeight="1">
      <c r="A8" s="276"/>
      <c r="B8" s="276" t="s">
        <v>219</v>
      </c>
      <c r="C8" s="276" t="s">
        <v>74</v>
      </c>
      <c r="D8" s="276"/>
      <c r="E8" s="312" t="s">
        <v>244</v>
      </c>
      <c r="F8" s="276"/>
      <c r="G8" s="276"/>
      <c r="H8" s="276"/>
      <c r="I8" s="276"/>
      <c r="J8" s="286"/>
      <c r="K8" s="276"/>
      <c r="L8" s="276"/>
      <c r="M8" s="276"/>
      <c r="N8" s="276"/>
      <c r="O8" s="276"/>
      <c r="P8" s="276"/>
      <c r="Q8" s="276"/>
      <c r="R8" s="276"/>
      <c r="S8" s="276"/>
      <c r="T8" s="276"/>
      <c r="U8" s="276"/>
      <c r="V8" s="276"/>
    </row>
    <row r="9" spans="1:16384" s="268" customFormat="1" ht="14.1" customHeight="1">
      <c r="A9" s="276"/>
      <c r="B9" s="276" t="s">
        <v>220</v>
      </c>
      <c r="C9" s="276" t="s">
        <v>74</v>
      </c>
      <c r="D9" s="276"/>
      <c r="E9" s="312" t="s">
        <v>244</v>
      </c>
      <c r="F9" s="276"/>
      <c r="G9" s="276"/>
      <c r="H9" s="276"/>
      <c r="I9" s="276"/>
      <c r="J9" s="286"/>
      <c r="K9" s="276"/>
      <c r="L9" s="276"/>
      <c r="M9" s="276"/>
      <c r="N9" s="276"/>
      <c r="O9" s="276"/>
      <c r="P9" s="276"/>
      <c r="Q9" s="276"/>
      <c r="R9" s="276"/>
      <c r="S9" s="276"/>
      <c r="T9" s="276"/>
      <c r="U9" s="276"/>
      <c r="V9" s="276"/>
    </row>
    <row r="10" spans="1:16384" s="268" customFormat="1" ht="14.1" customHeight="1">
      <c r="A10" s="276"/>
      <c r="B10" s="276" t="s">
        <v>221</v>
      </c>
      <c r="C10" s="276" t="s">
        <v>74</v>
      </c>
      <c r="D10" s="276"/>
      <c r="E10" s="312" t="s">
        <v>244</v>
      </c>
      <c r="F10" s="276"/>
      <c r="G10" s="276"/>
      <c r="H10" s="276"/>
      <c r="I10" s="276"/>
      <c r="J10" s="286"/>
      <c r="K10" s="276"/>
      <c r="L10" s="276"/>
      <c r="M10" s="276"/>
      <c r="N10" s="276"/>
      <c r="O10" s="276"/>
      <c r="P10" s="276"/>
      <c r="Q10" s="276"/>
      <c r="R10" s="276"/>
      <c r="S10" s="276"/>
      <c r="T10" s="276"/>
      <c r="U10" s="276"/>
      <c r="V10" s="276"/>
    </row>
    <row r="11" spans="1:16384" s="268" customFormat="1" ht="14.1" customHeight="1">
      <c r="A11" s="276"/>
      <c r="B11" s="276" t="s">
        <v>222</v>
      </c>
      <c r="C11" s="276" t="s">
        <v>74</v>
      </c>
      <c r="D11" s="276"/>
      <c r="E11" s="312" t="s">
        <v>244</v>
      </c>
      <c r="F11" s="276"/>
      <c r="G11" s="276"/>
      <c r="H11" s="276"/>
      <c r="I11" s="276"/>
      <c r="J11" s="286"/>
      <c r="K11" s="276"/>
      <c r="L11" s="276"/>
      <c r="M11" s="276"/>
      <c r="N11" s="276"/>
      <c r="O11" s="276"/>
      <c r="P11" s="276"/>
      <c r="Q11" s="276"/>
      <c r="R11" s="276"/>
      <c r="S11" s="276"/>
      <c r="T11" s="276"/>
      <c r="U11" s="276"/>
      <c r="V11" s="276"/>
    </row>
    <row r="12" spans="1:16384" s="268" customFormat="1" ht="14.1" customHeight="1">
      <c r="A12" s="276"/>
      <c r="B12" s="276" t="s">
        <v>223</v>
      </c>
      <c r="C12" s="276" t="s">
        <v>74</v>
      </c>
      <c r="D12" s="276"/>
      <c r="E12" s="312" t="s">
        <v>244</v>
      </c>
      <c r="F12" s="276"/>
      <c r="G12" s="276"/>
      <c r="H12" s="276"/>
      <c r="I12" s="276"/>
      <c r="J12" s="286"/>
      <c r="K12" s="276"/>
      <c r="L12" s="276"/>
      <c r="M12" s="276"/>
      <c r="N12" s="276"/>
      <c r="O12" s="276"/>
      <c r="P12" s="276"/>
      <c r="Q12" s="276"/>
      <c r="R12" s="276"/>
      <c r="S12" s="276"/>
      <c r="T12" s="276"/>
      <c r="U12" s="276"/>
      <c r="V12" s="276"/>
    </row>
    <row r="13" spans="1:16384" s="268" customFormat="1" ht="14.1" customHeight="1">
      <c r="A13" s="276"/>
      <c r="B13" s="276" t="s">
        <v>224</v>
      </c>
      <c r="C13" s="276" t="s">
        <v>74</v>
      </c>
      <c r="D13" s="276"/>
      <c r="E13" s="312" t="s">
        <v>244</v>
      </c>
      <c r="F13" s="276"/>
      <c r="G13" s="276"/>
      <c r="H13" s="276"/>
      <c r="I13" s="276"/>
      <c r="J13" s="286"/>
      <c r="K13" s="276"/>
      <c r="L13" s="276"/>
      <c r="M13" s="276"/>
      <c r="N13" s="276"/>
      <c r="O13" s="276"/>
      <c r="P13" s="276"/>
      <c r="Q13" s="276"/>
      <c r="R13" s="276"/>
      <c r="S13" s="276"/>
      <c r="T13" s="276"/>
      <c r="U13" s="276"/>
      <c r="V13" s="276"/>
    </row>
    <row r="14" spans="1:16384" s="268" customFormat="1" ht="14.1" customHeight="1">
      <c r="A14" s="276"/>
      <c r="B14" s="276" t="s">
        <v>225</v>
      </c>
      <c r="C14" s="276" t="s">
        <v>74</v>
      </c>
      <c r="D14" s="276"/>
      <c r="E14" s="312" t="s">
        <v>244</v>
      </c>
      <c r="F14" s="276"/>
      <c r="G14" s="276"/>
      <c r="H14" s="276"/>
      <c r="I14" s="276"/>
      <c r="J14" s="286"/>
      <c r="K14" s="276"/>
      <c r="L14" s="276"/>
      <c r="M14" s="276"/>
      <c r="N14" s="276"/>
      <c r="O14" s="276"/>
      <c r="P14" s="276"/>
      <c r="Q14" s="276"/>
      <c r="R14" s="276"/>
      <c r="S14" s="276"/>
      <c r="T14" s="276"/>
      <c r="U14" s="276"/>
      <c r="V14" s="276"/>
    </row>
    <row r="15" spans="1:16384" s="268" customFormat="1" ht="14.1" customHeight="1">
      <c r="A15" s="276"/>
      <c r="B15" s="276" t="s">
        <v>226</v>
      </c>
      <c r="C15" s="276" t="s">
        <v>74</v>
      </c>
      <c r="D15" s="276"/>
      <c r="E15" s="312" t="s">
        <v>244</v>
      </c>
      <c r="F15" s="276"/>
      <c r="G15" s="276"/>
      <c r="H15" s="276"/>
      <c r="I15" s="276"/>
      <c r="J15" s="286"/>
      <c r="K15" s="276"/>
      <c r="L15" s="276"/>
      <c r="M15" s="276"/>
      <c r="N15" s="276"/>
      <c r="O15" s="276"/>
      <c r="P15" s="276"/>
      <c r="Q15" s="276"/>
      <c r="R15" s="276"/>
      <c r="S15" s="276"/>
      <c r="T15" s="276"/>
      <c r="U15" s="276"/>
      <c r="V15" s="276"/>
    </row>
    <row r="16" spans="1:16384" s="268" customFormat="1" ht="14.1" customHeight="1">
      <c r="A16" s="276"/>
      <c r="B16" s="276" t="s">
        <v>227</v>
      </c>
      <c r="C16" s="276" t="s">
        <v>74</v>
      </c>
      <c r="D16" s="276"/>
      <c r="E16" s="312" t="s">
        <v>244</v>
      </c>
      <c r="F16" s="276"/>
      <c r="G16" s="276"/>
      <c r="H16" s="276"/>
      <c r="I16" s="276"/>
      <c r="J16" s="286"/>
      <c r="K16" s="276"/>
      <c r="L16" s="276"/>
      <c r="M16" s="276"/>
      <c r="N16" s="276"/>
      <c r="O16" s="276"/>
      <c r="P16" s="276"/>
      <c r="Q16" s="276"/>
      <c r="R16" s="276"/>
      <c r="S16" s="276"/>
      <c r="T16" s="276"/>
      <c r="U16" s="276"/>
      <c r="V16" s="276"/>
    </row>
    <row r="17" spans="1:22" s="268" customFormat="1" ht="14.1" customHeight="1">
      <c r="A17" s="276"/>
      <c r="B17" s="276" t="s">
        <v>228</v>
      </c>
      <c r="C17" s="276" t="s">
        <v>74</v>
      </c>
      <c r="D17" s="276"/>
      <c r="E17" s="312" t="s">
        <v>244</v>
      </c>
      <c r="F17" s="276"/>
      <c r="G17" s="276"/>
      <c r="H17" s="276"/>
      <c r="I17" s="276"/>
      <c r="J17" s="286"/>
      <c r="K17" s="276"/>
      <c r="L17" s="276"/>
      <c r="M17" s="276"/>
      <c r="N17" s="276"/>
      <c r="O17" s="276"/>
      <c r="P17" s="276"/>
      <c r="Q17" s="276"/>
      <c r="R17" s="276"/>
      <c r="S17" s="276"/>
      <c r="T17" s="276"/>
      <c r="U17" s="276"/>
      <c r="V17" s="276"/>
    </row>
    <row r="18" spans="1:22" s="268" customFormat="1" ht="14.1" customHeight="1">
      <c r="A18" s="276"/>
      <c r="B18" s="276" t="s">
        <v>229</v>
      </c>
      <c r="C18" s="276" t="s">
        <v>74</v>
      </c>
      <c r="D18" s="276"/>
      <c r="E18" s="312" t="s">
        <v>244</v>
      </c>
      <c r="F18" s="276"/>
      <c r="G18" s="276"/>
      <c r="H18" s="276"/>
      <c r="I18" s="276"/>
      <c r="J18" s="286"/>
      <c r="K18" s="276"/>
      <c r="L18" s="276"/>
      <c r="M18" s="276"/>
      <c r="N18" s="276"/>
      <c r="O18" s="276"/>
      <c r="P18" s="276"/>
      <c r="Q18" s="276"/>
      <c r="R18" s="276"/>
      <c r="S18" s="276"/>
      <c r="T18" s="276"/>
      <c r="U18" s="276"/>
      <c r="V18" s="276"/>
    </row>
    <row r="19" spans="1:22" s="268" customFormat="1" ht="14.1" customHeight="1">
      <c r="A19" s="276"/>
      <c r="B19" s="276" t="s">
        <v>230</v>
      </c>
      <c r="C19" s="276" t="s">
        <v>74</v>
      </c>
      <c r="D19" s="276"/>
      <c r="E19" s="312" t="s">
        <v>303</v>
      </c>
      <c r="F19" s="276"/>
      <c r="G19" s="276"/>
      <c r="H19" s="276"/>
      <c r="I19" s="276"/>
      <c r="J19" s="286"/>
      <c r="K19" s="276" t="s">
        <v>518</v>
      </c>
      <c r="L19" s="276"/>
      <c r="M19" s="276"/>
      <c r="N19" s="276"/>
      <c r="O19" s="276"/>
      <c r="P19" s="276"/>
      <c r="Q19" s="276"/>
      <c r="R19" s="276"/>
      <c r="S19" s="276"/>
      <c r="T19" s="276"/>
      <c r="U19" s="276"/>
      <c r="V19" s="276"/>
    </row>
    <row r="20" spans="1:22" s="268" customFormat="1" ht="14.1" customHeight="1">
      <c r="A20" s="276"/>
      <c r="B20" s="276" t="s">
        <v>231</v>
      </c>
      <c r="C20" s="276" t="s">
        <v>74</v>
      </c>
      <c r="D20" s="276"/>
      <c r="E20" s="312" t="s">
        <v>244</v>
      </c>
      <c r="F20" s="276"/>
      <c r="G20" s="276"/>
      <c r="H20" s="276"/>
      <c r="I20" s="276"/>
      <c r="J20" s="286"/>
      <c r="K20" s="276"/>
      <c r="L20" s="276"/>
      <c r="M20" s="276"/>
      <c r="N20" s="276"/>
      <c r="O20" s="276"/>
      <c r="P20" s="276"/>
      <c r="Q20" s="276"/>
      <c r="R20" s="276"/>
      <c r="S20" s="276"/>
      <c r="T20" s="276"/>
      <c r="U20" s="276"/>
      <c r="V20" s="276"/>
    </row>
    <row r="21" spans="1:22" s="268" customFormat="1" ht="14.1" customHeight="1">
      <c r="A21" s="276"/>
      <c r="B21" s="276" t="s">
        <v>232</v>
      </c>
      <c r="C21" s="276" t="s">
        <v>74</v>
      </c>
      <c r="D21" s="276"/>
      <c r="E21" s="312" t="s">
        <v>244</v>
      </c>
      <c r="F21" s="276"/>
      <c r="G21" s="276"/>
      <c r="H21" s="276"/>
      <c r="I21" s="276"/>
      <c r="J21" s="286"/>
      <c r="K21" s="276"/>
      <c r="L21" s="276"/>
      <c r="M21" s="276"/>
      <c r="N21" s="276"/>
      <c r="O21" s="276"/>
      <c r="P21" s="276"/>
      <c r="Q21" s="276"/>
      <c r="R21" s="276"/>
      <c r="S21" s="276"/>
      <c r="T21" s="276"/>
      <c r="U21" s="276"/>
      <c r="V21" s="276"/>
    </row>
    <row r="22" spans="1:22" s="268" customFormat="1" ht="14.1" customHeight="1">
      <c r="A22" s="566"/>
      <c r="B22" s="566" t="s">
        <v>254</v>
      </c>
      <c r="C22" s="566" t="s">
        <v>74</v>
      </c>
      <c r="D22" s="566"/>
      <c r="E22" s="578" t="s">
        <v>244</v>
      </c>
      <c r="F22" s="276"/>
      <c r="G22" s="276"/>
      <c r="H22" s="276"/>
      <c r="I22" s="276"/>
      <c r="J22" s="286"/>
      <c r="K22" s="276"/>
      <c r="L22" s="276"/>
      <c r="M22" s="276"/>
      <c r="N22" s="276"/>
      <c r="O22" s="276"/>
      <c r="P22" s="276"/>
      <c r="Q22" s="276"/>
      <c r="R22" s="276"/>
      <c r="S22" s="276"/>
      <c r="T22" s="276"/>
      <c r="U22" s="276"/>
      <c r="V22" s="276"/>
    </row>
    <row r="23" spans="1:22" s="268" customFormat="1" ht="14.1" customHeight="1">
      <c r="A23" s="566"/>
      <c r="B23" s="566"/>
      <c r="C23" s="566"/>
      <c r="D23" s="566"/>
      <c r="E23" s="567"/>
      <c r="F23" s="276"/>
      <c r="G23" s="276"/>
      <c r="H23" s="276"/>
      <c r="I23" s="276"/>
      <c r="J23" s="286"/>
      <c r="K23" s="276"/>
      <c r="L23" s="276"/>
      <c r="M23" s="276"/>
      <c r="N23" s="276"/>
      <c r="O23" s="276"/>
      <c r="P23" s="276"/>
      <c r="Q23" s="276"/>
      <c r="R23" s="276"/>
      <c r="S23" s="276"/>
      <c r="T23" s="276"/>
      <c r="U23" s="276"/>
      <c r="V23" s="276"/>
    </row>
    <row r="24" spans="1:22" s="291" customFormat="1" ht="14.1" customHeight="1">
      <c r="A24" s="293" t="s">
        <v>425</v>
      </c>
      <c r="B24" s="579"/>
      <c r="C24" s="579"/>
      <c r="D24" s="579"/>
      <c r="E24" s="580"/>
      <c r="F24" s="289"/>
      <c r="G24" s="289"/>
      <c r="H24" s="289"/>
      <c r="I24" s="289"/>
      <c r="J24" s="290"/>
      <c r="K24" s="289"/>
      <c r="L24" s="289"/>
      <c r="M24" s="289"/>
      <c r="N24" s="289"/>
      <c r="O24" s="289"/>
      <c r="P24" s="289"/>
      <c r="Q24" s="289"/>
      <c r="R24" s="289"/>
      <c r="S24" s="289"/>
      <c r="T24" s="289"/>
      <c r="U24" s="289"/>
      <c r="V24" s="289"/>
    </row>
    <row r="25" spans="1:22" s="268" customFormat="1" ht="14.1" customHeight="1">
      <c r="A25" s="566"/>
      <c r="B25" s="566" t="s">
        <v>243</v>
      </c>
      <c r="C25" s="566"/>
      <c r="D25" s="566"/>
      <c r="E25" s="331">
        <v>2.2499999999999999E-2</v>
      </c>
      <c r="F25" s="276"/>
      <c r="G25" s="276"/>
      <c r="H25" s="276"/>
      <c r="I25" s="276"/>
      <c r="J25" s="286"/>
      <c r="K25" s="276"/>
      <c r="L25" s="276"/>
      <c r="M25" s="276"/>
      <c r="N25" s="276"/>
      <c r="O25" s="276"/>
      <c r="P25" s="276"/>
      <c r="Q25" s="276"/>
      <c r="R25" s="276"/>
      <c r="S25" s="276"/>
      <c r="T25" s="276"/>
      <c r="U25" s="276"/>
    </row>
    <row r="26" spans="1:22" s="298" customFormat="1" ht="14.1" customHeight="1">
      <c r="A26" s="293" t="s">
        <v>427</v>
      </c>
      <c r="B26" s="293"/>
      <c r="C26" s="293"/>
      <c r="D26" s="293"/>
      <c r="E26" s="300"/>
      <c r="F26" s="293"/>
      <c r="G26" s="293"/>
      <c r="H26" s="293"/>
      <c r="I26" s="293"/>
      <c r="J26" s="300"/>
      <c r="K26" s="293"/>
      <c r="L26" s="293"/>
      <c r="M26" s="293"/>
      <c r="N26" s="293"/>
      <c r="O26" s="293"/>
      <c r="P26" s="293"/>
      <c r="Q26" s="293"/>
      <c r="R26" s="293"/>
      <c r="S26" s="293"/>
      <c r="T26" s="293"/>
      <c r="U26" s="293"/>
    </row>
    <row r="27" spans="1:22" s="268" customFormat="1" ht="14.1" customHeight="1">
      <c r="A27" s="566"/>
      <c r="B27" s="566" t="s">
        <v>215</v>
      </c>
      <c r="C27" s="566" t="s">
        <v>74</v>
      </c>
      <c r="D27" s="566"/>
      <c r="E27" s="567"/>
      <c r="F27" s="276"/>
      <c r="G27" s="276"/>
      <c r="H27" s="276"/>
      <c r="I27" s="526">
        <v>0</v>
      </c>
      <c r="J27" s="590">
        <v>0</v>
      </c>
      <c r="K27" s="526">
        <v>0</v>
      </c>
      <c r="L27" s="526">
        <v>0</v>
      </c>
      <c r="M27" s="526">
        <v>0</v>
      </c>
      <c r="N27" s="526">
        <v>0</v>
      </c>
      <c r="O27" s="526">
        <v>0</v>
      </c>
      <c r="P27" s="276"/>
      <c r="Q27" s="276"/>
      <c r="R27" s="276"/>
      <c r="S27" s="276"/>
      <c r="T27" s="276"/>
      <c r="U27" s="276"/>
      <c r="V27" s="276"/>
    </row>
    <row r="28" spans="1:22" s="268" customFormat="1" ht="14.1" customHeight="1">
      <c r="A28" s="566"/>
      <c r="B28" s="566" t="s">
        <v>216</v>
      </c>
      <c r="C28" s="566" t="s">
        <v>74</v>
      </c>
      <c r="D28" s="566"/>
      <c r="E28" s="567"/>
      <c r="F28" s="276"/>
      <c r="G28" s="276"/>
      <c r="H28" s="276"/>
      <c r="I28" s="526">
        <v>0.77364261723836303</v>
      </c>
      <c r="J28" s="590">
        <v>0.77364261723836303</v>
      </c>
      <c r="K28" s="526">
        <v>0.73496048637644484</v>
      </c>
      <c r="L28" s="526">
        <v>0.69819471796089694</v>
      </c>
      <c r="M28" s="526">
        <v>0.66327433560481674</v>
      </c>
      <c r="N28" s="526">
        <v>0.63012836292130148</v>
      </c>
      <c r="O28" s="526">
        <v>0.59861484713654611</v>
      </c>
      <c r="P28" s="276" t="s">
        <v>520</v>
      </c>
      <c r="Q28" s="276"/>
      <c r="R28" s="276"/>
      <c r="S28" s="276"/>
      <c r="T28" s="276"/>
      <c r="U28" s="276"/>
      <c r="V28" s="276"/>
    </row>
    <row r="29" spans="1:22" s="268" customFormat="1" ht="14.1" customHeight="1">
      <c r="A29" s="566"/>
      <c r="B29" s="566" t="s">
        <v>217</v>
      </c>
      <c r="C29" s="566" t="s">
        <v>74</v>
      </c>
      <c r="D29" s="566"/>
      <c r="E29" s="567"/>
      <c r="F29" s="276"/>
      <c r="G29" s="276"/>
      <c r="H29" s="276"/>
      <c r="I29" s="526">
        <v>2.8691724642958261</v>
      </c>
      <c r="J29" s="590">
        <v>2.8691724642958261</v>
      </c>
      <c r="K29" s="526">
        <v>2.8691724642958261</v>
      </c>
      <c r="L29" s="526">
        <v>2.8691724642958261</v>
      </c>
      <c r="M29" s="526">
        <v>2.8691724642958261</v>
      </c>
      <c r="N29" s="526">
        <v>2.8691724642958261</v>
      </c>
      <c r="O29" s="526">
        <v>2.8691724642958261</v>
      </c>
      <c r="P29" s="276" t="s">
        <v>519</v>
      </c>
      <c r="Q29" s="276"/>
      <c r="R29" s="276"/>
      <c r="S29" s="276"/>
      <c r="T29" s="276"/>
      <c r="U29" s="276"/>
      <c r="V29" s="276"/>
    </row>
    <row r="30" spans="1:22" s="268" customFormat="1" ht="14.1" customHeight="1">
      <c r="A30" s="566"/>
      <c r="B30" s="566" t="s">
        <v>219</v>
      </c>
      <c r="C30" s="566" t="s">
        <v>74</v>
      </c>
      <c r="D30" s="566"/>
      <c r="E30" s="567"/>
      <c r="F30" s="276"/>
      <c r="G30" s="276"/>
      <c r="H30" s="276"/>
      <c r="I30" s="526">
        <v>1.6064999006885592</v>
      </c>
      <c r="J30" s="590">
        <v>4.6033831104343212</v>
      </c>
      <c r="K30" s="526">
        <v>5.8101691277303313</v>
      </c>
      <c r="L30" s="526">
        <v>6.2856431767472776</v>
      </c>
      <c r="M30" s="526">
        <v>6.6421486018864204</v>
      </c>
      <c r="N30" s="526">
        <v>6.8091350061673221</v>
      </c>
      <c r="O30" s="526">
        <v>6.7199198427016116</v>
      </c>
      <c r="P30" s="276" t="s">
        <v>521</v>
      </c>
      <c r="Q30" s="276"/>
      <c r="R30" s="276"/>
      <c r="S30" s="276"/>
      <c r="T30" s="276"/>
      <c r="U30" s="276"/>
      <c r="V30" s="276"/>
    </row>
    <row r="31" spans="1:22" s="268" customFormat="1" ht="14.1" customHeight="1">
      <c r="A31" s="566"/>
      <c r="B31" s="566" t="s">
        <v>220</v>
      </c>
      <c r="C31" s="566" t="s">
        <v>74</v>
      </c>
      <c r="D31" s="566"/>
      <c r="E31" s="567"/>
      <c r="F31" s="276"/>
      <c r="G31" s="276"/>
      <c r="H31" s="276"/>
      <c r="I31" s="526">
        <v>-6.74</v>
      </c>
      <c r="J31" s="590">
        <v>0</v>
      </c>
      <c r="K31" s="526">
        <v>0.485980534957627</v>
      </c>
      <c r="L31" s="526">
        <v>0.485980534957627</v>
      </c>
      <c r="M31" s="526">
        <v>0.485980534957627</v>
      </c>
      <c r="N31" s="526">
        <v>0.485980534957627</v>
      </c>
      <c r="O31" s="526">
        <v>0.485980534957627</v>
      </c>
      <c r="P31" s="276" t="s">
        <v>522</v>
      </c>
      <c r="Q31" s="276"/>
      <c r="R31" s="276"/>
      <c r="S31" s="276"/>
      <c r="T31" s="276"/>
      <c r="U31" s="276"/>
      <c r="V31" s="276"/>
    </row>
    <row r="32" spans="1:22" s="268" customFormat="1" ht="14.1" customHeight="1">
      <c r="A32" s="566"/>
      <c r="B32" s="566" t="s">
        <v>221</v>
      </c>
      <c r="C32" s="566" t="s">
        <v>74</v>
      </c>
      <c r="D32" s="566"/>
      <c r="E32" s="567"/>
      <c r="F32" s="276"/>
      <c r="G32" s="276"/>
      <c r="H32" s="276"/>
      <c r="I32" s="526">
        <v>-2.9</v>
      </c>
      <c r="J32" s="590">
        <v>0</v>
      </c>
      <c r="K32" s="526">
        <v>0</v>
      </c>
      <c r="L32" s="526">
        <v>0</v>
      </c>
      <c r="M32" s="526">
        <v>0</v>
      </c>
      <c r="N32" s="526">
        <v>0</v>
      </c>
      <c r="O32" s="526">
        <v>0</v>
      </c>
      <c r="P32" s="276" t="s">
        <v>523</v>
      </c>
      <c r="Q32" s="276"/>
      <c r="R32" s="276"/>
      <c r="S32" s="276"/>
      <c r="T32" s="276"/>
      <c r="U32" s="276"/>
      <c r="V32" s="276"/>
    </row>
    <row r="33" spans="1:28" s="268" customFormat="1" ht="14.1" customHeight="1">
      <c r="A33" s="566"/>
      <c r="B33" s="566" t="s">
        <v>222</v>
      </c>
      <c r="C33" s="566" t="s">
        <v>74</v>
      </c>
      <c r="D33" s="566"/>
      <c r="E33" s="567"/>
      <c r="F33" s="276"/>
      <c r="G33" s="276"/>
      <c r="H33" s="276"/>
      <c r="I33" s="526">
        <v>0</v>
      </c>
      <c r="J33" s="590">
        <v>0</v>
      </c>
      <c r="K33" s="526">
        <v>0</v>
      </c>
      <c r="L33" s="526">
        <v>0</v>
      </c>
      <c r="M33" s="526">
        <v>0</v>
      </c>
      <c r="N33" s="526">
        <v>0</v>
      </c>
      <c r="O33" s="526">
        <v>0</v>
      </c>
      <c r="P33" s="276" t="s">
        <v>524</v>
      </c>
      <c r="Q33" s="276"/>
      <c r="R33" s="276"/>
      <c r="S33" s="276"/>
      <c r="T33" s="276"/>
      <c r="U33" s="276"/>
      <c r="V33" s="276"/>
      <c r="W33" s="276"/>
      <c r="X33" s="276"/>
      <c r="Y33" s="276"/>
      <c r="Z33" s="276"/>
      <c r="AA33" s="276"/>
      <c r="AB33" s="276"/>
    </row>
    <row r="34" spans="1:28" s="268" customFormat="1" ht="14.1" customHeight="1">
      <c r="A34" s="566"/>
      <c r="B34" s="566" t="s">
        <v>223</v>
      </c>
      <c r="C34" s="566" t="s">
        <v>74</v>
      </c>
      <c r="D34" s="566"/>
      <c r="E34" s="567"/>
      <c r="F34" s="276"/>
      <c r="G34" s="276"/>
      <c r="H34" s="276"/>
      <c r="I34" s="526">
        <v>-0.53840353548728959</v>
      </c>
      <c r="J34" s="590">
        <v>0.90875076138770849</v>
      </c>
      <c r="K34" s="526">
        <v>4.6975933527533417E-2</v>
      </c>
      <c r="L34" s="526">
        <v>-0.2999556408898329</v>
      </c>
      <c r="M34" s="526">
        <v>0.1767071636652516</v>
      </c>
      <c r="N34" s="526">
        <v>-4.7246117229901109E-2</v>
      </c>
      <c r="O34" s="526">
        <v>-0.63475297934322528</v>
      </c>
      <c r="P34" s="276" t="s">
        <v>525</v>
      </c>
      <c r="Q34" s="276"/>
      <c r="R34" s="276"/>
      <c r="S34" s="276"/>
      <c r="T34" s="276"/>
      <c r="U34" s="276"/>
      <c r="V34" s="276"/>
    </row>
    <row r="35" spans="1:28" s="268" customFormat="1" ht="14.1" customHeight="1">
      <c r="A35" s="566"/>
      <c r="B35" s="566" t="s">
        <v>224</v>
      </c>
      <c r="C35" s="566" t="s">
        <v>74</v>
      </c>
      <c r="D35" s="566"/>
      <c r="E35" s="567"/>
      <c r="F35" s="276"/>
      <c r="G35" s="276"/>
      <c r="H35" s="276"/>
      <c r="I35" s="526">
        <v>0</v>
      </c>
      <c r="J35" s="590">
        <v>0</v>
      </c>
      <c r="K35" s="526">
        <v>0</v>
      </c>
      <c r="L35" s="526">
        <v>0</v>
      </c>
      <c r="M35" s="526">
        <v>0</v>
      </c>
      <c r="N35" s="526">
        <v>0</v>
      </c>
      <c r="O35" s="526">
        <v>0</v>
      </c>
      <c r="P35" s="276"/>
      <c r="Q35" s="276"/>
      <c r="R35" s="276"/>
      <c r="S35" s="276"/>
      <c r="T35" s="276"/>
      <c r="U35" s="276"/>
      <c r="V35" s="276"/>
      <c r="W35" s="276"/>
      <c r="X35" s="276"/>
      <c r="Y35" s="276"/>
      <c r="Z35" s="276"/>
      <c r="AA35" s="276"/>
      <c r="AB35" s="276"/>
    </row>
    <row r="36" spans="1:28" s="268" customFormat="1" ht="14.1" customHeight="1">
      <c r="A36" s="566"/>
      <c r="B36" s="566" t="s">
        <v>225</v>
      </c>
      <c r="C36" s="566" t="s">
        <v>74</v>
      </c>
      <c r="D36" s="566"/>
      <c r="E36" s="567"/>
      <c r="F36" s="276"/>
      <c r="G36" s="276"/>
      <c r="H36" s="276"/>
      <c r="I36" s="526">
        <v>0</v>
      </c>
      <c r="J36" s="590">
        <v>0</v>
      </c>
      <c r="K36" s="526">
        <v>0</v>
      </c>
      <c r="L36" s="526">
        <v>0</v>
      </c>
      <c r="M36" s="526">
        <v>0</v>
      </c>
      <c r="N36" s="526">
        <v>0</v>
      </c>
      <c r="O36" s="526">
        <v>0</v>
      </c>
      <c r="P36" s="276"/>
      <c r="Q36" s="276"/>
      <c r="R36" s="276"/>
      <c r="S36" s="276"/>
      <c r="T36" s="276"/>
      <c r="U36" s="276"/>
      <c r="V36" s="276"/>
    </row>
    <row r="37" spans="1:28" s="268" customFormat="1" ht="14.1" customHeight="1">
      <c r="A37" s="566"/>
      <c r="B37" s="566" t="s">
        <v>226</v>
      </c>
      <c r="C37" s="566" t="s">
        <v>74</v>
      </c>
      <c r="D37" s="566"/>
      <c r="E37" s="567"/>
      <c r="F37" s="276"/>
      <c r="G37" s="276"/>
      <c r="H37" s="276"/>
      <c r="I37" s="526">
        <v>0</v>
      </c>
      <c r="J37" s="590">
        <v>0</v>
      </c>
      <c r="K37" s="526">
        <v>0</v>
      </c>
      <c r="L37" s="526">
        <v>0</v>
      </c>
      <c r="M37" s="526">
        <v>0</v>
      </c>
      <c r="N37" s="526">
        <v>0</v>
      </c>
      <c r="O37" s="526">
        <v>0</v>
      </c>
      <c r="P37" s="276"/>
      <c r="Q37" s="276"/>
      <c r="R37" s="276"/>
      <c r="S37" s="276"/>
      <c r="T37" s="276"/>
      <c r="U37" s="276"/>
      <c r="V37" s="276"/>
    </row>
    <row r="38" spans="1:28" s="268" customFormat="1" ht="14.1" customHeight="1">
      <c r="A38" s="566"/>
      <c r="B38" s="566" t="s">
        <v>227</v>
      </c>
      <c r="C38" s="566" t="s">
        <v>74</v>
      </c>
      <c r="D38" s="566"/>
      <c r="E38" s="567"/>
      <c r="F38" s="276"/>
      <c r="G38" s="276"/>
      <c r="H38" s="276"/>
      <c r="I38" s="526">
        <v>0</v>
      </c>
      <c r="J38" s="590">
        <v>0</v>
      </c>
      <c r="K38" s="526">
        <v>0</v>
      </c>
      <c r="L38" s="526">
        <v>0</v>
      </c>
      <c r="M38" s="526">
        <v>0</v>
      </c>
      <c r="N38" s="526">
        <v>0</v>
      </c>
      <c r="O38" s="526">
        <v>0</v>
      </c>
      <c r="P38" s="276"/>
      <c r="Q38" s="276"/>
      <c r="R38" s="276"/>
      <c r="S38" s="276"/>
      <c r="T38" s="276"/>
      <c r="U38" s="276"/>
      <c r="V38" s="276"/>
    </row>
    <row r="39" spans="1:28" s="268" customFormat="1" ht="14.1" customHeight="1">
      <c r="A39" s="566"/>
      <c r="B39" s="566" t="s">
        <v>228</v>
      </c>
      <c r="C39" s="566" t="s">
        <v>74</v>
      </c>
      <c r="D39" s="566"/>
      <c r="E39" s="567"/>
      <c r="F39" s="276"/>
      <c r="G39" s="276"/>
      <c r="H39" s="276"/>
      <c r="I39" s="526">
        <v>8.9999999999999993E-3</v>
      </c>
      <c r="J39" s="590">
        <v>1.6E-2</v>
      </c>
      <c r="K39" s="526">
        <v>0.128</v>
      </c>
      <c r="L39" s="526">
        <v>0.127</v>
      </c>
      <c r="M39" s="526">
        <v>0.158</v>
      </c>
      <c r="N39" s="526">
        <v>0.16199999999999998</v>
      </c>
      <c r="O39" s="526">
        <v>0.16799999999999998</v>
      </c>
      <c r="P39" s="276" t="s">
        <v>526</v>
      </c>
      <c r="Q39" s="276"/>
      <c r="R39" s="276"/>
      <c r="S39" s="276"/>
      <c r="T39" s="276"/>
      <c r="U39" s="276"/>
      <c r="V39" s="276"/>
    </row>
    <row r="40" spans="1:28" s="268" customFormat="1" ht="14.1" customHeight="1">
      <c r="A40" s="566"/>
      <c r="B40" s="566" t="s">
        <v>229</v>
      </c>
      <c r="C40" s="566" t="s">
        <v>74</v>
      </c>
      <c r="D40" s="566"/>
      <c r="E40" s="567"/>
      <c r="F40" s="276"/>
      <c r="G40" s="276"/>
      <c r="H40" s="276"/>
      <c r="I40" s="526">
        <v>0</v>
      </c>
      <c r="J40" s="590">
        <v>0</v>
      </c>
      <c r="K40" s="526">
        <v>0</v>
      </c>
      <c r="L40" s="526">
        <v>0</v>
      </c>
      <c r="M40" s="526">
        <v>0</v>
      </c>
      <c r="N40" s="526">
        <v>0</v>
      </c>
      <c r="O40" s="526">
        <v>0</v>
      </c>
      <c r="P40" s="276"/>
      <c r="Q40" s="276"/>
      <c r="R40" s="276"/>
      <c r="S40" s="276"/>
      <c r="T40" s="276"/>
      <c r="U40" s="276"/>
      <c r="V40" s="276"/>
    </row>
    <row r="41" spans="1:28" s="268" customFormat="1" ht="14.1" customHeight="1">
      <c r="A41" s="566"/>
      <c r="B41" s="566" t="s">
        <v>230</v>
      </c>
      <c r="C41" s="566" t="s">
        <v>74</v>
      </c>
      <c r="D41" s="566"/>
      <c r="E41" s="567"/>
      <c r="F41" s="276"/>
      <c r="G41" s="276"/>
      <c r="H41" s="276"/>
      <c r="I41" s="526">
        <v>0</v>
      </c>
      <c r="J41" s="590">
        <v>4.2000000000000003E-2</v>
      </c>
      <c r="K41" s="526">
        <v>8.3000000000000004E-2</v>
      </c>
      <c r="L41" s="526">
        <v>0.121</v>
      </c>
      <c r="M41" s="526">
        <v>0.159</v>
      </c>
      <c r="N41" s="526">
        <v>0.192</v>
      </c>
      <c r="O41" s="526">
        <v>0.222</v>
      </c>
      <c r="P41" s="276" t="s">
        <v>527</v>
      </c>
      <c r="Q41" s="276"/>
      <c r="R41" s="276"/>
      <c r="S41" s="276"/>
      <c r="T41" s="276"/>
      <c r="U41" s="347"/>
      <c r="V41" s="276"/>
    </row>
    <row r="42" spans="1:28" s="268" customFormat="1" ht="14.1" customHeight="1">
      <c r="A42" s="566"/>
      <c r="B42" s="566" t="s">
        <v>231</v>
      </c>
      <c r="C42" s="566" t="s">
        <v>74</v>
      </c>
      <c r="D42" s="566"/>
      <c r="E42" s="567"/>
      <c r="F42" s="276"/>
      <c r="G42" s="276"/>
      <c r="H42" s="276"/>
      <c r="I42" s="526">
        <v>0</v>
      </c>
      <c r="J42" s="590">
        <v>0</v>
      </c>
      <c r="K42" s="526">
        <v>0</v>
      </c>
      <c r="L42" s="526">
        <v>0</v>
      </c>
      <c r="M42" s="526">
        <v>0</v>
      </c>
      <c r="N42" s="526">
        <v>0</v>
      </c>
      <c r="O42" s="526">
        <v>0</v>
      </c>
      <c r="P42" s="276"/>
      <c r="Q42" s="276"/>
      <c r="R42" s="276"/>
      <c r="S42" s="276"/>
      <c r="T42" s="276"/>
      <c r="U42" s="276"/>
      <c r="V42" s="276"/>
    </row>
    <row r="43" spans="1:28" s="268" customFormat="1" ht="14.1" customHeight="1">
      <c r="A43" s="566"/>
      <c r="B43" s="566" t="s">
        <v>232</v>
      </c>
      <c r="C43" s="566" t="s">
        <v>74</v>
      </c>
      <c r="D43" s="566"/>
      <c r="E43" s="567"/>
      <c r="F43" s="276"/>
      <c r="G43" s="276"/>
      <c r="H43" s="276"/>
      <c r="I43" s="526">
        <v>-2.4E-2</v>
      </c>
      <c r="J43" s="590">
        <v>-2.4E-2</v>
      </c>
      <c r="K43" s="526">
        <v>-2.4E-2</v>
      </c>
      <c r="L43" s="526">
        <v>-2.4E-2</v>
      </c>
      <c r="M43" s="526">
        <v>-2.4E-2</v>
      </c>
      <c r="N43" s="526">
        <v>-2.4E-2</v>
      </c>
      <c r="O43" s="526">
        <v>-2.4E-2</v>
      </c>
      <c r="P43" s="276" t="s">
        <v>528</v>
      </c>
      <c r="Q43" s="276"/>
      <c r="R43" s="276"/>
      <c r="S43" s="276"/>
      <c r="T43" s="276"/>
      <c r="U43" s="276"/>
      <c r="V43" s="276"/>
    </row>
    <row r="44" spans="1:28" s="268" customFormat="1" ht="14.1" customHeight="1">
      <c r="A44" s="566"/>
      <c r="B44" s="566" t="s">
        <v>254</v>
      </c>
      <c r="C44" s="566" t="s">
        <v>74</v>
      </c>
      <c r="D44" s="566"/>
      <c r="E44" s="567"/>
      <c r="F44" s="276"/>
      <c r="G44" s="347"/>
      <c r="H44" s="276"/>
      <c r="I44" s="526">
        <v>3.8872999999999998E-2</v>
      </c>
      <c r="J44" s="590">
        <v>0</v>
      </c>
      <c r="K44" s="526">
        <v>3.5999999999999997E-2</v>
      </c>
      <c r="L44" s="526">
        <v>3.5999999999999997E-2</v>
      </c>
      <c r="M44" s="526">
        <v>3.5999999999999997E-2</v>
      </c>
      <c r="N44" s="526">
        <v>3.5999999999999997E-2</v>
      </c>
      <c r="O44" s="526">
        <v>3.5999999999999997E-2</v>
      </c>
      <c r="P44" s="276" t="s">
        <v>529</v>
      </c>
      <c r="Q44" s="276"/>
      <c r="R44" s="276"/>
      <c r="S44" s="276"/>
      <c r="T44" s="276"/>
      <c r="U44" s="276"/>
      <c r="V44" s="276"/>
    </row>
    <row r="45" spans="1:28" s="268" customFormat="1" ht="14.1" customHeight="1">
      <c r="A45" s="566"/>
      <c r="B45" s="566"/>
      <c r="C45" s="566"/>
      <c r="D45" s="566"/>
      <c r="E45" s="567"/>
      <c r="F45" s="276"/>
      <c r="G45" s="276"/>
      <c r="H45" s="276"/>
      <c r="I45" s="276"/>
      <c r="J45" s="286"/>
      <c r="K45" s="276"/>
      <c r="L45" s="276"/>
      <c r="M45" s="276"/>
      <c r="N45" s="276"/>
      <c r="O45" s="276"/>
      <c r="P45" s="276"/>
      <c r="Q45" s="276"/>
      <c r="R45" s="276"/>
      <c r="S45" s="276"/>
      <c r="T45" s="276"/>
      <c r="U45" s="276"/>
      <c r="V45" s="276"/>
    </row>
    <row r="46" spans="1:28" s="291" customFormat="1" ht="14.1" customHeight="1">
      <c r="A46" s="293" t="s">
        <v>428</v>
      </c>
      <c r="B46" s="579"/>
      <c r="C46" s="579"/>
      <c r="D46" s="579"/>
      <c r="E46" s="293" t="s">
        <v>308</v>
      </c>
      <c r="F46" s="289"/>
      <c r="G46" s="289"/>
      <c r="H46" s="289"/>
      <c r="I46" s="289"/>
      <c r="J46" s="290"/>
      <c r="K46" s="289"/>
      <c r="L46" s="289"/>
      <c r="M46" s="289"/>
      <c r="N46" s="289"/>
      <c r="O46" s="289"/>
      <c r="P46" s="289"/>
      <c r="Q46" s="289"/>
      <c r="R46" s="289"/>
      <c r="S46" s="289"/>
      <c r="T46" s="289"/>
      <c r="U46" s="289"/>
    </row>
    <row r="47" spans="1:28" s="268" customFormat="1" ht="14.1" customHeight="1">
      <c r="A47" s="566"/>
      <c r="B47" s="566" t="s">
        <v>215</v>
      </c>
      <c r="C47" s="566" t="s">
        <v>250</v>
      </c>
      <c r="D47" s="566"/>
      <c r="E47" s="567"/>
      <c r="F47" s="345">
        <v>1.6662399999999999</v>
      </c>
      <c r="G47" s="345">
        <v>1.7445600000000001</v>
      </c>
      <c r="H47" s="345">
        <v>1.728</v>
      </c>
      <c r="I47" s="345">
        <v>1.72348213421129</v>
      </c>
      <c r="J47" s="346">
        <v>1.7193090539831799</v>
      </c>
      <c r="K47" s="345">
        <v>1.7176018468827143</v>
      </c>
      <c r="L47" s="345">
        <v>1.7176018468827143</v>
      </c>
      <c r="M47" s="345">
        <v>1.7176018468827143</v>
      </c>
      <c r="N47" s="345">
        <v>1.7176018468827143</v>
      </c>
      <c r="O47" s="345">
        <v>1.7176018468827143</v>
      </c>
      <c r="P47" s="276" t="s">
        <v>307</v>
      </c>
      <c r="Q47" s="276"/>
      <c r="R47" s="276"/>
      <c r="S47" s="276"/>
      <c r="T47" s="276"/>
      <c r="U47" s="276"/>
      <c r="V47" s="276"/>
    </row>
    <row r="48" spans="1:28" s="268" customFormat="1" ht="14.1" customHeight="1">
      <c r="A48" s="566"/>
      <c r="B48" s="566"/>
      <c r="C48" s="566" t="s">
        <v>450</v>
      </c>
      <c r="D48" s="566"/>
      <c r="E48" s="567" t="s">
        <v>244</v>
      </c>
      <c r="F48" s="345">
        <v>0</v>
      </c>
      <c r="G48" s="345">
        <v>0</v>
      </c>
      <c r="H48" s="345">
        <v>0</v>
      </c>
      <c r="I48" s="345">
        <v>0</v>
      </c>
      <c r="J48" s="346">
        <v>0</v>
      </c>
      <c r="K48" s="345">
        <v>0</v>
      </c>
      <c r="L48" s="345">
        <v>0</v>
      </c>
      <c r="M48" s="345">
        <v>0</v>
      </c>
      <c r="N48" s="345">
        <v>0</v>
      </c>
      <c r="O48" s="345">
        <v>0</v>
      </c>
      <c r="P48" s="276"/>
      <c r="Q48" s="276"/>
      <c r="R48" s="276"/>
      <c r="S48" s="276"/>
      <c r="T48" s="276"/>
      <c r="U48" s="276"/>
      <c r="V48" s="276"/>
    </row>
    <row r="49" spans="1:22" s="268" customFormat="1" ht="14.1" customHeight="1">
      <c r="A49" s="566"/>
      <c r="B49" s="566"/>
      <c r="C49" s="566" t="s">
        <v>247</v>
      </c>
      <c r="D49" s="566"/>
      <c r="E49" s="567" t="s">
        <v>244</v>
      </c>
      <c r="F49" s="345">
        <v>0</v>
      </c>
      <c r="G49" s="345">
        <v>0</v>
      </c>
      <c r="H49" s="345">
        <v>0</v>
      </c>
      <c r="I49" s="345">
        <v>0</v>
      </c>
      <c r="J49" s="346">
        <v>0</v>
      </c>
      <c r="K49" s="345">
        <v>0</v>
      </c>
      <c r="L49" s="345">
        <v>0</v>
      </c>
      <c r="M49" s="345">
        <v>0</v>
      </c>
      <c r="N49" s="345">
        <v>0</v>
      </c>
      <c r="O49" s="345">
        <v>0</v>
      </c>
      <c r="P49" s="276"/>
      <c r="Q49" s="276"/>
      <c r="R49" s="276"/>
      <c r="S49" s="276"/>
      <c r="T49" s="276"/>
      <c r="U49" s="276"/>
      <c r="V49" s="276"/>
    </row>
    <row r="50" spans="1:22" s="268" customFormat="1" ht="14.1" customHeight="1">
      <c r="A50" s="566"/>
      <c r="B50" s="566"/>
      <c r="C50" s="566" t="s">
        <v>248</v>
      </c>
      <c r="D50" s="566"/>
      <c r="E50" s="567" t="s">
        <v>244</v>
      </c>
      <c r="F50" s="345">
        <v>0</v>
      </c>
      <c r="G50" s="345">
        <v>0</v>
      </c>
      <c r="H50" s="345">
        <v>0</v>
      </c>
      <c r="I50" s="345">
        <v>0</v>
      </c>
      <c r="J50" s="346">
        <v>0</v>
      </c>
      <c r="K50" s="345">
        <v>0</v>
      </c>
      <c r="L50" s="345">
        <v>0</v>
      </c>
      <c r="M50" s="345">
        <v>0</v>
      </c>
      <c r="N50" s="345">
        <v>0</v>
      </c>
      <c r="O50" s="345">
        <v>0</v>
      </c>
      <c r="P50" s="276"/>
      <c r="Q50" s="276"/>
      <c r="R50" s="276"/>
      <c r="S50" s="276"/>
      <c r="T50" s="276"/>
      <c r="U50" s="276"/>
      <c r="V50" s="276"/>
    </row>
    <row r="51" spans="1:22" s="268" customFormat="1" ht="14.1" customHeight="1">
      <c r="A51" s="566"/>
      <c r="B51" s="566"/>
      <c r="C51" s="566"/>
      <c r="D51" s="566"/>
      <c r="E51" s="567"/>
      <c r="F51" s="345"/>
      <c r="G51" s="345"/>
      <c r="H51" s="345"/>
      <c r="I51" s="345"/>
      <c r="J51" s="346"/>
      <c r="K51" s="345"/>
      <c r="L51" s="345"/>
      <c r="M51" s="345"/>
      <c r="N51" s="345"/>
      <c r="O51" s="345"/>
      <c r="P51" s="276"/>
      <c r="Q51" s="276"/>
      <c r="R51" s="276"/>
      <c r="S51" s="276"/>
      <c r="T51" s="276"/>
      <c r="U51" s="276"/>
      <c r="V51" s="276"/>
    </row>
    <row r="52" spans="1:22" s="268" customFormat="1" ht="14.1" customHeight="1">
      <c r="A52" s="566"/>
      <c r="B52" s="566"/>
      <c r="C52" s="566"/>
      <c r="D52" s="566"/>
      <c r="E52" s="567"/>
      <c r="F52" s="345"/>
      <c r="G52" s="345"/>
      <c r="H52" s="345"/>
      <c r="I52" s="345"/>
      <c r="J52" s="346"/>
      <c r="K52" s="345"/>
      <c r="L52" s="345"/>
      <c r="M52" s="345"/>
      <c r="N52" s="345"/>
      <c r="O52" s="345"/>
      <c r="P52" s="276"/>
      <c r="Q52" s="276"/>
      <c r="R52" s="276"/>
      <c r="S52" s="276"/>
      <c r="T52" s="276"/>
      <c r="U52" s="276"/>
      <c r="V52" s="276"/>
    </row>
    <row r="53" spans="1:22" s="268" customFormat="1" ht="14.1" customHeight="1">
      <c r="A53" s="566"/>
      <c r="B53" s="566" t="s">
        <v>216</v>
      </c>
      <c r="C53" s="566" t="s">
        <v>250</v>
      </c>
      <c r="D53" s="566"/>
      <c r="E53" s="567"/>
      <c r="F53" s="345">
        <v>0.11700000000000001</v>
      </c>
      <c r="G53" s="345">
        <v>0.22800000000000001</v>
      </c>
      <c r="H53" s="345">
        <v>0.108</v>
      </c>
      <c r="I53" s="345">
        <v>0.185</v>
      </c>
      <c r="J53" s="346">
        <v>0.185</v>
      </c>
      <c r="K53" s="345">
        <v>0.10183076796032899</v>
      </c>
      <c r="L53" s="345">
        <v>0.10183076796032899</v>
      </c>
      <c r="M53" s="345">
        <v>0.10183076796032899</v>
      </c>
      <c r="N53" s="345">
        <v>0.10183076796032899</v>
      </c>
      <c r="O53" s="345">
        <v>0.10183076796032899</v>
      </c>
      <c r="P53" s="276" t="s">
        <v>307</v>
      </c>
      <c r="Q53" s="276"/>
      <c r="R53" s="276"/>
      <c r="S53" s="276"/>
      <c r="T53" s="276"/>
      <c r="U53" s="276"/>
      <c r="V53" s="276"/>
    </row>
    <row r="54" spans="1:22" s="268" customFormat="1" ht="14.1" customHeight="1">
      <c r="A54" s="566"/>
      <c r="B54" s="566"/>
      <c r="C54" s="566" t="s">
        <v>450</v>
      </c>
      <c r="D54" s="566"/>
      <c r="E54" s="567" t="s">
        <v>244</v>
      </c>
      <c r="F54" s="345">
        <v>0</v>
      </c>
      <c r="G54" s="345">
        <v>0</v>
      </c>
      <c r="H54" s="345">
        <v>0</v>
      </c>
      <c r="I54" s="345">
        <v>0</v>
      </c>
      <c r="J54" s="346">
        <v>1.5177702167471301</v>
      </c>
      <c r="K54" s="345">
        <v>1.5177702167471301</v>
      </c>
      <c r="L54" s="345">
        <v>1.5177702167471301</v>
      </c>
      <c r="M54" s="345">
        <v>1.5177702167471301</v>
      </c>
      <c r="N54" s="345">
        <v>1.5177702167471301</v>
      </c>
      <c r="O54" s="345">
        <v>1.5177702167471301</v>
      </c>
      <c r="P54" s="276" t="s">
        <v>531</v>
      </c>
      <c r="Q54" s="276"/>
      <c r="R54" s="276"/>
      <c r="S54" s="276"/>
      <c r="T54" s="276"/>
      <c r="U54" s="276"/>
      <c r="V54" s="276" t="s">
        <v>498</v>
      </c>
    </row>
    <row r="55" spans="1:22" s="268" customFormat="1" ht="14.1" customHeight="1">
      <c r="A55" s="566"/>
      <c r="B55" s="566"/>
      <c r="C55" s="566" t="s">
        <v>247</v>
      </c>
      <c r="D55" s="566"/>
      <c r="E55" s="567" t="s">
        <v>303</v>
      </c>
      <c r="F55" s="345">
        <v>0</v>
      </c>
      <c r="G55" s="345">
        <v>0</v>
      </c>
      <c r="H55" s="345">
        <v>0</v>
      </c>
      <c r="I55" s="345">
        <v>10.126242313445239</v>
      </c>
      <c r="J55" s="346">
        <v>10.126242313445239</v>
      </c>
      <c r="K55" s="345">
        <v>9.6199301977729768</v>
      </c>
      <c r="L55" s="345">
        <v>9.1394073458534137</v>
      </c>
      <c r="M55" s="345">
        <v>8.681679125810204</v>
      </c>
      <c r="N55" s="345">
        <v>8.247595169519693</v>
      </c>
      <c r="O55" s="345">
        <v>7.8352154110437082</v>
      </c>
      <c r="P55" s="276" t="s">
        <v>499</v>
      </c>
      <c r="Q55" s="276"/>
      <c r="R55" s="276"/>
      <c r="S55" s="276"/>
      <c r="T55" s="276"/>
      <c r="U55" s="276"/>
      <c r="V55" s="276"/>
    </row>
    <row r="56" spans="1:22" s="268" customFormat="1" ht="14.1" customHeight="1">
      <c r="A56" s="566"/>
      <c r="B56" s="566"/>
      <c r="C56" s="566" t="s">
        <v>248</v>
      </c>
      <c r="D56" s="566"/>
      <c r="E56" s="567" t="s">
        <v>244</v>
      </c>
      <c r="F56" s="345">
        <v>0</v>
      </c>
      <c r="G56" s="345">
        <v>0</v>
      </c>
      <c r="H56" s="345">
        <v>0</v>
      </c>
      <c r="I56" s="345">
        <v>0</v>
      </c>
      <c r="J56" s="346">
        <v>0</v>
      </c>
      <c r="K56" s="345">
        <v>0</v>
      </c>
      <c r="L56" s="345">
        <v>0</v>
      </c>
      <c r="M56" s="345">
        <v>0</v>
      </c>
      <c r="N56" s="345">
        <v>0</v>
      </c>
      <c r="O56" s="345">
        <v>0</v>
      </c>
      <c r="P56" s="276"/>
      <c r="Q56" s="276"/>
      <c r="R56" s="276"/>
      <c r="S56" s="276"/>
      <c r="T56" s="276"/>
      <c r="U56" s="276"/>
      <c r="V56" s="276"/>
    </row>
    <row r="57" spans="1:22" s="268" customFormat="1" ht="14.1" customHeight="1">
      <c r="A57" s="566"/>
      <c r="B57" s="566"/>
      <c r="C57" s="566"/>
      <c r="D57" s="566"/>
      <c r="E57" s="567"/>
      <c r="F57" s="345"/>
      <c r="G57" s="345"/>
      <c r="H57" s="345"/>
      <c r="I57" s="345"/>
      <c r="J57" s="346"/>
      <c r="K57" s="345"/>
      <c r="L57" s="345"/>
      <c r="M57" s="345"/>
      <c r="N57" s="345"/>
      <c r="O57" s="345"/>
      <c r="P57" s="276"/>
      <c r="Q57" s="276"/>
      <c r="R57" s="276"/>
      <c r="S57" s="276"/>
      <c r="T57" s="276"/>
      <c r="U57" s="276"/>
      <c r="V57" s="276"/>
    </row>
    <row r="58" spans="1:22" s="268" customFormat="1" ht="14.1" customHeight="1">
      <c r="A58" s="566"/>
      <c r="B58" s="566"/>
      <c r="C58" s="566"/>
      <c r="D58" s="566"/>
      <c r="E58" s="567"/>
      <c r="F58" s="345"/>
      <c r="G58" s="345"/>
      <c r="H58" s="345"/>
      <c r="I58" s="345"/>
      <c r="J58" s="346"/>
      <c r="K58" s="345"/>
      <c r="L58" s="345"/>
      <c r="M58" s="345"/>
      <c r="N58" s="345"/>
      <c r="O58" s="345"/>
      <c r="P58" s="276"/>
      <c r="Q58" s="276"/>
      <c r="R58" s="276"/>
      <c r="S58" s="276"/>
      <c r="T58" s="276"/>
      <c r="U58" s="276"/>
      <c r="V58" s="276"/>
    </row>
    <row r="59" spans="1:22" s="268" customFormat="1" ht="14.1" customHeight="1">
      <c r="A59" s="566"/>
      <c r="B59" s="566" t="s">
        <v>217</v>
      </c>
      <c r="C59" s="566" t="s">
        <v>250</v>
      </c>
      <c r="D59" s="566"/>
      <c r="E59" s="567"/>
      <c r="F59" s="345">
        <v>0</v>
      </c>
      <c r="G59" s="345">
        <v>0</v>
      </c>
      <c r="H59" s="345">
        <v>0</v>
      </c>
      <c r="I59" s="345">
        <v>0</v>
      </c>
      <c r="J59" s="346">
        <v>0</v>
      </c>
      <c r="K59" s="345">
        <v>0.54593144073919198</v>
      </c>
      <c r="L59" s="345">
        <v>0.54593144073919198</v>
      </c>
      <c r="M59" s="345">
        <v>0.54593144073919198</v>
      </c>
      <c r="N59" s="345">
        <v>0.54593144073919198</v>
      </c>
      <c r="O59" s="345">
        <v>0.54593144073919198</v>
      </c>
      <c r="P59" s="276" t="s">
        <v>307</v>
      </c>
      <c r="Q59" s="276"/>
      <c r="R59" s="276"/>
      <c r="S59" s="276"/>
      <c r="T59" s="276"/>
      <c r="U59" s="276"/>
      <c r="V59" s="276"/>
    </row>
    <row r="60" spans="1:22" s="268" customFormat="1" ht="14.1" customHeight="1">
      <c r="A60" s="566"/>
      <c r="B60" s="566"/>
      <c r="C60" s="566" t="s">
        <v>450</v>
      </c>
      <c r="D60" s="566"/>
      <c r="E60" s="567" t="s">
        <v>244</v>
      </c>
      <c r="F60" s="345">
        <v>0</v>
      </c>
      <c r="G60" s="345">
        <v>0</v>
      </c>
      <c r="H60" s="345">
        <v>0</v>
      </c>
      <c r="I60" s="345">
        <v>0</v>
      </c>
      <c r="J60" s="346">
        <v>0</v>
      </c>
      <c r="K60" s="345">
        <v>0</v>
      </c>
      <c r="L60" s="345">
        <v>0</v>
      </c>
      <c r="M60" s="345">
        <v>0</v>
      </c>
      <c r="N60" s="345">
        <v>0</v>
      </c>
      <c r="O60" s="345">
        <v>0</v>
      </c>
      <c r="P60" s="276"/>
      <c r="Q60" s="276"/>
      <c r="R60" s="276"/>
      <c r="S60" s="276"/>
      <c r="T60" s="276"/>
      <c r="U60" s="276"/>
      <c r="V60" s="276"/>
    </row>
    <row r="61" spans="1:22" s="268" customFormat="1" ht="14.1" customHeight="1">
      <c r="A61" s="566"/>
      <c r="B61" s="566"/>
      <c r="C61" s="566" t="s">
        <v>247</v>
      </c>
      <c r="D61" s="566"/>
      <c r="E61" s="567" t="s">
        <v>303</v>
      </c>
      <c r="F61" s="345">
        <v>0</v>
      </c>
      <c r="G61" s="345">
        <v>0</v>
      </c>
      <c r="H61" s="345">
        <v>3.0130793167372873</v>
      </c>
      <c r="I61" s="345">
        <v>3.0130793167372873</v>
      </c>
      <c r="J61" s="346">
        <v>3.0130793167372873</v>
      </c>
      <c r="K61" s="345">
        <v>3.0130793167372873</v>
      </c>
      <c r="L61" s="345">
        <v>3.0130793167372873</v>
      </c>
      <c r="M61" s="345">
        <v>3.0130793167372873</v>
      </c>
      <c r="N61" s="345">
        <v>3.0130793167372873</v>
      </c>
      <c r="O61" s="345">
        <v>3.0130793167372873</v>
      </c>
      <c r="P61" s="276" t="s">
        <v>534</v>
      </c>
      <c r="Q61" s="276"/>
      <c r="R61" s="276"/>
      <c r="S61" s="276"/>
      <c r="T61" s="276"/>
      <c r="U61" s="276"/>
      <c r="V61" s="276" t="s">
        <v>506</v>
      </c>
    </row>
    <row r="62" spans="1:22" s="268" customFormat="1" ht="14.1" customHeight="1">
      <c r="A62" s="566"/>
      <c r="B62" s="566"/>
      <c r="C62" s="566" t="s">
        <v>248</v>
      </c>
      <c r="D62" s="566"/>
      <c r="E62" s="567" t="s">
        <v>244</v>
      </c>
      <c r="F62" s="345">
        <v>0</v>
      </c>
      <c r="G62" s="345">
        <v>0</v>
      </c>
      <c r="H62" s="345">
        <v>0</v>
      </c>
      <c r="I62" s="345">
        <v>0</v>
      </c>
      <c r="J62" s="346">
        <v>0</v>
      </c>
      <c r="K62" s="345">
        <v>0</v>
      </c>
      <c r="L62" s="345">
        <v>0</v>
      </c>
      <c r="M62" s="345">
        <v>0</v>
      </c>
      <c r="N62" s="345">
        <v>0</v>
      </c>
      <c r="O62" s="345">
        <v>0</v>
      </c>
      <c r="P62" s="276"/>
      <c r="Q62" s="276"/>
      <c r="R62" s="276"/>
      <c r="S62" s="276"/>
      <c r="T62" s="276"/>
      <c r="U62" s="276"/>
      <c r="V62" s="276"/>
    </row>
    <row r="63" spans="1:22" s="268" customFormat="1" ht="14.1" customHeight="1">
      <c r="A63" s="566"/>
      <c r="B63" s="566"/>
      <c r="C63" s="566"/>
      <c r="D63" s="566"/>
      <c r="E63" s="567"/>
      <c r="F63" s="345"/>
      <c r="G63" s="345"/>
      <c r="H63" s="345"/>
      <c r="I63" s="345"/>
      <c r="J63" s="346"/>
      <c r="K63" s="345"/>
      <c r="L63" s="345"/>
      <c r="M63" s="345"/>
      <c r="N63" s="345"/>
      <c r="O63" s="345"/>
      <c r="P63" s="276"/>
      <c r="Q63" s="276"/>
      <c r="R63" s="276"/>
      <c r="S63" s="276"/>
      <c r="T63" s="276"/>
      <c r="U63" s="276"/>
      <c r="V63" s="276"/>
    </row>
    <row r="64" spans="1:22" s="268" customFormat="1" ht="14.1" customHeight="1">
      <c r="A64" s="566"/>
      <c r="B64" s="566"/>
      <c r="C64" s="566"/>
      <c r="D64" s="566"/>
      <c r="E64" s="567"/>
      <c r="F64" s="345"/>
      <c r="G64" s="345"/>
      <c r="H64" s="345"/>
      <c r="I64" s="345"/>
      <c r="J64" s="346"/>
      <c r="K64" s="345"/>
      <c r="L64" s="345"/>
      <c r="M64" s="345"/>
      <c r="N64" s="345"/>
      <c r="O64" s="345"/>
      <c r="P64" s="276"/>
      <c r="Q64" s="276"/>
      <c r="R64" s="276"/>
      <c r="S64" s="276"/>
      <c r="T64" s="276"/>
      <c r="U64" s="276"/>
      <c r="V64" s="276"/>
    </row>
    <row r="65" spans="1:22" s="268" customFormat="1" ht="14.1" customHeight="1">
      <c r="A65" s="566"/>
      <c r="B65" s="566" t="s">
        <v>219</v>
      </c>
      <c r="C65" s="566" t="s">
        <v>250</v>
      </c>
      <c r="D65" s="566"/>
      <c r="E65" s="567"/>
      <c r="F65" s="345">
        <v>0.77063786690249603</v>
      </c>
      <c r="G65" s="345">
        <v>0.76421706704320502</v>
      </c>
      <c r="H65" s="345">
        <v>0.75785696421428905</v>
      </c>
      <c r="I65" s="345">
        <v>0.75155692918620498</v>
      </c>
      <c r="J65" s="346">
        <v>0.74531633962882005</v>
      </c>
      <c r="K65" s="345">
        <v>0.78641324815506974</v>
      </c>
      <c r="L65" s="345">
        <v>0.78641324815506974</v>
      </c>
      <c r="M65" s="345">
        <v>0.78641324815506974</v>
      </c>
      <c r="N65" s="345">
        <v>0.78641324815506974</v>
      </c>
      <c r="O65" s="345">
        <v>0.78641324815506974</v>
      </c>
      <c r="P65" s="276" t="s">
        <v>307</v>
      </c>
      <c r="Q65" s="276"/>
      <c r="R65" s="276"/>
      <c r="S65" s="276"/>
      <c r="T65" s="276"/>
      <c r="U65" s="276"/>
      <c r="V65" s="276"/>
    </row>
    <row r="66" spans="1:22" s="268" customFormat="1" ht="14.1" customHeight="1">
      <c r="A66" s="566"/>
      <c r="B66" s="566"/>
      <c r="C66" s="566" t="s">
        <v>450</v>
      </c>
      <c r="D66" s="566"/>
      <c r="E66" s="567" t="s">
        <v>244</v>
      </c>
      <c r="F66" s="345">
        <v>0</v>
      </c>
      <c r="G66" s="345">
        <v>0</v>
      </c>
      <c r="H66" s="345">
        <v>0</v>
      </c>
      <c r="I66" s="345">
        <v>0</v>
      </c>
      <c r="J66" s="346">
        <v>0.32500000000000001</v>
      </c>
      <c r="K66" s="345">
        <v>0.4249516922763128</v>
      </c>
      <c r="L66" s="345">
        <v>0.8804052459728382</v>
      </c>
      <c r="M66" s="345">
        <v>1.9726393433785994</v>
      </c>
      <c r="N66" s="345">
        <v>3.051275911640456</v>
      </c>
      <c r="O66" s="345">
        <v>4.5491575156053337</v>
      </c>
      <c r="P66" s="268" t="s">
        <v>500</v>
      </c>
      <c r="Q66" s="276"/>
      <c r="R66" s="276"/>
      <c r="S66" s="276"/>
      <c r="T66" s="276"/>
      <c r="U66" s="276"/>
      <c r="V66" s="276"/>
    </row>
    <row r="67" spans="1:22" s="268" customFormat="1" ht="14.1" customHeight="1">
      <c r="A67" s="566"/>
      <c r="B67" s="566"/>
      <c r="C67" s="566" t="s">
        <v>247</v>
      </c>
      <c r="D67" s="566"/>
      <c r="E67" s="567" t="s">
        <v>244</v>
      </c>
      <c r="F67" s="345">
        <v>0</v>
      </c>
      <c r="G67" s="345">
        <v>0</v>
      </c>
      <c r="H67" s="345">
        <v>0</v>
      </c>
      <c r="I67" s="345">
        <v>0</v>
      </c>
      <c r="J67" s="346">
        <v>0</v>
      </c>
      <c r="K67" s="345">
        <v>0</v>
      </c>
      <c r="L67" s="345">
        <v>0</v>
      </c>
      <c r="M67" s="345">
        <v>0</v>
      </c>
      <c r="N67" s="345">
        <v>0</v>
      </c>
      <c r="O67" s="345">
        <v>0</v>
      </c>
      <c r="P67" s="276"/>
      <c r="Q67" s="276"/>
      <c r="R67" s="276"/>
      <c r="S67" s="276"/>
      <c r="T67" s="276"/>
      <c r="U67" s="276"/>
      <c r="V67" s="276"/>
    </row>
    <row r="68" spans="1:22" s="268" customFormat="1" ht="14.1" customHeight="1">
      <c r="A68" s="566"/>
      <c r="B68" s="566"/>
      <c r="C68" s="566" t="s">
        <v>248</v>
      </c>
      <c r="D68" s="566"/>
      <c r="E68" s="567" t="s">
        <v>244</v>
      </c>
      <c r="F68" s="345">
        <v>0</v>
      </c>
      <c r="G68" s="345">
        <v>0</v>
      </c>
      <c r="H68" s="345">
        <v>0</v>
      </c>
      <c r="I68" s="345">
        <v>0</v>
      </c>
      <c r="J68" s="346">
        <v>0</v>
      </c>
      <c r="K68" s="345">
        <v>0</v>
      </c>
      <c r="L68" s="345">
        <v>0</v>
      </c>
      <c r="M68" s="345">
        <v>0</v>
      </c>
      <c r="N68" s="345">
        <v>0</v>
      </c>
      <c r="O68" s="345">
        <v>0</v>
      </c>
      <c r="P68" s="276"/>
      <c r="Q68" s="276"/>
      <c r="R68" s="276"/>
      <c r="S68" s="276"/>
      <c r="T68" s="276"/>
      <c r="U68" s="276"/>
      <c r="V68" s="276"/>
    </row>
    <row r="69" spans="1:22" s="268" customFormat="1" ht="14.1" customHeight="1">
      <c r="A69" s="566"/>
      <c r="B69" s="566"/>
      <c r="C69" s="566"/>
      <c r="D69" s="566"/>
      <c r="E69" s="567"/>
      <c r="F69" s="345"/>
      <c r="G69" s="345"/>
      <c r="H69" s="345"/>
      <c r="I69" s="345"/>
      <c r="J69" s="346"/>
      <c r="K69" s="345"/>
      <c r="L69" s="345"/>
      <c r="M69" s="345"/>
      <c r="N69" s="345"/>
      <c r="O69" s="345"/>
      <c r="P69" s="276"/>
      <c r="Q69" s="276"/>
      <c r="R69" s="276"/>
      <c r="S69" s="276"/>
      <c r="T69" s="276"/>
      <c r="U69" s="276"/>
      <c r="V69" s="276"/>
    </row>
    <row r="70" spans="1:22" s="268" customFormat="1" ht="14.1" customHeight="1">
      <c r="A70" s="566"/>
      <c r="B70" s="566"/>
      <c r="C70" s="566"/>
      <c r="D70" s="566"/>
      <c r="E70" s="567"/>
      <c r="F70" s="345"/>
      <c r="G70" s="345"/>
      <c r="H70" s="345"/>
      <c r="I70" s="345"/>
      <c r="J70" s="346"/>
      <c r="K70" s="345"/>
      <c r="L70" s="345"/>
      <c r="M70" s="345"/>
      <c r="N70" s="345"/>
      <c r="O70" s="345"/>
      <c r="P70" s="276"/>
      <c r="Q70" s="276"/>
      <c r="R70" s="276"/>
      <c r="S70" s="276"/>
      <c r="T70" s="276"/>
      <c r="U70" s="276"/>
      <c r="V70" s="276"/>
    </row>
    <row r="71" spans="1:22" s="268" customFormat="1" ht="14.1" customHeight="1">
      <c r="A71" s="566"/>
      <c r="B71" s="566" t="s">
        <v>220</v>
      </c>
      <c r="C71" s="566" t="s">
        <v>250</v>
      </c>
      <c r="D71" s="566"/>
      <c r="E71" s="567"/>
      <c r="F71" s="345">
        <v>0</v>
      </c>
      <c r="G71" s="345">
        <v>0</v>
      </c>
      <c r="H71" s="345">
        <v>0</v>
      </c>
      <c r="I71" s="345">
        <v>0.72299999999999998</v>
      </c>
      <c r="J71" s="346">
        <v>0.72299999999999998</v>
      </c>
      <c r="K71" s="345">
        <v>0.70061690221967166</v>
      </c>
      <c r="L71" s="345">
        <v>0.70061690221967166</v>
      </c>
      <c r="M71" s="345">
        <v>0.70061690221967166</v>
      </c>
      <c r="N71" s="345">
        <v>0.70061690221967166</v>
      </c>
      <c r="O71" s="345">
        <v>0.70061690221967166</v>
      </c>
      <c r="P71" s="276" t="s">
        <v>307</v>
      </c>
      <c r="Q71" s="276"/>
      <c r="R71" s="276"/>
      <c r="S71" s="276"/>
      <c r="T71" s="276"/>
      <c r="U71" s="276"/>
      <c r="V71" s="276"/>
    </row>
    <row r="72" spans="1:22" s="268" customFormat="1" ht="14.1" customHeight="1">
      <c r="A72" s="566"/>
      <c r="B72" s="566"/>
      <c r="C72" s="566" t="s">
        <v>450</v>
      </c>
      <c r="D72" s="566"/>
      <c r="E72" s="567" t="s">
        <v>244</v>
      </c>
      <c r="F72" s="345">
        <v>0</v>
      </c>
      <c r="G72" s="345">
        <v>0</v>
      </c>
      <c r="H72" s="345">
        <v>0</v>
      </c>
      <c r="I72" s="345">
        <v>0</v>
      </c>
      <c r="J72" s="346">
        <v>0</v>
      </c>
      <c r="K72" s="345">
        <v>0</v>
      </c>
      <c r="L72" s="345">
        <v>0</v>
      </c>
      <c r="M72" s="345">
        <v>0</v>
      </c>
      <c r="N72" s="345">
        <v>0</v>
      </c>
      <c r="O72" s="345">
        <v>0</v>
      </c>
      <c r="P72" s="276"/>
      <c r="Q72" s="276"/>
      <c r="R72" s="276"/>
      <c r="S72" s="276"/>
      <c r="T72" s="276"/>
      <c r="U72" s="276"/>
      <c r="V72" s="276"/>
    </row>
    <row r="73" spans="1:22" s="268" customFormat="1" ht="14.1" customHeight="1">
      <c r="A73" s="566"/>
      <c r="B73" s="566"/>
      <c r="C73" s="566" t="s">
        <v>247</v>
      </c>
      <c r="D73" s="566"/>
      <c r="E73" s="567" t="s">
        <v>303</v>
      </c>
      <c r="F73" s="345">
        <v>0</v>
      </c>
      <c r="G73" s="345">
        <v>0</v>
      </c>
      <c r="H73" s="345">
        <v>0</v>
      </c>
      <c r="I73" s="345">
        <v>6.74</v>
      </c>
      <c r="J73" s="346">
        <v>6.74</v>
      </c>
      <c r="K73" s="345">
        <v>6.74</v>
      </c>
      <c r="L73" s="345">
        <v>6.74</v>
      </c>
      <c r="M73" s="345">
        <v>6.74</v>
      </c>
      <c r="N73" s="345">
        <v>6.74</v>
      </c>
      <c r="O73" s="345">
        <v>6.74</v>
      </c>
      <c r="P73" s="276" t="s">
        <v>507</v>
      </c>
      <c r="Q73" s="276"/>
      <c r="R73" s="276"/>
      <c r="S73" s="276"/>
      <c r="T73" s="276"/>
      <c r="U73" s="276"/>
      <c r="V73" s="276"/>
    </row>
    <row r="74" spans="1:22" s="268" customFormat="1" ht="14.1" customHeight="1">
      <c r="A74" s="566"/>
      <c r="B74" s="566"/>
      <c r="C74" s="566" t="s">
        <v>248</v>
      </c>
      <c r="D74" s="566"/>
      <c r="E74" s="567" t="s">
        <v>244</v>
      </c>
      <c r="F74" s="345">
        <v>0</v>
      </c>
      <c r="G74" s="345">
        <v>0</v>
      </c>
      <c r="H74" s="345">
        <v>0</v>
      </c>
      <c r="I74" s="345">
        <v>0</v>
      </c>
      <c r="J74" s="346">
        <v>0</v>
      </c>
      <c r="K74" s="345">
        <v>0</v>
      </c>
      <c r="L74" s="345">
        <v>0</v>
      </c>
      <c r="M74" s="345">
        <v>0</v>
      </c>
      <c r="N74" s="345">
        <v>0</v>
      </c>
      <c r="O74" s="345">
        <v>0</v>
      </c>
      <c r="P74" s="276"/>
      <c r="Q74" s="276"/>
      <c r="R74" s="276"/>
      <c r="S74" s="276"/>
      <c r="T74" s="276"/>
      <c r="U74" s="276"/>
      <c r="V74" s="276"/>
    </row>
    <row r="75" spans="1:22" s="268" customFormat="1" ht="14.1" customHeight="1">
      <c r="A75" s="566"/>
      <c r="B75" s="566"/>
      <c r="C75" s="566"/>
      <c r="D75" s="566"/>
      <c r="E75" s="567"/>
      <c r="F75" s="345"/>
      <c r="G75" s="345"/>
      <c r="H75" s="345"/>
      <c r="I75" s="345"/>
      <c r="J75" s="346"/>
      <c r="K75" s="345"/>
      <c r="L75" s="345"/>
      <c r="M75" s="345"/>
      <c r="N75" s="345"/>
      <c r="O75" s="345"/>
      <c r="P75" s="276"/>
      <c r="Q75" s="276"/>
      <c r="R75" s="276"/>
      <c r="S75" s="276"/>
      <c r="T75" s="276"/>
      <c r="U75" s="276"/>
      <c r="V75" s="276"/>
    </row>
    <row r="76" spans="1:22" s="268" customFormat="1" ht="14.1" customHeight="1">
      <c r="A76" s="566"/>
      <c r="B76" s="566"/>
      <c r="C76" s="566"/>
      <c r="D76" s="566"/>
      <c r="E76" s="567"/>
      <c r="F76" s="345"/>
      <c r="G76" s="345"/>
      <c r="H76" s="345"/>
      <c r="I76" s="345"/>
      <c r="J76" s="346"/>
      <c r="K76" s="345"/>
      <c r="L76" s="345"/>
      <c r="M76" s="345"/>
      <c r="N76" s="345"/>
      <c r="O76" s="345"/>
      <c r="P76" s="276"/>
      <c r="Q76" s="276"/>
      <c r="R76" s="276"/>
      <c r="S76" s="276"/>
      <c r="T76" s="276"/>
      <c r="U76" s="276"/>
      <c r="V76" s="276"/>
    </row>
    <row r="77" spans="1:22" s="268" customFormat="1" ht="14.1" customHeight="1">
      <c r="A77" s="566"/>
      <c r="B77" s="566" t="s">
        <v>221</v>
      </c>
      <c r="C77" s="566" t="s">
        <v>250</v>
      </c>
      <c r="D77" s="566"/>
      <c r="E77" s="567"/>
      <c r="F77" s="345">
        <v>0</v>
      </c>
      <c r="G77" s="345">
        <v>0</v>
      </c>
      <c r="H77" s="345">
        <v>0</v>
      </c>
      <c r="I77" s="345">
        <v>1.2784</v>
      </c>
      <c r="J77" s="346">
        <v>1.2784</v>
      </c>
      <c r="K77" s="345">
        <v>0.75496607880118127</v>
      </c>
      <c r="L77" s="345">
        <v>0.75496607880118127</v>
      </c>
      <c r="M77" s="345">
        <v>0.75496607880118127</v>
      </c>
      <c r="N77" s="345">
        <v>0.75496607880118127</v>
      </c>
      <c r="O77" s="345">
        <v>0.75496607880118127</v>
      </c>
      <c r="P77" s="276" t="s">
        <v>307</v>
      </c>
      <c r="Q77" s="276"/>
      <c r="R77" s="276"/>
      <c r="S77" s="276"/>
      <c r="T77" s="276"/>
      <c r="U77" s="276"/>
      <c r="V77" s="276"/>
    </row>
    <row r="78" spans="1:22" s="268" customFormat="1" ht="14.1" customHeight="1">
      <c r="A78" s="566"/>
      <c r="B78" s="566"/>
      <c r="C78" s="566" t="s">
        <v>450</v>
      </c>
      <c r="D78" s="566"/>
      <c r="E78" s="567" t="s">
        <v>244</v>
      </c>
      <c r="F78" s="345">
        <v>0</v>
      </c>
      <c r="G78" s="345">
        <v>0</v>
      </c>
      <c r="H78" s="345">
        <v>0</v>
      </c>
      <c r="I78" s="345">
        <v>0</v>
      </c>
      <c r="J78" s="346">
        <v>0.39894139314271371</v>
      </c>
      <c r="K78" s="345">
        <v>1.1379971867789771</v>
      </c>
      <c r="L78" s="345">
        <v>1.0736544601993208</v>
      </c>
      <c r="M78" s="345">
        <v>1.9153385937783423</v>
      </c>
      <c r="N78" s="345">
        <v>2.7687030165836921</v>
      </c>
      <c r="O78" s="345">
        <v>3.5586675887010726</v>
      </c>
      <c r="P78" s="276" t="s">
        <v>531</v>
      </c>
      <c r="Q78" s="276"/>
      <c r="R78" s="276" t="s">
        <v>501</v>
      </c>
      <c r="S78" s="276"/>
      <c r="T78" s="276"/>
      <c r="U78" s="276"/>
      <c r="V78" s="276" t="s">
        <v>498</v>
      </c>
    </row>
    <row r="79" spans="1:22" s="268" customFormat="1" ht="14.1" customHeight="1">
      <c r="A79" s="566"/>
      <c r="B79" s="566"/>
      <c r="C79" s="566" t="s">
        <v>247</v>
      </c>
      <c r="D79" s="566"/>
      <c r="E79" s="567" t="s">
        <v>244</v>
      </c>
      <c r="F79" s="345">
        <v>0</v>
      </c>
      <c r="G79" s="345">
        <v>0</v>
      </c>
      <c r="H79" s="345">
        <v>0</v>
      </c>
      <c r="I79" s="345">
        <v>2.3790521600000001</v>
      </c>
      <c r="J79" s="346">
        <v>2.3942479565484605</v>
      </c>
      <c r="K79" s="345">
        <v>2.4143305155789809</v>
      </c>
      <c r="L79" s="345">
        <v>2.4336764139322407</v>
      </c>
      <c r="M79" s="345">
        <v>2.454202736623095</v>
      </c>
      <c r="N79" s="345">
        <v>2.4746196644445129</v>
      </c>
      <c r="O79" s="345">
        <v>2.4938796647793238</v>
      </c>
      <c r="P79" s="276"/>
      <c r="Q79" s="276"/>
      <c r="R79" s="276"/>
      <c r="S79" s="276"/>
      <c r="T79" s="276"/>
      <c r="U79" s="276"/>
      <c r="V79" s="276"/>
    </row>
    <row r="80" spans="1:22" s="268" customFormat="1" ht="14.1" customHeight="1">
      <c r="A80" s="566"/>
      <c r="B80" s="566"/>
      <c r="C80" s="566" t="s">
        <v>248</v>
      </c>
      <c r="D80" s="566"/>
      <c r="E80" s="567" t="s">
        <v>244</v>
      </c>
      <c r="F80" s="345">
        <v>0</v>
      </c>
      <c r="G80" s="345">
        <v>0</v>
      </c>
      <c r="H80" s="345">
        <v>0</v>
      </c>
      <c r="I80" s="345">
        <v>0</v>
      </c>
      <c r="J80" s="346">
        <v>0</v>
      </c>
      <c r="K80" s="345">
        <v>0</v>
      </c>
      <c r="L80" s="345">
        <v>0</v>
      </c>
      <c r="M80" s="345">
        <v>0</v>
      </c>
      <c r="N80" s="345">
        <v>0</v>
      </c>
      <c r="O80" s="345">
        <v>0</v>
      </c>
      <c r="P80" s="276"/>
      <c r="Q80" s="276"/>
      <c r="R80" s="276"/>
      <c r="S80" s="276"/>
      <c r="T80" s="276"/>
      <c r="U80" s="276"/>
      <c r="V80" s="276"/>
    </row>
    <row r="81" spans="1:22" s="268" customFormat="1" ht="14.1" customHeight="1">
      <c r="A81" s="566"/>
      <c r="B81" s="566"/>
      <c r="C81" s="566"/>
      <c r="D81" s="566"/>
      <c r="E81" s="567"/>
      <c r="F81" s="345"/>
      <c r="G81" s="345"/>
      <c r="H81" s="345"/>
      <c r="I81" s="345"/>
      <c r="J81" s="346"/>
      <c r="K81" s="345"/>
      <c r="L81" s="345"/>
      <c r="M81" s="345"/>
      <c r="N81" s="345"/>
      <c r="O81" s="345"/>
      <c r="P81" s="276"/>
      <c r="Q81" s="276"/>
      <c r="R81" s="276"/>
      <c r="S81" s="276"/>
      <c r="T81" s="276"/>
      <c r="U81" s="276"/>
      <c r="V81" s="276"/>
    </row>
    <row r="82" spans="1:22" s="268" customFormat="1" ht="14.1" customHeight="1">
      <c r="A82" s="566"/>
      <c r="B82" s="566"/>
      <c r="C82" s="566"/>
      <c r="D82" s="566"/>
      <c r="E82" s="567"/>
      <c r="F82" s="345"/>
      <c r="G82" s="345"/>
      <c r="H82" s="345"/>
      <c r="I82" s="345"/>
      <c r="J82" s="346"/>
      <c r="K82" s="345"/>
      <c r="L82" s="345"/>
      <c r="M82" s="345"/>
      <c r="N82" s="345"/>
      <c r="O82" s="345"/>
      <c r="P82" s="276"/>
      <c r="Q82" s="276"/>
      <c r="R82" s="276"/>
      <c r="S82" s="276"/>
      <c r="T82" s="276"/>
      <c r="U82" s="276"/>
      <c r="V82" s="276"/>
    </row>
    <row r="83" spans="1:22" s="268" customFormat="1" ht="14.1" customHeight="1">
      <c r="A83" s="566"/>
      <c r="B83" s="566" t="s">
        <v>222</v>
      </c>
      <c r="C83" s="566" t="s">
        <v>250</v>
      </c>
      <c r="D83" s="566"/>
      <c r="E83" s="567"/>
      <c r="F83" s="345">
        <v>0</v>
      </c>
      <c r="G83" s="345">
        <v>0</v>
      </c>
      <c r="H83" s="345">
        <v>0</v>
      </c>
      <c r="I83" s="345">
        <v>1.6</v>
      </c>
      <c r="J83" s="346">
        <v>1.6</v>
      </c>
      <c r="K83" s="345">
        <v>1.6273394076498013</v>
      </c>
      <c r="L83" s="345">
        <v>1.6273394076498013</v>
      </c>
      <c r="M83" s="345">
        <v>1.6273394076498013</v>
      </c>
      <c r="N83" s="345">
        <v>1.6273394076498013</v>
      </c>
      <c r="O83" s="345">
        <v>1.6273394076498013</v>
      </c>
      <c r="P83" s="276" t="s">
        <v>307</v>
      </c>
      <c r="Q83" s="276"/>
      <c r="R83" s="276"/>
      <c r="S83" s="276"/>
      <c r="T83" s="276"/>
      <c r="U83" s="276"/>
      <c r="V83" s="276"/>
    </row>
    <row r="84" spans="1:22" s="268" customFormat="1" ht="14.1" customHeight="1">
      <c r="A84" s="566"/>
      <c r="B84" s="566"/>
      <c r="C84" s="566" t="s">
        <v>450</v>
      </c>
      <c r="D84" s="566"/>
      <c r="E84" s="567" t="s">
        <v>244</v>
      </c>
      <c r="F84" s="345">
        <v>0</v>
      </c>
      <c r="G84" s="345">
        <v>0</v>
      </c>
      <c r="H84" s="345">
        <v>0</v>
      </c>
      <c r="I84" s="345">
        <v>0</v>
      </c>
      <c r="J84" s="346">
        <v>0</v>
      </c>
      <c r="K84" s="345">
        <v>0</v>
      </c>
      <c r="L84" s="345">
        <v>0</v>
      </c>
      <c r="M84" s="345">
        <v>0</v>
      </c>
      <c r="N84" s="345">
        <v>0</v>
      </c>
      <c r="O84" s="345">
        <v>0</v>
      </c>
      <c r="P84" s="276"/>
      <c r="Q84" s="276"/>
      <c r="R84" s="276"/>
      <c r="S84" s="276"/>
      <c r="T84" s="276"/>
      <c r="U84" s="276"/>
      <c r="V84" s="276"/>
    </row>
    <row r="85" spans="1:22" s="268" customFormat="1" ht="14.1" customHeight="1">
      <c r="A85" s="566"/>
      <c r="B85" s="566"/>
      <c r="C85" s="566" t="s">
        <v>247</v>
      </c>
      <c r="D85" s="566"/>
      <c r="E85" s="567" t="s">
        <v>244</v>
      </c>
      <c r="F85" s="345">
        <v>0</v>
      </c>
      <c r="G85" s="345">
        <v>0</v>
      </c>
      <c r="H85" s="345">
        <v>0</v>
      </c>
      <c r="I85" s="345">
        <v>0</v>
      </c>
      <c r="J85" s="346">
        <v>0</v>
      </c>
      <c r="K85" s="345">
        <v>1.0351399101428895</v>
      </c>
      <c r="L85" s="345">
        <v>1.7961864356282253</v>
      </c>
      <c r="M85" s="345">
        <v>2.8021674750628645</v>
      </c>
      <c r="N85" s="345">
        <v>3.7576064719365361</v>
      </c>
      <c r="O85" s="345">
        <v>4.0939054474383569</v>
      </c>
      <c r="P85" s="276" t="s">
        <v>502</v>
      </c>
      <c r="Q85" s="276"/>
      <c r="R85" s="276"/>
      <c r="S85" s="276"/>
      <c r="T85" s="276"/>
      <c r="U85" s="276"/>
      <c r="V85" s="276"/>
    </row>
    <row r="86" spans="1:22" s="268" customFormat="1" ht="14.1" customHeight="1">
      <c r="A86" s="566"/>
      <c r="B86" s="566"/>
      <c r="C86" s="566" t="s">
        <v>248</v>
      </c>
      <c r="D86" s="566"/>
      <c r="E86" s="567" t="s">
        <v>244</v>
      </c>
      <c r="F86" s="345">
        <v>0</v>
      </c>
      <c r="G86" s="345">
        <v>0</v>
      </c>
      <c r="H86" s="345">
        <v>0</v>
      </c>
      <c r="I86" s="345">
        <v>19.202874111835911</v>
      </c>
      <c r="J86" s="346">
        <v>20.559029537506898</v>
      </c>
      <c r="K86" s="345">
        <v>17.782612179181879</v>
      </c>
      <c r="L86" s="345">
        <v>18.828388456393633</v>
      </c>
      <c r="M86" s="345">
        <v>18.170691955219294</v>
      </c>
      <c r="N86" s="345">
        <v>18.510544970097765</v>
      </c>
      <c r="O86" s="345">
        <v>17.275422013168008</v>
      </c>
      <c r="P86" s="276" t="s">
        <v>503</v>
      </c>
      <c r="Q86" s="276"/>
      <c r="R86" s="276"/>
      <c r="S86" s="276"/>
      <c r="T86" s="276"/>
      <c r="U86" s="276"/>
      <c r="V86" s="276"/>
    </row>
    <row r="87" spans="1:22" s="268" customFormat="1" ht="14.1" customHeight="1">
      <c r="A87" s="566"/>
      <c r="B87" s="566"/>
      <c r="C87" s="566"/>
      <c r="D87" s="566"/>
      <c r="E87" s="567"/>
      <c r="F87" s="345"/>
      <c r="G87" s="345"/>
      <c r="H87" s="345"/>
      <c r="I87" s="345"/>
      <c r="J87" s="346"/>
      <c r="K87" s="345"/>
      <c r="L87" s="345"/>
      <c r="M87" s="345"/>
      <c r="N87" s="345"/>
      <c r="O87" s="345"/>
      <c r="P87" s="276"/>
      <c r="Q87" s="276"/>
      <c r="R87" s="276"/>
      <c r="S87" s="276"/>
      <c r="T87" s="276"/>
      <c r="U87" s="276"/>
      <c r="V87" s="276"/>
    </row>
    <row r="88" spans="1:22" s="268" customFormat="1" ht="14.1" customHeight="1">
      <c r="A88" s="566"/>
      <c r="B88" s="566"/>
      <c r="C88" s="566"/>
      <c r="D88" s="566"/>
      <c r="E88" s="567"/>
      <c r="F88" s="345"/>
      <c r="G88" s="345"/>
      <c r="H88" s="345"/>
      <c r="I88" s="345"/>
      <c r="J88" s="346"/>
      <c r="K88" s="345"/>
      <c r="L88" s="345"/>
      <c r="M88" s="345"/>
      <c r="N88" s="345"/>
      <c r="O88" s="345"/>
      <c r="P88" s="276"/>
      <c r="Q88" s="276"/>
      <c r="R88" s="276"/>
      <c r="S88" s="276"/>
      <c r="T88" s="276"/>
      <c r="U88" s="276"/>
      <c r="V88" s="276"/>
    </row>
    <row r="89" spans="1:22" s="268" customFormat="1" ht="14.1" customHeight="1">
      <c r="A89" s="566"/>
      <c r="B89" s="566" t="s">
        <v>223</v>
      </c>
      <c r="C89" s="566" t="s">
        <v>250</v>
      </c>
      <c r="D89" s="566"/>
      <c r="E89" s="567"/>
      <c r="F89" s="345">
        <v>0.90647939370648201</v>
      </c>
      <c r="G89" s="345">
        <v>2.3678758370543802</v>
      </c>
      <c r="H89" s="345">
        <v>1.27835568219214</v>
      </c>
      <c r="I89" s="345">
        <v>0.19880122487890001</v>
      </c>
      <c r="J89" s="346">
        <v>0.163747390206089</v>
      </c>
      <c r="K89" s="591">
        <v>1.4650626589924078</v>
      </c>
      <c r="L89" s="591">
        <v>1.4650626589924078</v>
      </c>
      <c r="M89" s="591">
        <v>1.4650626589924078</v>
      </c>
      <c r="N89" s="591">
        <v>1.4650626589924078</v>
      </c>
      <c r="O89" s="591">
        <v>1.4650626589924078</v>
      </c>
      <c r="P89" s="276" t="s">
        <v>530</v>
      </c>
      <c r="Q89" s="276"/>
      <c r="R89" s="276"/>
      <c r="S89" s="276"/>
      <c r="T89" s="276"/>
      <c r="U89" s="276"/>
      <c r="V89" s="276"/>
    </row>
    <row r="90" spans="1:22" s="268" customFormat="1" ht="14.1" customHeight="1">
      <c r="A90" s="566"/>
      <c r="B90" s="566"/>
      <c r="C90" s="566" t="s">
        <v>450</v>
      </c>
      <c r="D90" s="566"/>
      <c r="E90" s="567" t="s">
        <v>244</v>
      </c>
      <c r="F90" s="345">
        <v>0</v>
      </c>
      <c r="G90" s="345">
        <v>0</v>
      </c>
      <c r="H90" s="345">
        <v>0</v>
      </c>
      <c r="I90" s="345">
        <v>0</v>
      </c>
      <c r="J90" s="346">
        <v>2</v>
      </c>
      <c r="K90" s="345">
        <v>1.6999999999999957</v>
      </c>
      <c r="L90" s="345">
        <v>2</v>
      </c>
      <c r="M90" s="345">
        <v>3.1999999999999957</v>
      </c>
      <c r="N90" s="345">
        <v>3.6999999999999957</v>
      </c>
      <c r="O90" s="345">
        <v>3.7999999999999972</v>
      </c>
      <c r="P90" s="276"/>
      <c r="Q90" s="276"/>
      <c r="R90" s="276"/>
      <c r="S90" s="276"/>
      <c r="T90" s="276"/>
      <c r="U90" s="276"/>
      <c r="V90" s="276"/>
    </row>
    <row r="91" spans="1:22" s="268" customFormat="1" ht="14.1" customHeight="1">
      <c r="A91" s="566"/>
      <c r="B91" s="566"/>
      <c r="C91" s="566" t="s">
        <v>247</v>
      </c>
      <c r="D91" s="566"/>
      <c r="E91" s="567" t="s">
        <v>303</v>
      </c>
      <c r="F91" s="345">
        <v>0</v>
      </c>
      <c r="G91" s="345">
        <v>0</v>
      </c>
      <c r="H91" s="345">
        <v>0</v>
      </c>
      <c r="I91" s="345">
        <v>19.202000000000002</v>
      </c>
      <c r="J91" s="346">
        <v>19.202000000000002</v>
      </c>
      <c r="K91" s="345">
        <v>19.202000000000002</v>
      </c>
      <c r="L91" s="345">
        <v>19.202000000000002</v>
      </c>
      <c r="M91" s="345">
        <v>19.202000000000002</v>
      </c>
      <c r="N91" s="345">
        <v>19.202000000000002</v>
      </c>
      <c r="O91" s="345">
        <v>19.202000000000002</v>
      </c>
      <c r="P91" s="276" t="s">
        <v>535</v>
      </c>
      <c r="Q91" s="276"/>
      <c r="R91" s="276"/>
      <c r="S91" s="276"/>
      <c r="T91" s="276"/>
      <c r="U91" s="276"/>
      <c r="V91" s="276"/>
    </row>
    <row r="92" spans="1:22" s="268" customFormat="1" ht="14.1" customHeight="1">
      <c r="A92" s="566"/>
      <c r="B92" s="566"/>
      <c r="C92" s="566" t="s">
        <v>248</v>
      </c>
      <c r="D92" s="566"/>
      <c r="E92" s="567" t="s">
        <v>244</v>
      </c>
      <c r="F92" s="345">
        <v>0</v>
      </c>
      <c r="G92" s="345">
        <v>0</v>
      </c>
      <c r="H92" s="345">
        <v>0</v>
      </c>
      <c r="I92" s="345">
        <v>0</v>
      </c>
      <c r="J92" s="346">
        <v>0</v>
      </c>
      <c r="K92" s="345">
        <v>0</v>
      </c>
      <c r="L92" s="345">
        <v>0</v>
      </c>
      <c r="M92" s="345">
        <v>0</v>
      </c>
      <c r="N92" s="345">
        <v>0</v>
      </c>
      <c r="O92" s="345">
        <v>0</v>
      </c>
      <c r="P92" s="276"/>
      <c r="Q92" s="276"/>
      <c r="R92" s="276"/>
      <c r="S92" s="276"/>
      <c r="T92" s="276"/>
      <c r="U92" s="276"/>
      <c r="V92" s="276"/>
    </row>
    <row r="93" spans="1:22" s="268" customFormat="1" ht="14.1" customHeight="1">
      <c r="A93" s="566"/>
      <c r="B93" s="566"/>
      <c r="C93" s="566"/>
      <c r="D93" s="566"/>
      <c r="E93" s="567"/>
      <c r="F93" s="345"/>
      <c r="G93" s="345"/>
      <c r="H93" s="345"/>
      <c r="I93" s="345"/>
      <c r="J93" s="346"/>
      <c r="K93" s="345"/>
      <c r="L93" s="345"/>
      <c r="M93" s="345"/>
      <c r="N93" s="345"/>
      <c r="O93" s="345"/>
      <c r="P93" s="276"/>
      <c r="Q93" s="276"/>
      <c r="R93" s="276"/>
      <c r="S93" s="276"/>
      <c r="T93" s="276"/>
      <c r="U93" s="276"/>
      <c r="V93" s="276"/>
    </row>
    <row r="94" spans="1:22" s="268" customFormat="1" ht="14.1" customHeight="1">
      <c r="A94" s="566"/>
      <c r="B94" s="566"/>
      <c r="C94" s="566"/>
      <c r="D94" s="566"/>
      <c r="E94" s="567"/>
      <c r="F94" s="345"/>
      <c r="G94" s="345"/>
      <c r="H94" s="345"/>
      <c r="I94" s="345"/>
      <c r="J94" s="346"/>
      <c r="K94" s="345"/>
      <c r="L94" s="345"/>
      <c r="M94" s="345"/>
      <c r="N94" s="345"/>
      <c r="O94" s="345"/>
      <c r="P94" s="276"/>
      <c r="Q94" s="276"/>
      <c r="R94" s="276"/>
      <c r="S94" s="276"/>
      <c r="T94" s="276"/>
      <c r="U94" s="276"/>
      <c r="V94" s="276"/>
    </row>
    <row r="95" spans="1:22" s="268" customFormat="1" ht="14.1" customHeight="1">
      <c r="A95" s="566"/>
      <c r="B95" s="566" t="s">
        <v>224</v>
      </c>
      <c r="C95" s="566" t="s">
        <v>250</v>
      </c>
      <c r="D95" s="566"/>
      <c r="E95" s="567"/>
      <c r="F95" s="345">
        <v>0</v>
      </c>
      <c r="G95" s="345">
        <v>0</v>
      </c>
      <c r="H95" s="345">
        <v>0</v>
      </c>
      <c r="I95" s="345">
        <v>0.43850276063668803</v>
      </c>
      <c r="J95" s="346">
        <v>0.43850276063668803</v>
      </c>
      <c r="K95" s="345">
        <v>0.39643661434556476</v>
      </c>
      <c r="L95" s="345">
        <v>0.39643661434556476</v>
      </c>
      <c r="M95" s="345">
        <v>0.39643661434556476</v>
      </c>
      <c r="N95" s="345">
        <v>0.39643661434556476</v>
      </c>
      <c r="O95" s="345">
        <v>0.39643661434556476</v>
      </c>
      <c r="P95" s="276" t="s">
        <v>307</v>
      </c>
      <c r="Q95" s="276"/>
      <c r="R95" s="276"/>
      <c r="S95" s="276"/>
      <c r="T95" s="276"/>
      <c r="U95" s="276"/>
      <c r="V95" s="276"/>
    </row>
    <row r="96" spans="1:22" s="268" customFormat="1" ht="14.1" customHeight="1">
      <c r="A96" s="566"/>
      <c r="B96" s="566"/>
      <c r="C96" s="566" t="s">
        <v>450</v>
      </c>
      <c r="D96" s="566"/>
      <c r="E96" s="567" t="s">
        <v>303</v>
      </c>
      <c r="F96" s="345">
        <v>0</v>
      </c>
      <c r="G96" s="345">
        <v>0</v>
      </c>
      <c r="H96" s="345">
        <v>0</v>
      </c>
      <c r="I96" s="345">
        <v>0</v>
      </c>
      <c r="J96" s="346">
        <v>0.53900000000000003</v>
      </c>
      <c r="K96" s="345">
        <v>1.1160000000000001</v>
      </c>
      <c r="L96" s="345">
        <v>1.7370000000000001</v>
      </c>
      <c r="M96" s="345">
        <v>2.4009999999999998</v>
      </c>
      <c r="N96" s="345">
        <v>3.1070000000000002</v>
      </c>
      <c r="O96" s="345">
        <v>3.8540000000000001</v>
      </c>
      <c r="P96" s="276" t="s">
        <v>532</v>
      </c>
      <c r="Q96" s="276"/>
      <c r="R96" s="276"/>
      <c r="S96" s="276"/>
      <c r="T96" s="276"/>
      <c r="U96" s="276"/>
      <c r="V96" s="276" t="s">
        <v>498</v>
      </c>
    </row>
    <row r="97" spans="1:22" s="268" customFormat="1" ht="14.1" customHeight="1">
      <c r="A97" s="566"/>
      <c r="B97" s="566"/>
      <c r="C97" s="566" t="s">
        <v>247</v>
      </c>
      <c r="D97" s="566"/>
      <c r="E97" s="567" t="s">
        <v>244</v>
      </c>
      <c r="F97" s="345">
        <v>0</v>
      </c>
      <c r="G97" s="345">
        <v>0</v>
      </c>
      <c r="H97" s="345">
        <v>0</v>
      </c>
      <c r="I97" s="345">
        <v>0</v>
      </c>
      <c r="J97" s="346">
        <v>0</v>
      </c>
      <c r="K97" s="345">
        <v>0</v>
      </c>
      <c r="L97" s="345">
        <v>0</v>
      </c>
      <c r="M97" s="345">
        <v>0</v>
      </c>
      <c r="N97" s="345">
        <v>0</v>
      </c>
      <c r="O97" s="345">
        <v>0</v>
      </c>
      <c r="Q97" s="276"/>
      <c r="R97" s="276"/>
      <c r="S97" s="276"/>
      <c r="T97" s="276"/>
      <c r="U97" s="276"/>
      <c r="V97" s="276"/>
    </row>
    <row r="98" spans="1:22" s="268" customFormat="1" ht="14.1" customHeight="1">
      <c r="A98" s="566"/>
      <c r="B98" s="566"/>
      <c r="C98" s="566" t="s">
        <v>248</v>
      </c>
      <c r="D98" s="566"/>
      <c r="E98" s="567" t="s">
        <v>244</v>
      </c>
      <c r="F98" s="345">
        <v>0</v>
      </c>
      <c r="G98" s="345">
        <v>0</v>
      </c>
      <c r="H98" s="345">
        <v>0</v>
      </c>
      <c r="I98" s="345">
        <v>0</v>
      </c>
      <c r="J98" s="346">
        <v>0</v>
      </c>
      <c r="K98" s="345">
        <v>0</v>
      </c>
      <c r="L98" s="345">
        <v>0</v>
      </c>
      <c r="M98" s="345">
        <v>0</v>
      </c>
      <c r="N98" s="345">
        <v>0</v>
      </c>
      <c r="O98" s="345">
        <v>0</v>
      </c>
      <c r="P98" s="276"/>
      <c r="Q98" s="276"/>
      <c r="R98" s="276"/>
      <c r="S98" s="276"/>
      <c r="T98" s="276"/>
      <c r="U98" s="276"/>
      <c r="V98" s="276"/>
    </row>
    <row r="99" spans="1:22" s="268" customFormat="1" ht="14.1" customHeight="1">
      <c r="A99" s="566"/>
      <c r="B99" s="566"/>
      <c r="C99" s="566"/>
      <c r="D99" s="566"/>
      <c r="E99" s="567"/>
      <c r="F99" s="345"/>
      <c r="G99" s="345"/>
      <c r="H99" s="345"/>
      <c r="I99" s="345"/>
      <c r="J99" s="346"/>
      <c r="K99" s="345"/>
      <c r="L99" s="345"/>
      <c r="M99" s="345"/>
      <c r="N99" s="345"/>
      <c r="O99" s="345"/>
      <c r="P99" s="276"/>
      <c r="Q99" s="276"/>
      <c r="R99" s="276"/>
      <c r="S99" s="276"/>
      <c r="T99" s="276"/>
      <c r="U99" s="276"/>
      <c r="V99" s="276"/>
    </row>
    <row r="100" spans="1:22" s="268" customFormat="1" ht="14.1" customHeight="1">
      <c r="A100" s="566"/>
      <c r="B100" s="566"/>
      <c r="C100" s="566"/>
      <c r="D100" s="566"/>
      <c r="E100" s="567"/>
      <c r="F100" s="345"/>
      <c r="G100" s="345"/>
      <c r="H100" s="345"/>
      <c r="I100" s="345"/>
      <c r="J100" s="346"/>
      <c r="K100" s="345"/>
      <c r="L100" s="345"/>
      <c r="M100" s="345"/>
      <c r="N100" s="345"/>
      <c r="O100" s="345"/>
      <c r="P100" s="276"/>
      <c r="Q100" s="276"/>
      <c r="R100" s="276"/>
      <c r="S100" s="276"/>
      <c r="T100" s="276"/>
      <c r="U100" s="276"/>
      <c r="V100" s="276"/>
    </row>
    <row r="101" spans="1:22" s="268" customFormat="1" ht="14.1" customHeight="1">
      <c r="A101" s="566"/>
      <c r="B101" s="566" t="s">
        <v>225</v>
      </c>
      <c r="C101" s="566" t="s">
        <v>250</v>
      </c>
      <c r="D101" s="566"/>
      <c r="E101" s="567"/>
      <c r="F101" s="345">
        <v>1.383</v>
      </c>
      <c r="G101" s="345">
        <v>1.383</v>
      </c>
      <c r="H101" s="345">
        <v>1.383</v>
      </c>
      <c r="I101" s="345">
        <v>0.95099999999999996</v>
      </c>
      <c r="J101" s="346">
        <v>0.92899999999999994</v>
      </c>
      <c r="K101" s="345">
        <v>0.97974619649295536</v>
      </c>
      <c r="L101" s="345">
        <v>0.97974619649295536</v>
      </c>
      <c r="M101" s="345">
        <v>0.97974619649295536</v>
      </c>
      <c r="N101" s="345">
        <v>0.97974619649295536</v>
      </c>
      <c r="O101" s="345">
        <v>0.97974619649295536</v>
      </c>
      <c r="P101" s="276" t="s">
        <v>307</v>
      </c>
      <c r="Q101" s="276"/>
      <c r="R101" s="276"/>
      <c r="S101" s="276"/>
      <c r="T101" s="276"/>
      <c r="U101" s="276"/>
      <c r="V101" s="276"/>
    </row>
    <row r="102" spans="1:22" s="268" customFormat="1" ht="14.1" customHeight="1">
      <c r="A102" s="566"/>
      <c r="B102" s="566"/>
      <c r="C102" s="566" t="s">
        <v>450</v>
      </c>
      <c r="D102" s="566"/>
      <c r="E102" s="567" t="s">
        <v>303</v>
      </c>
      <c r="F102" s="345">
        <v>0</v>
      </c>
      <c r="G102" s="345">
        <v>0</v>
      </c>
      <c r="H102" s="345">
        <v>0</v>
      </c>
      <c r="I102" s="345">
        <v>0</v>
      </c>
      <c r="J102" s="346">
        <v>0</v>
      </c>
      <c r="K102" s="345">
        <v>1.7809999999999999</v>
      </c>
      <c r="L102" s="345">
        <v>2.7170000000000001</v>
      </c>
      <c r="M102" s="345">
        <v>3.6949999999999998</v>
      </c>
      <c r="N102" s="345">
        <v>4.7190000000000003</v>
      </c>
      <c r="O102" s="345">
        <v>5.7869999999999999</v>
      </c>
      <c r="P102" s="276" t="s">
        <v>532</v>
      </c>
      <c r="Q102" s="276"/>
      <c r="R102" s="276"/>
      <c r="S102" s="276"/>
      <c r="T102" s="276"/>
      <c r="U102" s="276"/>
      <c r="V102" s="276" t="s">
        <v>498</v>
      </c>
    </row>
    <row r="103" spans="1:22" s="268" customFormat="1" ht="14.1" customHeight="1">
      <c r="A103" s="566"/>
      <c r="B103" s="566"/>
      <c r="C103" s="566" t="s">
        <v>247</v>
      </c>
      <c r="D103" s="566"/>
      <c r="E103" s="567" t="s">
        <v>244</v>
      </c>
      <c r="F103" s="345">
        <v>0</v>
      </c>
      <c r="G103" s="345">
        <v>0</v>
      </c>
      <c r="H103" s="345">
        <v>0</v>
      </c>
      <c r="I103" s="345">
        <v>0</v>
      </c>
      <c r="J103" s="346">
        <v>0</v>
      </c>
      <c r="K103" s="345">
        <v>0</v>
      </c>
      <c r="L103" s="345">
        <v>0</v>
      </c>
      <c r="M103" s="345">
        <v>0</v>
      </c>
      <c r="N103" s="345">
        <v>0</v>
      </c>
      <c r="O103" s="345">
        <v>0</v>
      </c>
      <c r="P103" s="276"/>
      <c r="Q103" s="276"/>
      <c r="R103" s="347"/>
      <c r="S103" s="276"/>
      <c r="T103" s="276"/>
      <c r="U103" s="276"/>
      <c r="V103" s="276"/>
    </row>
    <row r="104" spans="1:22" s="268" customFormat="1" ht="14.1" customHeight="1">
      <c r="A104" s="566"/>
      <c r="B104" s="566"/>
      <c r="C104" s="566" t="s">
        <v>248</v>
      </c>
      <c r="D104" s="566"/>
      <c r="E104" s="567" t="s">
        <v>244</v>
      </c>
      <c r="F104" s="345">
        <v>0</v>
      </c>
      <c r="G104" s="345">
        <v>0</v>
      </c>
      <c r="H104" s="345">
        <v>0</v>
      </c>
      <c r="I104" s="345">
        <v>0</v>
      </c>
      <c r="J104" s="346">
        <v>0</v>
      </c>
      <c r="K104" s="345">
        <v>0</v>
      </c>
      <c r="L104" s="345">
        <v>0</v>
      </c>
      <c r="M104" s="345">
        <v>0</v>
      </c>
      <c r="N104" s="345">
        <v>0</v>
      </c>
      <c r="O104" s="345">
        <v>0</v>
      </c>
      <c r="P104" s="276"/>
      <c r="Q104" s="276"/>
      <c r="R104" s="276"/>
      <c r="S104" s="276"/>
      <c r="T104" s="276"/>
      <c r="U104" s="276"/>
      <c r="V104" s="276"/>
    </row>
    <row r="105" spans="1:22" s="268" customFormat="1" ht="14.1" customHeight="1">
      <c r="A105" s="566"/>
      <c r="B105" s="566"/>
      <c r="C105" s="566"/>
      <c r="D105" s="566"/>
      <c r="E105" s="567"/>
      <c r="F105" s="345"/>
      <c r="G105" s="345"/>
      <c r="H105" s="345"/>
      <c r="I105" s="345"/>
      <c r="J105" s="346"/>
      <c r="K105" s="345"/>
      <c r="L105" s="345"/>
      <c r="M105" s="345"/>
      <c r="N105" s="345"/>
      <c r="O105" s="345"/>
      <c r="P105" s="276"/>
      <c r="Q105" s="276"/>
      <c r="R105" s="276"/>
      <c r="S105" s="276"/>
      <c r="T105" s="276"/>
      <c r="U105" s="276"/>
      <c r="V105" s="276"/>
    </row>
    <row r="106" spans="1:22" s="268" customFormat="1" ht="14.1" customHeight="1">
      <c r="A106" s="566"/>
      <c r="B106" s="566"/>
      <c r="C106" s="566"/>
      <c r="D106" s="566"/>
      <c r="E106" s="567"/>
      <c r="F106" s="345"/>
      <c r="G106" s="345"/>
      <c r="H106" s="345"/>
      <c r="I106" s="345"/>
      <c r="J106" s="346"/>
      <c r="K106" s="345"/>
      <c r="L106" s="345"/>
      <c r="M106" s="345"/>
      <c r="N106" s="345"/>
      <c r="O106" s="345"/>
      <c r="P106" s="276"/>
      <c r="Q106" s="276"/>
      <c r="R106" s="276"/>
      <c r="S106" s="276"/>
      <c r="T106" s="276"/>
      <c r="U106" s="276"/>
      <c r="V106" s="276"/>
    </row>
    <row r="107" spans="1:22" s="268" customFormat="1" ht="14.1" customHeight="1">
      <c r="A107" s="566"/>
      <c r="B107" s="566" t="s">
        <v>226</v>
      </c>
      <c r="C107" s="566" t="s">
        <v>250</v>
      </c>
      <c r="D107" s="566"/>
      <c r="E107" s="567"/>
      <c r="F107" s="345">
        <v>0.13566</v>
      </c>
      <c r="G107" s="345">
        <v>0.13566</v>
      </c>
      <c r="H107" s="345">
        <v>0.13566</v>
      </c>
      <c r="I107" s="345">
        <v>0.13566</v>
      </c>
      <c r="J107" s="346">
        <v>0.13566</v>
      </c>
      <c r="K107" s="345">
        <v>0.11665052756737383</v>
      </c>
      <c r="L107" s="345">
        <v>0.11665052756737383</v>
      </c>
      <c r="M107" s="345">
        <v>0.11665052756737383</v>
      </c>
      <c r="N107" s="345">
        <v>0.11665052756737383</v>
      </c>
      <c r="O107" s="345">
        <v>0.11665052756737383</v>
      </c>
      <c r="P107" s="276" t="s">
        <v>307</v>
      </c>
      <c r="Q107" s="276"/>
      <c r="R107" s="276"/>
      <c r="S107" s="276"/>
      <c r="T107" s="276"/>
      <c r="U107" s="276"/>
      <c r="V107" s="276"/>
    </row>
    <row r="108" spans="1:22" s="268" customFormat="1" ht="14.1" customHeight="1">
      <c r="A108" s="566"/>
      <c r="B108" s="566"/>
      <c r="C108" s="566" t="s">
        <v>450</v>
      </c>
      <c r="D108" s="566"/>
      <c r="E108" s="567" t="s">
        <v>244</v>
      </c>
      <c r="F108" s="345">
        <v>0</v>
      </c>
      <c r="G108" s="345">
        <v>0</v>
      </c>
      <c r="H108" s="345">
        <v>0</v>
      </c>
      <c r="I108" s="345">
        <v>0</v>
      </c>
      <c r="J108" s="346">
        <v>0</v>
      </c>
      <c r="K108" s="345">
        <v>0</v>
      </c>
      <c r="L108" s="345">
        <v>0</v>
      </c>
      <c r="M108" s="345">
        <v>0</v>
      </c>
      <c r="N108" s="345">
        <v>0</v>
      </c>
      <c r="O108" s="345">
        <v>0</v>
      </c>
      <c r="P108" s="276"/>
      <c r="Q108" s="276"/>
      <c r="R108" s="276"/>
      <c r="S108" s="276"/>
      <c r="T108" s="276"/>
      <c r="U108" s="276"/>
      <c r="V108" s="276"/>
    </row>
    <row r="109" spans="1:22" s="268" customFormat="1" ht="14.1" customHeight="1">
      <c r="A109" s="566"/>
      <c r="B109" s="566"/>
      <c r="C109" s="566" t="s">
        <v>247</v>
      </c>
      <c r="D109" s="566"/>
      <c r="E109" s="567" t="s">
        <v>244</v>
      </c>
      <c r="F109" s="345">
        <v>0</v>
      </c>
      <c r="G109" s="345">
        <v>0</v>
      </c>
      <c r="H109" s="345">
        <v>0</v>
      </c>
      <c r="I109" s="345">
        <v>0</v>
      </c>
      <c r="J109" s="346">
        <v>0</v>
      </c>
      <c r="K109" s="345">
        <v>0</v>
      </c>
      <c r="L109" s="345">
        <v>0</v>
      </c>
      <c r="M109" s="345">
        <v>0</v>
      </c>
      <c r="N109" s="345">
        <v>0</v>
      </c>
      <c r="O109" s="345">
        <v>0</v>
      </c>
      <c r="P109" s="276"/>
      <c r="Q109" s="276"/>
      <c r="R109" s="276"/>
      <c r="S109" s="276"/>
      <c r="T109" s="276"/>
      <c r="U109" s="276"/>
      <c r="V109" s="276"/>
    </row>
    <row r="110" spans="1:22" s="268" customFormat="1" ht="14.1" customHeight="1">
      <c r="A110" s="566"/>
      <c r="B110" s="566"/>
      <c r="C110" s="566" t="s">
        <v>248</v>
      </c>
      <c r="D110" s="566"/>
      <c r="E110" s="567" t="s">
        <v>244</v>
      </c>
      <c r="F110" s="345">
        <v>0</v>
      </c>
      <c r="G110" s="345">
        <v>0</v>
      </c>
      <c r="H110" s="345">
        <v>0</v>
      </c>
      <c r="I110" s="345">
        <v>0</v>
      </c>
      <c r="J110" s="346">
        <v>0</v>
      </c>
      <c r="K110" s="345">
        <v>0</v>
      </c>
      <c r="L110" s="345">
        <v>0</v>
      </c>
      <c r="M110" s="345">
        <v>0</v>
      </c>
      <c r="N110" s="345">
        <v>0</v>
      </c>
      <c r="O110" s="345">
        <v>0</v>
      </c>
      <c r="P110" s="276"/>
      <c r="Q110" s="276"/>
      <c r="R110" s="276"/>
      <c r="S110" s="276"/>
      <c r="T110" s="276"/>
      <c r="U110" s="276"/>
      <c r="V110" s="276"/>
    </row>
    <row r="111" spans="1:22" s="268" customFormat="1" ht="14.1" customHeight="1">
      <c r="A111" s="566"/>
      <c r="B111" s="566"/>
      <c r="C111" s="566"/>
      <c r="D111" s="566"/>
      <c r="E111" s="567"/>
      <c r="F111" s="345"/>
      <c r="G111" s="345"/>
      <c r="H111" s="345"/>
      <c r="I111" s="345"/>
      <c r="J111" s="346"/>
      <c r="K111" s="345"/>
      <c r="L111" s="345"/>
      <c r="M111" s="345"/>
      <c r="N111" s="345"/>
      <c r="O111" s="345"/>
      <c r="P111" s="276"/>
      <c r="Q111" s="276"/>
      <c r="R111" s="276"/>
      <c r="S111" s="276"/>
      <c r="T111" s="276"/>
      <c r="U111" s="276"/>
      <c r="V111" s="276"/>
    </row>
    <row r="112" spans="1:22" s="268" customFormat="1" ht="14.1" customHeight="1">
      <c r="A112" s="566"/>
      <c r="B112" s="566"/>
      <c r="C112" s="566"/>
      <c r="D112" s="566"/>
      <c r="E112" s="567"/>
      <c r="F112" s="345"/>
      <c r="G112" s="345"/>
      <c r="H112" s="345"/>
      <c r="I112" s="345"/>
      <c r="J112" s="346"/>
      <c r="K112" s="345"/>
      <c r="L112" s="345"/>
      <c r="M112" s="345"/>
      <c r="N112" s="345"/>
      <c r="O112" s="345"/>
      <c r="P112" s="276"/>
      <c r="Q112" s="276"/>
      <c r="R112" s="276"/>
      <c r="S112" s="276"/>
      <c r="T112" s="276"/>
      <c r="U112" s="276"/>
      <c r="V112" s="276"/>
    </row>
    <row r="113" spans="1:22" s="268" customFormat="1" ht="14.1" customHeight="1">
      <c r="A113" s="566"/>
      <c r="B113" s="566" t="s">
        <v>227</v>
      </c>
      <c r="C113" s="566" t="s">
        <v>250</v>
      </c>
      <c r="D113" s="566"/>
      <c r="E113" s="567"/>
      <c r="F113" s="345">
        <v>1.383</v>
      </c>
      <c r="G113" s="345">
        <v>1.383</v>
      </c>
      <c r="H113" s="345">
        <v>1.383</v>
      </c>
      <c r="I113" s="345">
        <v>0.95099999999999996</v>
      </c>
      <c r="J113" s="346">
        <v>0.92899999999999994</v>
      </c>
      <c r="K113" s="345">
        <v>6.7806572158284742E-2</v>
      </c>
      <c r="L113" s="345">
        <v>6.7806572158284742E-2</v>
      </c>
      <c r="M113" s="345">
        <v>6.7806572158284742E-2</v>
      </c>
      <c r="N113" s="345">
        <v>6.7806572158284742E-2</v>
      </c>
      <c r="O113" s="345">
        <v>6.7806572158284742E-2</v>
      </c>
      <c r="P113" s="276" t="s">
        <v>307</v>
      </c>
      <c r="Q113" s="276"/>
      <c r="R113" s="276"/>
      <c r="S113" s="276"/>
      <c r="T113" s="276"/>
      <c r="U113" s="276"/>
      <c r="V113" s="276"/>
    </row>
    <row r="114" spans="1:22" s="268" customFormat="1" ht="14.1" customHeight="1">
      <c r="A114" s="566"/>
      <c r="B114" s="566"/>
      <c r="C114" s="566" t="s">
        <v>450</v>
      </c>
      <c r="D114" s="566"/>
      <c r="E114" s="567" t="s">
        <v>303</v>
      </c>
      <c r="F114" s="345">
        <v>0</v>
      </c>
      <c r="G114" s="345">
        <v>0</v>
      </c>
      <c r="H114" s="345">
        <v>0</v>
      </c>
      <c r="I114" s="345">
        <v>0</v>
      </c>
      <c r="J114" s="346">
        <v>0.39931485854002835</v>
      </c>
      <c r="K114" s="345">
        <v>0.57663717871533049</v>
      </c>
      <c r="L114" s="345">
        <v>0.76877115517098371</v>
      </c>
      <c r="M114" s="345">
        <v>0.975365031723054</v>
      </c>
      <c r="N114" s="345">
        <v>1.1962949521595185</v>
      </c>
      <c r="O114" s="345">
        <v>1.4313355911418792</v>
      </c>
      <c r="P114" s="276" t="s">
        <v>532</v>
      </c>
      <c r="Q114" s="276"/>
      <c r="R114" s="276"/>
      <c r="S114" s="276"/>
      <c r="T114" s="276"/>
      <c r="U114" s="276"/>
      <c r="V114" s="276" t="s">
        <v>498</v>
      </c>
    </row>
    <row r="115" spans="1:22" s="268" customFormat="1" ht="14.1" customHeight="1">
      <c r="A115" s="566"/>
      <c r="B115" s="566"/>
      <c r="C115" s="566" t="s">
        <v>247</v>
      </c>
      <c r="D115" s="566"/>
      <c r="E115" s="567" t="s">
        <v>244</v>
      </c>
      <c r="F115" s="345">
        <v>0</v>
      </c>
      <c r="G115" s="345">
        <v>0</v>
      </c>
      <c r="H115" s="345">
        <v>0</v>
      </c>
      <c r="I115" s="345">
        <v>0</v>
      </c>
      <c r="J115" s="346">
        <v>0</v>
      </c>
      <c r="K115" s="345">
        <v>0</v>
      </c>
      <c r="L115" s="345">
        <v>0</v>
      </c>
      <c r="M115" s="345">
        <v>0</v>
      </c>
      <c r="N115" s="345">
        <v>0</v>
      </c>
      <c r="O115" s="345">
        <v>0</v>
      </c>
      <c r="P115" s="276"/>
      <c r="Q115" s="276"/>
      <c r="R115" s="276"/>
      <c r="S115" s="276"/>
      <c r="T115" s="276"/>
      <c r="U115" s="276"/>
      <c r="V115" s="276"/>
    </row>
    <row r="116" spans="1:22" s="268" customFormat="1" ht="15" customHeight="1">
      <c r="A116" s="566"/>
      <c r="B116" s="566"/>
      <c r="C116" s="566" t="s">
        <v>248</v>
      </c>
      <c r="D116" s="566"/>
      <c r="E116" s="567" t="s">
        <v>244</v>
      </c>
      <c r="F116" s="345">
        <v>0</v>
      </c>
      <c r="G116" s="345">
        <v>0</v>
      </c>
      <c r="H116" s="345">
        <v>0</v>
      </c>
      <c r="I116" s="345">
        <v>0</v>
      </c>
      <c r="J116" s="346">
        <v>0</v>
      </c>
      <c r="K116" s="345">
        <v>0</v>
      </c>
      <c r="L116" s="345">
        <v>0</v>
      </c>
      <c r="M116" s="345">
        <v>0</v>
      </c>
      <c r="N116" s="345">
        <v>0</v>
      </c>
      <c r="O116" s="345">
        <v>0</v>
      </c>
      <c r="P116" s="276"/>
      <c r="Q116" s="276"/>
      <c r="R116" s="276"/>
      <c r="S116" s="276"/>
      <c r="T116" s="276"/>
      <c r="U116" s="276"/>
      <c r="V116" s="276"/>
    </row>
    <row r="117" spans="1:22" s="268" customFormat="1" ht="15" customHeight="1">
      <c r="A117" s="566"/>
      <c r="B117" s="566"/>
      <c r="C117" s="566"/>
      <c r="D117" s="566"/>
      <c r="E117" s="567"/>
      <c r="F117" s="345"/>
      <c r="G117" s="345"/>
      <c r="H117" s="345"/>
      <c r="I117" s="345"/>
      <c r="J117" s="346"/>
      <c r="K117" s="345"/>
      <c r="L117" s="345"/>
      <c r="M117" s="345"/>
      <c r="N117" s="345"/>
      <c r="O117" s="345"/>
      <c r="P117" s="276"/>
      <c r="Q117" s="276"/>
      <c r="R117" s="276"/>
      <c r="S117" s="276"/>
      <c r="T117" s="276"/>
      <c r="U117" s="276"/>
      <c r="V117" s="276"/>
    </row>
    <row r="118" spans="1:22" s="268" customFormat="1" ht="15" customHeight="1">
      <c r="A118" s="566"/>
      <c r="B118" s="566"/>
      <c r="C118" s="566"/>
      <c r="D118" s="566"/>
      <c r="E118" s="567"/>
      <c r="F118" s="345"/>
      <c r="G118" s="345"/>
      <c r="H118" s="345"/>
      <c r="I118" s="345"/>
      <c r="J118" s="346"/>
      <c r="K118" s="345"/>
      <c r="L118" s="345"/>
      <c r="M118" s="345"/>
      <c r="N118" s="345"/>
      <c r="O118" s="345"/>
      <c r="P118" s="276"/>
      <c r="Q118" s="276"/>
      <c r="R118" s="276"/>
      <c r="S118" s="276"/>
      <c r="T118" s="276"/>
      <c r="U118" s="276"/>
      <c r="V118" s="276"/>
    </row>
    <row r="119" spans="1:22" s="268" customFormat="1" ht="14.1" customHeight="1">
      <c r="A119" s="566"/>
      <c r="B119" s="566" t="s">
        <v>228</v>
      </c>
      <c r="C119" s="566" t="s">
        <v>250</v>
      </c>
      <c r="D119" s="566"/>
      <c r="E119" s="567"/>
      <c r="F119" s="345">
        <v>0.04</v>
      </c>
      <c r="G119" s="345">
        <v>0.04</v>
      </c>
      <c r="H119" s="345">
        <v>0.04</v>
      </c>
      <c r="I119" s="345">
        <v>0.04</v>
      </c>
      <c r="J119" s="346">
        <v>0.04</v>
      </c>
      <c r="K119" s="345">
        <v>3.7356398550166127E-2</v>
      </c>
      <c r="L119" s="345">
        <v>3.7356398550166127E-2</v>
      </c>
      <c r="M119" s="345">
        <v>3.7356398550166127E-2</v>
      </c>
      <c r="N119" s="345">
        <v>3.7356398550166127E-2</v>
      </c>
      <c r="O119" s="345">
        <v>3.7356398550166127E-2</v>
      </c>
      <c r="P119" s="276" t="s">
        <v>307</v>
      </c>
      <c r="Q119" s="276"/>
      <c r="R119" s="276"/>
      <c r="S119" s="276"/>
      <c r="T119" s="276"/>
      <c r="U119" s="276"/>
      <c r="V119" s="276"/>
    </row>
    <row r="120" spans="1:22" s="268" customFormat="1" ht="14.1" customHeight="1">
      <c r="A120" s="566"/>
      <c r="B120" s="566"/>
      <c r="C120" s="566" t="s">
        <v>450</v>
      </c>
      <c r="D120" s="566"/>
      <c r="E120" s="567" t="s">
        <v>244</v>
      </c>
      <c r="F120" s="345">
        <v>0</v>
      </c>
      <c r="G120" s="345">
        <v>0</v>
      </c>
      <c r="H120" s="345">
        <v>0</v>
      </c>
      <c r="I120" s="345">
        <v>0</v>
      </c>
      <c r="J120" s="346">
        <v>0</v>
      </c>
      <c r="K120" s="345">
        <v>0.19400000000000001</v>
      </c>
      <c r="L120" s="345">
        <v>0.254</v>
      </c>
      <c r="M120" s="345">
        <v>0.314</v>
      </c>
      <c r="N120" s="345">
        <v>0.36699999999999999</v>
      </c>
      <c r="O120" s="345">
        <v>0.41399999999999998</v>
      </c>
      <c r="P120" s="276" t="s">
        <v>531</v>
      </c>
      <c r="Q120" s="276"/>
      <c r="R120" s="276"/>
      <c r="S120" s="276"/>
      <c r="T120" s="276"/>
      <c r="U120" s="276"/>
      <c r="V120" s="276" t="s">
        <v>498</v>
      </c>
    </row>
    <row r="121" spans="1:22" s="268" customFormat="1" ht="14.1" customHeight="1">
      <c r="A121" s="566"/>
      <c r="B121" s="566"/>
      <c r="C121" s="566" t="s">
        <v>247</v>
      </c>
      <c r="D121" s="566"/>
      <c r="E121" s="567" t="s">
        <v>244</v>
      </c>
      <c r="F121" s="345">
        <v>0</v>
      </c>
      <c r="G121" s="345">
        <v>0</v>
      </c>
      <c r="H121" s="345">
        <v>0</v>
      </c>
      <c r="I121" s="345">
        <v>0</v>
      </c>
      <c r="J121" s="346">
        <v>0</v>
      </c>
      <c r="K121" s="345">
        <v>0</v>
      </c>
      <c r="L121" s="345">
        <v>0</v>
      </c>
      <c r="M121" s="345">
        <v>0</v>
      </c>
      <c r="N121" s="345">
        <v>0</v>
      </c>
      <c r="O121" s="345">
        <v>0</v>
      </c>
      <c r="P121" s="276"/>
      <c r="Q121" s="276"/>
      <c r="R121" s="276"/>
      <c r="S121" s="276"/>
      <c r="T121" s="276"/>
      <c r="U121" s="276"/>
      <c r="V121" s="276"/>
    </row>
    <row r="122" spans="1:22" s="268" customFormat="1" ht="14.1" customHeight="1">
      <c r="A122" s="566"/>
      <c r="B122" s="566"/>
      <c r="C122" s="566" t="s">
        <v>248</v>
      </c>
      <c r="D122" s="566"/>
      <c r="E122" s="567" t="s">
        <v>244</v>
      </c>
      <c r="F122" s="345">
        <v>0</v>
      </c>
      <c r="G122" s="345">
        <v>0</v>
      </c>
      <c r="H122" s="345">
        <v>0</v>
      </c>
      <c r="I122" s="345">
        <v>0</v>
      </c>
      <c r="J122" s="346">
        <v>0</v>
      </c>
      <c r="K122" s="345">
        <v>0</v>
      </c>
      <c r="L122" s="345">
        <v>0</v>
      </c>
      <c r="M122" s="345">
        <v>0</v>
      </c>
      <c r="N122" s="345">
        <v>0</v>
      </c>
      <c r="O122" s="345">
        <v>0</v>
      </c>
      <c r="P122" s="276"/>
      <c r="Q122" s="276"/>
      <c r="R122" s="276"/>
      <c r="S122" s="276"/>
      <c r="T122" s="276"/>
      <c r="U122" s="276"/>
      <c r="V122" s="276"/>
    </row>
    <row r="123" spans="1:22" s="268" customFormat="1" ht="14.1" customHeight="1">
      <c r="A123" s="566"/>
      <c r="B123" s="566"/>
      <c r="C123" s="566"/>
      <c r="D123" s="566"/>
      <c r="E123" s="567"/>
      <c r="F123" s="345"/>
      <c r="G123" s="345"/>
      <c r="H123" s="345"/>
      <c r="I123" s="345"/>
      <c r="J123" s="346"/>
      <c r="K123" s="345"/>
      <c r="L123" s="345"/>
      <c r="M123" s="345"/>
      <c r="N123" s="345"/>
      <c r="O123" s="345"/>
      <c r="P123" s="276"/>
      <c r="Q123" s="276"/>
      <c r="R123" s="276"/>
      <c r="S123" s="276"/>
      <c r="T123" s="276"/>
      <c r="U123" s="276"/>
      <c r="V123" s="276"/>
    </row>
    <row r="124" spans="1:22" s="268" customFormat="1" ht="14.1" customHeight="1">
      <c r="A124" s="566"/>
      <c r="B124" s="566"/>
      <c r="C124" s="566"/>
      <c r="D124" s="566"/>
      <c r="E124" s="567"/>
      <c r="F124" s="345"/>
      <c r="G124" s="345"/>
      <c r="H124" s="345"/>
      <c r="I124" s="345"/>
      <c r="J124" s="346"/>
      <c r="K124" s="345"/>
      <c r="L124" s="345"/>
      <c r="M124" s="345"/>
      <c r="N124" s="345"/>
      <c r="O124" s="345"/>
      <c r="P124" s="276"/>
      <c r="Q124" s="276"/>
      <c r="R124" s="276"/>
      <c r="S124" s="276"/>
      <c r="T124" s="276"/>
      <c r="U124" s="276"/>
      <c r="V124" s="276"/>
    </row>
    <row r="125" spans="1:22" s="268" customFormat="1" ht="14.1" customHeight="1">
      <c r="A125" s="566"/>
      <c r="B125" s="566" t="s">
        <v>229</v>
      </c>
      <c r="C125" s="566" t="s">
        <v>250</v>
      </c>
      <c r="D125" s="566"/>
      <c r="E125" s="567"/>
      <c r="F125" s="345">
        <v>0</v>
      </c>
      <c r="G125" s="345">
        <v>0</v>
      </c>
      <c r="H125" s="345">
        <v>0</v>
      </c>
      <c r="I125" s="345">
        <v>0</v>
      </c>
      <c r="J125" s="346">
        <v>0</v>
      </c>
      <c r="K125" s="345">
        <v>0</v>
      </c>
      <c r="L125" s="345">
        <v>0</v>
      </c>
      <c r="M125" s="345">
        <v>0</v>
      </c>
      <c r="N125" s="345">
        <v>0</v>
      </c>
      <c r="O125" s="345">
        <v>0</v>
      </c>
      <c r="P125" s="276" t="s">
        <v>307</v>
      </c>
      <c r="Q125" s="276"/>
      <c r="R125" s="276"/>
      <c r="S125" s="276"/>
      <c r="T125" s="276"/>
      <c r="U125" s="276"/>
      <c r="V125" s="276"/>
    </row>
    <row r="126" spans="1:22" s="268" customFormat="1" ht="14.1" customHeight="1">
      <c r="A126" s="566"/>
      <c r="B126" s="566"/>
      <c r="C126" s="566" t="s">
        <v>450</v>
      </c>
      <c r="D126" s="566"/>
      <c r="E126" s="567" t="s">
        <v>303</v>
      </c>
      <c r="F126" s="345">
        <v>0</v>
      </c>
      <c r="G126" s="345">
        <v>0</v>
      </c>
      <c r="H126" s="345">
        <v>0</v>
      </c>
      <c r="I126" s="345">
        <v>0</v>
      </c>
      <c r="J126" s="346">
        <v>0.03</v>
      </c>
      <c r="K126" s="345">
        <v>6.0999999999999999E-2</v>
      </c>
      <c r="L126" s="345">
        <v>9.1999999999999998E-2</v>
      </c>
      <c r="M126" s="345">
        <v>0.123</v>
      </c>
      <c r="N126" s="345">
        <v>0.155</v>
      </c>
      <c r="O126" s="345">
        <v>0.187</v>
      </c>
      <c r="P126" s="276" t="s">
        <v>532</v>
      </c>
      <c r="Q126" s="276"/>
      <c r="R126" s="276"/>
      <c r="S126" s="276"/>
      <c r="T126" s="276"/>
      <c r="U126" s="276"/>
      <c r="V126" s="276" t="s">
        <v>498</v>
      </c>
    </row>
    <row r="127" spans="1:22" s="268" customFormat="1" ht="14.1" customHeight="1">
      <c r="A127" s="566"/>
      <c r="B127" s="566"/>
      <c r="C127" s="566" t="s">
        <v>247</v>
      </c>
      <c r="D127" s="566"/>
      <c r="E127" s="567" t="s">
        <v>244</v>
      </c>
      <c r="F127" s="345">
        <v>0</v>
      </c>
      <c r="G127" s="345">
        <v>0</v>
      </c>
      <c r="H127" s="345">
        <v>0</v>
      </c>
      <c r="I127" s="345">
        <v>0</v>
      </c>
      <c r="J127" s="346">
        <v>0</v>
      </c>
      <c r="K127" s="345">
        <v>0</v>
      </c>
      <c r="L127" s="345">
        <v>0</v>
      </c>
      <c r="M127" s="345">
        <v>0</v>
      </c>
      <c r="N127" s="345">
        <v>0</v>
      </c>
      <c r="O127" s="345">
        <v>0</v>
      </c>
      <c r="P127" s="276"/>
      <c r="Q127" s="276"/>
      <c r="R127" s="276"/>
      <c r="S127" s="276"/>
      <c r="T127" s="276"/>
      <c r="U127" s="276"/>
      <c r="V127" s="276"/>
    </row>
    <row r="128" spans="1:22" s="268" customFormat="1" ht="14.1" customHeight="1">
      <c r="A128" s="566"/>
      <c r="B128" s="566"/>
      <c r="C128" s="566" t="s">
        <v>248</v>
      </c>
      <c r="D128" s="566"/>
      <c r="E128" s="567" t="s">
        <v>244</v>
      </c>
      <c r="F128" s="345">
        <v>0</v>
      </c>
      <c r="G128" s="345">
        <v>0</v>
      </c>
      <c r="H128" s="345">
        <v>0</v>
      </c>
      <c r="I128" s="345">
        <v>0</v>
      </c>
      <c r="J128" s="346">
        <v>0</v>
      </c>
      <c r="K128" s="345">
        <v>0</v>
      </c>
      <c r="L128" s="345">
        <v>0</v>
      </c>
      <c r="M128" s="345">
        <v>0</v>
      </c>
      <c r="N128" s="345">
        <v>0</v>
      </c>
      <c r="O128" s="345">
        <v>0</v>
      </c>
      <c r="P128" s="276"/>
      <c r="Q128" s="276"/>
      <c r="R128" s="276"/>
      <c r="S128" s="276"/>
      <c r="T128" s="276"/>
      <c r="U128" s="276"/>
      <c r="V128" s="276"/>
    </row>
    <row r="129" spans="1:27" s="268" customFormat="1" ht="14.1" customHeight="1">
      <c r="A129" s="566"/>
      <c r="B129" s="566"/>
      <c r="C129" s="566"/>
      <c r="D129" s="566"/>
      <c r="E129" s="567"/>
      <c r="F129" s="345"/>
      <c r="G129" s="345"/>
      <c r="H129" s="345"/>
      <c r="I129" s="345"/>
      <c r="J129" s="346"/>
      <c r="K129" s="345"/>
      <c r="L129" s="345"/>
      <c r="M129" s="345"/>
      <c r="N129" s="345"/>
      <c r="O129" s="345"/>
      <c r="P129" s="276"/>
      <c r="Q129" s="276"/>
      <c r="R129" s="276"/>
      <c r="S129" s="276"/>
      <c r="T129" s="276"/>
      <c r="U129" s="276"/>
      <c r="V129" s="276"/>
    </row>
    <row r="130" spans="1:27" s="268" customFormat="1" ht="14.1" customHeight="1">
      <c r="A130" s="566"/>
      <c r="B130" s="566"/>
      <c r="C130" s="566"/>
      <c r="D130" s="566"/>
      <c r="E130" s="567"/>
      <c r="F130" s="345"/>
      <c r="G130" s="345"/>
      <c r="H130" s="345"/>
      <c r="I130" s="345"/>
      <c r="J130" s="346"/>
      <c r="K130" s="345"/>
      <c r="L130" s="345"/>
      <c r="M130" s="345"/>
      <c r="N130" s="345"/>
      <c r="O130" s="345"/>
      <c r="P130" s="276"/>
      <c r="Q130" s="276"/>
      <c r="R130" s="276"/>
      <c r="S130" s="276"/>
      <c r="T130" s="276"/>
      <c r="U130" s="276"/>
      <c r="V130" s="276"/>
    </row>
    <row r="131" spans="1:27" s="268" customFormat="1" ht="14.1" customHeight="1">
      <c r="A131" s="566"/>
      <c r="B131" s="566" t="s">
        <v>230</v>
      </c>
      <c r="C131" s="566" t="s">
        <v>250</v>
      </c>
      <c r="D131" s="566"/>
      <c r="E131" s="567"/>
      <c r="F131" s="345">
        <v>0.13</v>
      </c>
      <c r="G131" s="345">
        <v>0.13700000000000001</v>
      </c>
      <c r="H131" s="345">
        <v>0.14099999999999999</v>
      </c>
      <c r="I131" s="345">
        <v>0.14099999999999999</v>
      </c>
      <c r="J131" s="346">
        <v>0.14099999999999999</v>
      </c>
      <c r="K131" s="345">
        <v>7.9898744193178897E-2</v>
      </c>
      <c r="L131" s="345">
        <v>7.9898744193178897E-2</v>
      </c>
      <c r="M131" s="345">
        <v>7.9898744193178897E-2</v>
      </c>
      <c r="N131" s="345">
        <v>7.9898744193178897E-2</v>
      </c>
      <c r="O131" s="345">
        <v>7.9898744193178897E-2</v>
      </c>
      <c r="P131" s="276" t="s">
        <v>307</v>
      </c>
      <c r="Q131" s="276"/>
      <c r="R131" s="276"/>
      <c r="S131" s="276"/>
      <c r="T131" s="276"/>
      <c r="U131" s="276"/>
      <c r="V131" s="276"/>
    </row>
    <row r="132" spans="1:27" s="268" customFormat="1" ht="14.1" customHeight="1">
      <c r="A132" s="566"/>
      <c r="B132" s="566"/>
      <c r="C132" s="566" t="s">
        <v>450</v>
      </c>
      <c r="D132" s="566"/>
      <c r="E132" s="567" t="s">
        <v>244</v>
      </c>
      <c r="F132" s="345">
        <v>0</v>
      </c>
      <c r="G132" s="345">
        <v>0</v>
      </c>
      <c r="H132" s="345">
        <v>0</v>
      </c>
      <c r="I132" s="345">
        <v>0</v>
      </c>
      <c r="J132" s="346">
        <v>5.2999999999999992E-2</v>
      </c>
      <c r="K132" s="345">
        <v>0.13599999999999995</v>
      </c>
      <c r="L132" s="345">
        <v>0.22699999999999998</v>
      </c>
      <c r="M132" s="345">
        <v>0.309</v>
      </c>
      <c r="N132" s="345">
        <v>0.41299999999999998</v>
      </c>
      <c r="O132" s="345">
        <v>0.53</v>
      </c>
      <c r="P132" s="276" t="s">
        <v>531</v>
      </c>
      <c r="Q132" s="276" t="s">
        <v>504</v>
      </c>
      <c r="R132" s="276"/>
      <c r="S132" s="276"/>
      <c r="T132" s="276"/>
      <c r="U132" s="276"/>
      <c r="V132" s="276" t="s">
        <v>498</v>
      </c>
    </row>
    <row r="133" spans="1:27" s="268" customFormat="1" ht="14.1" customHeight="1">
      <c r="A133" s="566"/>
      <c r="B133" s="566"/>
      <c r="C133" s="566" t="s">
        <v>247</v>
      </c>
      <c r="D133" s="566"/>
      <c r="E133" s="567" t="s">
        <v>244</v>
      </c>
      <c r="F133" s="345">
        <v>0</v>
      </c>
      <c r="G133" s="345">
        <v>0</v>
      </c>
      <c r="H133" s="345">
        <v>0</v>
      </c>
      <c r="I133" s="345">
        <v>0</v>
      </c>
      <c r="J133" s="346">
        <v>0</v>
      </c>
      <c r="K133" s="345">
        <v>0</v>
      </c>
      <c r="L133" s="345">
        <v>0</v>
      </c>
      <c r="M133" s="345">
        <v>0</v>
      </c>
      <c r="N133" s="345">
        <v>0</v>
      </c>
      <c r="O133" s="345">
        <v>0</v>
      </c>
      <c r="P133" s="276"/>
      <c r="Q133" s="276"/>
      <c r="R133" s="276"/>
      <c r="S133" s="276"/>
      <c r="T133" s="276"/>
      <c r="U133" s="276"/>
      <c r="V133" s="276"/>
    </row>
    <row r="134" spans="1:27" s="268" customFormat="1" ht="14.1" customHeight="1">
      <c r="A134" s="566"/>
      <c r="B134" s="566"/>
      <c r="C134" s="566" t="s">
        <v>248</v>
      </c>
      <c r="D134" s="566"/>
      <c r="E134" s="567" t="s">
        <v>244</v>
      </c>
      <c r="F134" s="345">
        <v>0</v>
      </c>
      <c r="G134" s="345">
        <v>0</v>
      </c>
      <c r="H134" s="345">
        <v>0</v>
      </c>
      <c r="I134" s="345">
        <v>0</v>
      </c>
      <c r="J134" s="346">
        <v>0</v>
      </c>
      <c r="K134" s="345">
        <v>0</v>
      </c>
      <c r="L134" s="345">
        <v>0</v>
      </c>
      <c r="M134" s="345">
        <v>0</v>
      </c>
      <c r="N134" s="345">
        <v>0</v>
      </c>
      <c r="O134" s="345">
        <v>0</v>
      </c>
      <c r="P134" s="276"/>
      <c r="Q134" s="276"/>
      <c r="R134" s="276"/>
      <c r="S134" s="276"/>
      <c r="T134" s="276"/>
      <c r="U134" s="276"/>
      <c r="V134" s="276"/>
      <c r="W134" s="276"/>
      <c r="X134" s="276"/>
      <c r="Y134" s="276"/>
      <c r="Z134" s="276"/>
      <c r="AA134" s="276"/>
    </row>
    <row r="135" spans="1:27" s="268" customFormat="1" ht="14.1" customHeight="1">
      <c r="A135" s="566"/>
      <c r="B135" s="566"/>
      <c r="C135" s="566"/>
      <c r="D135" s="566"/>
      <c r="E135" s="567"/>
      <c r="F135" s="345"/>
      <c r="G135" s="345"/>
      <c r="H135" s="345"/>
      <c r="I135" s="345"/>
      <c r="J135" s="346"/>
      <c r="K135" s="345"/>
      <c r="L135" s="345"/>
      <c r="M135" s="345"/>
      <c r="N135" s="345"/>
      <c r="O135" s="345"/>
      <c r="P135" s="276"/>
      <c r="Q135" s="276"/>
      <c r="R135" s="276"/>
      <c r="S135" s="276"/>
      <c r="T135" s="276"/>
      <c r="U135" s="276"/>
      <c r="V135" s="276"/>
    </row>
    <row r="136" spans="1:27" s="268" customFormat="1" ht="14.1" customHeight="1">
      <c r="A136" s="566"/>
      <c r="B136" s="566"/>
      <c r="C136" s="566"/>
      <c r="D136" s="566"/>
      <c r="E136" s="567"/>
      <c r="F136" s="345"/>
      <c r="G136" s="345"/>
      <c r="H136" s="345"/>
      <c r="I136" s="345"/>
      <c r="J136" s="346"/>
      <c r="K136" s="345"/>
      <c r="L136" s="345"/>
      <c r="M136" s="345"/>
      <c r="N136" s="345"/>
      <c r="O136" s="345"/>
      <c r="P136" s="276"/>
      <c r="Q136" s="276"/>
      <c r="R136" s="276"/>
      <c r="S136" s="276"/>
      <c r="T136" s="276"/>
      <c r="U136" s="276"/>
      <c r="V136" s="276"/>
    </row>
    <row r="137" spans="1:27" s="268" customFormat="1" ht="14.1" customHeight="1">
      <c r="A137" s="566"/>
      <c r="B137" s="566" t="s">
        <v>231</v>
      </c>
      <c r="C137" s="566" t="s">
        <v>250</v>
      </c>
      <c r="D137" s="566"/>
      <c r="E137" s="567"/>
      <c r="F137" s="345">
        <v>0</v>
      </c>
      <c r="G137" s="345">
        <v>0</v>
      </c>
      <c r="H137" s="345">
        <v>0</v>
      </c>
      <c r="I137" s="345">
        <v>0.64600000000000002</v>
      </c>
      <c r="J137" s="346">
        <v>0.64600000000000002</v>
      </c>
      <c r="K137" s="345">
        <v>0.5981496564423604</v>
      </c>
      <c r="L137" s="345">
        <v>0.5981496564423604</v>
      </c>
      <c r="M137" s="345">
        <v>0.5981496564423604</v>
      </c>
      <c r="N137" s="345">
        <v>0.5981496564423604</v>
      </c>
      <c r="O137" s="345">
        <v>0.5981496564423604</v>
      </c>
      <c r="P137" s="276" t="s">
        <v>307</v>
      </c>
      <c r="Q137" s="276"/>
      <c r="R137" s="276"/>
      <c r="S137" s="276"/>
      <c r="T137" s="276"/>
      <c r="U137" s="276"/>
      <c r="V137" s="276"/>
    </row>
    <row r="138" spans="1:27" s="268" customFormat="1" ht="14.1" customHeight="1">
      <c r="A138" s="566"/>
      <c r="B138" s="566"/>
      <c r="C138" s="566" t="s">
        <v>450</v>
      </c>
      <c r="D138" s="566"/>
      <c r="E138" s="567" t="s">
        <v>244</v>
      </c>
      <c r="F138" s="345">
        <v>0</v>
      </c>
      <c r="G138" s="345">
        <v>0</v>
      </c>
      <c r="H138" s="345">
        <v>0</v>
      </c>
      <c r="I138" s="345">
        <v>0</v>
      </c>
      <c r="J138" s="346">
        <v>0.52596974815672581</v>
      </c>
      <c r="K138" s="345">
        <v>0.61896674181430367</v>
      </c>
      <c r="L138" s="345">
        <v>0.90378805828376829</v>
      </c>
      <c r="M138" s="345">
        <v>1.2529636997973763</v>
      </c>
      <c r="N138" s="345">
        <v>1.7659087536370466</v>
      </c>
      <c r="O138" s="345">
        <v>2.292797621213496</v>
      </c>
      <c r="P138" s="276" t="s">
        <v>531</v>
      </c>
      <c r="Q138" s="276" t="s">
        <v>505</v>
      </c>
      <c r="R138" s="276"/>
      <c r="S138" s="276"/>
      <c r="T138" s="276"/>
      <c r="U138" s="276"/>
      <c r="V138" s="276" t="s">
        <v>498</v>
      </c>
    </row>
    <row r="139" spans="1:27" s="268" customFormat="1" ht="14.1" customHeight="1">
      <c r="A139" s="566"/>
      <c r="B139" s="566"/>
      <c r="C139" s="566" t="s">
        <v>247</v>
      </c>
      <c r="D139" s="566"/>
      <c r="E139" s="567" t="s">
        <v>244</v>
      </c>
      <c r="F139" s="345">
        <v>0</v>
      </c>
      <c r="G139" s="345">
        <v>0</v>
      </c>
      <c r="H139" s="345">
        <v>0</v>
      </c>
      <c r="I139" s="345">
        <v>0</v>
      </c>
      <c r="J139" s="346">
        <v>0</v>
      </c>
      <c r="K139" s="345">
        <v>0</v>
      </c>
      <c r="L139" s="345">
        <v>0</v>
      </c>
      <c r="M139" s="345">
        <v>0</v>
      </c>
      <c r="N139" s="345">
        <v>0</v>
      </c>
      <c r="O139" s="345">
        <v>0</v>
      </c>
      <c r="P139" s="276"/>
      <c r="Q139" s="276"/>
      <c r="R139" s="276"/>
      <c r="S139" s="276"/>
      <c r="T139" s="276"/>
      <c r="U139" s="276"/>
      <c r="V139" s="276"/>
    </row>
    <row r="140" spans="1:27" s="268" customFormat="1" ht="14.1" customHeight="1">
      <c r="A140" s="566"/>
      <c r="B140" s="566"/>
      <c r="C140" s="566" t="s">
        <v>248</v>
      </c>
      <c r="D140" s="566"/>
      <c r="E140" s="567" t="s">
        <v>244</v>
      </c>
      <c r="F140" s="345">
        <v>0</v>
      </c>
      <c r="G140" s="345">
        <v>0</v>
      </c>
      <c r="H140" s="345">
        <v>0</v>
      </c>
      <c r="I140" s="345">
        <v>0</v>
      </c>
      <c r="J140" s="346">
        <v>0</v>
      </c>
      <c r="K140" s="345">
        <v>0</v>
      </c>
      <c r="L140" s="345">
        <v>0</v>
      </c>
      <c r="M140" s="345">
        <v>0</v>
      </c>
      <c r="N140" s="345">
        <v>0</v>
      </c>
      <c r="O140" s="345">
        <v>0</v>
      </c>
      <c r="P140" s="276"/>
      <c r="Q140" s="276"/>
      <c r="R140" s="276"/>
      <c r="S140" s="276"/>
      <c r="T140" s="276"/>
      <c r="U140" s="276"/>
      <c r="V140" s="276"/>
    </row>
    <row r="141" spans="1:27" s="268" customFormat="1" ht="14.1" customHeight="1">
      <c r="A141" s="566"/>
      <c r="B141" s="566"/>
      <c r="C141" s="566"/>
      <c r="D141" s="566"/>
      <c r="E141" s="567"/>
      <c r="F141" s="345"/>
      <c r="G141" s="345"/>
      <c r="H141" s="345"/>
      <c r="I141" s="345"/>
      <c r="J141" s="346"/>
      <c r="K141" s="345"/>
      <c r="L141" s="345"/>
      <c r="M141" s="345"/>
      <c r="N141" s="345"/>
      <c r="O141" s="345"/>
      <c r="P141" s="276"/>
      <c r="Q141" s="276"/>
      <c r="R141" s="276"/>
      <c r="S141" s="276"/>
      <c r="T141" s="276"/>
      <c r="U141" s="276"/>
      <c r="V141" s="276"/>
    </row>
    <row r="142" spans="1:27" s="268" customFormat="1" ht="14.1" customHeight="1">
      <c r="A142" s="566"/>
      <c r="B142" s="566"/>
      <c r="C142" s="566"/>
      <c r="D142" s="566"/>
      <c r="E142" s="567"/>
      <c r="F142" s="345"/>
      <c r="G142" s="345"/>
      <c r="H142" s="345"/>
      <c r="I142" s="345"/>
      <c r="J142" s="346"/>
      <c r="K142" s="345"/>
      <c r="L142" s="345"/>
      <c r="M142" s="345"/>
      <c r="N142" s="345"/>
      <c r="O142" s="345"/>
      <c r="P142" s="276"/>
      <c r="Q142" s="276"/>
      <c r="R142" s="276"/>
      <c r="S142" s="276"/>
      <c r="T142" s="276"/>
      <c r="U142" s="276"/>
      <c r="V142" s="276"/>
    </row>
    <row r="143" spans="1:27" s="268" customFormat="1" ht="14.1" customHeight="1">
      <c r="A143" s="566"/>
      <c r="B143" s="566" t="s">
        <v>232</v>
      </c>
      <c r="C143" s="566" t="s">
        <v>250</v>
      </c>
      <c r="D143" s="566"/>
      <c r="E143" s="567"/>
      <c r="F143" s="345">
        <v>0.370546496095429</v>
      </c>
      <c r="G143" s="345">
        <v>0.419271196577163</v>
      </c>
      <c r="H143" s="345">
        <v>0.39128733321794001</v>
      </c>
      <c r="I143" s="345">
        <v>0.39128733321794001</v>
      </c>
      <c r="J143" s="346">
        <v>0.39128733321794001</v>
      </c>
      <c r="K143" s="345">
        <v>0.28781634921501137</v>
      </c>
      <c r="L143" s="345">
        <v>0.28781634921501137</v>
      </c>
      <c r="M143" s="345">
        <v>0.28781634921501137</v>
      </c>
      <c r="N143" s="345">
        <v>0.28781634921501137</v>
      </c>
      <c r="O143" s="345">
        <v>0.28781634921501137</v>
      </c>
      <c r="P143" s="276" t="s">
        <v>307</v>
      </c>
      <c r="Q143" s="276"/>
      <c r="R143" s="276"/>
      <c r="S143" s="276"/>
      <c r="T143" s="276"/>
      <c r="U143" s="276"/>
      <c r="V143" s="276"/>
    </row>
    <row r="144" spans="1:27" s="268" customFormat="1" ht="14.1" customHeight="1">
      <c r="A144" s="566"/>
      <c r="B144" s="566"/>
      <c r="C144" s="566" t="s">
        <v>450</v>
      </c>
      <c r="D144" s="566"/>
      <c r="E144" s="567" t="s">
        <v>244</v>
      </c>
      <c r="F144" s="345">
        <v>0</v>
      </c>
      <c r="G144" s="345">
        <v>0</v>
      </c>
      <c r="H144" s="345">
        <v>0</v>
      </c>
      <c r="I144" s="345">
        <v>0</v>
      </c>
      <c r="J144" s="346">
        <v>0</v>
      </c>
      <c r="K144" s="345">
        <v>-0.11995374353425542</v>
      </c>
      <c r="L144" s="345">
        <v>5.8378994848116456E-2</v>
      </c>
      <c r="M144" s="345">
        <v>0.39774678760434334</v>
      </c>
      <c r="N144" s="345">
        <v>0.79883183770853605</v>
      </c>
      <c r="O144" s="345">
        <v>1.2337063618364865</v>
      </c>
      <c r="P144" s="276" t="s">
        <v>531</v>
      </c>
      <c r="Q144" s="276"/>
      <c r="R144" s="276"/>
      <c r="S144" s="276"/>
      <c r="T144" s="276"/>
      <c r="U144" s="276"/>
      <c r="V144" s="276" t="s">
        <v>498</v>
      </c>
    </row>
    <row r="145" spans="1:22" s="268" customFormat="1" ht="14.1" customHeight="1">
      <c r="A145" s="566"/>
      <c r="B145" s="566"/>
      <c r="C145" s="566" t="s">
        <v>247</v>
      </c>
      <c r="D145" s="566"/>
      <c r="E145" s="567" t="s">
        <v>244</v>
      </c>
      <c r="F145" s="345">
        <v>0.70491404093957355</v>
      </c>
      <c r="G145" s="345">
        <v>0.73989838137705832</v>
      </c>
      <c r="H145" s="345">
        <v>0.77540000000000009</v>
      </c>
      <c r="I145" s="345">
        <v>0.84961144462557781</v>
      </c>
      <c r="J145" s="346">
        <v>0.89201823159555405</v>
      </c>
      <c r="K145" s="345">
        <v>0.84753410530562789</v>
      </c>
      <c r="L145" s="345">
        <v>0.82381302168923654</v>
      </c>
      <c r="M145" s="345">
        <v>0.82375104885257411</v>
      </c>
      <c r="N145" s="345">
        <v>0.84810307338594249</v>
      </c>
      <c r="O145" s="345">
        <v>0.87214851405004135</v>
      </c>
      <c r="P145" s="276"/>
      <c r="Q145" s="276"/>
      <c r="R145" s="276"/>
      <c r="S145" s="276"/>
      <c r="T145" s="276"/>
      <c r="U145" s="276"/>
      <c r="V145" s="276"/>
    </row>
    <row r="146" spans="1:22" s="268" customFormat="1" ht="14.1" customHeight="1">
      <c r="A146" s="566"/>
      <c r="B146" s="566"/>
      <c r="C146" s="566" t="s">
        <v>248</v>
      </c>
      <c r="D146" s="566"/>
      <c r="E146" s="567" t="s">
        <v>244</v>
      </c>
      <c r="F146" s="345">
        <v>0</v>
      </c>
      <c r="G146" s="345">
        <v>0</v>
      </c>
      <c r="H146" s="345">
        <v>0</v>
      </c>
      <c r="I146" s="345">
        <v>0</v>
      </c>
      <c r="J146" s="346">
        <v>0</v>
      </c>
      <c r="K146" s="345">
        <v>0</v>
      </c>
      <c r="L146" s="345">
        <v>0</v>
      </c>
      <c r="M146" s="345">
        <v>0</v>
      </c>
      <c r="N146" s="345">
        <v>0</v>
      </c>
      <c r="O146" s="345">
        <v>0</v>
      </c>
      <c r="P146" s="276"/>
      <c r="Q146" s="276"/>
      <c r="R146" s="276"/>
      <c r="S146" s="276"/>
      <c r="T146" s="276"/>
      <c r="U146" s="276"/>
      <c r="V146" s="276"/>
    </row>
    <row r="147" spans="1:22" s="268" customFormat="1" ht="14.1" customHeight="1">
      <c r="A147" s="566"/>
      <c r="B147" s="566"/>
      <c r="C147" s="566"/>
      <c r="D147" s="566"/>
      <c r="E147" s="567"/>
      <c r="F147" s="345"/>
      <c r="G147" s="345"/>
      <c r="H147" s="345"/>
      <c r="I147" s="345"/>
      <c r="J147" s="346"/>
      <c r="K147" s="345"/>
      <c r="L147" s="345"/>
      <c r="M147" s="345"/>
      <c r="N147" s="345"/>
      <c r="O147" s="345"/>
      <c r="P147" s="276"/>
      <c r="Q147" s="276"/>
      <c r="R147" s="276"/>
      <c r="S147" s="276"/>
      <c r="T147" s="276"/>
      <c r="U147" s="276"/>
      <c r="V147" s="276"/>
    </row>
    <row r="148" spans="1:22" s="268" customFormat="1" ht="14.1" customHeight="1">
      <c r="A148" s="566"/>
      <c r="B148" s="566"/>
      <c r="C148" s="566"/>
      <c r="D148" s="566"/>
      <c r="E148" s="567"/>
      <c r="F148" s="568"/>
      <c r="G148" s="568"/>
      <c r="H148" s="568"/>
      <c r="I148" s="568"/>
      <c r="J148" s="569"/>
      <c r="K148" s="568"/>
      <c r="L148" s="568"/>
      <c r="M148" s="568"/>
      <c r="N148" s="568"/>
      <c r="O148" s="568"/>
      <c r="P148" s="276"/>
      <c r="Q148" s="276"/>
      <c r="R148" s="276"/>
      <c r="S148" s="276"/>
      <c r="T148" s="276"/>
      <c r="U148" s="276"/>
      <c r="V148" s="276"/>
    </row>
    <row r="149" spans="1:22" s="268" customFormat="1" ht="14.1" customHeight="1">
      <c r="A149" s="566"/>
      <c r="B149" s="566" t="s">
        <v>254</v>
      </c>
      <c r="C149" s="566" t="s">
        <v>250</v>
      </c>
      <c r="D149" s="566"/>
      <c r="E149" s="567"/>
      <c r="F149" s="568">
        <v>0</v>
      </c>
      <c r="G149" s="568">
        <v>0</v>
      </c>
      <c r="H149" s="568">
        <v>0</v>
      </c>
      <c r="I149" s="568">
        <v>2.1567183963990499E-2</v>
      </c>
      <c r="J149" s="569">
        <v>2.1567183963990499E-2</v>
      </c>
      <c r="K149" s="568">
        <v>7.9276964372798943E-3</v>
      </c>
      <c r="L149" s="568">
        <v>7.9276964372798943E-3</v>
      </c>
      <c r="M149" s="568">
        <v>7.9276964372798943E-3</v>
      </c>
      <c r="N149" s="568">
        <v>7.9276964372798943E-3</v>
      </c>
      <c r="O149" s="568">
        <v>7.9276964372798943E-3</v>
      </c>
      <c r="P149" s="276" t="s">
        <v>307</v>
      </c>
      <c r="Q149" s="276"/>
      <c r="R149" s="276"/>
      <c r="S149" s="276"/>
      <c r="T149" s="276"/>
      <c r="U149" s="276"/>
      <c r="V149" s="276"/>
    </row>
    <row r="150" spans="1:22" s="268" customFormat="1" ht="14.1" customHeight="1">
      <c r="A150" s="566"/>
      <c r="B150" s="566"/>
      <c r="C150" s="566" t="s">
        <v>450</v>
      </c>
      <c r="D150" s="566"/>
      <c r="E150" s="567" t="s">
        <v>244</v>
      </c>
      <c r="F150" s="568">
        <v>0</v>
      </c>
      <c r="G150" s="568">
        <v>0</v>
      </c>
      <c r="H150" s="568">
        <v>0</v>
      </c>
      <c r="I150" s="568">
        <v>0</v>
      </c>
      <c r="J150" s="569">
        <v>0</v>
      </c>
      <c r="K150" s="568">
        <v>0</v>
      </c>
      <c r="L150" s="568">
        <v>0.18329930802200689</v>
      </c>
      <c r="M150" s="568">
        <v>0.40723650087282692</v>
      </c>
      <c r="N150" s="568">
        <v>0.61441966735418863</v>
      </c>
      <c r="O150" s="568">
        <v>0.8214561673117009</v>
      </c>
      <c r="P150" s="276" t="s">
        <v>531</v>
      </c>
      <c r="Q150" s="276"/>
      <c r="R150" s="276"/>
      <c r="S150" s="276"/>
      <c r="T150" s="276"/>
      <c r="U150" s="276"/>
      <c r="V150" s="276" t="s">
        <v>498</v>
      </c>
    </row>
    <row r="151" spans="1:22" s="268" customFormat="1" ht="14.1" customHeight="1">
      <c r="A151" s="566"/>
      <c r="B151" s="566"/>
      <c r="C151" s="566" t="s">
        <v>247</v>
      </c>
      <c r="D151" s="566"/>
      <c r="E151" s="567" t="s">
        <v>244</v>
      </c>
      <c r="F151" s="568">
        <v>0</v>
      </c>
      <c r="G151" s="568">
        <v>0</v>
      </c>
      <c r="H151" s="568">
        <v>0</v>
      </c>
      <c r="I151" s="568">
        <v>0</v>
      </c>
      <c r="J151" s="569">
        <v>0</v>
      </c>
      <c r="K151" s="568">
        <v>0</v>
      </c>
      <c r="L151" s="568">
        <v>0</v>
      </c>
      <c r="M151" s="568">
        <v>0</v>
      </c>
      <c r="N151" s="568">
        <v>0</v>
      </c>
      <c r="O151" s="568">
        <v>0</v>
      </c>
      <c r="P151" s="276"/>
      <c r="Q151" s="276"/>
      <c r="R151" s="276"/>
      <c r="S151" s="276"/>
      <c r="T151" s="276"/>
      <c r="U151" s="276"/>
      <c r="V151" s="276"/>
    </row>
    <row r="152" spans="1:22" s="268" customFormat="1" ht="14.1" customHeight="1">
      <c r="A152" s="566"/>
      <c r="B152" s="566"/>
      <c r="C152" s="566" t="s">
        <v>248</v>
      </c>
      <c r="D152" s="566"/>
      <c r="E152" s="567" t="s">
        <v>244</v>
      </c>
      <c r="F152" s="568">
        <v>0</v>
      </c>
      <c r="G152" s="568">
        <v>0</v>
      </c>
      <c r="H152" s="568">
        <v>0</v>
      </c>
      <c r="I152" s="568">
        <v>0</v>
      </c>
      <c r="J152" s="569">
        <v>0</v>
      </c>
      <c r="K152" s="568">
        <v>0</v>
      </c>
      <c r="L152" s="568">
        <v>0</v>
      </c>
      <c r="M152" s="568">
        <v>0</v>
      </c>
      <c r="N152" s="568">
        <v>0</v>
      </c>
      <c r="O152" s="568">
        <v>0</v>
      </c>
      <c r="P152" s="276"/>
      <c r="Q152" s="276"/>
      <c r="R152" s="276"/>
      <c r="S152" s="276"/>
      <c r="T152" s="276"/>
      <c r="U152" s="276"/>
      <c r="V152" s="276"/>
    </row>
    <row r="153" spans="1:22" s="328" customFormat="1" ht="14.25">
      <c r="A153" s="576" t="s">
        <v>429</v>
      </c>
      <c r="B153" s="555"/>
      <c r="C153" s="555"/>
      <c r="D153" s="555"/>
      <c r="E153" s="554"/>
      <c r="F153" s="555"/>
      <c r="G153" s="555"/>
      <c r="H153" s="555"/>
      <c r="I153" s="555"/>
      <c r="J153" s="554"/>
      <c r="K153" s="555"/>
      <c r="L153" s="555"/>
      <c r="M153" s="555"/>
      <c r="N153" s="555"/>
      <c r="O153" s="555"/>
    </row>
    <row r="154" spans="1:22" ht="14.25">
      <c r="A154" s="570"/>
      <c r="B154" s="566" t="s">
        <v>67</v>
      </c>
      <c r="C154" s="570"/>
      <c r="D154" s="570"/>
      <c r="E154" s="342">
        <v>1.3</v>
      </c>
      <c r="F154" s="556"/>
      <c r="G154" s="556"/>
      <c r="H154" s="556"/>
      <c r="I154" s="556"/>
      <c r="J154" s="557"/>
      <c r="K154" s="558"/>
      <c r="L154" s="556"/>
      <c r="M154" s="556"/>
      <c r="N154" s="556"/>
      <c r="O154" s="556"/>
    </row>
    <row r="155" spans="1:22" s="328" customFormat="1" ht="14.25">
      <c r="A155" s="576" t="s">
        <v>483</v>
      </c>
      <c r="B155" s="571"/>
      <c r="C155" s="555"/>
      <c r="D155" s="555"/>
      <c r="E155" s="549"/>
      <c r="F155" s="559"/>
      <c r="G155" s="559"/>
      <c r="H155" s="559"/>
      <c r="I155" s="559"/>
      <c r="J155" s="560"/>
      <c r="K155" s="561"/>
      <c r="L155" s="559"/>
      <c r="M155" s="559"/>
      <c r="N155" s="559"/>
      <c r="O155" s="559"/>
    </row>
    <row r="156" spans="1:22" ht="14.25">
      <c r="A156" s="577"/>
      <c r="B156" s="570" t="s">
        <v>485</v>
      </c>
      <c r="C156" s="570"/>
      <c r="D156" s="570"/>
      <c r="E156" s="283"/>
      <c r="F156" s="556"/>
      <c r="G156" s="556"/>
      <c r="H156" s="562">
        <v>244.67499999999998</v>
      </c>
      <c r="I156" s="563">
        <v>251.73333333333335</v>
      </c>
      <c r="J156" s="557"/>
      <c r="K156" s="558"/>
      <c r="L156" s="556"/>
      <c r="M156" s="556"/>
      <c r="N156" s="556"/>
      <c r="O156" s="556"/>
      <c r="P156" s="587" t="s">
        <v>495</v>
      </c>
      <c r="Q156" s="308" t="s">
        <v>496</v>
      </c>
    </row>
    <row r="157" spans="1:22" ht="14.25">
      <c r="A157" s="570"/>
      <c r="B157" s="566" t="s">
        <v>489</v>
      </c>
      <c r="C157" s="570"/>
      <c r="D157" s="570"/>
      <c r="E157" s="564">
        <f>I156/H156</f>
        <v>1.0288477912877627</v>
      </c>
      <c r="F157" s="558"/>
      <c r="G157" s="558"/>
      <c r="H157" s="556"/>
      <c r="I157" s="556"/>
      <c r="J157" s="557"/>
      <c r="K157" s="558"/>
      <c r="L157" s="556"/>
      <c r="M157" s="556"/>
      <c r="N157" s="556"/>
      <c r="O157" s="556"/>
    </row>
    <row r="158" spans="1:22" s="332" customFormat="1" ht="14.25">
      <c r="A158" s="576" t="s">
        <v>482</v>
      </c>
      <c r="B158" s="555"/>
      <c r="C158" s="555"/>
      <c r="D158" s="555"/>
      <c r="E158" s="554"/>
      <c r="F158" s="555"/>
      <c r="G158" s="555"/>
      <c r="H158" s="555"/>
      <c r="I158" s="555"/>
      <c r="J158" s="554"/>
      <c r="K158" s="565"/>
      <c r="L158" s="555"/>
      <c r="M158" s="555"/>
      <c r="N158" s="555"/>
      <c r="O158" s="555"/>
    </row>
    <row r="159" spans="1:22" ht="14.25">
      <c r="A159" s="570"/>
      <c r="B159" s="570" t="s">
        <v>215</v>
      </c>
      <c r="C159" s="570" t="s">
        <v>250</v>
      </c>
      <c r="D159" s="570"/>
      <c r="E159" s="572"/>
      <c r="F159" s="573">
        <v>1</v>
      </c>
      <c r="G159" s="573">
        <v>1</v>
      </c>
      <c r="H159" s="573">
        <v>1</v>
      </c>
      <c r="I159" s="573">
        <v>1</v>
      </c>
      <c r="J159" s="574">
        <v>1</v>
      </c>
      <c r="K159" s="575">
        <v>1</v>
      </c>
      <c r="L159" s="573">
        <v>1</v>
      </c>
      <c r="M159" s="573">
        <v>1</v>
      </c>
      <c r="N159" s="573">
        <v>1</v>
      </c>
      <c r="O159" s="573">
        <v>1</v>
      </c>
    </row>
    <row r="160" spans="1:22" ht="14.25">
      <c r="A160" s="570"/>
      <c r="B160" s="570"/>
      <c r="C160" s="570" t="s">
        <v>450</v>
      </c>
      <c r="D160" s="570"/>
      <c r="E160" s="572"/>
      <c r="F160" s="573">
        <v>1</v>
      </c>
      <c r="G160" s="573">
        <v>1</v>
      </c>
      <c r="H160" s="573">
        <v>1</v>
      </c>
      <c r="I160" s="573">
        <v>1</v>
      </c>
      <c r="J160" s="574">
        <v>1</v>
      </c>
      <c r="K160" s="575">
        <v>1</v>
      </c>
      <c r="L160" s="573">
        <v>1</v>
      </c>
      <c r="M160" s="573">
        <v>1</v>
      </c>
      <c r="N160" s="573">
        <v>1</v>
      </c>
      <c r="O160" s="573">
        <v>1</v>
      </c>
    </row>
    <row r="161" spans="1:15" ht="14.25">
      <c r="A161" s="570"/>
      <c r="B161" s="570"/>
      <c r="C161" s="570" t="s">
        <v>247</v>
      </c>
      <c r="D161" s="570"/>
      <c r="E161" s="572"/>
      <c r="F161" s="573">
        <v>1</v>
      </c>
      <c r="G161" s="573">
        <v>1</v>
      </c>
      <c r="H161" s="573">
        <v>1</v>
      </c>
      <c r="I161" s="573">
        <v>1</v>
      </c>
      <c r="J161" s="574">
        <v>1</v>
      </c>
      <c r="K161" s="575">
        <v>1</v>
      </c>
      <c r="L161" s="573">
        <v>1</v>
      </c>
      <c r="M161" s="573">
        <v>1</v>
      </c>
      <c r="N161" s="573">
        <v>1</v>
      </c>
      <c r="O161" s="573">
        <v>1</v>
      </c>
    </row>
    <row r="162" spans="1:15" ht="14.25">
      <c r="A162" s="570"/>
      <c r="B162" s="570"/>
      <c r="C162" s="570" t="s">
        <v>248</v>
      </c>
      <c r="D162" s="570"/>
      <c r="E162" s="572"/>
      <c r="F162" s="573">
        <v>1</v>
      </c>
      <c r="G162" s="573">
        <v>1</v>
      </c>
      <c r="H162" s="573">
        <v>1</v>
      </c>
      <c r="I162" s="573">
        <v>1</v>
      </c>
      <c r="J162" s="574">
        <v>1</v>
      </c>
      <c r="K162" s="575">
        <v>1</v>
      </c>
      <c r="L162" s="573">
        <v>1</v>
      </c>
      <c r="M162" s="573">
        <v>1</v>
      </c>
      <c r="N162" s="573">
        <v>1</v>
      </c>
      <c r="O162" s="573">
        <v>1</v>
      </c>
    </row>
    <row r="163" spans="1:15" ht="14.25">
      <c r="A163" s="570"/>
      <c r="B163" s="570"/>
      <c r="C163" s="570"/>
      <c r="D163" s="570"/>
      <c r="E163" s="572"/>
      <c r="F163" s="573"/>
      <c r="G163" s="573"/>
      <c r="H163" s="573"/>
      <c r="I163" s="573"/>
      <c r="J163" s="574"/>
      <c r="K163" s="575"/>
      <c r="L163" s="573"/>
      <c r="M163" s="573"/>
      <c r="N163" s="573"/>
      <c r="O163" s="573"/>
    </row>
    <row r="164" spans="1:15" ht="14.25">
      <c r="A164" s="570"/>
      <c r="B164" s="570"/>
      <c r="C164" s="570"/>
      <c r="D164" s="570"/>
      <c r="E164" s="572"/>
      <c r="F164" s="573"/>
      <c r="G164" s="573"/>
      <c r="H164" s="573"/>
      <c r="I164" s="573"/>
      <c r="J164" s="574"/>
      <c r="K164" s="575"/>
      <c r="L164" s="573"/>
      <c r="M164" s="573"/>
      <c r="N164" s="573"/>
      <c r="O164" s="573"/>
    </row>
    <row r="165" spans="1:15" ht="14.25">
      <c r="A165" s="570"/>
      <c r="B165" s="570" t="s">
        <v>216</v>
      </c>
      <c r="C165" s="570" t="s">
        <v>250</v>
      </c>
      <c r="D165" s="570"/>
      <c r="E165" s="572"/>
      <c r="F165" s="573">
        <v>1</v>
      </c>
      <c r="G165" s="573">
        <v>1</v>
      </c>
      <c r="H165" s="573">
        <v>1</v>
      </c>
      <c r="I165" s="573">
        <v>1</v>
      </c>
      <c r="J165" s="574">
        <v>1</v>
      </c>
      <c r="K165" s="575">
        <v>1</v>
      </c>
      <c r="L165" s="573">
        <v>1</v>
      </c>
      <c r="M165" s="573">
        <v>1</v>
      </c>
      <c r="N165" s="573">
        <v>1</v>
      </c>
      <c r="O165" s="573">
        <v>1</v>
      </c>
    </row>
    <row r="166" spans="1:15" ht="14.25">
      <c r="A166" s="570"/>
      <c r="B166" s="570"/>
      <c r="C166" s="570" t="s">
        <v>450</v>
      </c>
      <c r="D166" s="570"/>
      <c r="E166" s="572"/>
      <c r="F166" s="573">
        <v>1</v>
      </c>
      <c r="G166" s="573">
        <v>1</v>
      </c>
      <c r="H166" s="573">
        <v>1</v>
      </c>
      <c r="I166" s="573">
        <v>1</v>
      </c>
      <c r="J166" s="574">
        <v>1</v>
      </c>
      <c r="K166" s="575">
        <v>1</v>
      </c>
      <c r="L166" s="573">
        <v>1</v>
      </c>
      <c r="M166" s="573">
        <v>1</v>
      </c>
      <c r="N166" s="573">
        <v>1</v>
      </c>
      <c r="O166" s="573">
        <v>1</v>
      </c>
    </row>
    <row r="167" spans="1:15" ht="14.25">
      <c r="A167" s="570"/>
      <c r="B167" s="570"/>
      <c r="C167" s="570" t="s">
        <v>247</v>
      </c>
      <c r="D167" s="570"/>
      <c r="E167" s="572"/>
      <c r="F167" s="573">
        <v>1</v>
      </c>
      <c r="G167" s="573">
        <v>1</v>
      </c>
      <c r="H167" s="573">
        <v>1</v>
      </c>
      <c r="I167" s="573">
        <v>1</v>
      </c>
      <c r="J167" s="574">
        <v>1</v>
      </c>
      <c r="K167" s="575">
        <v>1</v>
      </c>
      <c r="L167" s="573">
        <v>1</v>
      </c>
      <c r="M167" s="573">
        <v>1</v>
      </c>
      <c r="N167" s="573">
        <v>1</v>
      </c>
      <c r="O167" s="573">
        <v>1</v>
      </c>
    </row>
    <row r="168" spans="1:15" ht="14.25">
      <c r="A168" s="570"/>
      <c r="B168" s="570"/>
      <c r="C168" s="570" t="s">
        <v>248</v>
      </c>
      <c r="D168" s="570"/>
      <c r="E168" s="572"/>
      <c r="F168" s="573">
        <v>1</v>
      </c>
      <c r="G168" s="573">
        <v>1</v>
      </c>
      <c r="H168" s="573">
        <v>1</v>
      </c>
      <c r="I168" s="573">
        <v>1</v>
      </c>
      <c r="J168" s="574">
        <v>1</v>
      </c>
      <c r="K168" s="575">
        <v>1</v>
      </c>
      <c r="L168" s="573">
        <v>1</v>
      </c>
      <c r="M168" s="573">
        <v>1</v>
      </c>
      <c r="N168" s="573">
        <v>1</v>
      </c>
      <c r="O168" s="573">
        <v>1</v>
      </c>
    </row>
    <row r="169" spans="1:15" ht="14.25">
      <c r="A169" s="570"/>
      <c r="B169" s="570"/>
      <c r="C169" s="570"/>
      <c r="D169" s="570"/>
      <c r="E169" s="572"/>
      <c r="F169" s="573"/>
      <c r="G169" s="573"/>
      <c r="H169" s="573"/>
      <c r="I169" s="573"/>
      <c r="J169" s="574"/>
      <c r="K169" s="575"/>
      <c r="L169" s="573"/>
      <c r="M169" s="573"/>
      <c r="N169" s="573"/>
      <c r="O169" s="573"/>
    </row>
    <row r="170" spans="1:15" ht="14.25">
      <c r="A170" s="570"/>
      <c r="B170" s="570"/>
      <c r="C170" s="570"/>
      <c r="D170" s="570"/>
      <c r="E170" s="572"/>
      <c r="F170" s="573"/>
      <c r="G170" s="573"/>
      <c r="H170" s="573"/>
      <c r="I170" s="573"/>
      <c r="J170" s="574"/>
      <c r="K170" s="575"/>
      <c r="L170" s="573"/>
      <c r="M170" s="573"/>
      <c r="N170" s="573"/>
      <c r="O170" s="573"/>
    </row>
    <row r="171" spans="1:15" ht="14.25">
      <c r="A171" s="570"/>
      <c r="B171" s="570" t="s">
        <v>217</v>
      </c>
      <c r="C171" s="570" t="s">
        <v>250</v>
      </c>
      <c r="D171" s="570"/>
      <c r="E171" s="572"/>
      <c r="F171" s="573">
        <v>1</v>
      </c>
      <c r="G171" s="573">
        <v>1</v>
      </c>
      <c r="H171" s="573">
        <v>1</v>
      </c>
      <c r="I171" s="573">
        <v>1</v>
      </c>
      <c r="J171" s="574">
        <v>1</v>
      </c>
      <c r="K171" s="575">
        <v>1</v>
      </c>
      <c r="L171" s="573">
        <v>1</v>
      </c>
      <c r="M171" s="573">
        <v>1</v>
      </c>
      <c r="N171" s="573">
        <v>1</v>
      </c>
      <c r="O171" s="573">
        <v>1</v>
      </c>
    </row>
    <row r="172" spans="1:15" ht="14.25">
      <c r="A172" s="570"/>
      <c r="B172" s="570"/>
      <c r="C172" s="570" t="s">
        <v>450</v>
      </c>
      <c r="D172" s="570"/>
      <c r="E172" s="572"/>
      <c r="F172" s="573">
        <v>1</v>
      </c>
      <c r="G172" s="573">
        <v>1</v>
      </c>
      <c r="H172" s="573">
        <v>1</v>
      </c>
      <c r="I172" s="573">
        <v>1</v>
      </c>
      <c r="J172" s="574">
        <v>1</v>
      </c>
      <c r="K172" s="575">
        <v>1</v>
      </c>
      <c r="L172" s="573">
        <v>1</v>
      </c>
      <c r="M172" s="573">
        <v>1</v>
      </c>
      <c r="N172" s="573">
        <v>1</v>
      </c>
      <c r="O172" s="573">
        <v>1</v>
      </c>
    </row>
    <row r="173" spans="1:15" ht="14.25">
      <c r="A173" s="570"/>
      <c r="B173" s="570"/>
      <c r="C173" s="570" t="s">
        <v>247</v>
      </c>
      <c r="D173" s="570"/>
      <c r="E173" s="572"/>
      <c r="F173" s="573">
        <v>1</v>
      </c>
      <c r="G173" s="573">
        <v>1</v>
      </c>
      <c r="H173" s="573">
        <v>1</v>
      </c>
      <c r="I173" s="573">
        <v>1</v>
      </c>
      <c r="J173" s="574">
        <v>1</v>
      </c>
      <c r="K173" s="575">
        <v>1</v>
      </c>
      <c r="L173" s="573">
        <v>1</v>
      </c>
      <c r="M173" s="573">
        <v>1</v>
      </c>
      <c r="N173" s="573">
        <v>1</v>
      </c>
      <c r="O173" s="573">
        <v>1</v>
      </c>
    </row>
    <row r="174" spans="1:15" ht="14.25">
      <c r="A174" s="570"/>
      <c r="B174" s="570"/>
      <c r="C174" s="570" t="s">
        <v>248</v>
      </c>
      <c r="D174" s="570"/>
      <c r="E174" s="572"/>
      <c r="F174" s="573">
        <v>1</v>
      </c>
      <c r="G174" s="573">
        <v>1</v>
      </c>
      <c r="H174" s="573">
        <v>1</v>
      </c>
      <c r="I174" s="573">
        <v>1</v>
      </c>
      <c r="J174" s="574">
        <v>1</v>
      </c>
      <c r="K174" s="575">
        <v>1</v>
      </c>
      <c r="L174" s="573">
        <v>1</v>
      </c>
      <c r="M174" s="573">
        <v>1</v>
      </c>
      <c r="N174" s="573">
        <v>1</v>
      </c>
      <c r="O174" s="573">
        <v>1</v>
      </c>
    </row>
    <row r="175" spans="1:15" ht="14.25">
      <c r="A175" s="570"/>
      <c r="B175" s="570"/>
      <c r="C175" s="570"/>
      <c r="D175" s="570"/>
      <c r="E175" s="572"/>
      <c r="F175" s="573"/>
      <c r="G175" s="573"/>
      <c r="H175" s="573"/>
      <c r="I175" s="573"/>
      <c r="J175" s="574"/>
      <c r="K175" s="575"/>
      <c r="L175" s="573"/>
      <c r="M175" s="573"/>
      <c r="N175" s="573"/>
      <c r="O175" s="573"/>
    </row>
    <row r="176" spans="1:15" ht="14.25">
      <c r="A176" s="570"/>
      <c r="B176" s="570"/>
      <c r="C176" s="570"/>
      <c r="D176" s="570"/>
      <c r="E176" s="572"/>
      <c r="F176" s="573"/>
      <c r="G176" s="573"/>
      <c r="H176" s="573"/>
      <c r="I176" s="573"/>
      <c r="J176" s="574"/>
      <c r="K176" s="575"/>
      <c r="L176" s="573"/>
      <c r="M176" s="573"/>
      <c r="N176" s="573"/>
      <c r="O176" s="573"/>
    </row>
    <row r="177" spans="1:15" ht="14.25">
      <c r="A177" s="570"/>
      <c r="B177" s="570" t="s">
        <v>219</v>
      </c>
      <c r="C177" s="570" t="s">
        <v>250</v>
      </c>
      <c r="D177" s="570"/>
      <c r="E177" s="572"/>
      <c r="F177" s="573">
        <v>1</v>
      </c>
      <c r="G177" s="573">
        <v>1</v>
      </c>
      <c r="H177" s="573">
        <v>1</v>
      </c>
      <c r="I177" s="573">
        <v>1</v>
      </c>
      <c r="J177" s="574">
        <v>1</v>
      </c>
      <c r="K177" s="575">
        <v>1</v>
      </c>
      <c r="L177" s="573">
        <v>1</v>
      </c>
      <c r="M177" s="573">
        <v>1</v>
      </c>
      <c r="N177" s="573">
        <v>1</v>
      </c>
      <c r="O177" s="573">
        <v>1</v>
      </c>
    </row>
    <row r="178" spans="1:15" ht="14.25">
      <c r="A178" s="570"/>
      <c r="B178" s="570"/>
      <c r="C178" s="570" t="s">
        <v>450</v>
      </c>
      <c r="D178" s="570"/>
      <c r="E178" s="572"/>
      <c r="F178" s="573">
        <v>1</v>
      </c>
      <c r="G178" s="573">
        <v>1</v>
      </c>
      <c r="H178" s="573">
        <v>1</v>
      </c>
      <c r="I178" s="573">
        <v>1</v>
      </c>
      <c r="J178" s="574">
        <v>1</v>
      </c>
      <c r="K178" s="575">
        <v>1</v>
      </c>
      <c r="L178" s="573">
        <v>1</v>
      </c>
      <c r="M178" s="573">
        <v>1</v>
      </c>
      <c r="N178" s="573">
        <v>1</v>
      </c>
      <c r="O178" s="573">
        <v>1</v>
      </c>
    </row>
    <row r="179" spans="1:15" ht="14.25">
      <c r="A179" s="570"/>
      <c r="B179" s="570"/>
      <c r="C179" s="570" t="s">
        <v>247</v>
      </c>
      <c r="D179" s="570"/>
      <c r="E179" s="572"/>
      <c r="F179" s="573">
        <v>1</v>
      </c>
      <c r="G179" s="573">
        <v>1</v>
      </c>
      <c r="H179" s="573">
        <v>1</v>
      </c>
      <c r="I179" s="573">
        <v>1</v>
      </c>
      <c r="J179" s="574">
        <v>1</v>
      </c>
      <c r="K179" s="575">
        <v>1</v>
      </c>
      <c r="L179" s="573">
        <v>1</v>
      </c>
      <c r="M179" s="573">
        <v>1</v>
      </c>
      <c r="N179" s="573">
        <v>1</v>
      </c>
      <c r="O179" s="573">
        <v>1</v>
      </c>
    </row>
    <row r="180" spans="1:15" ht="14.25">
      <c r="A180" s="570"/>
      <c r="B180" s="570"/>
      <c r="C180" s="570" t="s">
        <v>248</v>
      </c>
      <c r="D180" s="570"/>
      <c r="E180" s="572"/>
      <c r="F180" s="573">
        <v>1</v>
      </c>
      <c r="G180" s="573">
        <v>1</v>
      </c>
      <c r="H180" s="573">
        <v>1</v>
      </c>
      <c r="I180" s="573">
        <v>1</v>
      </c>
      <c r="J180" s="574">
        <v>1</v>
      </c>
      <c r="K180" s="575">
        <v>1</v>
      </c>
      <c r="L180" s="573">
        <v>1</v>
      </c>
      <c r="M180" s="573">
        <v>1</v>
      </c>
      <c r="N180" s="573">
        <v>1</v>
      </c>
      <c r="O180" s="573">
        <v>1</v>
      </c>
    </row>
    <row r="181" spans="1:15" ht="14.25">
      <c r="A181" s="570"/>
      <c r="B181" s="570"/>
      <c r="C181" s="570"/>
      <c r="D181" s="570"/>
      <c r="E181" s="572"/>
      <c r="F181" s="573"/>
      <c r="G181" s="573"/>
      <c r="H181" s="573"/>
      <c r="I181" s="573"/>
      <c r="J181" s="574"/>
      <c r="K181" s="575"/>
      <c r="L181" s="573"/>
      <c r="M181" s="573"/>
      <c r="N181" s="573"/>
      <c r="O181" s="573"/>
    </row>
    <row r="182" spans="1:15" ht="14.25">
      <c r="A182" s="570"/>
      <c r="B182" s="570"/>
      <c r="C182" s="570"/>
      <c r="D182" s="570"/>
      <c r="E182" s="572"/>
      <c r="F182" s="573"/>
      <c r="G182" s="573"/>
      <c r="H182" s="573"/>
      <c r="I182" s="573"/>
      <c r="J182" s="574"/>
      <c r="K182" s="575"/>
      <c r="L182" s="573"/>
      <c r="M182" s="573"/>
      <c r="N182" s="573"/>
      <c r="O182" s="573"/>
    </row>
    <row r="183" spans="1:15" ht="14.25">
      <c r="A183" s="570"/>
      <c r="B183" s="570" t="s">
        <v>220</v>
      </c>
      <c r="C183" s="570" t="s">
        <v>250</v>
      </c>
      <c r="D183" s="570"/>
      <c r="E183" s="572"/>
      <c r="F183" s="573">
        <v>1</v>
      </c>
      <c r="G183" s="573">
        <v>1</v>
      </c>
      <c r="H183" s="573">
        <v>1</v>
      </c>
      <c r="I183" s="573">
        <v>1</v>
      </c>
      <c r="J183" s="574">
        <v>1</v>
      </c>
      <c r="K183" s="575">
        <v>1</v>
      </c>
      <c r="L183" s="573">
        <v>1</v>
      </c>
      <c r="M183" s="573">
        <v>1</v>
      </c>
      <c r="N183" s="573">
        <v>1</v>
      </c>
      <c r="O183" s="573">
        <v>1</v>
      </c>
    </row>
    <row r="184" spans="1:15" ht="14.25">
      <c r="A184" s="570"/>
      <c r="B184" s="570"/>
      <c r="C184" s="570" t="s">
        <v>450</v>
      </c>
      <c r="D184" s="570"/>
      <c r="E184" s="572"/>
      <c r="F184" s="573">
        <v>1</v>
      </c>
      <c r="G184" s="573">
        <v>1</v>
      </c>
      <c r="H184" s="573">
        <v>1</v>
      </c>
      <c r="I184" s="573">
        <v>1</v>
      </c>
      <c r="J184" s="574">
        <v>1</v>
      </c>
      <c r="K184" s="575">
        <v>1</v>
      </c>
      <c r="L184" s="573">
        <v>1</v>
      </c>
      <c r="M184" s="573">
        <v>1</v>
      </c>
      <c r="N184" s="573">
        <v>1</v>
      </c>
      <c r="O184" s="573">
        <v>1</v>
      </c>
    </row>
    <row r="185" spans="1:15" ht="14.25">
      <c r="A185" s="570"/>
      <c r="B185" s="570"/>
      <c r="C185" s="570" t="s">
        <v>247</v>
      </c>
      <c r="D185" s="570"/>
      <c r="E185" s="572"/>
      <c r="F185" s="573">
        <v>1</v>
      </c>
      <c r="G185" s="573">
        <v>1</v>
      </c>
      <c r="H185" s="573">
        <v>1</v>
      </c>
      <c r="I185" s="573">
        <v>1</v>
      </c>
      <c r="J185" s="574">
        <v>1</v>
      </c>
      <c r="K185" s="575">
        <v>1</v>
      </c>
      <c r="L185" s="573">
        <v>1</v>
      </c>
      <c r="M185" s="573">
        <v>1</v>
      </c>
      <c r="N185" s="573">
        <v>1</v>
      </c>
      <c r="O185" s="573">
        <v>1</v>
      </c>
    </row>
    <row r="186" spans="1:15" ht="14.25">
      <c r="A186" s="570"/>
      <c r="B186" s="570"/>
      <c r="C186" s="570" t="s">
        <v>248</v>
      </c>
      <c r="D186" s="570"/>
      <c r="E186" s="572"/>
      <c r="F186" s="573">
        <v>1</v>
      </c>
      <c r="G186" s="573">
        <v>1</v>
      </c>
      <c r="H186" s="573">
        <v>1</v>
      </c>
      <c r="I186" s="573">
        <v>1</v>
      </c>
      <c r="J186" s="574">
        <v>1</v>
      </c>
      <c r="K186" s="575">
        <v>1</v>
      </c>
      <c r="L186" s="573">
        <v>1</v>
      </c>
      <c r="M186" s="573">
        <v>1</v>
      </c>
      <c r="N186" s="573">
        <v>1</v>
      </c>
      <c r="O186" s="573">
        <v>1</v>
      </c>
    </row>
    <row r="187" spans="1:15" ht="14.25">
      <c r="A187" s="570"/>
      <c r="B187" s="570"/>
      <c r="C187" s="570"/>
      <c r="D187" s="570"/>
      <c r="E187" s="572"/>
      <c r="F187" s="573"/>
      <c r="G187" s="573"/>
      <c r="H187" s="573"/>
      <c r="I187" s="573"/>
      <c r="J187" s="574"/>
      <c r="K187" s="575"/>
      <c r="L187" s="573"/>
      <c r="M187" s="573"/>
      <c r="N187" s="573"/>
      <c r="O187" s="573"/>
    </row>
    <row r="188" spans="1:15" ht="14.25">
      <c r="A188" s="570"/>
      <c r="B188" s="570"/>
      <c r="C188" s="570"/>
      <c r="D188" s="570"/>
      <c r="E188" s="572"/>
      <c r="F188" s="573"/>
      <c r="G188" s="573"/>
      <c r="H188" s="573"/>
      <c r="I188" s="573"/>
      <c r="J188" s="574"/>
      <c r="K188" s="575"/>
      <c r="L188" s="573"/>
      <c r="M188" s="573"/>
      <c r="N188" s="573"/>
      <c r="O188" s="573"/>
    </row>
    <row r="189" spans="1:15" ht="14.25">
      <c r="A189" s="570"/>
      <c r="B189" s="570" t="s">
        <v>221</v>
      </c>
      <c r="C189" s="570" t="s">
        <v>250</v>
      </c>
      <c r="D189" s="570"/>
      <c r="E189" s="572"/>
      <c r="F189" s="573">
        <v>1</v>
      </c>
      <c r="G189" s="573">
        <v>1</v>
      </c>
      <c r="H189" s="573">
        <v>1</v>
      </c>
      <c r="I189" s="573">
        <v>1</v>
      </c>
      <c r="J189" s="574">
        <v>1</v>
      </c>
      <c r="K189" s="575">
        <v>1</v>
      </c>
      <c r="L189" s="573">
        <v>1</v>
      </c>
      <c r="M189" s="573">
        <v>1</v>
      </c>
      <c r="N189" s="573">
        <v>1</v>
      </c>
      <c r="O189" s="573">
        <v>1</v>
      </c>
    </row>
    <row r="190" spans="1:15" ht="14.25">
      <c r="A190" s="570"/>
      <c r="B190" s="570"/>
      <c r="C190" s="570" t="s">
        <v>450</v>
      </c>
      <c r="D190" s="570"/>
      <c r="E190" s="572"/>
      <c r="F190" s="573">
        <v>1</v>
      </c>
      <c r="G190" s="573">
        <v>1</v>
      </c>
      <c r="H190" s="573">
        <v>1</v>
      </c>
      <c r="I190" s="573">
        <v>1</v>
      </c>
      <c r="J190" s="574">
        <v>1</v>
      </c>
      <c r="K190" s="575">
        <v>1</v>
      </c>
      <c r="L190" s="573">
        <v>1</v>
      </c>
      <c r="M190" s="573">
        <v>1</v>
      </c>
      <c r="N190" s="573">
        <v>1</v>
      </c>
      <c r="O190" s="573">
        <v>1</v>
      </c>
    </row>
    <row r="191" spans="1:15" ht="14.25">
      <c r="A191" s="570"/>
      <c r="B191" s="570"/>
      <c r="C191" s="570" t="s">
        <v>247</v>
      </c>
      <c r="D191" s="570"/>
      <c r="E191" s="572"/>
      <c r="F191" s="573">
        <v>1</v>
      </c>
      <c r="G191" s="573">
        <v>1</v>
      </c>
      <c r="H191" s="573">
        <v>1</v>
      </c>
      <c r="I191" s="573">
        <v>1</v>
      </c>
      <c r="J191" s="574">
        <v>1</v>
      </c>
      <c r="K191" s="575">
        <v>1</v>
      </c>
      <c r="L191" s="573">
        <v>1</v>
      </c>
      <c r="M191" s="573">
        <v>1</v>
      </c>
      <c r="N191" s="573">
        <v>1</v>
      </c>
      <c r="O191" s="573">
        <v>1</v>
      </c>
    </row>
    <row r="192" spans="1:15" ht="14.25">
      <c r="A192" s="570"/>
      <c r="B192" s="570"/>
      <c r="C192" s="570" t="s">
        <v>248</v>
      </c>
      <c r="D192" s="570"/>
      <c r="E192" s="572"/>
      <c r="F192" s="573">
        <v>1</v>
      </c>
      <c r="G192" s="573">
        <v>1</v>
      </c>
      <c r="H192" s="573">
        <v>1</v>
      </c>
      <c r="I192" s="573">
        <v>1</v>
      </c>
      <c r="J192" s="574">
        <v>1</v>
      </c>
      <c r="K192" s="575">
        <v>1</v>
      </c>
      <c r="L192" s="573">
        <v>1</v>
      </c>
      <c r="M192" s="573">
        <v>1</v>
      </c>
      <c r="N192" s="573">
        <v>1</v>
      </c>
      <c r="O192" s="573">
        <v>1</v>
      </c>
    </row>
    <row r="193" spans="1:15" ht="14.25">
      <c r="A193" s="570"/>
      <c r="B193" s="570"/>
      <c r="C193" s="570"/>
      <c r="D193" s="570"/>
      <c r="E193" s="572"/>
      <c r="F193" s="573"/>
      <c r="G193" s="573"/>
      <c r="H193" s="573"/>
      <c r="I193" s="573"/>
      <c r="J193" s="574"/>
      <c r="K193" s="575"/>
      <c r="L193" s="573"/>
      <c r="M193" s="573"/>
      <c r="N193" s="573"/>
      <c r="O193" s="573"/>
    </row>
    <row r="194" spans="1:15" ht="14.25">
      <c r="A194" s="570"/>
      <c r="B194" s="570"/>
      <c r="C194" s="570"/>
      <c r="D194" s="570"/>
      <c r="E194" s="572"/>
      <c r="F194" s="573"/>
      <c r="G194" s="573"/>
      <c r="H194" s="573"/>
      <c r="I194" s="573"/>
      <c r="J194" s="574"/>
      <c r="K194" s="575"/>
      <c r="L194" s="573"/>
      <c r="M194" s="573"/>
      <c r="N194" s="573"/>
      <c r="O194" s="573"/>
    </row>
    <row r="195" spans="1:15" ht="14.25">
      <c r="A195" s="570"/>
      <c r="B195" s="570" t="s">
        <v>222</v>
      </c>
      <c r="C195" s="570" t="s">
        <v>250</v>
      </c>
      <c r="D195" s="570"/>
      <c r="E195" s="572"/>
      <c r="F195" s="573">
        <v>1</v>
      </c>
      <c r="G195" s="573">
        <v>1</v>
      </c>
      <c r="H195" s="573">
        <v>1</v>
      </c>
      <c r="I195" s="573">
        <v>1</v>
      </c>
      <c r="J195" s="574">
        <v>1</v>
      </c>
      <c r="K195" s="575">
        <v>1</v>
      </c>
      <c r="L195" s="573">
        <v>1</v>
      </c>
      <c r="M195" s="573">
        <v>1</v>
      </c>
      <c r="N195" s="573">
        <v>1</v>
      </c>
      <c r="O195" s="573">
        <v>1</v>
      </c>
    </row>
    <row r="196" spans="1:15" ht="14.25">
      <c r="A196" s="570"/>
      <c r="B196" s="570"/>
      <c r="C196" s="570" t="s">
        <v>450</v>
      </c>
      <c r="D196" s="570"/>
      <c r="E196" s="572"/>
      <c r="F196" s="573">
        <v>1</v>
      </c>
      <c r="G196" s="573">
        <v>1</v>
      </c>
      <c r="H196" s="573">
        <v>1</v>
      </c>
      <c r="I196" s="573">
        <v>1</v>
      </c>
      <c r="J196" s="574">
        <v>1</v>
      </c>
      <c r="K196" s="575">
        <v>1</v>
      </c>
      <c r="L196" s="573">
        <v>1</v>
      </c>
      <c r="M196" s="573">
        <v>1</v>
      </c>
      <c r="N196" s="573">
        <v>1</v>
      </c>
      <c r="O196" s="573">
        <v>1</v>
      </c>
    </row>
    <row r="197" spans="1:15" ht="14.25">
      <c r="A197" s="570"/>
      <c r="B197" s="570"/>
      <c r="C197" s="570" t="s">
        <v>247</v>
      </c>
      <c r="D197" s="570"/>
      <c r="E197" s="572"/>
      <c r="F197" s="573">
        <v>1</v>
      </c>
      <c r="G197" s="573">
        <v>1</v>
      </c>
      <c r="H197" s="573">
        <v>1</v>
      </c>
      <c r="I197" s="573">
        <v>1</v>
      </c>
      <c r="J197" s="574">
        <v>1</v>
      </c>
      <c r="K197" s="575">
        <v>1</v>
      </c>
      <c r="L197" s="573">
        <v>1</v>
      </c>
      <c r="M197" s="573">
        <v>1</v>
      </c>
      <c r="N197" s="573">
        <v>1</v>
      </c>
      <c r="O197" s="573">
        <v>1</v>
      </c>
    </row>
    <row r="198" spans="1:15" ht="14.25">
      <c r="A198" s="570"/>
      <c r="B198" s="570"/>
      <c r="C198" s="570" t="s">
        <v>248</v>
      </c>
      <c r="D198" s="570"/>
      <c r="E198" s="572"/>
      <c r="F198" s="573">
        <v>1</v>
      </c>
      <c r="G198" s="573">
        <v>1</v>
      </c>
      <c r="H198" s="573">
        <v>1</v>
      </c>
      <c r="I198" s="573">
        <v>1</v>
      </c>
      <c r="J198" s="574">
        <v>1</v>
      </c>
      <c r="K198" s="575">
        <v>1</v>
      </c>
      <c r="L198" s="573">
        <v>1</v>
      </c>
      <c r="M198" s="573">
        <v>1</v>
      </c>
      <c r="N198" s="573">
        <v>1</v>
      </c>
      <c r="O198" s="573">
        <v>1</v>
      </c>
    </row>
    <row r="199" spans="1:15" ht="14.25">
      <c r="A199" s="570"/>
      <c r="B199" s="570"/>
      <c r="C199" s="570"/>
      <c r="D199" s="570"/>
      <c r="E199" s="572"/>
      <c r="F199" s="573"/>
      <c r="G199" s="573"/>
      <c r="H199" s="573"/>
      <c r="I199" s="573"/>
      <c r="J199" s="574"/>
      <c r="K199" s="575"/>
      <c r="L199" s="573"/>
      <c r="M199" s="573"/>
      <c r="N199" s="573"/>
      <c r="O199" s="573"/>
    </row>
    <row r="200" spans="1:15" ht="14.25">
      <c r="A200" s="570"/>
      <c r="B200" s="570"/>
      <c r="C200" s="570"/>
      <c r="D200" s="570"/>
      <c r="E200" s="572"/>
      <c r="F200" s="573"/>
      <c r="G200" s="573"/>
      <c r="H200" s="573"/>
      <c r="I200" s="573"/>
      <c r="J200" s="574"/>
      <c r="K200" s="575"/>
      <c r="L200" s="573"/>
      <c r="M200" s="573"/>
      <c r="N200" s="573"/>
      <c r="O200" s="573"/>
    </row>
    <row r="201" spans="1:15" ht="14.25">
      <c r="A201" s="570"/>
      <c r="B201" s="570" t="s">
        <v>223</v>
      </c>
      <c r="C201" s="570" t="s">
        <v>250</v>
      </c>
      <c r="D201" s="570"/>
      <c r="E201" s="572"/>
      <c r="F201" s="573">
        <v>1</v>
      </c>
      <c r="G201" s="573">
        <v>1</v>
      </c>
      <c r="H201" s="573">
        <v>1</v>
      </c>
      <c r="I201" s="573">
        <v>1</v>
      </c>
      <c r="J201" s="574">
        <v>1</v>
      </c>
      <c r="K201" s="575">
        <v>1</v>
      </c>
      <c r="L201" s="573">
        <v>1</v>
      </c>
      <c r="M201" s="573">
        <v>1</v>
      </c>
      <c r="N201" s="573">
        <v>1</v>
      </c>
      <c r="O201" s="573">
        <v>1</v>
      </c>
    </row>
    <row r="202" spans="1:15" ht="14.25">
      <c r="A202" s="570"/>
      <c r="B202" s="570"/>
      <c r="C202" s="570" t="s">
        <v>450</v>
      </c>
      <c r="D202" s="570"/>
      <c r="E202" s="572"/>
      <c r="F202" s="573">
        <v>1</v>
      </c>
      <c r="G202" s="573">
        <v>1</v>
      </c>
      <c r="H202" s="573">
        <v>1</v>
      </c>
      <c r="I202" s="573">
        <v>1</v>
      </c>
      <c r="J202" s="574">
        <v>1</v>
      </c>
      <c r="K202" s="575">
        <v>1</v>
      </c>
      <c r="L202" s="573">
        <v>1</v>
      </c>
      <c r="M202" s="573">
        <v>1</v>
      </c>
      <c r="N202" s="573">
        <v>1</v>
      </c>
      <c r="O202" s="573">
        <v>1</v>
      </c>
    </row>
    <row r="203" spans="1:15" ht="14.25">
      <c r="A203" s="570"/>
      <c r="B203" s="570"/>
      <c r="C203" s="570" t="s">
        <v>247</v>
      </c>
      <c r="D203" s="570"/>
      <c r="E203" s="572"/>
      <c r="F203" s="573">
        <v>1</v>
      </c>
      <c r="G203" s="573">
        <v>1</v>
      </c>
      <c r="H203" s="573">
        <v>1</v>
      </c>
      <c r="I203" s="573">
        <v>1</v>
      </c>
      <c r="J203" s="574">
        <v>1</v>
      </c>
      <c r="K203" s="575">
        <v>1</v>
      </c>
      <c r="L203" s="573">
        <v>1</v>
      </c>
      <c r="M203" s="573">
        <v>1</v>
      </c>
      <c r="N203" s="573">
        <v>1</v>
      </c>
      <c r="O203" s="573">
        <v>1</v>
      </c>
    </row>
    <row r="204" spans="1:15" ht="14.25">
      <c r="A204" s="570"/>
      <c r="B204" s="570"/>
      <c r="C204" s="570" t="s">
        <v>248</v>
      </c>
      <c r="D204" s="570"/>
      <c r="E204" s="572"/>
      <c r="F204" s="573">
        <v>1</v>
      </c>
      <c r="G204" s="573">
        <v>1</v>
      </c>
      <c r="H204" s="573">
        <v>1</v>
      </c>
      <c r="I204" s="573">
        <v>1</v>
      </c>
      <c r="J204" s="574">
        <v>1</v>
      </c>
      <c r="K204" s="575">
        <v>1</v>
      </c>
      <c r="L204" s="573">
        <v>1</v>
      </c>
      <c r="M204" s="573">
        <v>1</v>
      </c>
      <c r="N204" s="573">
        <v>1</v>
      </c>
      <c r="O204" s="573">
        <v>1</v>
      </c>
    </row>
    <row r="205" spans="1:15" ht="14.25">
      <c r="A205" s="570"/>
      <c r="B205" s="570"/>
      <c r="C205" s="570"/>
      <c r="D205" s="570"/>
      <c r="E205" s="572"/>
      <c r="F205" s="573"/>
      <c r="G205" s="573"/>
      <c r="H205" s="573"/>
      <c r="I205" s="573"/>
      <c r="J205" s="574"/>
      <c r="K205" s="575"/>
      <c r="L205" s="573"/>
      <c r="M205" s="573"/>
      <c r="N205" s="573"/>
      <c r="O205" s="573"/>
    </row>
    <row r="206" spans="1:15" ht="14.25">
      <c r="A206" s="570"/>
      <c r="B206" s="570"/>
      <c r="C206" s="570"/>
      <c r="D206" s="570"/>
      <c r="E206" s="572"/>
      <c r="F206" s="573"/>
      <c r="G206" s="573"/>
      <c r="H206" s="573"/>
      <c r="I206" s="573"/>
      <c r="J206" s="574"/>
      <c r="K206" s="575"/>
      <c r="L206" s="573"/>
      <c r="M206" s="573"/>
      <c r="N206" s="573"/>
      <c r="O206" s="573"/>
    </row>
    <row r="207" spans="1:15" ht="14.25">
      <c r="A207" s="570"/>
      <c r="B207" s="570" t="s">
        <v>224</v>
      </c>
      <c r="C207" s="570" t="s">
        <v>250</v>
      </c>
      <c r="D207" s="570"/>
      <c r="E207" s="572"/>
      <c r="F207" s="573">
        <v>1</v>
      </c>
      <c r="G207" s="573">
        <v>1</v>
      </c>
      <c r="H207" s="573">
        <v>1</v>
      </c>
      <c r="I207" s="573">
        <v>1</v>
      </c>
      <c r="J207" s="574">
        <v>1</v>
      </c>
      <c r="K207" s="575">
        <v>1</v>
      </c>
      <c r="L207" s="573">
        <v>1</v>
      </c>
      <c r="M207" s="573">
        <v>1</v>
      </c>
      <c r="N207" s="573">
        <v>1</v>
      </c>
      <c r="O207" s="573">
        <v>1</v>
      </c>
    </row>
    <row r="208" spans="1:15" ht="14.25">
      <c r="A208" s="570"/>
      <c r="B208" s="570"/>
      <c r="C208" s="570" t="s">
        <v>450</v>
      </c>
      <c r="D208" s="570"/>
      <c r="E208" s="572"/>
      <c r="F208" s="573">
        <v>1</v>
      </c>
      <c r="G208" s="573">
        <v>1</v>
      </c>
      <c r="H208" s="573">
        <v>1</v>
      </c>
      <c r="I208" s="573">
        <v>1</v>
      </c>
      <c r="J208" s="574">
        <v>1</v>
      </c>
      <c r="K208" s="575">
        <v>1</v>
      </c>
      <c r="L208" s="573">
        <v>1</v>
      </c>
      <c r="M208" s="573">
        <v>1</v>
      </c>
      <c r="N208" s="573">
        <v>1</v>
      </c>
      <c r="O208" s="573">
        <v>1</v>
      </c>
    </row>
    <row r="209" spans="1:15" ht="14.25">
      <c r="A209" s="570"/>
      <c r="B209" s="570"/>
      <c r="C209" s="570" t="s">
        <v>247</v>
      </c>
      <c r="D209" s="570"/>
      <c r="E209" s="572"/>
      <c r="F209" s="573">
        <v>1</v>
      </c>
      <c r="G209" s="573">
        <v>1</v>
      </c>
      <c r="H209" s="573">
        <v>1</v>
      </c>
      <c r="I209" s="573">
        <v>1</v>
      </c>
      <c r="J209" s="574">
        <v>1</v>
      </c>
      <c r="K209" s="575">
        <v>1</v>
      </c>
      <c r="L209" s="573">
        <v>1</v>
      </c>
      <c r="M209" s="573">
        <v>1</v>
      </c>
      <c r="N209" s="573">
        <v>1</v>
      </c>
      <c r="O209" s="573">
        <v>1</v>
      </c>
    </row>
    <row r="210" spans="1:15" ht="14.25">
      <c r="A210" s="570"/>
      <c r="B210" s="570"/>
      <c r="C210" s="570" t="s">
        <v>248</v>
      </c>
      <c r="D210" s="570"/>
      <c r="E210" s="572"/>
      <c r="F210" s="573">
        <v>1</v>
      </c>
      <c r="G210" s="573">
        <v>1</v>
      </c>
      <c r="H210" s="573">
        <v>1</v>
      </c>
      <c r="I210" s="573">
        <v>1</v>
      </c>
      <c r="J210" s="574">
        <v>1</v>
      </c>
      <c r="K210" s="575">
        <v>1</v>
      </c>
      <c r="L210" s="573">
        <v>1</v>
      </c>
      <c r="M210" s="573">
        <v>1</v>
      </c>
      <c r="N210" s="573">
        <v>1</v>
      </c>
      <c r="O210" s="573">
        <v>1</v>
      </c>
    </row>
    <row r="211" spans="1:15" ht="14.25">
      <c r="A211" s="570"/>
      <c r="B211" s="570"/>
      <c r="C211" s="570"/>
      <c r="D211" s="570"/>
      <c r="E211" s="572"/>
      <c r="F211" s="573"/>
      <c r="G211" s="573"/>
      <c r="H211" s="573"/>
      <c r="I211" s="573"/>
      <c r="J211" s="574"/>
      <c r="K211" s="575"/>
      <c r="L211" s="573"/>
      <c r="M211" s="573"/>
      <c r="N211" s="573"/>
      <c r="O211" s="573"/>
    </row>
    <row r="212" spans="1:15" ht="14.25">
      <c r="A212" s="570"/>
      <c r="B212" s="570"/>
      <c r="C212" s="570"/>
      <c r="D212" s="570"/>
      <c r="E212" s="572"/>
      <c r="F212" s="573"/>
      <c r="G212" s="573"/>
      <c r="H212" s="573"/>
      <c r="I212" s="573"/>
      <c r="J212" s="574"/>
      <c r="K212" s="575"/>
      <c r="L212" s="573"/>
      <c r="M212" s="573"/>
      <c r="N212" s="573"/>
      <c r="O212" s="573"/>
    </row>
    <row r="213" spans="1:15" ht="14.25">
      <c r="A213" s="570"/>
      <c r="B213" s="570" t="s">
        <v>225</v>
      </c>
      <c r="C213" s="570" t="s">
        <v>250</v>
      </c>
      <c r="D213" s="570"/>
      <c r="E213" s="572"/>
      <c r="F213" s="573">
        <v>1</v>
      </c>
      <c r="G213" s="573">
        <v>1</v>
      </c>
      <c r="H213" s="573">
        <v>1</v>
      </c>
      <c r="I213" s="573">
        <v>1</v>
      </c>
      <c r="J213" s="574">
        <v>1</v>
      </c>
      <c r="K213" s="575">
        <v>1</v>
      </c>
      <c r="L213" s="573">
        <v>1</v>
      </c>
      <c r="M213" s="573">
        <v>1</v>
      </c>
      <c r="N213" s="573">
        <v>1</v>
      </c>
      <c r="O213" s="573">
        <v>1</v>
      </c>
    </row>
    <row r="214" spans="1:15" ht="14.25">
      <c r="A214" s="570"/>
      <c r="B214" s="570"/>
      <c r="C214" s="570" t="s">
        <v>450</v>
      </c>
      <c r="D214" s="570"/>
      <c r="E214" s="572"/>
      <c r="F214" s="573">
        <v>1</v>
      </c>
      <c r="G214" s="573">
        <v>1</v>
      </c>
      <c r="H214" s="573">
        <v>1</v>
      </c>
      <c r="I214" s="573">
        <v>1</v>
      </c>
      <c r="J214" s="574">
        <v>1</v>
      </c>
      <c r="K214" s="575">
        <v>1</v>
      </c>
      <c r="L214" s="573">
        <v>1</v>
      </c>
      <c r="M214" s="573">
        <v>1</v>
      </c>
      <c r="N214" s="573">
        <v>1</v>
      </c>
      <c r="O214" s="573">
        <v>1</v>
      </c>
    </row>
    <row r="215" spans="1:15" ht="14.25">
      <c r="A215" s="570"/>
      <c r="B215" s="570"/>
      <c r="C215" s="570" t="s">
        <v>247</v>
      </c>
      <c r="D215" s="570"/>
      <c r="E215" s="572"/>
      <c r="F215" s="573">
        <v>1</v>
      </c>
      <c r="G215" s="573">
        <v>1</v>
      </c>
      <c r="H215" s="573">
        <v>1</v>
      </c>
      <c r="I215" s="573">
        <v>1</v>
      </c>
      <c r="J215" s="574">
        <v>1</v>
      </c>
      <c r="K215" s="575">
        <v>1</v>
      </c>
      <c r="L215" s="573">
        <v>1</v>
      </c>
      <c r="M215" s="573">
        <v>1</v>
      </c>
      <c r="N215" s="573">
        <v>1</v>
      </c>
      <c r="O215" s="573">
        <v>1</v>
      </c>
    </row>
    <row r="216" spans="1:15" ht="14.25">
      <c r="A216" s="570"/>
      <c r="B216" s="570"/>
      <c r="C216" s="570" t="s">
        <v>248</v>
      </c>
      <c r="D216" s="570"/>
      <c r="E216" s="572"/>
      <c r="F216" s="573">
        <v>1</v>
      </c>
      <c r="G216" s="573">
        <v>1</v>
      </c>
      <c r="H216" s="573">
        <v>1</v>
      </c>
      <c r="I216" s="573">
        <v>1</v>
      </c>
      <c r="J216" s="574">
        <v>1</v>
      </c>
      <c r="K216" s="575">
        <v>1</v>
      </c>
      <c r="L216" s="573">
        <v>1</v>
      </c>
      <c r="M216" s="573">
        <v>1</v>
      </c>
      <c r="N216" s="573">
        <v>1</v>
      </c>
      <c r="O216" s="573">
        <v>1</v>
      </c>
    </row>
    <row r="217" spans="1:15" ht="14.25">
      <c r="A217" s="570"/>
      <c r="B217" s="570"/>
      <c r="C217" s="570"/>
      <c r="D217" s="570"/>
      <c r="E217" s="572"/>
      <c r="F217" s="573"/>
      <c r="G217" s="573"/>
      <c r="H217" s="573"/>
      <c r="I217" s="573"/>
      <c r="J217" s="574"/>
      <c r="K217" s="575"/>
      <c r="L217" s="573"/>
      <c r="M217" s="573"/>
      <c r="N217" s="573"/>
      <c r="O217" s="573"/>
    </row>
    <row r="218" spans="1:15" ht="14.25">
      <c r="A218" s="570"/>
      <c r="B218" s="570"/>
      <c r="C218" s="570"/>
      <c r="D218" s="570"/>
      <c r="E218" s="572"/>
      <c r="F218" s="573"/>
      <c r="G218" s="573"/>
      <c r="H218" s="573"/>
      <c r="I218" s="573"/>
      <c r="J218" s="574"/>
      <c r="K218" s="575"/>
      <c r="L218" s="573"/>
      <c r="M218" s="573"/>
      <c r="N218" s="573"/>
      <c r="O218" s="573"/>
    </row>
    <row r="219" spans="1:15" ht="14.25">
      <c r="A219" s="570"/>
      <c r="B219" s="570" t="s">
        <v>226</v>
      </c>
      <c r="C219" s="570" t="s">
        <v>250</v>
      </c>
      <c r="D219" s="570"/>
      <c r="E219" s="572"/>
      <c r="F219" s="573">
        <v>1</v>
      </c>
      <c r="G219" s="573">
        <v>1</v>
      </c>
      <c r="H219" s="573">
        <v>1</v>
      </c>
      <c r="I219" s="573">
        <v>1</v>
      </c>
      <c r="J219" s="574">
        <v>1</v>
      </c>
      <c r="K219" s="575">
        <v>1</v>
      </c>
      <c r="L219" s="573">
        <v>1</v>
      </c>
      <c r="M219" s="573">
        <v>1</v>
      </c>
      <c r="N219" s="573">
        <v>1</v>
      </c>
      <c r="O219" s="573">
        <v>1</v>
      </c>
    </row>
    <row r="220" spans="1:15" ht="14.25">
      <c r="A220" s="570"/>
      <c r="B220" s="570"/>
      <c r="C220" s="570" t="s">
        <v>450</v>
      </c>
      <c r="D220" s="570"/>
      <c r="E220" s="572"/>
      <c r="F220" s="573">
        <v>1</v>
      </c>
      <c r="G220" s="573">
        <v>1</v>
      </c>
      <c r="H220" s="573">
        <v>1</v>
      </c>
      <c r="I220" s="573">
        <v>1</v>
      </c>
      <c r="J220" s="574">
        <v>1</v>
      </c>
      <c r="K220" s="575">
        <v>1</v>
      </c>
      <c r="L220" s="573">
        <v>1</v>
      </c>
      <c r="M220" s="573">
        <v>1</v>
      </c>
      <c r="N220" s="573">
        <v>1</v>
      </c>
      <c r="O220" s="573">
        <v>1</v>
      </c>
    </row>
    <row r="221" spans="1:15" ht="14.25">
      <c r="A221" s="570"/>
      <c r="B221" s="570"/>
      <c r="C221" s="570" t="s">
        <v>247</v>
      </c>
      <c r="D221" s="570"/>
      <c r="E221" s="572"/>
      <c r="F221" s="573">
        <v>1</v>
      </c>
      <c r="G221" s="573">
        <v>1</v>
      </c>
      <c r="H221" s="573">
        <v>1</v>
      </c>
      <c r="I221" s="573">
        <v>1</v>
      </c>
      <c r="J221" s="574">
        <v>1</v>
      </c>
      <c r="K221" s="575">
        <v>1</v>
      </c>
      <c r="L221" s="573">
        <v>1</v>
      </c>
      <c r="M221" s="573">
        <v>1</v>
      </c>
      <c r="N221" s="573">
        <v>1</v>
      </c>
      <c r="O221" s="573">
        <v>1</v>
      </c>
    </row>
    <row r="222" spans="1:15" ht="14.25">
      <c r="A222" s="570"/>
      <c r="B222" s="570"/>
      <c r="C222" s="570" t="s">
        <v>248</v>
      </c>
      <c r="D222" s="570"/>
      <c r="E222" s="572"/>
      <c r="F222" s="573">
        <v>1</v>
      </c>
      <c r="G222" s="573">
        <v>1</v>
      </c>
      <c r="H222" s="573">
        <v>1</v>
      </c>
      <c r="I222" s="573">
        <v>1</v>
      </c>
      <c r="J222" s="574">
        <v>1</v>
      </c>
      <c r="K222" s="575">
        <v>1</v>
      </c>
      <c r="L222" s="573">
        <v>1</v>
      </c>
      <c r="M222" s="573">
        <v>1</v>
      </c>
      <c r="N222" s="573">
        <v>1</v>
      </c>
      <c r="O222" s="573">
        <v>1</v>
      </c>
    </row>
    <row r="223" spans="1:15" ht="14.25">
      <c r="A223" s="570"/>
      <c r="B223" s="570"/>
      <c r="C223" s="570"/>
      <c r="D223" s="570"/>
      <c r="E223" s="572"/>
      <c r="F223" s="573"/>
      <c r="G223" s="573"/>
      <c r="H223" s="573"/>
      <c r="I223" s="573"/>
      <c r="J223" s="574"/>
      <c r="K223" s="575"/>
      <c r="L223" s="573"/>
      <c r="M223" s="573"/>
      <c r="N223" s="573"/>
      <c r="O223" s="573"/>
    </row>
    <row r="224" spans="1:15" ht="14.25">
      <c r="A224" s="570"/>
      <c r="B224" s="570"/>
      <c r="C224" s="570"/>
      <c r="D224" s="570"/>
      <c r="E224" s="572"/>
      <c r="F224" s="573"/>
      <c r="G224" s="573"/>
      <c r="H224" s="573"/>
      <c r="I224" s="573"/>
      <c r="J224" s="574"/>
      <c r="K224" s="575"/>
      <c r="L224" s="573"/>
      <c r="M224" s="573"/>
      <c r="N224" s="573"/>
      <c r="O224" s="573"/>
    </row>
    <row r="225" spans="1:15" ht="14.25">
      <c r="A225" s="570"/>
      <c r="B225" s="570" t="s">
        <v>227</v>
      </c>
      <c r="C225" s="570" t="s">
        <v>250</v>
      </c>
      <c r="D225" s="570"/>
      <c r="E225" s="572"/>
      <c r="F225" s="573">
        <v>1</v>
      </c>
      <c r="G225" s="573">
        <v>1</v>
      </c>
      <c r="H225" s="573">
        <v>1</v>
      </c>
      <c r="I225" s="573">
        <v>1</v>
      </c>
      <c r="J225" s="574">
        <v>1</v>
      </c>
      <c r="K225" s="575">
        <v>1</v>
      </c>
      <c r="L225" s="573">
        <v>1</v>
      </c>
      <c r="M225" s="573">
        <v>1</v>
      </c>
      <c r="N225" s="573">
        <v>1</v>
      </c>
      <c r="O225" s="573">
        <v>1</v>
      </c>
    </row>
    <row r="226" spans="1:15" ht="14.25">
      <c r="A226" s="570"/>
      <c r="B226" s="570"/>
      <c r="C226" s="570" t="s">
        <v>450</v>
      </c>
      <c r="D226" s="570"/>
      <c r="E226" s="572"/>
      <c r="F226" s="573">
        <v>1</v>
      </c>
      <c r="G226" s="573">
        <v>1</v>
      </c>
      <c r="H226" s="573">
        <v>1</v>
      </c>
      <c r="I226" s="573">
        <v>1</v>
      </c>
      <c r="J226" s="574">
        <v>1</v>
      </c>
      <c r="K226" s="575">
        <v>1</v>
      </c>
      <c r="L226" s="573">
        <v>1</v>
      </c>
      <c r="M226" s="573">
        <v>1</v>
      </c>
      <c r="N226" s="573">
        <v>1</v>
      </c>
      <c r="O226" s="573">
        <v>1</v>
      </c>
    </row>
    <row r="227" spans="1:15" ht="14.25">
      <c r="A227" s="570"/>
      <c r="B227" s="570"/>
      <c r="C227" s="570" t="s">
        <v>247</v>
      </c>
      <c r="D227" s="570"/>
      <c r="E227" s="572"/>
      <c r="F227" s="573">
        <v>1</v>
      </c>
      <c r="G227" s="573">
        <v>1</v>
      </c>
      <c r="H227" s="573">
        <v>1</v>
      </c>
      <c r="I227" s="573">
        <v>1</v>
      </c>
      <c r="J227" s="574">
        <v>1</v>
      </c>
      <c r="K227" s="575">
        <v>1</v>
      </c>
      <c r="L227" s="573">
        <v>1</v>
      </c>
      <c r="M227" s="573">
        <v>1</v>
      </c>
      <c r="N227" s="573">
        <v>1</v>
      </c>
      <c r="O227" s="573">
        <v>1</v>
      </c>
    </row>
    <row r="228" spans="1:15" ht="14.25">
      <c r="A228" s="570"/>
      <c r="B228" s="570"/>
      <c r="C228" s="570" t="s">
        <v>248</v>
      </c>
      <c r="D228" s="570"/>
      <c r="E228" s="572"/>
      <c r="F228" s="573">
        <v>1</v>
      </c>
      <c r="G228" s="573">
        <v>1</v>
      </c>
      <c r="H228" s="573">
        <v>1</v>
      </c>
      <c r="I228" s="573">
        <v>1</v>
      </c>
      <c r="J228" s="574">
        <v>1</v>
      </c>
      <c r="K228" s="575">
        <v>1</v>
      </c>
      <c r="L228" s="573">
        <v>1</v>
      </c>
      <c r="M228" s="573">
        <v>1</v>
      </c>
      <c r="N228" s="573">
        <v>1</v>
      </c>
      <c r="O228" s="573">
        <v>1</v>
      </c>
    </row>
    <row r="229" spans="1:15" ht="14.25">
      <c r="A229" s="570"/>
      <c r="B229" s="570"/>
      <c r="C229" s="570"/>
      <c r="D229" s="570"/>
      <c r="E229" s="572"/>
      <c r="F229" s="573"/>
      <c r="G229" s="573"/>
      <c r="H229" s="573"/>
      <c r="I229" s="573"/>
      <c r="J229" s="574"/>
      <c r="K229" s="575"/>
      <c r="L229" s="573"/>
      <c r="M229" s="573"/>
      <c r="N229" s="573"/>
      <c r="O229" s="573"/>
    </row>
    <row r="230" spans="1:15" ht="14.25">
      <c r="A230" s="570"/>
      <c r="B230" s="570"/>
      <c r="C230" s="570"/>
      <c r="D230" s="570"/>
      <c r="E230" s="572"/>
      <c r="F230" s="573"/>
      <c r="G230" s="573"/>
      <c r="H230" s="573"/>
      <c r="I230" s="573"/>
      <c r="J230" s="574"/>
      <c r="K230" s="575"/>
      <c r="L230" s="573"/>
      <c r="M230" s="573"/>
      <c r="N230" s="573"/>
      <c r="O230" s="573"/>
    </row>
    <row r="231" spans="1:15" ht="14.25">
      <c r="A231" s="570"/>
      <c r="B231" s="570" t="s">
        <v>228</v>
      </c>
      <c r="C231" s="570" t="s">
        <v>250</v>
      </c>
      <c r="D231" s="570"/>
      <c r="E231" s="572"/>
      <c r="F231" s="573">
        <v>1</v>
      </c>
      <c r="G231" s="573">
        <v>1</v>
      </c>
      <c r="H231" s="573">
        <v>1</v>
      </c>
      <c r="I231" s="573">
        <v>1</v>
      </c>
      <c r="J231" s="574">
        <v>1</v>
      </c>
      <c r="K231" s="575">
        <v>1</v>
      </c>
      <c r="L231" s="573">
        <v>1</v>
      </c>
      <c r="M231" s="573">
        <v>1</v>
      </c>
      <c r="N231" s="573">
        <v>1</v>
      </c>
      <c r="O231" s="573">
        <v>1</v>
      </c>
    </row>
    <row r="232" spans="1:15" ht="14.25">
      <c r="A232" s="570"/>
      <c r="B232" s="570"/>
      <c r="C232" s="570" t="s">
        <v>450</v>
      </c>
      <c r="D232" s="570"/>
      <c r="E232" s="572"/>
      <c r="F232" s="573">
        <v>1</v>
      </c>
      <c r="G232" s="573">
        <v>1</v>
      </c>
      <c r="H232" s="573">
        <v>1</v>
      </c>
      <c r="I232" s="573">
        <v>1</v>
      </c>
      <c r="J232" s="574">
        <v>1</v>
      </c>
      <c r="K232" s="575">
        <v>1</v>
      </c>
      <c r="L232" s="573">
        <v>1</v>
      </c>
      <c r="M232" s="573">
        <v>1</v>
      </c>
      <c r="N232" s="573">
        <v>1</v>
      </c>
      <c r="O232" s="573">
        <v>1</v>
      </c>
    </row>
    <row r="233" spans="1:15" ht="14.25">
      <c r="A233" s="570"/>
      <c r="B233" s="570"/>
      <c r="C233" s="570" t="s">
        <v>247</v>
      </c>
      <c r="D233" s="570"/>
      <c r="E233" s="572"/>
      <c r="F233" s="573">
        <v>1</v>
      </c>
      <c r="G233" s="573">
        <v>1</v>
      </c>
      <c r="H233" s="573">
        <v>1</v>
      </c>
      <c r="I233" s="573">
        <v>1</v>
      </c>
      <c r="J233" s="574">
        <v>1</v>
      </c>
      <c r="K233" s="575">
        <v>1</v>
      </c>
      <c r="L233" s="573">
        <v>1</v>
      </c>
      <c r="M233" s="573">
        <v>1</v>
      </c>
      <c r="N233" s="573">
        <v>1</v>
      </c>
      <c r="O233" s="573">
        <v>1</v>
      </c>
    </row>
    <row r="234" spans="1:15" ht="14.25">
      <c r="A234" s="570"/>
      <c r="B234" s="570"/>
      <c r="C234" s="570" t="s">
        <v>248</v>
      </c>
      <c r="D234" s="570"/>
      <c r="E234" s="572"/>
      <c r="F234" s="573">
        <v>1</v>
      </c>
      <c r="G234" s="573">
        <v>1</v>
      </c>
      <c r="H234" s="573">
        <v>1</v>
      </c>
      <c r="I234" s="573">
        <v>1</v>
      </c>
      <c r="J234" s="574">
        <v>1</v>
      </c>
      <c r="K234" s="575">
        <v>1</v>
      </c>
      <c r="L234" s="573">
        <v>1</v>
      </c>
      <c r="M234" s="573">
        <v>1</v>
      </c>
      <c r="N234" s="573">
        <v>1</v>
      </c>
      <c r="O234" s="573">
        <v>1</v>
      </c>
    </row>
    <row r="235" spans="1:15" ht="14.25">
      <c r="A235" s="570"/>
      <c r="B235" s="570"/>
      <c r="C235" s="570"/>
      <c r="D235" s="570"/>
      <c r="E235" s="572"/>
      <c r="F235" s="573"/>
      <c r="G235" s="573"/>
      <c r="H235" s="573"/>
      <c r="I235" s="573"/>
      <c r="J235" s="574"/>
      <c r="K235" s="575"/>
      <c r="L235" s="573"/>
      <c r="M235" s="573"/>
      <c r="N235" s="573"/>
      <c r="O235" s="573"/>
    </row>
    <row r="236" spans="1:15" ht="14.25">
      <c r="A236" s="570"/>
      <c r="B236" s="570"/>
      <c r="C236" s="570"/>
      <c r="D236" s="570"/>
      <c r="E236" s="572"/>
      <c r="F236" s="573"/>
      <c r="G236" s="573"/>
      <c r="H236" s="573"/>
      <c r="I236" s="573"/>
      <c r="J236" s="574"/>
      <c r="K236" s="575"/>
      <c r="L236" s="573"/>
      <c r="M236" s="573"/>
      <c r="N236" s="573"/>
      <c r="O236" s="573"/>
    </row>
    <row r="237" spans="1:15" ht="14.25">
      <c r="A237" s="570"/>
      <c r="B237" s="570" t="s">
        <v>229</v>
      </c>
      <c r="C237" s="570" t="s">
        <v>250</v>
      </c>
      <c r="D237" s="570"/>
      <c r="E237" s="572"/>
      <c r="F237" s="573">
        <v>1</v>
      </c>
      <c r="G237" s="573">
        <v>1</v>
      </c>
      <c r="H237" s="573">
        <v>1</v>
      </c>
      <c r="I237" s="573">
        <v>1</v>
      </c>
      <c r="J237" s="574">
        <v>1</v>
      </c>
      <c r="K237" s="575">
        <v>1</v>
      </c>
      <c r="L237" s="573">
        <v>1</v>
      </c>
      <c r="M237" s="573">
        <v>1</v>
      </c>
      <c r="N237" s="573">
        <v>1</v>
      </c>
      <c r="O237" s="573">
        <v>1</v>
      </c>
    </row>
    <row r="238" spans="1:15" ht="14.25">
      <c r="A238" s="570"/>
      <c r="B238" s="570"/>
      <c r="C238" s="570" t="s">
        <v>450</v>
      </c>
      <c r="D238" s="570"/>
      <c r="E238" s="572"/>
      <c r="F238" s="573">
        <v>1</v>
      </c>
      <c r="G238" s="573">
        <v>1</v>
      </c>
      <c r="H238" s="573">
        <v>1</v>
      </c>
      <c r="I238" s="573">
        <v>1</v>
      </c>
      <c r="J238" s="574">
        <v>1</v>
      </c>
      <c r="K238" s="575">
        <v>1</v>
      </c>
      <c r="L238" s="573">
        <v>1</v>
      </c>
      <c r="M238" s="573">
        <v>1</v>
      </c>
      <c r="N238" s="573">
        <v>1</v>
      </c>
      <c r="O238" s="573">
        <v>1</v>
      </c>
    </row>
    <row r="239" spans="1:15" ht="14.25">
      <c r="A239" s="570"/>
      <c r="B239" s="570"/>
      <c r="C239" s="570" t="s">
        <v>247</v>
      </c>
      <c r="D239" s="570"/>
      <c r="E239" s="572"/>
      <c r="F239" s="573">
        <v>1</v>
      </c>
      <c r="G239" s="573">
        <v>1</v>
      </c>
      <c r="H239" s="573">
        <v>1</v>
      </c>
      <c r="I239" s="573">
        <v>1</v>
      </c>
      <c r="J239" s="574">
        <v>1</v>
      </c>
      <c r="K239" s="575">
        <v>1</v>
      </c>
      <c r="L239" s="573">
        <v>1</v>
      </c>
      <c r="M239" s="573">
        <v>1</v>
      </c>
      <c r="N239" s="573">
        <v>1</v>
      </c>
      <c r="O239" s="573">
        <v>1</v>
      </c>
    </row>
    <row r="240" spans="1:15" ht="14.25">
      <c r="A240" s="570"/>
      <c r="B240" s="570"/>
      <c r="C240" s="570" t="s">
        <v>248</v>
      </c>
      <c r="D240" s="570"/>
      <c r="E240" s="572"/>
      <c r="F240" s="573">
        <v>1</v>
      </c>
      <c r="G240" s="573">
        <v>1</v>
      </c>
      <c r="H240" s="573">
        <v>1</v>
      </c>
      <c r="I240" s="573">
        <v>1</v>
      </c>
      <c r="J240" s="574">
        <v>1</v>
      </c>
      <c r="K240" s="575">
        <v>1</v>
      </c>
      <c r="L240" s="573">
        <v>1</v>
      </c>
      <c r="M240" s="573">
        <v>1</v>
      </c>
      <c r="N240" s="573">
        <v>1</v>
      </c>
      <c r="O240" s="573">
        <v>1</v>
      </c>
    </row>
    <row r="241" spans="1:15" ht="14.25">
      <c r="A241" s="570"/>
      <c r="B241" s="570"/>
      <c r="C241" s="570"/>
      <c r="D241" s="570"/>
      <c r="E241" s="572"/>
      <c r="F241" s="573"/>
      <c r="G241" s="573"/>
      <c r="H241" s="573"/>
      <c r="I241" s="573"/>
      <c r="J241" s="574"/>
      <c r="K241" s="575"/>
      <c r="L241" s="573"/>
      <c r="M241" s="573"/>
      <c r="N241" s="573"/>
      <c r="O241" s="573"/>
    </row>
    <row r="242" spans="1:15" ht="14.25">
      <c r="A242" s="570"/>
      <c r="B242" s="570"/>
      <c r="C242" s="570"/>
      <c r="D242" s="570"/>
      <c r="E242" s="572"/>
      <c r="F242" s="573"/>
      <c r="G242" s="573"/>
      <c r="H242" s="573"/>
      <c r="I242" s="573"/>
      <c r="J242" s="574"/>
      <c r="K242" s="575"/>
      <c r="L242" s="573"/>
      <c r="M242" s="573"/>
      <c r="N242" s="573"/>
      <c r="O242" s="573"/>
    </row>
    <row r="243" spans="1:15" ht="14.25">
      <c r="A243" s="570"/>
      <c r="B243" s="570" t="s">
        <v>230</v>
      </c>
      <c r="C243" s="570" t="s">
        <v>250</v>
      </c>
      <c r="D243" s="570"/>
      <c r="E243" s="572"/>
      <c r="F243" s="573">
        <v>1</v>
      </c>
      <c r="G243" s="573">
        <v>1</v>
      </c>
      <c r="H243" s="573">
        <v>1</v>
      </c>
      <c r="I243" s="573">
        <v>1</v>
      </c>
      <c r="J243" s="574">
        <v>1</v>
      </c>
      <c r="K243" s="575">
        <v>1</v>
      </c>
      <c r="L243" s="573">
        <v>1</v>
      </c>
      <c r="M243" s="573">
        <v>1</v>
      </c>
      <c r="N243" s="573">
        <v>1</v>
      </c>
      <c r="O243" s="573">
        <v>1</v>
      </c>
    </row>
    <row r="244" spans="1:15" ht="14.25">
      <c r="A244" s="570"/>
      <c r="B244" s="570"/>
      <c r="C244" s="570" t="s">
        <v>450</v>
      </c>
      <c r="D244" s="570"/>
      <c r="E244" s="572"/>
      <c r="F244" s="573">
        <v>1</v>
      </c>
      <c r="G244" s="573">
        <v>1</v>
      </c>
      <c r="H244" s="573">
        <v>1</v>
      </c>
      <c r="I244" s="573">
        <v>1</v>
      </c>
      <c r="J244" s="574">
        <v>1</v>
      </c>
      <c r="K244" s="575">
        <v>1</v>
      </c>
      <c r="L244" s="573">
        <v>1</v>
      </c>
      <c r="M244" s="573">
        <v>1</v>
      </c>
      <c r="N244" s="573">
        <v>1</v>
      </c>
      <c r="O244" s="573">
        <v>1</v>
      </c>
    </row>
    <row r="245" spans="1:15" ht="14.25">
      <c r="A245" s="570"/>
      <c r="B245" s="570"/>
      <c r="C245" s="570" t="s">
        <v>247</v>
      </c>
      <c r="D245" s="570"/>
      <c r="E245" s="572"/>
      <c r="F245" s="573">
        <v>1</v>
      </c>
      <c r="G245" s="573">
        <v>1</v>
      </c>
      <c r="H245" s="573">
        <v>1</v>
      </c>
      <c r="I245" s="573">
        <v>1</v>
      </c>
      <c r="J245" s="574">
        <v>1</v>
      </c>
      <c r="K245" s="575">
        <v>1</v>
      </c>
      <c r="L245" s="573">
        <v>1</v>
      </c>
      <c r="M245" s="573">
        <v>1</v>
      </c>
      <c r="N245" s="573">
        <v>1</v>
      </c>
      <c r="O245" s="573">
        <v>1</v>
      </c>
    </row>
    <row r="246" spans="1:15" ht="14.25">
      <c r="A246" s="570"/>
      <c r="B246" s="570"/>
      <c r="C246" s="570" t="s">
        <v>248</v>
      </c>
      <c r="D246" s="570"/>
      <c r="E246" s="572"/>
      <c r="F246" s="573">
        <v>1</v>
      </c>
      <c r="G246" s="573">
        <v>1</v>
      </c>
      <c r="H246" s="573">
        <v>1</v>
      </c>
      <c r="I246" s="573">
        <v>1</v>
      </c>
      <c r="J246" s="574">
        <v>1</v>
      </c>
      <c r="K246" s="575">
        <v>1</v>
      </c>
      <c r="L246" s="573">
        <v>1</v>
      </c>
      <c r="M246" s="573">
        <v>1</v>
      </c>
      <c r="N246" s="573">
        <v>1</v>
      </c>
      <c r="O246" s="573">
        <v>1</v>
      </c>
    </row>
    <row r="247" spans="1:15" ht="14.25">
      <c r="A247" s="570"/>
      <c r="B247" s="570"/>
      <c r="C247" s="570"/>
      <c r="D247" s="570"/>
      <c r="E247" s="572"/>
      <c r="F247" s="573"/>
      <c r="G247" s="573"/>
      <c r="H247" s="573"/>
      <c r="I247" s="573"/>
      <c r="J247" s="574"/>
      <c r="K247" s="575"/>
      <c r="L247" s="573"/>
      <c r="M247" s="573"/>
      <c r="N247" s="573"/>
      <c r="O247" s="573"/>
    </row>
    <row r="248" spans="1:15" ht="14.25">
      <c r="A248" s="570"/>
      <c r="B248" s="570"/>
      <c r="C248" s="570"/>
      <c r="D248" s="570"/>
      <c r="E248" s="572"/>
      <c r="F248" s="573"/>
      <c r="G248" s="573"/>
      <c r="H248" s="573"/>
      <c r="I248" s="573"/>
      <c r="J248" s="574"/>
      <c r="K248" s="575"/>
      <c r="L248" s="573"/>
      <c r="M248" s="573"/>
      <c r="N248" s="573"/>
      <c r="O248" s="573"/>
    </row>
    <row r="249" spans="1:15" ht="14.25">
      <c r="A249" s="570"/>
      <c r="B249" s="570" t="s">
        <v>231</v>
      </c>
      <c r="C249" s="570" t="s">
        <v>250</v>
      </c>
      <c r="D249" s="570"/>
      <c r="E249" s="572"/>
      <c r="F249" s="573">
        <v>1</v>
      </c>
      <c r="G249" s="573">
        <v>1</v>
      </c>
      <c r="H249" s="573">
        <v>1</v>
      </c>
      <c r="I249" s="573">
        <v>1</v>
      </c>
      <c r="J249" s="574">
        <v>1</v>
      </c>
      <c r="K249" s="575">
        <v>1</v>
      </c>
      <c r="L249" s="573">
        <v>1</v>
      </c>
      <c r="M249" s="573">
        <v>1</v>
      </c>
      <c r="N249" s="573">
        <v>1</v>
      </c>
      <c r="O249" s="573">
        <v>1</v>
      </c>
    </row>
    <row r="250" spans="1:15" ht="14.25">
      <c r="A250" s="570"/>
      <c r="B250" s="570"/>
      <c r="C250" s="570" t="s">
        <v>450</v>
      </c>
      <c r="D250" s="570"/>
      <c r="E250" s="572"/>
      <c r="F250" s="573">
        <v>1</v>
      </c>
      <c r="G250" s="573">
        <v>1</v>
      </c>
      <c r="H250" s="573">
        <v>1</v>
      </c>
      <c r="I250" s="573">
        <v>1</v>
      </c>
      <c r="J250" s="574">
        <v>1</v>
      </c>
      <c r="K250" s="575">
        <v>1</v>
      </c>
      <c r="L250" s="573">
        <v>1</v>
      </c>
      <c r="M250" s="573">
        <v>1</v>
      </c>
      <c r="N250" s="573">
        <v>1</v>
      </c>
      <c r="O250" s="573">
        <v>1</v>
      </c>
    </row>
    <row r="251" spans="1:15" ht="14.25">
      <c r="A251" s="570"/>
      <c r="B251" s="570"/>
      <c r="C251" s="570" t="s">
        <v>247</v>
      </c>
      <c r="D251" s="570"/>
      <c r="E251" s="572"/>
      <c r="F251" s="573">
        <v>1</v>
      </c>
      <c r="G251" s="573">
        <v>1</v>
      </c>
      <c r="H251" s="573">
        <v>1</v>
      </c>
      <c r="I251" s="573">
        <v>1</v>
      </c>
      <c r="J251" s="574">
        <v>1</v>
      </c>
      <c r="K251" s="575">
        <v>1</v>
      </c>
      <c r="L251" s="573">
        <v>1</v>
      </c>
      <c r="M251" s="573">
        <v>1</v>
      </c>
      <c r="N251" s="573">
        <v>1</v>
      </c>
      <c r="O251" s="573">
        <v>1</v>
      </c>
    </row>
    <row r="252" spans="1:15" ht="14.25">
      <c r="A252" s="570"/>
      <c r="B252" s="570"/>
      <c r="C252" s="570" t="s">
        <v>248</v>
      </c>
      <c r="D252" s="570"/>
      <c r="E252" s="572"/>
      <c r="F252" s="573">
        <v>1</v>
      </c>
      <c r="G252" s="573">
        <v>1</v>
      </c>
      <c r="H252" s="573">
        <v>1</v>
      </c>
      <c r="I252" s="573">
        <v>1</v>
      </c>
      <c r="J252" s="574">
        <v>1</v>
      </c>
      <c r="K252" s="575">
        <v>1</v>
      </c>
      <c r="L252" s="573">
        <v>1</v>
      </c>
      <c r="M252" s="573">
        <v>1</v>
      </c>
      <c r="N252" s="573">
        <v>1</v>
      </c>
      <c r="O252" s="573">
        <v>1</v>
      </c>
    </row>
    <row r="253" spans="1:15" ht="14.25">
      <c r="A253" s="570"/>
      <c r="B253" s="570"/>
      <c r="C253" s="570"/>
      <c r="D253" s="570"/>
      <c r="E253" s="572"/>
      <c r="F253" s="573"/>
      <c r="G253" s="573"/>
      <c r="H253" s="573"/>
      <c r="I253" s="573"/>
      <c r="J253" s="574"/>
      <c r="K253" s="575"/>
      <c r="L253" s="573"/>
      <c r="M253" s="573"/>
      <c r="N253" s="573"/>
      <c r="O253" s="573"/>
    </row>
    <row r="254" spans="1:15" ht="14.25">
      <c r="A254" s="570"/>
      <c r="B254" s="570"/>
      <c r="C254" s="570"/>
      <c r="D254" s="570"/>
      <c r="E254" s="572"/>
      <c r="F254" s="573"/>
      <c r="G254" s="573"/>
      <c r="H254" s="573"/>
      <c r="I254" s="573"/>
      <c r="J254" s="574"/>
      <c r="K254" s="575"/>
      <c r="L254" s="573"/>
      <c r="M254" s="573"/>
      <c r="N254" s="573"/>
      <c r="O254" s="573"/>
    </row>
    <row r="255" spans="1:15" ht="14.25">
      <c r="A255" s="570"/>
      <c r="B255" s="570" t="s">
        <v>232</v>
      </c>
      <c r="C255" s="570" t="s">
        <v>250</v>
      </c>
      <c r="D255" s="570"/>
      <c r="E255" s="572"/>
      <c r="F255" s="573">
        <v>1</v>
      </c>
      <c r="G255" s="573">
        <v>1</v>
      </c>
      <c r="H255" s="573">
        <v>1</v>
      </c>
      <c r="I255" s="573">
        <v>1</v>
      </c>
      <c r="J255" s="574">
        <v>1</v>
      </c>
      <c r="K255" s="575">
        <v>1</v>
      </c>
      <c r="L255" s="573">
        <v>1</v>
      </c>
      <c r="M255" s="573">
        <v>1</v>
      </c>
      <c r="N255" s="573">
        <v>1</v>
      </c>
      <c r="O255" s="573">
        <v>1</v>
      </c>
    </row>
    <row r="256" spans="1:15" ht="14.25">
      <c r="A256" s="570"/>
      <c r="B256" s="570"/>
      <c r="C256" s="570" t="s">
        <v>450</v>
      </c>
      <c r="D256" s="570"/>
      <c r="E256" s="572"/>
      <c r="F256" s="573">
        <v>1</v>
      </c>
      <c r="G256" s="573">
        <v>1</v>
      </c>
      <c r="H256" s="573">
        <v>1</v>
      </c>
      <c r="I256" s="573">
        <v>1</v>
      </c>
      <c r="J256" s="574">
        <v>1</v>
      </c>
      <c r="K256" s="575">
        <v>1</v>
      </c>
      <c r="L256" s="573">
        <v>1</v>
      </c>
      <c r="M256" s="573">
        <v>1</v>
      </c>
      <c r="N256" s="573">
        <v>1</v>
      </c>
      <c r="O256" s="573">
        <v>1</v>
      </c>
    </row>
    <row r="257" spans="1:15" ht="14.25">
      <c r="A257" s="570"/>
      <c r="B257" s="570"/>
      <c r="C257" s="570" t="s">
        <v>247</v>
      </c>
      <c r="D257" s="570"/>
      <c r="E257" s="572"/>
      <c r="F257" s="573">
        <v>1</v>
      </c>
      <c r="G257" s="573">
        <v>1</v>
      </c>
      <c r="H257" s="573">
        <v>1</v>
      </c>
      <c r="I257" s="573">
        <v>1</v>
      </c>
      <c r="J257" s="574">
        <v>1</v>
      </c>
      <c r="K257" s="575">
        <v>1</v>
      </c>
      <c r="L257" s="573">
        <v>1</v>
      </c>
      <c r="M257" s="573">
        <v>1</v>
      </c>
      <c r="N257" s="573">
        <v>1</v>
      </c>
      <c r="O257" s="573">
        <v>1</v>
      </c>
    </row>
    <row r="258" spans="1:15" ht="14.25">
      <c r="A258" s="570"/>
      <c r="B258" s="570"/>
      <c r="C258" s="570" t="s">
        <v>248</v>
      </c>
      <c r="D258" s="570"/>
      <c r="E258" s="572"/>
      <c r="F258" s="573">
        <v>1</v>
      </c>
      <c r="G258" s="573">
        <v>1</v>
      </c>
      <c r="H258" s="573">
        <v>1</v>
      </c>
      <c r="I258" s="573">
        <v>1</v>
      </c>
      <c r="J258" s="574">
        <v>1</v>
      </c>
      <c r="K258" s="575">
        <v>1</v>
      </c>
      <c r="L258" s="573">
        <v>1</v>
      </c>
      <c r="M258" s="573">
        <v>1</v>
      </c>
      <c r="N258" s="573">
        <v>1</v>
      </c>
      <c r="O258" s="573">
        <v>1</v>
      </c>
    </row>
    <row r="259" spans="1:15" ht="14.25">
      <c r="A259" s="570"/>
      <c r="B259" s="570"/>
      <c r="C259" s="570"/>
      <c r="D259" s="570"/>
      <c r="E259" s="572"/>
      <c r="F259" s="573"/>
      <c r="G259" s="573"/>
      <c r="H259" s="573"/>
      <c r="I259" s="573"/>
      <c r="J259" s="574"/>
      <c r="K259" s="575"/>
      <c r="L259" s="573"/>
      <c r="M259" s="573"/>
      <c r="N259" s="573"/>
      <c r="O259" s="573"/>
    </row>
    <row r="260" spans="1:15" ht="14.25">
      <c r="A260" s="570"/>
      <c r="B260" s="570"/>
      <c r="C260" s="570"/>
      <c r="D260" s="570"/>
      <c r="E260" s="572"/>
      <c r="F260" s="573"/>
      <c r="G260" s="573"/>
      <c r="H260" s="573"/>
      <c r="I260" s="573"/>
      <c r="J260" s="574"/>
      <c r="K260" s="575"/>
      <c r="L260" s="573"/>
      <c r="M260" s="573"/>
      <c r="N260" s="573"/>
      <c r="O260" s="573"/>
    </row>
    <row r="261" spans="1:15" ht="14.25">
      <c r="A261" s="570"/>
      <c r="B261" s="570" t="s">
        <v>254</v>
      </c>
      <c r="C261" s="570" t="s">
        <v>250</v>
      </c>
      <c r="D261" s="570"/>
      <c r="E261" s="572"/>
      <c r="F261" s="573">
        <v>1</v>
      </c>
      <c r="G261" s="573">
        <v>1</v>
      </c>
      <c r="H261" s="573">
        <v>1</v>
      </c>
      <c r="I261" s="573">
        <v>1</v>
      </c>
      <c r="J261" s="574">
        <v>1</v>
      </c>
      <c r="K261" s="575">
        <v>1</v>
      </c>
      <c r="L261" s="573">
        <v>1</v>
      </c>
      <c r="M261" s="573">
        <v>1</v>
      </c>
      <c r="N261" s="573">
        <v>1</v>
      </c>
      <c r="O261" s="573">
        <v>1</v>
      </c>
    </row>
    <row r="262" spans="1:15" ht="14.25">
      <c r="A262" s="570"/>
      <c r="B262" s="570"/>
      <c r="C262" s="570" t="s">
        <v>450</v>
      </c>
      <c r="D262" s="570"/>
      <c r="E262" s="572"/>
      <c r="F262" s="573">
        <v>1</v>
      </c>
      <c r="G262" s="573">
        <v>1</v>
      </c>
      <c r="H262" s="573">
        <v>1</v>
      </c>
      <c r="I262" s="573">
        <v>1</v>
      </c>
      <c r="J262" s="574">
        <v>1</v>
      </c>
      <c r="K262" s="575">
        <v>1</v>
      </c>
      <c r="L262" s="573">
        <v>1</v>
      </c>
      <c r="M262" s="573">
        <v>1</v>
      </c>
      <c r="N262" s="573">
        <v>1</v>
      </c>
      <c r="O262" s="573">
        <v>1</v>
      </c>
    </row>
    <row r="263" spans="1:15" ht="14.25">
      <c r="A263" s="570"/>
      <c r="B263" s="570"/>
      <c r="C263" s="570" t="s">
        <v>247</v>
      </c>
      <c r="D263" s="570"/>
      <c r="E263" s="572"/>
      <c r="F263" s="573">
        <v>1</v>
      </c>
      <c r="G263" s="573">
        <v>1</v>
      </c>
      <c r="H263" s="573">
        <v>1</v>
      </c>
      <c r="I263" s="573">
        <v>1</v>
      </c>
      <c r="J263" s="574">
        <v>1</v>
      </c>
      <c r="K263" s="575">
        <v>1</v>
      </c>
      <c r="L263" s="573">
        <v>1</v>
      </c>
      <c r="M263" s="573">
        <v>1</v>
      </c>
      <c r="N263" s="573">
        <v>1</v>
      </c>
      <c r="O263" s="573">
        <v>1</v>
      </c>
    </row>
    <row r="264" spans="1:15" ht="14.25">
      <c r="A264" s="570"/>
      <c r="B264" s="570"/>
      <c r="C264" s="570" t="s">
        <v>248</v>
      </c>
      <c r="D264" s="570"/>
      <c r="E264" s="572"/>
      <c r="F264" s="573">
        <v>1</v>
      </c>
      <c r="G264" s="573">
        <v>1</v>
      </c>
      <c r="H264" s="573">
        <v>1</v>
      </c>
      <c r="I264" s="573">
        <v>1</v>
      </c>
      <c r="J264" s="574">
        <v>1</v>
      </c>
      <c r="K264" s="575">
        <v>1</v>
      </c>
      <c r="L264" s="573">
        <v>1</v>
      </c>
      <c r="M264" s="573">
        <v>1</v>
      </c>
      <c r="N264" s="573">
        <v>1</v>
      </c>
      <c r="O264" s="573">
        <v>1</v>
      </c>
    </row>
  </sheetData>
  <dataValidations count="1">
    <dataValidation type="list" allowBlank="1" showInputMessage="1" showErrorMessage="1" sqref="E5:H21 E48:E52 E54:E58 E60:E64 E66:E70 E78:E82 E72:E76 E84:E88 E90:E94 E96:E100 E102:E106 E108:E112 E114:E118 E144:E148 E120:E124 E138:E142 E126:E130 E132:E136 E150:E152 E22:E24">
      <formula1>"-- Select--, Yes, No"</formula1>
    </dataValidation>
  </dataValidations>
  <pageMargins left="0.7" right="0.7" top="0.75" bottom="0.75" header="0.3" footer="0.3"/>
  <pageSetup paperSize="8" scale="62"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912"/>
  <sheetViews>
    <sheetView tabSelected="1" zoomScale="55" zoomScaleNormal="55" workbookViewId="0">
      <pane ySplit="2" topLeftCell="A703" activePane="bottomLeft" state="frozen"/>
      <selection pane="bottomLeft" activeCell="E575" sqref="E575"/>
    </sheetView>
  </sheetViews>
  <sheetFormatPr defaultRowHeight="14.25"/>
  <cols>
    <col min="1" max="1" width="6.7109375" style="276" customWidth="1"/>
    <col min="2" max="2" width="12" style="276" customWidth="1"/>
    <col min="3" max="3" width="81.42578125" style="276" customWidth="1"/>
    <col min="4" max="4" width="9.140625" style="276"/>
    <col min="5" max="5" width="22.42578125" style="286" bestFit="1" customWidth="1"/>
    <col min="6" max="8" width="9.85546875" style="276" customWidth="1"/>
    <col min="9" max="9" width="11.140625" style="276" bestFit="1" customWidth="1"/>
    <col min="10" max="10" width="8.85546875" style="276" bestFit="1" customWidth="1"/>
    <col min="11" max="11" width="10.7109375" style="457" bestFit="1" customWidth="1"/>
    <col min="12" max="12" width="11.140625" style="276" bestFit="1" customWidth="1"/>
    <col min="13" max="15" width="10.7109375" style="276" bestFit="1" customWidth="1"/>
    <col min="16" max="18" width="9.140625" style="276"/>
    <col min="19" max="19" width="8.7109375" style="276" customWidth="1"/>
    <col min="20" max="20" width="9.28515625" style="276" customWidth="1"/>
    <col min="21" max="22" width="11.28515625" style="276" bestFit="1" customWidth="1"/>
    <col min="23" max="23" width="11.5703125" style="268" bestFit="1" customWidth="1"/>
    <col min="24" max="24" width="12.140625" style="268" bestFit="1" customWidth="1"/>
    <col min="25" max="16384" width="9.140625" style="268"/>
  </cols>
  <sheetData>
    <row r="1" spans="1:16384" s="14" customFormat="1" ht="33.75">
      <c r="A1" s="76"/>
      <c r="B1" s="108"/>
      <c r="C1" s="76"/>
      <c r="D1" s="77"/>
      <c r="E1" s="438" t="s">
        <v>453</v>
      </c>
      <c r="F1" s="119"/>
      <c r="G1" s="119"/>
      <c r="H1" s="119"/>
      <c r="I1" s="119"/>
      <c r="J1" s="444"/>
      <c r="K1" s="455"/>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c r="B2" s="439" t="s">
        <v>4</v>
      </c>
      <c r="F2" s="308" t="s">
        <v>5</v>
      </c>
      <c r="G2" s="308" t="s">
        <v>6</v>
      </c>
      <c r="H2" s="308" t="s">
        <v>7</v>
      </c>
      <c r="I2" s="308" t="s">
        <v>8</v>
      </c>
      <c r="J2" s="308" t="s">
        <v>9</v>
      </c>
      <c r="K2" s="478" t="s">
        <v>34</v>
      </c>
      <c r="L2" s="530" t="s">
        <v>35</v>
      </c>
      <c r="M2" s="530" t="s">
        <v>36</v>
      </c>
      <c r="N2" s="530" t="s">
        <v>37</v>
      </c>
      <c r="O2" s="530" t="s">
        <v>38</v>
      </c>
    </row>
    <row r="3" spans="1:16384">
      <c r="I3" s="268"/>
      <c r="J3" s="268"/>
      <c r="L3" s="268"/>
      <c r="M3" s="268"/>
      <c r="N3" s="268"/>
      <c r="O3" s="268"/>
    </row>
    <row r="5" spans="1:16384" s="301" customFormat="1">
      <c r="A5" s="288" t="s">
        <v>430</v>
      </c>
      <c r="B5" s="288"/>
      <c r="C5" s="288"/>
      <c r="D5" s="288"/>
      <c r="E5" s="288"/>
      <c r="K5" s="458"/>
      <c r="O5" s="288"/>
      <c r="P5" s="288"/>
      <c r="Q5" s="288"/>
      <c r="R5" s="288"/>
      <c r="S5" s="288"/>
      <c r="T5" s="288"/>
      <c r="U5" s="288"/>
    </row>
    <row r="6" spans="1:16384">
      <c r="A6" s="276" t="s">
        <v>215</v>
      </c>
      <c r="B6" s="268" t="s">
        <v>97</v>
      </c>
      <c r="C6" s="276" t="s">
        <v>252</v>
      </c>
      <c r="D6" s="276" t="s">
        <v>74</v>
      </c>
      <c r="F6" s="347">
        <f>VLOOKUP($B6,F_Inputs!$B$4:$O$22,COLUMN()-1,FALSE)+VLOOKUP($Q6,F_Inputs!$B$4:$O$22,COLUMN()-1,FALSE)-VLOOKUP($R6,F_Inputs!$B$4:$O$22,COLUMN()-1,FALSE)</f>
        <v>13.26045398894899</v>
      </c>
      <c r="G6" s="347">
        <f>VLOOKUP($B6,F_Inputs!$B$4:$O$22,COLUMN()-1,FALSE)+VLOOKUP($Q6,F_Inputs!$B$4:$O$22,COLUMN()-1,FALSE)-VLOOKUP($R6,F_Inputs!$B$4:$O$22,COLUMN()-1,FALSE)</f>
        <v>10.36994629660499</v>
      </c>
      <c r="H6" s="347">
        <f>VLOOKUP($B6,F_Inputs!$B$4:$O$22,COLUMN()-1,FALSE)+VLOOKUP($Q6,F_Inputs!$B$4:$O$22,COLUMN()-1,FALSE)-VLOOKUP($R6,F_Inputs!$B$4:$O$22,COLUMN()-1,FALSE)</f>
        <v>3.9829571644923902</v>
      </c>
      <c r="I6" s="347">
        <f>VLOOKUP($B6,F_Inputs!$B$4:$O$22,COLUMN()-1,FALSE)+VLOOKUP($Q6,F_Inputs!$B$4:$O$22,COLUMN()-1,FALSE)-VLOOKUP($R6,F_Inputs!$B$4:$O$22,COLUMN()-1,FALSE)</f>
        <v>3.8901520980701898</v>
      </c>
      <c r="J6" s="347">
        <f>VLOOKUP($B6,F_Inputs!$B$4:$O$22,COLUMN()-1,FALSE)+VLOOKUP($Q6,F_Inputs!$B$4:$O$22,COLUMN()-1,FALSE)-VLOOKUP($R6,F_Inputs!$B$4:$O$22,COLUMN()-1,FALSE)</f>
        <v>3.815570839926854</v>
      </c>
      <c r="K6" s="542">
        <f>VLOOKUP($B6,F_Inputs!$B$4:$O$22,COLUMN()-1,FALSE)+VLOOKUP($Q6,F_Inputs!$B$4:$O$22,COLUMN()-1,FALSE)-VLOOKUP($R6,F_Inputs!$B$4:$O$22,COLUMN()-1,FALSE)</f>
        <v>3.1181320570259561</v>
      </c>
      <c r="L6" s="543">
        <f>VLOOKUP($B6,F_Inputs!$B$4:$O$22,COLUMN()-1,FALSE)+VLOOKUP($Q6,F_Inputs!$B$4:$O$22,COLUMN()-1,FALSE)-VLOOKUP($R6,F_Inputs!$B$4:$O$22,COLUMN()-1,FALSE)</f>
        <v>2.379789043075605</v>
      </c>
      <c r="M6" s="543">
        <f>VLOOKUP($B6,F_Inputs!$B$4:$O$22,COLUMN()-1,FALSE)+VLOOKUP($Q6,F_Inputs!$B$4:$O$22,COLUMN()-1,FALSE)-VLOOKUP($R6,F_Inputs!$B$4:$O$22,COLUMN()-1,FALSE)</f>
        <v>1.8032473090598471</v>
      </c>
      <c r="N6" s="543">
        <f>VLOOKUP($B6,F_Inputs!$B$4:$O$22,COLUMN()-1,FALSE)+VLOOKUP($Q6,F_Inputs!$B$4:$O$22,COLUMN()-1,FALSE)-VLOOKUP($R6,F_Inputs!$B$4:$O$22,COLUMN()-1,FALSE)</f>
        <v>1.1450013524516489</v>
      </c>
      <c r="O6" s="543">
        <f>VLOOKUP($B6,F_Inputs!$B$4:$O$22,COLUMN()-1,FALSE)+VLOOKUP($Q6,F_Inputs!$B$4:$O$22,COLUMN()-1,FALSE)-VLOOKUP($R6,F_Inputs!$B$4:$O$22,COLUMN()-1,FALSE)</f>
        <v>0.27635100023722398</v>
      </c>
      <c r="Q6" s="276" t="s">
        <v>235</v>
      </c>
      <c r="R6" s="276" t="s">
        <v>237</v>
      </c>
    </row>
    <row r="7" spans="1:16384">
      <c r="B7" s="268" t="s">
        <v>98</v>
      </c>
      <c r="C7" s="276" t="s">
        <v>251</v>
      </c>
      <c r="D7" s="276" t="s">
        <v>74</v>
      </c>
      <c r="F7" s="347">
        <f>VLOOKUP($B7,F_Inputs!$B$4:$O$22,COLUMN()-1,FALSE)+VLOOKUP($Q7,F_Inputs!$B$4:$O$22,COLUMN()-1,FALSE)-VLOOKUP($R7,F_Inputs!$B$4:$O$22,COLUMN()-1,FALSE)</f>
        <v>0</v>
      </c>
      <c r="G7" s="347">
        <f>VLOOKUP($B7,F_Inputs!$B$4:$O$22,COLUMN()-1,FALSE)+VLOOKUP($Q7,F_Inputs!$B$4:$O$22,COLUMN()-1,FALSE)-VLOOKUP($R7,F_Inputs!$B$4:$O$22,COLUMN()-1,FALSE)</f>
        <v>0</v>
      </c>
      <c r="H7" s="347">
        <f>VLOOKUP($B7,F_Inputs!$B$4:$O$22,COLUMN()-1,FALSE)+VLOOKUP($Q7,F_Inputs!$B$4:$O$22,COLUMN()-1,FALSE)-VLOOKUP($R7,F_Inputs!$B$4:$O$22,COLUMN()-1,FALSE)</f>
        <v>0</v>
      </c>
      <c r="I7" s="347">
        <f>VLOOKUP($B7,F_Inputs!$B$4:$O$22,COLUMN()-1,FALSE)+VLOOKUP($Q7,F_Inputs!$B$4:$O$22,COLUMN()-1,FALSE)-VLOOKUP($R7,F_Inputs!$B$4:$O$22,COLUMN()-1,FALSE)</f>
        <v>0</v>
      </c>
      <c r="J7" s="347">
        <f>VLOOKUP($B7,F_Inputs!$B$4:$O$22,COLUMN()-1,FALSE)+VLOOKUP($Q7,F_Inputs!$B$4:$O$22,COLUMN()-1,FALSE)-VLOOKUP($R7,F_Inputs!$B$4:$O$22,COLUMN()-1,FALSE)</f>
        <v>0</v>
      </c>
      <c r="K7" s="542">
        <f>VLOOKUP($B7,F_Inputs!$B$4:$O$22,COLUMN()-1,FALSE)+VLOOKUP($Q7,F_Inputs!$B$4:$O$22,COLUMN()-1,FALSE)-VLOOKUP($R7,F_Inputs!$B$4:$O$22,COLUMN()-1,FALSE)</f>
        <v>0.92774996717968405</v>
      </c>
      <c r="L7" s="543">
        <f>VLOOKUP($B7,F_Inputs!$B$4:$O$22,COLUMN()-1,FALSE)+VLOOKUP($Q7,F_Inputs!$B$4:$O$22,COLUMN()-1,FALSE)-VLOOKUP($R7,F_Inputs!$B$4:$O$22,COLUMN()-1,FALSE)</f>
        <v>2.751835758401</v>
      </c>
      <c r="M7" s="543">
        <f>VLOOKUP($B7,F_Inputs!$B$4:$O$22,COLUMN()-1,FALSE)+VLOOKUP($Q7,F_Inputs!$B$4:$O$22,COLUMN()-1,FALSE)-VLOOKUP($R7,F_Inputs!$B$4:$O$22,COLUMN()-1,FALSE)</f>
        <v>3.8621929379507804</v>
      </c>
      <c r="N7" s="543">
        <f>VLOOKUP($B7,F_Inputs!$B$4:$O$22,COLUMN()-1,FALSE)+VLOOKUP($Q7,F_Inputs!$B$4:$O$22,COLUMN()-1,FALSE)-VLOOKUP($R7,F_Inputs!$B$4:$O$22,COLUMN()-1,FALSE)</f>
        <v>4.3138833715203404</v>
      </c>
      <c r="O7" s="543">
        <f>VLOOKUP($B7,F_Inputs!$B$4:$O$22,COLUMN()-1,FALSE)+VLOOKUP($Q7,F_Inputs!$B$4:$O$22,COLUMN()-1,FALSE)-VLOOKUP($R7,F_Inputs!$B$4:$O$22,COLUMN()-1,FALSE)</f>
        <v>4.6912495386250699</v>
      </c>
      <c r="Q7" s="276" t="s">
        <v>239</v>
      </c>
      <c r="R7" s="276" t="s">
        <v>241</v>
      </c>
    </row>
    <row r="8" spans="1:16384">
      <c r="A8" s="276" t="s">
        <v>216</v>
      </c>
      <c r="B8" s="268" t="s">
        <v>97</v>
      </c>
      <c r="C8" s="276" t="s">
        <v>252</v>
      </c>
      <c r="D8" s="276" t="s">
        <v>74</v>
      </c>
      <c r="F8" s="347">
        <f>VLOOKUP($B8,F_Inputs!$B$23:$O$41,COLUMN()-1,FALSE)+VLOOKUP($Q8,F_Inputs!$B$23:$O$41,COLUMN()-1,FALSE)-VLOOKUP($R8,F_Inputs!$B$23:$O$41,COLUMN()-1,FALSE)</f>
        <v>0.365516805255102</v>
      </c>
      <c r="G8" s="347">
        <f>VLOOKUP($B8,F_Inputs!$B$23:$O$41,COLUMN()-1,FALSE)+VLOOKUP($Q8,F_Inputs!$B$23:$O$41,COLUMN()-1,FALSE)-VLOOKUP($R8,F_Inputs!$B$23:$O$41,COLUMN()-1,FALSE)</f>
        <v>0.64764164477887198</v>
      </c>
      <c r="H8" s="347">
        <f>VLOOKUP($B8,F_Inputs!$B$23:$O$41,COLUMN()-1,FALSE)+VLOOKUP($Q8,F_Inputs!$B$23:$O$41,COLUMN()-1,FALSE)-VLOOKUP($R8,F_Inputs!$B$23:$O$41,COLUMN()-1,FALSE)</f>
        <v>0.96566178137640402</v>
      </c>
      <c r="I8" s="347">
        <f>VLOOKUP($B8,F_Inputs!$B$23:$O$41,COLUMN()-1,FALSE)+VLOOKUP($Q8,F_Inputs!$B$23:$O$41,COLUMN()-1,FALSE)-VLOOKUP($R8,F_Inputs!$B$23:$O$41,COLUMN()-1,FALSE)</f>
        <v>1.33449578469868</v>
      </c>
      <c r="J8" s="347">
        <f>VLOOKUP($B8,F_Inputs!$B$23:$O$41,COLUMN()-1,FALSE)+VLOOKUP($Q8,F_Inputs!$B$23:$O$41,COLUMN()-1,FALSE)-VLOOKUP($R8,F_Inputs!$B$23:$O$41,COLUMN()-1,FALSE)</f>
        <v>2.073</v>
      </c>
      <c r="K8" s="542">
        <f>VLOOKUP($B8,F_Inputs!$B$23:$O$41,COLUMN()-1,FALSE)+VLOOKUP($Q8,F_Inputs!$B$23:$O$41,COLUMN()-1,FALSE)-VLOOKUP($R8,F_Inputs!$B$23:$O$41,COLUMN()-1,FALSE)</f>
        <v>3.4449999999999998</v>
      </c>
      <c r="L8" s="543">
        <f>VLOOKUP($B8,F_Inputs!$B$23:$O$41,COLUMN()-1,FALSE)+VLOOKUP($Q8,F_Inputs!$B$23:$O$41,COLUMN()-1,FALSE)-VLOOKUP($R8,F_Inputs!$B$23:$O$41,COLUMN()-1,FALSE)</f>
        <v>3.3249999999999997</v>
      </c>
      <c r="M8" s="543">
        <f>VLOOKUP($B8,F_Inputs!$B$23:$O$41,COLUMN()-1,FALSE)+VLOOKUP($Q8,F_Inputs!$B$23:$O$41,COLUMN()-1,FALSE)-VLOOKUP($R8,F_Inputs!$B$23:$O$41,COLUMN()-1,FALSE)</f>
        <v>3.1399999999999997</v>
      </c>
      <c r="N8" s="543">
        <f>VLOOKUP($B8,F_Inputs!$B$23:$O$41,COLUMN()-1,FALSE)+VLOOKUP($Q8,F_Inputs!$B$23:$O$41,COLUMN()-1,FALSE)-VLOOKUP($R8,F_Inputs!$B$23:$O$41,COLUMN()-1,FALSE)</f>
        <v>3.0619999999999998</v>
      </c>
      <c r="O8" s="543">
        <f>VLOOKUP($B8,F_Inputs!$B$23:$O$41,COLUMN()-1,FALSE)+VLOOKUP($Q8,F_Inputs!$B$23:$O$41,COLUMN()-1,FALSE)-VLOOKUP($R8,F_Inputs!$B$23:$O$41,COLUMN()-1,FALSE)</f>
        <v>3.0569999999999999</v>
      </c>
      <c r="Q8" s="276" t="s">
        <v>235</v>
      </c>
      <c r="R8" s="276" t="s">
        <v>237</v>
      </c>
    </row>
    <row r="9" spans="1:16384">
      <c r="B9" s="268" t="s">
        <v>98</v>
      </c>
      <c r="C9" s="276" t="s">
        <v>251</v>
      </c>
      <c r="D9" s="276" t="s">
        <v>74</v>
      </c>
      <c r="F9" s="347">
        <f>VLOOKUP($B9,F_Inputs!$B$23:$O$41,COLUMN()-1,FALSE)+VLOOKUP($Q9,F_Inputs!$B$23:$O$41,COLUMN()-1,FALSE)-VLOOKUP($R9,F_Inputs!$B$23:$O$41,COLUMN()-1,FALSE)</f>
        <v>0</v>
      </c>
      <c r="G9" s="347">
        <f>VLOOKUP($B9,F_Inputs!$B$23:$O$41,COLUMN()-1,FALSE)+VLOOKUP($Q9,F_Inputs!$B$23:$O$41,COLUMN()-1,FALSE)-VLOOKUP($R9,F_Inputs!$B$23:$O$41,COLUMN()-1,FALSE)</f>
        <v>0</v>
      </c>
      <c r="H9" s="347">
        <f>VLOOKUP($B9,F_Inputs!$B$23:$O$41,COLUMN()-1,FALSE)+VLOOKUP($Q9,F_Inputs!$B$23:$O$41,COLUMN()-1,FALSE)-VLOOKUP($R9,F_Inputs!$B$23:$O$41,COLUMN()-1,FALSE)</f>
        <v>0</v>
      </c>
      <c r="I9" s="347">
        <f>VLOOKUP($B9,F_Inputs!$B$23:$O$41,COLUMN()-1,FALSE)+VLOOKUP($Q9,F_Inputs!$B$23:$O$41,COLUMN()-1,FALSE)-VLOOKUP($R9,F_Inputs!$B$23:$O$41,COLUMN()-1,FALSE)</f>
        <v>0</v>
      </c>
      <c r="J9" s="347">
        <f>VLOOKUP($B9,F_Inputs!$B$23:$O$41,COLUMN()-1,FALSE)+VLOOKUP($Q9,F_Inputs!$B$23:$O$41,COLUMN()-1,FALSE)-VLOOKUP($R9,F_Inputs!$B$23:$O$41,COLUMN()-1,FALSE)</f>
        <v>0</v>
      </c>
      <c r="K9" s="542">
        <f>VLOOKUP($B9,F_Inputs!$B$23:$O$41,COLUMN()-1,FALSE)+VLOOKUP($Q9,F_Inputs!$B$23:$O$41,COLUMN()-1,FALSE)-VLOOKUP($R9,F_Inputs!$B$23:$O$41,COLUMN()-1,FALSE)</f>
        <v>0.71499999999999997</v>
      </c>
      <c r="L9" s="543">
        <f>VLOOKUP($B9,F_Inputs!$B$23:$O$41,COLUMN()-1,FALSE)+VLOOKUP($Q9,F_Inputs!$B$23:$O$41,COLUMN()-1,FALSE)-VLOOKUP($R9,F_Inputs!$B$23:$O$41,COLUMN()-1,FALSE)</f>
        <v>1.1539999999999999</v>
      </c>
      <c r="M9" s="543">
        <f>VLOOKUP($B9,F_Inputs!$B$23:$O$41,COLUMN()-1,FALSE)+VLOOKUP($Q9,F_Inputs!$B$23:$O$41,COLUMN()-1,FALSE)-VLOOKUP($R9,F_Inputs!$B$23:$O$41,COLUMN()-1,FALSE)</f>
        <v>1.323</v>
      </c>
      <c r="N9" s="543">
        <f>VLOOKUP($B9,F_Inputs!$B$23:$O$41,COLUMN()-1,FALSE)+VLOOKUP($Q9,F_Inputs!$B$23:$O$41,COLUMN()-1,FALSE)-VLOOKUP($R9,F_Inputs!$B$23:$O$41,COLUMN()-1,FALSE)</f>
        <v>1.44</v>
      </c>
      <c r="O9" s="543">
        <f>VLOOKUP($B9,F_Inputs!$B$23:$O$41,COLUMN()-1,FALSE)+VLOOKUP($Q9,F_Inputs!$B$23:$O$41,COLUMN()-1,FALSE)-VLOOKUP($R9,F_Inputs!$B$23:$O$41,COLUMN()-1,FALSE)</f>
        <v>1.518</v>
      </c>
      <c r="Q9" s="276" t="s">
        <v>239</v>
      </c>
      <c r="R9" s="276" t="s">
        <v>241</v>
      </c>
    </row>
    <row r="10" spans="1:16384">
      <c r="A10" s="276" t="s">
        <v>217</v>
      </c>
      <c r="B10" s="268" t="s">
        <v>97</v>
      </c>
      <c r="C10" s="276" t="s">
        <v>252</v>
      </c>
      <c r="D10" s="276" t="s">
        <v>74</v>
      </c>
      <c r="F10" s="347">
        <f>VLOOKUP($B10,F_Inputs!$B$42:$O$60,COLUMN()-1,FALSE)+VLOOKUP($Q10,F_Inputs!$B$42:$O$60,COLUMN()-1,FALSE)-VLOOKUP($R10,F_Inputs!$B$42:$O$60,COLUMN()-1,FALSE)</f>
        <v>1.9730835845916141</v>
      </c>
      <c r="G10" s="347">
        <f>VLOOKUP($B10,F_Inputs!$B$42:$O$60,COLUMN()-1,FALSE)+VLOOKUP($Q10,F_Inputs!$B$42:$O$60,COLUMN()-1,FALSE)-VLOOKUP($R10,F_Inputs!$B$42:$O$60,COLUMN()-1,FALSE)</f>
        <v>2.1023545780648489</v>
      </c>
      <c r="H10" s="347">
        <f>VLOOKUP($B10,F_Inputs!$B$42:$O$60,COLUMN()-1,FALSE)+VLOOKUP($Q10,F_Inputs!$B$42:$O$60,COLUMN()-1,FALSE)-VLOOKUP($R10,F_Inputs!$B$42:$O$60,COLUMN()-1,FALSE)</f>
        <v>2.3521489037988648</v>
      </c>
      <c r="I10" s="347">
        <f>VLOOKUP($B10,F_Inputs!$B$42:$O$60,COLUMN()-1,FALSE)+VLOOKUP($Q10,F_Inputs!$B$42:$O$60,COLUMN()-1,FALSE)-VLOOKUP($R10,F_Inputs!$B$42:$O$60,COLUMN()-1,FALSE)</f>
        <v>2.8148029857031069</v>
      </c>
      <c r="J10" s="347">
        <f>VLOOKUP($B10,F_Inputs!$B$42:$O$60,COLUMN()-1,FALSE)+VLOOKUP($Q10,F_Inputs!$B$42:$O$60,COLUMN()-1,FALSE)-VLOOKUP($R10,F_Inputs!$B$42:$O$60,COLUMN()-1,FALSE)</f>
        <v>3.0548776878677013</v>
      </c>
      <c r="K10" s="542">
        <f>VLOOKUP($B10,F_Inputs!$B$42:$O$60,COLUMN()-1,FALSE)+VLOOKUP($Q10,F_Inputs!$B$42:$O$60,COLUMN()-1,FALSE)-VLOOKUP($R10,F_Inputs!$B$42:$O$60,COLUMN()-1,FALSE)</f>
        <v>2.5504292246149651</v>
      </c>
      <c r="L10" s="543">
        <f>VLOOKUP($B10,F_Inputs!$B$42:$O$60,COLUMN()-1,FALSE)+VLOOKUP($Q10,F_Inputs!$B$42:$O$60,COLUMN()-1,FALSE)-VLOOKUP($R10,F_Inputs!$B$42:$O$60,COLUMN()-1,FALSE)</f>
        <v>2.2112143620423272</v>
      </c>
      <c r="M10" s="543">
        <f>VLOOKUP($B10,F_Inputs!$B$42:$O$60,COLUMN()-1,FALSE)+VLOOKUP($Q10,F_Inputs!$B$42:$O$60,COLUMN()-1,FALSE)-VLOOKUP($R10,F_Inputs!$B$42:$O$60,COLUMN()-1,FALSE)</f>
        <v>1.8049340968407046</v>
      </c>
      <c r="N10" s="543">
        <f>VLOOKUP($B10,F_Inputs!$B$42:$O$60,COLUMN()-1,FALSE)+VLOOKUP($Q10,F_Inputs!$B$42:$O$60,COLUMN()-1,FALSE)-VLOOKUP($R10,F_Inputs!$B$42:$O$60,COLUMN()-1,FALSE)</f>
        <v>1.4385042882736896</v>
      </c>
      <c r="O10" s="543">
        <f>VLOOKUP($B10,F_Inputs!$B$42:$O$60,COLUMN()-1,FALSE)+VLOOKUP($Q10,F_Inputs!$B$42:$O$60,COLUMN()-1,FALSE)-VLOOKUP($R10,F_Inputs!$B$42:$O$60,COLUMN()-1,FALSE)</f>
        <v>1.3131211442282107</v>
      </c>
      <c r="Q10" s="276" t="s">
        <v>235</v>
      </c>
      <c r="R10" s="276" t="s">
        <v>237</v>
      </c>
    </row>
    <row r="11" spans="1:16384">
      <c r="B11" s="268" t="s">
        <v>98</v>
      </c>
      <c r="C11" s="276" t="s">
        <v>251</v>
      </c>
      <c r="D11" s="276" t="s">
        <v>74</v>
      </c>
      <c r="F11" s="347">
        <f>VLOOKUP($B11,F_Inputs!$B$42:$O$60,COLUMN()-1,FALSE)+VLOOKUP($Q11,F_Inputs!$B$42:$O$60,COLUMN()-1,FALSE)-VLOOKUP($R11,F_Inputs!$B$42:$O$60,COLUMN()-1,FALSE)</f>
        <v>0</v>
      </c>
      <c r="G11" s="347">
        <f>VLOOKUP($B11,F_Inputs!$B$42:$O$60,COLUMN()-1,FALSE)+VLOOKUP($Q11,F_Inputs!$B$42:$O$60,COLUMN()-1,FALSE)-VLOOKUP($R11,F_Inputs!$B$42:$O$60,COLUMN()-1,FALSE)</f>
        <v>0</v>
      </c>
      <c r="H11" s="347">
        <f>VLOOKUP($B11,F_Inputs!$B$42:$O$60,COLUMN()-1,FALSE)+VLOOKUP($Q11,F_Inputs!$B$42:$O$60,COLUMN()-1,FALSE)-VLOOKUP($R11,F_Inputs!$B$42:$O$60,COLUMN()-1,FALSE)</f>
        <v>0</v>
      </c>
      <c r="I11" s="347">
        <f>VLOOKUP($B11,F_Inputs!$B$42:$O$60,COLUMN()-1,FALSE)+VLOOKUP($Q11,F_Inputs!$B$42:$O$60,COLUMN()-1,FALSE)-VLOOKUP($R11,F_Inputs!$B$42:$O$60,COLUMN()-1,FALSE)</f>
        <v>0</v>
      </c>
      <c r="J11" s="347">
        <f>VLOOKUP($B11,F_Inputs!$B$42:$O$60,COLUMN()-1,FALSE)+VLOOKUP($Q11,F_Inputs!$B$42:$O$60,COLUMN()-1,FALSE)-VLOOKUP($R11,F_Inputs!$B$42:$O$60,COLUMN()-1,FALSE)</f>
        <v>0</v>
      </c>
      <c r="K11" s="542">
        <f>VLOOKUP($B11,F_Inputs!$B$42:$O$60,COLUMN()-1,FALSE)+VLOOKUP($Q11,F_Inputs!$B$42:$O$60,COLUMN()-1,FALSE)-VLOOKUP($R11,F_Inputs!$B$42:$O$60,COLUMN()-1,FALSE)</f>
        <v>0.97585020636944741</v>
      </c>
      <c r="L11" s="543">
        <f>VLOOKUP($B11,F_Inputs!$B$42:$O$60,COLUMN()-1,FALSE)+VLOOKUP($Q11,F_Inputs!$B$42:$O$60,COLUMN()-1,FALSE)-VLOOKUP($R11,F_Inputs!$B$42:$O$60,COLUMN()-1,FALSE)</f>
        <v>1.563887432319166</v>
      </c>
      <c r="M11" s="543">
        <f>VLOOKUP($B11,F_Inputs!$B$42:$O$60,COLUMN()-1,FALSE)+VLOOKUP($Q11,F_Inputs!$B$42:$O$60,COLUMN()-1,FALSE)-VLOOKUP($R11,F_Inputs!$B$42:$O$60,COLUMN()-1,FALSE)</f>
        <v>2.2345414586089252</v>
      </c>
      <c r="N11" s="543">
        <f>VLOOKUP($B11,F_Inputs!$B$42:$O$60,COLUMN()-1,FALSE)+VLOOKUP($Q11,F_Inputs!$B$42:$O$60,COLUMN()-1,FALSE)-VLOOKUP($R11,F_Inputs!$B$42:$O$60,COLUMN()-1,FALSE)</f>
        <v>2.7555132819296628</v>
      </c>
      <c r="O11" s="543">
        <f>VLOOKUP($B11,F_Inputs!$B$42:$O$60,COLUMN()-1,FALSE)+VLOOKUP($Q11,F_Inputs!$B$42:$O$60,COLUMN()-1,FALSE)-VLOOKUP($R11,F_Inputs!$B$42:$O$60,COLUMN()-1,FALSE)</f>
        <v>3.3309149972391348</v>
      </c>
      <c r="Q11" s="276" t="s">
        <v>239</v>
      </c>
      <c r="R11" s="276" t="s">
        <v>241</v>
      </c>
    </row>
    <row r="12" spans="1:16384">
      <c r="A12" s="276" t="s">
        <v>219</v>
      </c>
      <c r="B12" s="268" t="s">
        <v>97</v>
      </c>
      <c r="C12" s="276" t="s">
        <v>252</v>
      </c>
      <c r="D12" s="276" t="s">
        <v>74</v>
      </c>
      <c r="F12" s="347">
        <f>VLOOKUP($B12,F_Inputs!$B$61:$O$79,COLUMN()-1,FALSE)+VLOOKUP($Q12,F_Inputs!$B$61:$O$79,COLUMN()-1,FALSE)-VLOOKUP($R12,F_Inputs!$B$61:$O$79,COLUMN()-1,FALSE)</f>
        <v>20.702770789194901</v>
      </c>
      <c r="G12" s="347">
        <f>VLOOKUP($B12,F_Inputs!$B$61:$O$79,COLUMN()-1,FALSE)+VLOOKUP($Q12,F_Inputs!$B$61:$O$79,COLUMN()-1,FALSE)-VLOOKUP($R12,F_Inputs!$B$61:$O$79,COLUMN()-1,FALSE)</f>
        <v>22.355104608050802</v>
      </c>
      <c r="H12" s="347">
        <f>VLOOKUP($B12,F_Inputs!$B$61:$O$79,COLUMN()-1,FALSE)+VLOOKUP($Q12,F_Inputs!$B$61:$O$79,COLUMN()-1,FALSE)-VLOOKUP($R12,F_Inputs!$B$61:$O$79,COLUMN()-1,FALSE)</f>
        <v>13.224302170150391</v>
      </c>
      <c r="I12" s="347">
        <f>VLOOKUP($B12,F_Inputs!$B$61:$O$79,COLUMN()-1,FALSE)+VLOOKUP($Q12,F_Inputs!$B$61:$O$79,COLUMN()-1,FALSE)-VLOOKUP($R12,F_Inputs!$B$61:$O$79,COLUMN()-1,FALSE)</f>
        <v>13.828333668474309</v>
      </c>
      <c r="J12" s="347">
        <f>VLOOKUP($B12,F_Inputs!$B$61:$O$79,COLUMN()-1,FALSE)+VLOOKUP($Q12,F_Inputs!$B$61:$O$79,COLUMN()-1,FALSE)-VLOOKUP($R12,F_Inputs!$B$61:$O$79,COLUMN()-1,FALSE)</f>
        <v>10.52801136740025</v>
      </c>
      <c r="K12" s="542">
        <f>VLOOKUP($B12,F_Inputs!$B$61:$O$79,COLUMN()-1,FALSE)+VLOOKUP($Q12,F_Inputs!$B$61:$O$79,COLUMN()-1,FALSE)-VLOOKUP($R12,F_Inputs!$B$61:$O$79,COLUMN()-1,FALSE)</f>
        <v>8.3536031877957395</v>
      </c>
      <c r="L12" s="543">
        <f>VLOOKUP($B12,F_Inputs!$B$61:$O$79,COLUMN()-1,FALSE)+VLOOKUP($Q12,F_Inputs!$B$61:$O$79,COLUMN()-1,FALSE)-VLOOKUP($R12,F_Inputs!$B$61:$O$79,COLUMN()-1,FALSE)</f>
        <v>5.6335636274567804</v>
      </c>
      <c r="M12" s="543">
        <f>VLOOKUP($B12,F_Inputs!$B$61:$O$79,COLUMN()-1,FALSE)+VLOOKUP($Q12,F_Inputs!$B$61:$O$79,COLUMN()-1,FALSE)-VLOOKUP($R12,F_Inputs!$B$61:$O$79,COLUMN()-1,FALSE)</f>
        <v>4.8980841812096099</v>
      </c>
      <c r="N12" s="543">
        <f>VLOOKUP($B12,F_Inputs!$B$61:$O$79,COLUMN()-1,FALSE)+VLOOKUP($Q12,F_Inputs!$B$61:$O$79,COLUMN()-1,FALSE)-VLOOKUP($R12,F_Inputs!$B$61:$O$79,COLUMN()-1,FALSE)</f>
        <v>3.9265854569158503</v>
      </c>
      <c r="O12" s="543">
        <f>VLOOKUP($B12,F_Inputs!$B$61:$O$79,COLUMN()-1,FALSE)+VLOOKUP($Q12,F_Inputs!$B$61:$O$79,COLUMN()-1,FALSE)-VLOOKUP($R12,F_Inputs!$B$61:$O$79,COLUMN()-1,FALSE)</f>
        <v>3.2718876994738402</v>
      </c>
      <c r="Q12" s="276" t="s">
        <v>235</v>
      </c>
      <c r="R12" s="276" t="s">
        <v>237</v>
      </c>
    </row>
    <row r="13" spans="1:16384">
      <c r="B13" s="268" t="s">
        <v>98</v>
      </c>
      <c r="C13" s="276" t="s">
        <v>251</v>
      </c>
      <c r="D13" s="276" t="s">
        <v>74</v>
      </c>
      <c r="F13" s="347">
        <f>VLOOKUP($B13,F_Inputs!$B$61:$O$79,COLUMN()-1,FALSE)+VLOOKUP($Q13,F_Inputs!$B$61:$O$79,COLUMN()-1,FALSE)-VLOOKUP($R13,F_Inputs!$B$61:$O$79,COLUMN()-1,FALSE)</f>
        <v>0</v>
      </c>
      <c r="G13" s="347">
        <f>VLOOKUP($B13,F_Inputs!$B$61:$O$79,COLUMN()-1,FALSE)+VLOOKUP($Q13,F_Inputs!$B$61:$O$79,COLUMN()-1,FALSE)-VLOOKUP($R13,F_Inputs!$B$61:$O$79,COLUMN()-1,FALSE)</f>
        <v>0</v>
      </c>
      <c r="H13" s="347">
        <f>VLOOKUP($B13,F_Inputs!$B$61:$O$79,COLUMN()-1,FALSE)+VLOOKUP($Q13,F_Inputs!$B$61:$O$79,COLUMN()-1,FALSE)-VLOOKUP($R13,F_Inputs!$B$61:$O$79,COLUMN()-1,FALSE)</f>
        <v>0</v>
      </c>
      <c r="I13" s="347">
        <f>VLOOKUP($B13,F_Inputs!$B$61:$O$79,COLUMN()-1,FALSE)+VLOOKUP($Q13,F_Inputs!$B$61:$O$79,COLUMN()-1,FALSE)-VLOOKUP($R13,F_Inputs!$B$61:$O$79,COLUMN()-1,FALSE)</f>
        <v>0</v>
      </c>
      <c r="J13" s="347">
        <f>VLOOKUP($B13,F_Inputs!$B$61:$O$79,COLUMN()-1,FALSE)+VLOOKUP($Q13,F_Inputs!$B$61:$O$79,COLUMN()-1,FALSE)-VLOOKUP($R13,F_Inputs!$B$61:$O$79,COLUMN()-1,FALSE)</f>
        <v>0</v>
      </c>
      <c r="K13" s="542">
        <f>VLOOKUP($B13,F_Inputs!$B$61:$O$79,COLUMN()-1,FALSE)+VLOOKUP($Q13,F_Inputs!$B$61:$O$79,COLUMN()-1,FALSE)-VLOOKUP($R13,F_Inputs!$B$61:$O$79,COLUMN()-1,FALSE)</f>
        <v>0.48643053279879822</v>
      </c>
      <c r="L13" s="543">
        <f>VLOOKUP($B13,F_Inputs!$B$61:$O$79,COLUMN()-1,FALSE)+VLOOKUP($Q13,F_Inputs!$B$61:$O$79,COLUMN()-1,FALSE)-VLOOKUP($R13,F_Inputs!$B$61:$O$79,COLUMN()-1,FALSE)</f>
        <v>1.5086743878745299</v>
      </c>
      <c r="M13" s="543">
        <f>VLOOKUP($B13,F_Inputs!$B$61:$O$79,COLUMN()-1,FALSE)+VLOOKUP($Q13,F_Inputs!$B$61:$O$79,COLUMN()-1,FALSE)-VLOOKUP($R13,F_Inputs!$B$61:$O$79,COLUMN()-1,FALSE)</f>
        <v>2.7992490226720159</v>
      </c>
      <c r="N13" s="543">
        <f>VLOOKUP($B13,F_Inputs!$B$61:$O$79,COLUMN()-1,FALSE)+VLOOKUP($Q13,F_Inputs!$B$61:$O$79,COLUMN()-1,FALSE)-VLOOKUP($R13,F_Inputs!$B$61:$O$79,COLUMN()-1,FALSE)</f>
        <v>4.5379626354587517</v>
      </c>
      <c r="O13" s="543">
        <f>VLOOKUP($B13,F_Inputs!$B$61:$O$79,COLUMN()-1,FALSE)+VLOOKUP($Q13,F_Inputs!$B$61:$O$79,COLUMN()-1,FALSE)-VLOOKUP($R13,F_Inputs!$B$61:$O$79,COLUMN()-1,FALSE)</f>
        <v>5.6307036398897239</v>
      </c>
      <c r="Q13" s="276" t="s">
        <v>239</v>
      </c>
      <c r="R13" s="276" t="s">
        <v>241</v>
      </c>
    </row>
    <row r="14" spans="1:16384">
      <c r="A14" s="276" t="s">
        <v>220</v>
      </c>
      <c r="B14" s="268" t="s">
        <v>97</v>
      </c>
      <c r="C14" s="276" t="s">
        <v>252</v>
      </c>
      <c r="D14" s="276" t="s">
        <v>74</v>
      </c>
      <c r="F14" s="347">
        <f>VLOOKUP($B14,F_Inputs!$B$80:$O$98,COLUMN()-1,FALSE)+VLOOKUP($Q14,F_Inputs!$B$80:$O$98,COLUMN()-1,FALSE)-VLOOKUP($R14,F_Inputs!$B$80:$O$98,COLUMN()-1,FALSE)</f>
        <v>2.67386490333686</v>
      </c>
      <c r="G14" s="347">
        <f>VLOOKUP($B14,F_Inputs!$B$80:$O$98,COLUMN()-1,FALSE)+VLOOKUP($Q14,F_Inputs!$B$80:$O$98,COLUMN()-1,FALSE)-VLOOKUP($R14,F_Inputs!$B$80:$O$98,COLUMN()-1,FALSE)</f>
        <v>2.7973039592161002</v>
      </c>
      <c r="H14" s="347">
        <f>VLOOKUP($B14,F_Inputs!$B$80:$O$98,COLUMN()-1,FALSE)+VLOOKUP($Q14,F_Inputs!$B$80:$O$98,COLUMN()-1,FALSE)-VLOOKUP($R14,F_Inputs!$B$80:$O$98,COLUMN()-1,FALSE)</f>
        <v>3.1238828787076298</v>
      </c>
      <c r="I14" s="347">
        <f>VLOOKUP($B14,F_Inputs!$B$80:$O$98,COLUMN()-1,FALSE)+VLOOKUP($Q14,F_Inputs!$B$80:$O$98,COLUMN()-1,FALSE)-VLOOKUP($R14,F_Inputs!$B$80:$O$98,COLUMN()-1,FALSE)</f>
        <v>3.1705370100635601</v>
      </c>
      <c r="J14" s="347">
        <f>VLOOKUP($B14,F_Inputs!$B$80:$O$98,COLUMN()-1,FALSE)+VLOOKUP($Q14,F_Inputs!$B$80:$O$98,COLUMN()-1,FALSE)-VLOOKUP($R14,F_Inputs!$B$80:$O$98,COLUMN()-1,FALSE)</f>
        <v>3.0334904992055098</v>
      </c>
      <c r="K14" s="542">
        <f>VLOOKUP($B14,F_Inputs!$B$80:$O$98,COLUMN()-1,FALSE)+VLOOKUP($Q14,F_Inputs!$B$80:$O$98,COLUMN()-1,FALSE)-VLOOKUP($R14,F_Inputs!$B$80:$O$98,COLUMN()-1,FALSE)</f>
        <v>1.9478099841101699</v>
      </c>
      <c r="L14" s="543">
        <f>VLOOKUP($B14,F_Inputs!$B$80:$O$98,COLUMN()-1,FALSE)+VLOOKUP($Q14,F_Inputs!$B$80:$O$98,COLUMN()-1,FALSE)-VLOOKUP($R14,F_Inputs!$B$80:$O$98,COLUMN()-1,FALSE)</f>
        <v>1.36074549788136</v>
      </c>
      <c r="M14" s="543">
        <f>VLOOKUP($B14,F_Inputs!$B$80:$O$98,COLUMN()-1,FALSE)+VLOOKUP($Q14,F_Inputs!$B$80:$O$98,COLUMN()-1,FALSE)-VLOOKUP($R14,F_Inputs!$B$80:$O$98,COLUMN()-1,FALSE)</f>
        <v>1.1585775953389801</v>
      </c>
      <c r="N14" s="543">
        <f>VLOOKUP($B14,F_Inputs!$B$80:$O$98,COLUMN()-1,FALSE)+VLOOKUP($Q14,F_Inputs!$B$80:$O$98,COLUMN()-1,FALSE)-VLOOKUP($R14,F_Inputs!$B$80:$O$98,COLUMN()-1,FALSE)</f>
        <v>0.95446577065677995</v>
      </c>
      <c r="O14" s="543">
        <f>VLOOKUP($B14,F_Inputs!$B$80:$O$98,COLUMN()-1,FALSE)+VLOOKUP($Q14,F_Inputs!$B$80:$O$98,COLUMN()-1,FALSE)-VLOOKUP($R14,F_Inputs!$B$80:$O$98,COLUMN()-1,FALSE)</f>
        <v>0.54721408236228797</v>
      </c>
      <c r="Q14" s="276" t="s">
        <v>235</v>
      </c>
      <c r="R14" s="276" t="s">
        <v>237</v>
      </c>
    </row>
    <row r="15" spans="1:16384">
      <c r="B15" s="268" t="s">
        <v>98</v>
      </c>
      <c r="C15" s="276" t="s">
        <v>251</v>
      </c>
      <c r="D15" s="276" t="s">
        <v>74</v>
      </c>
      <c r="F15" s="347">
        <f>VLOOKUP($B15,F_Inputs!$B$80:$O$98,COLUMN()-1,FALSE)+VLOOKUP($Q15,F_Inputs!$B$80:$O$98,COLUMN()-1,FALSE)-VLOOKUP($R15,F_Inputs!$B$80:$O$98,COLUMN()-1,FALSE)</f>
        <v>0</v>
      </c>
      <c r="G15" s="347">
        <f>VLOOKUP($B15,F_Inputs!$B$80:$O$98,COLUMN()-1,FALSE)+VLOOKUP($Q15,F_Inputs!$B$80:$O$98,COLUMN()-1,FALSE)-VLOOKUP($R15,F_Inputs!$B$80:$O$98,COLUMN()-1,FALSE)</f>
        <v>0</v>
      </c>
      <c r="H15" s="347">
        <f>VLOOKUP($B15,F_Inputs!$B$80:$O$98,COLUMN()-1,FALSE)+VLOOKUP($Q15,F_Inputs!$B$80:$O$98,COLUMN()-1,FALSE)-VLOOKUP($R15,F_Inputs!$B$80:$O$98,COLUMN()-1,FALSE)</f>
        <v>0</v>
      </c>
      <c r="I15" s="347">
        <f>VLOOKUP($B15,F_Inputs!$B$80:$O$98,COLUMN()-1,FALSE)+VLOOKUP($Q15,F_Inputs!$B$80:$O$98,COLUMN()-1,FALSE)-VLOOKUP($R15,F_Inputs!$B$80:$O$98,COLUMN()-1,FALSE)</f>
        <v>0</v>
      </c>
      <c r="J15" s="347">
        <f>VLOOKUP($B15,F_Inputs!$B$80:$O$98,COLUMN()-1,FALSE)+VLOOKUP($Q15,F_Inputs!$B$80:$O$98,COLUMN()-1,FALSE)-VLOOKUP($R15,F_Inputs!$B$80:$O$98,COLUMN()-1,FALSE)</f>
        <v>0</v>
      </c>
      <c r="K15" s="542">
        <f>VLOOKUP($B15,F_Inputs!$B$80:$O$98,COLUMN()-1,FALSE)+VLOOKUP($Q15,F_Inputs!$B$80:$O$98,COLUMN()-1,FALSE)-VLOOKUP($R15,F_Inputs!$B$80:$O$98,COLUMN()-1,FALSE)</f>
        <v>0.132186705508475</v>
      </c>
      <c r="L15" s="543">
        <f>VLOOKUP($B15,F_Inputs!$B$80:$O$98,COLUMN()-1,FALSE)+VLOOKUP($Q15,F_Inputs!$B$80:$O$98,COLUMN()-1,FALSE)-VLOOKUP($R15,F_Inputs!$B$80:$O$98,COLUMN()-1,FALSE)</f>
        <v>0.42183110434322002</v>
      </c>
      <c r="M15" s="543">
        <f>VLOOKUP($B15,F_Inputs!$B$80:$O$98,COLUMN()-1,FALSE)+VLOOKUP($Q15,F_Inputs!$B$80:$O$98,COLUMN()-1,FALSE)-VLOOKUP($R15,F_Inputs!$B$80:$O$98,COLUMN()-1,FALSE)</f>
        <v>0.68134471001059305</v>
      </c>
      <c r="N15" s="543">
        <f>VLOOKUP($B15,F_Inputs!$B$80:$O$98,COLUMN()-1,FALSE)+VLOOKUP($Q15,F_Inputs!$B$80:$O$98,COLUMN()-1,FALSE)-VLOOKUP($R15,F_Inputs!$B$80:$O$98,COLUMN()-1,FALSE)</f>
        <v>0.89128830111228796</v>
      </c>
      <c r="O15" s="543">
        <f>VLOOKUP($B15,F_Inputs!$B$80:$O$98,COLUMN()-1,FALSE)+VLOOKUP($Q15,F_Inputs!$B$80:$O$98,COLUMN()-1,FALSE)-VLOOKUP($R15,F_Inputs!$B$80:$O$98,COLUMN()-1,FALSE)</f>
        <v>1.08470855402542</v>
      </c>
      <c r="Q15" s="276" t="s">
        <v>239</v>
      </c>
      <c r="R15" s="276" t="s">
        <v>241</v>
      </c>
    </row>
    <row r="16" spans="1:16384">
      <c r="A16" s="276" t="s">
        <v>221</v>
      </c>
      <c r="B16" s="268" t="s">
        <v>97</v>
      </c>
      <c r="C16" s="276" t="s">
        <v>252</v>
      </c>
      <c r="D16" s="276" t="s">
        <v>74</v>
      </c>
      <c r="F16" s="347">
        <f>VLOOKUP($B16,F_Inputs!$B$99:$O$117,COLUMN()-1,FALSE)+VLOOKUP($Q16,F_Inputs!$B$99:$O$117,COLUMN()-1,FALSE)-VLOOKUP($R16,F_Inputs!$B$99:$O$117,COLUMN()-1,FALSE)</f>
        <v>8.3366125526000001</v>
      </c>
      <c r="G16" s="347">
        <f>VLOOKUP($B16,F_Inputs!$B$99:$O$117,COLUMN()-1,FALSE)+VLOOKUP($Q16,F_Inputs!$B$99:$O$117,COLUMN()-1,FALSE)-VLOOKUP($R16,F_Inputs!$B$99:$O$117,COLUMN()-1,FALSE)</f>
        <v>9.4697985108000005</v>
      </c>
      <c r="H16" s="347">
        <f>VLOOKUP($B16,F_Inputs!$B$99:$O$117,COLUMN()-1,FALSE)+VLOOKUP($Q16,F_Inputs!$B$99:$O$117,COLUMN()-1,FALSE)-VLOOKUP($R16,F_Inputs!$B$99:$O$117,COLUMN()-1,FALSE)</f>
        <v>9.1514130890000001</v>
      </c>
      <c r="I16" s="347">
        <f>VLOOKUP($B16,F_Inputs!$B$99:$O$117,COLUMN()-1,FALSE)+VLOOKUP($Q16,F_Inputs!$B$99:$O$117,COLUMN()-1,FALSE)-VLOOKUP($R16,F_Inputs!$B$99:$O$117,COLUMN()-1,FALSE)</f>
        <v>10.425196680400001</v>
      </c>
      <c r="J16" s="347">
        <f>VLOOKUP($B16,F_Inputs!$B$99:$O$117,COLUMN()-1,FALSE)+VLOOKUP($Q16,F_Inputs!$B$99:$O$117,COLUMN()-1,FALSE)-VLOOKUP($R16,F_Inputs!$B$99:$O$117,COLUMN()-1,FALSE)</f>
        <v>9.6851764410259999</v>
      </c>
      <c r="K16" s="542">
        <f>VLOOKUP($B16,F_Inputs!$B$99:$O$117,COLUMN()-1,FALSE)+VLOOKUP($Q16,F_Inputs!$B$99:$O$117,COLUMN()-1,FALSE)-VLOOKUP($R16,F_Inputs!$B$99:$O$117,COLUMN()-1,FALSE)</f>
        <v>7.3746752036279997</v>
      </c>
      <c r="L16" s="543">
        <f>VLOOKUP($B16,F_Inputs!$B$99:$O$117,COLUMN()-1,FALSE)+VLOOKUP($Q16,F_Inputs!$B$99:$O$117,COLUMN()-1,FALSE)-VLOOKUP($R16,F_Inputs!$B$99:$O$117,COLUMN()-1,FALSE)</f>
        <v>6.5280863914739999</v>
      </c>
      <c r="M16" s="543">
        <f>VLOOKUP($B16,F_Inputs!$B$99:$O$117,COLUMN()-1,FALSE)+VLOOKUP($Q16,F_Inputs!$B$99:$O$117,COLUMN()-1,FALSE)-VLOOKUP($R16,F_Inputs!$B$99:$O$117,COLUMN()-1,FALSE)</f>
        <v>5.6242219230900004</v>
      </c>
      <c r="N16" s="543">
        <f>VLOOKUP($B16,F_Inputs!$B$99:$O$117,COLUMN()-1,FALSE)+VLOOKUP($Q16,F_Inputs!$B$99:$O$117,COLUMN()-1,FALSE)-VLOOKUP($R16,F_Inputs!$B$99:$O$117,COLUMN()-1,FALSE)</f>
        <v>4.794027253656</v>
      </c>
      <c r="O16" s="543">
        <f>VLOOKUP($B16,F_Inputs!$B$99:$O$117,COLUMN()-1,FALSE)+VLOOKUP($Q16,F_Inputs!$B$99:$O$117,COLUMN()-1,FALSE)-VLOOKUP($R16,F_Inputs!$B$99:$O$117,COLUMN()-1,FALSE)</f>
        <v>3.9092800866980002</v>
      </c>
      <c r="Q16" s="276" t="s">
        <v>235</v>
      </c>
      <c r="R16" s="276" t="s">
        <v>237</v>
      </c>
    </row>
    <row r="17" spans="1:18">
      <c r="B17" s="268" t="s">
        <v>98</v>
      </c>
      <c r="C17" s="276" t="s">
        <v>251</v>
      </c>
      <c r="D17" s="276" t="s">
        <v>74</v>
      </c>
      <c r="F17" s="347">
        <f>VLOOKUP($B17,F_Inputs!$B$99:$O$117,COLUMN()-1,FALSE)+VLOOKUP($Q17,F_Inputs!$B$99:$O$117,COLUMN()-1,FALSE)-VLOOKUP($R17,F_Inputs!$B$99:$O$117,COLUMN()-1,FALSE)</f>
        <v>0</v>
      </c>
      <c r="G17" s="347">
        <f>VLOOKUP($B17,F_Inputs!$B$99:$O$117,COLUMN()-1,FALSE)+VLOOKUP($Q17,F_Inputs!$B$99:$O$117,COLUMN()-1,FALSE)-VLOOKUP($R17,F_Inputs!$B$99:$O$117,COLUMN()-1,FALSE)</f>
        <v>0</v>
      </c>
      <c r="H17" s="347">
        <f>VLOOKUP($B17,F_Inputs!$B$99:$O$117,COLUMN()-1,FALSE)+VLOOKUP($Q17,F_Inputs!$B$99:$O$117,COLUMN()-1,FALSE)-VLOOKUP($R17,F_Inputs!$B$99:$O$117,COLUMN()-1,FALSE)</f>
        <v>0</v>
      </c>
      <c r="I17" s="347">
        <f>VLOOKUP($B17,F_Inputs!$B$99:$O$117,COLUMN()-1,FALSE)+VLOOKUP($Q17,F_Inputs!$B$99:$O$117,COLUMN()-1,FALSE)-VLOOKUP($R17,F_Inputs!$B$99:$O$117,COLUMN()-1,FALSE)</f>
        <v>0</v>
      </c>
      <c r="J17" s="347">
        <f>VLOOKUP($B17,F_Inputs!$B$99:$O$117,COLUMN()-1,FALSE)+VLOOKUP($Q17,F_Inputs!$B$99:$O$117,COLUMN()-1,FALSE)-VLOOKUP($R17,F_Inputs!$B$99:$O$117,COLUMN()-1,FALSE)</f>
        <v>0</v>
      </c>
      <c r="K17" s="542">
        <f>VLOOKUP($B17,F_Inputs!$B$99:$O$117,COLUMN()-1,FALSE)+VLOOKUP($Q17,F_Inputs!$B$99:$O$117,COLUMN()-1,FALSE)-VLOOKUP($R17,F_Inputs!$B$99:$O$117,COLUMN()-1,FALSE)</f>
        <v>0.26744038737173303</v>
      </c>
      <c r="L17" s="543">
        <f>VLOOKUP($B17,F_Inputs!$B$99:$O$117,COLUMN()-1,FALSE)+VLOOKUP($Q17,F_Inputs!$B$99:$O$117,COLUMN()-1,FALSE)-VLOOKUP($R17,F_Inputs!$B$99:$O$117,COLUMN()-1,FALSE)</f>
        <v>0.80933481688000097</v>
      </c>
      <c r="M17" s="543">
        <f>VLOOKUP($B17,F_Inputs!$B$99:$O$117,COLUMN()-1,FALSE)+VLOOKUP($Q17,F_Inputs!$B$99:$O$117,COLUMN()-1,FALSE)-VLOOKUP($R17,F_Inputs!$B$99:$O$117,COLUMN()-1,FALSE)</f>
        <v>1.356914119408005</v>
      </c>
      <c r="N17" s="543">
        <f>VLOOKUP($B17,F_Inputs!$B$99:$O$117,COLUMN()-1,FALSE)+VLOOKUP($Q17,F_Inputs!$B$99:$O$117,COLUMN()-1,FALSE)-VLOOKUP($R17,F_Inputs!$B$99:$O$117,COLUMN()-1,FALSE)</f>
        <v>1.904493421936009</v>
      </c>
      <c r="O17" s="543">
        <f>VLOOKUP($B17,F_Inputs!$B$99:$O$117,COLUMN()-1,FALSE)+VLOOKUP($Q17,F_Inputs!$B$99:$O$117,COLUMN()-1,FALSE)-VLOOKUP($R17,F_Inputs!$B$99:$O$117,COLUMN()-1,FALSE)</f>
        <v>2.4463878514442801</v>
      </c>
      <c r="Q17" s="276" t="s">
        <v>239</v>
      </c>
      <c r="R17" s="276" t="s">
        <v>241</v>
      </c>
    </row>
    <row r="18" spans="1:18">
      <c r="A18" s="276" t="s">
        <v>222</v>
      </c>
      <c r="B18" s="268" t="s">
        <v>97</v>
      </c>
      <c r="C18" s="276" t="s">
        <v>252</v>
      </c>
      <c r="D18" s="276" t="s">
        <v>74</v>
      </c>
      <c r="F18" s="347">
        <f>VLOOKUP($B18,F_Inputs!$B$118:$O$136,COLUMN()-1,FALSE)+VLOOKUP($Q18,F_Inputs!$B$118:$O$136,COLUMN()-1,FALSE)-VLOOKUP($R18,F_Inputs!$B$118:$O$136,COLUMN()-1,FALSE)</f>
        <v>2.3375694684447401</v>
      </c>
      <c r="G18" s="347">
        <f>VLOOKUP($B18,F_Inputs!$B$118:$O$136,COLUMN()-1,FALSE)+VLOOKUP($Q18,F_Inputs!$B$118:$O$136,COLUMN()-1,FALSE)-VLOOKUP($R18,F_Inputs!$B$118:$O$136,COLUMN()-1,FALSE)</f>
        <v>2.3453451673002701</v>
      </c>
      <c r="H18" s="347">
        <f>VLOOKUP($B18,F_Inputs!$B$118:$O$136,COLUMN()-1,FALSE)+VLOOKUP($Q18,F_Inputs!$B$118:$O$136,COLUMN()-1,FALSE)-VLOOKUP($R18,F_Inputs!$B$118:$O$136,COLUMN()-1,FALSE)</f>
        <v>2.2743919152435299</v>
      </c>
      <c r="I18" s="347">
        <f>VLOOKUP($B18,F_Inputs!$B$118:$O$136,COLUMN()-1,FALSE)+VLOOKUP($Q18,F_Inputs!$B$118:$O$136,COLUMN()-1,FALSE)-VLOOKUP($R18,F_Inputs!$B$118:$O$136,COLUMN()-1,FALSE)</f>
        <v>2.0080742294415099</v>
      </c>
      <c r="J18" s="347">
        <f>VLOOKUP($B18,F_Inputs!$B$118:$O$136,COLUMN()-1,FALSE)+VLOOKUP($Q18,F_Inputs!$B$118:$O$136,COLUMN()-1,FALSE)-VLOOKUP($R18,F_Inputs!$B$118:$O$136,COLUMN()-1,FALSE)</f>
        <v>3.4611579530693199</v>
      </c>
      <c r="K18" s="542">
        <f>VLOOKUP($B18,F_Inputs!$B$118:$O$136,COLUMN()-1,FALSE)+VLOOKUP($Q18,F_Inputs!$B$118:$O$136,COLUMN()-1,FALSE)-VLOOKUP($R18,F_Inputs!$B$118:$O$136,COLUMN()-1,FALSE)</f>
        <v>7.4306522188191497</v>
      </c>
      <c r="L18" s="543">
        <f>VLOOKUP($B18,F_Inputs!$B$118:$O$136,COLUMN()-1,FALSE)+VLOOKUP($Q18,F_Inputs!$B$118:$O$136,COLUMN()-1,FALSE)-VLOOKUP($R18,F_Inputs!$B$118:$O$136,COLUMN()-1,FALSE)</f>
        <v>6.9884093464106805</v>
      </c>
      <c r="M18" s="543">
        <f>VLOOKUP($B18,F_Inputs!$B$118:$O$136,COLUMN()-1,FALSE)+VLOOKUP($Q18,F_Inputs!$B$118:$O$136,COLUMN()-1,FALSE)-VLOOKUP($R18,F_Inputs!$B$118:$O$136,COLUMN()-1,FALSE)</f>
        <v>4.2912138058975202</v>
      </c>
      <c r="N18" s="543">
        <f>VLOOKUP($B18,F_Inputs!$B$118:$O$136,COLUMN()-1,FALSE)+VLOOKUP($Q18,F_Inputs!$B$118:$O$136,COLUMN()-1,FALSE)-VLOOKUP($R18,F_Inputs!$B$118:$O$136,COLUMN()-1,FALSE)</f>
        <v>2.6554011591646693</v>
      </c>
      <c r="O18" s="543">
        <f>VLOOKUP($B18,F_Inputs!$B$118:$O$136,COLUMN()-1,FALSE)+VLOOKUP($Q18,F_Inputs!$B$118:$O$136,COLUMN()-1,FALSE)-VLOOKUP($R18,F_Inputs!$B$118:$O$136,COLUMN()-1,FALSE)</f>
        <v>0.68231757457305997</v>
      </c>
      <c r="Q18" s="276" t="s">
        <v>235</v>
      </c>
      <c r="R18" s="276" t="s">
        <v>237</v>
      </c>
    </row>
    <row r="19" spans="1:18">
      <c r="B19" s="268" t="s">
        <v>98</v>
      </c>
      <c r="C19" s="276" t="s">
        <v>251</v>
      </c>
      <c r="D19" s="276" t="s">
        <v>74</v>
      </c>
      <c r="F19" s="347">
        <f>VLOOKUP($B19,F_Inputs!$B$118:$O$136,COLUMN()-1,FALSE)+VLOOKUP($Q19,F_Inputs!$B$118:$O$136,COLUMN()-1,FALSE)-VLOOKUP($R19,F_Inputs!$B$118:$O$136,COLUMN()-1,FALSE)</f>
        <v>0</v>
      </c>
      <c r="G19" s="347">
        <f>VLOOKUP($B19,F_Inputs!$B$118:$O$136,COLUMN()-1,FALSE)+VLOOKUP($Q19,F_Inputs!$B$118:$O$136,COLUMN()-1,FALSE)-VLOOKUP($R19,F_Inputs!$B$118:$O$136,COLUMN()-1,FALSE)</f>
        <v>0</v>
      </c>
      <c r="H19" s="347">
        <f>VLOOKUP($B19,F_Inputs!$B$118:$O$136,COLUMN()-1,FALSE)+VLOOKUP($Q19,F_Inputs!$B$118:$O$136,COLUMN()-1,FALSE)-VLOOKUP($R19,F_Inputs!$B$118:$O$136,COLUMN()-1,FALSE)</f>
        <v>0</v>
      </c>
      <c r="I19" s="347">
        <f>VLOOKUP($B19,F_Inputs!$B$118:$O$136,COLUMN()-1,FALSE)+VLOOKUP($Q19,F_Inputs!$B$118:$O$136,COLUMN()-1,FALSE)-VLOOKUP($R19,F_Inputs!$B$118:$O$136,COLUMN()-1,FALSE)</f>
        <v>0</v>
      </c>
      <c r="J19" s="347">
        <f>VLOOKUP($B19,F_Inputs!$B$118:$O$136,COLUMN()-1,FALSE)+VLOOKUP($Q19,F_Inputs!$B$118:$O$136,COLUMN()-1,FALSE)-VLOOKUP($R19,F_Inputs!$B$118:$O$136,COLUMN()-1,FALSE)</f>
        <v>0</v>
      </c>
      <c r="K19" s="542">
        <f>VLOOKUP($B19,F_Inputs!$B$118:$O$136,COLUMN()-1,FALSE)+VLOOKUP($Q19,F_Inputs!$B$118:$O$136,COLUMN()-1,FALSE)-VLOOKUP($R19,F_Inputs!$B$118:$O$136,COLUMN()-1,FALSE)</f>
        <v>0.72216803120766804</v>
      </c>
      <c r="L19" s="543">
        <f>VLOOKUP($B19,F_Inputs!$B$118:$O$136,COLUMN()-1,FALSE)+VLOOKUP($Q19,F_Inputs!$B$118:$O$136,COLUMN()-1,FALSE)-VLOOKUP($R19,F_Inputs!$B$118:$O$136,COLUMN()-1,FALSE)</f>
        <v>2.7438497336463601</v>
      </c>
      <c r="M19" s="543">
        <f>VLOOKUP($B19,F_Inputs!$B$118:$O$136,COLUMN()-1,FALSE)+VLOOKUP($Q19,F_Inputs!$B$118:$O$136,COLUMN()-1,FALSE)-VLOOKUP($R19,F_Inputs!$B$118:$O$136,COLUMN()-1,FALSE)</f>
        <v>5.6296059714062103</v>
      </c>
      <c r="N19" s="543">
        <f>VLOOKUP($B19,F_Inputs!$B$118:$O$136,COLUMN()-1,FALSE)+VLOOKUP($Q19,F_Inputs!$B$118:$O$136,COLUMN()-1,FALSE)-VLOOKUP($R19,F_Inputs!$B$118:$O$136,COLUMN()-1,FALSE)</f>
        <v>8.4813435266731005</v>
      </c>
      <c r="O19" s="543">
        <f>VLOOKUP($B19,F_Inputs!$B$118:$O$136,COLUMN()-1,FALSE)+VLOOKUP($Q19,F_Inputs!$B$118:$O$136,COLUMN()-1,FALSE)-VLOOKUP($R19,F_Inputs!$B$118:$O$136,COLUMN()-1,FALSE)</f>
        <v>10.0636982437742</v>
      </c>
      <c r="Q19" s="276" t="s">
        <v>239</v>
      </c>
      <c r="R19" s="276" t="s">
        <v>241</v>
      </c>
    </row>
    <row r="20" spans="1:18">
      <c r="A20" s="276" t="s">
        <v>223</v>
      </c>
      <c r="B20" s="268" t="s">
        <v>97</v>
      </c>
      <c r="C20" s="276" t="s">
        <v>252</v>
      </c>
      <c r="D20" s="276" t="s">
        <v>74</v>
      </c>
      <c r="F20" s="347">
        <f>VLOOKUP($B20,F_Inputs!$B$137:$O$155,COLUMN()-1,FALSE)+VLOOKUP($Q20,F_Inputs!$B$137:$O$155,COLUMN()-1,FALSE)-VLOOKUP($R20,F_Inputs!$B$137:$O$155,COLUMN()-1,FALSE)</f>
        <v>20.545192810207869</v>
      </c>
      <c r="G20" s="347">
        <f>VLOOKUP($B20,F_Inputs!$B$137:$O$155,COLUMN()-1,FALSE)+VLOOKUP($Q20,F_Inputs!$B$137:$O$155,COLUMN()-1,FALSE)-VLOOKUP($R20,F_Inputs!$B$137:$O$155,COLUMN()-1,FALSE)</f>
        <v>20.135386799472549</v>
      </c>
      <c r="H20" s="347">
        <f>VLOOKUP($B20,F_Inputs!$B$137:$O$155,COLUMN()-1,FALSE)+VLOOKUP($Q20,F_Inputs!$B$137:$O$155,COLUMN()-1,FALSE)-VLOOKUP($R20,F_Inputs!$B$137:$O$155,COLUMN()-1,FALSE)</f>
        <v>13.07360642207216</v>
      </c>
      <c r="I20" s="347">
        <f>VLOOKUP($B20,F_Inputs!$B$137:$O$155,COLUMN()-1,FALSE)+VLOOKUP($Q20,F_Inputs!$B$137:$O$155,COLUMN()-1,FALSE)-VLOOKUP($R20,F_Inputs!$B$137:$O$155,COLUMN()-1,FALSE)</f>
        <v>12.98621679740692</v>
      </c>
      <c r="J20" s="347">
        <f>VLOOKUP($B20,F_Inputs!$B$137:$O$155,COLUMN()-1,FALSE)+VLOOKUP($Q20,F_Inputs!$B$137:$O$155,COLUMN()-1,FALSE)-VLOOKUP($R20,F_Inputs!$B$137:$O$155,COLUMN()-1,FALSE)</f>
        <v>13.286537187585591</v>
      </c>
      <c r="K20" s="542">
        <f>VLOOKUP($B20,F_Inputs!$B$137:$O$155,COLUMN()-1,FALSE)+VLOOKUP($Q20,F_Inputs!$B$137:$O$155,COLUMN()-1,FALSE)-VLOOKUP($R20,F_Inputs!$B$137:$O$155,COLUMN()-1,FALSE)</f>
        <v>10.458663373944731</v>
      </c>
      <c r="L20" s="543">
        <f>VLOOKUP($B20,F_Inputs!$B$137:$O$155,COLUMN()-1,FALSE)+VLOOKUP($Q20,F_Inputs!$B$137:$O$155,COLUMN()-1,FALSE)-VLOOKUP($R20,F_Inputs!$B$137:$O$155,COLUMN()-1,FALSE)</f>
        <v>9.2206384200923885</v>
      </c>
      <c r="M20" s="543">
        <f>VLOOKUP($B20,F_Inputs!$B$137:$O$155,COLUMN()-1,FALSE)+VLOOKUP($Q20,F_Inputs!$B$137:$O$155,COLUMN()-1,FALSE)-VLOOKUP($R20,F_Inputs!$B$137:$O$155,COLUMN()-1,FALSE)</f>
        <v>8.7966878146498395</v>
      </c>
      <c r="N20" s="543">
        <f>VLOOKUP($B20,F_Inputs!$B$137:$O$155,COLUMN()-1,FALSE)+VLOOKUP($Q20,F_Inputs!$B$137:$O$155,COLUMN()-1,FALSE)-VLOOKUP($R20,F_Inputs!$B$137:$O$155,COLUMN()-1,FALSE)</f>
        <v>7.0780145616657197</v>
      </c>
      <c r="O20" s="543">
        <f>VLOOKUP($B20,F_Inputs!$B$137:$O$155,COLUMN()-1,FALSE)+VLOOKUP($Q20,F_Inputs!$B$137:$O$155,COLUMN()-1,FALSE)-VLOOKUP($R20,F_Inputs!$B$137:$O$155,COLUMN()-1,FALSE)</f>
        <v>5.3462616084032906</v>
      </c>
      <c r="Q20" s="276" t="s">
        <v>235</v>
      </c>
      <c r="R20" s="276" t="s">
        <v>237</v>
      </c>
    </row>
    <row r="21" spans="1:18">
      <c r="B21" s="268" t="s">
        <v>98</v>
      </c>
      <c r="C21" s="276" t="s">
        <v>251</v>
      </c>
      <c r="D21" s="276" t="s">
        <v>74</v>
      </c>
      <c r="F21" s="347">
        <f>VLOOKUP($B21,F_Inputs!$B$137:$O$155,COLUMN()-1,FALSE)+VLOOKUP($Q21,F_Inputs!$B$137:$O$155,COLUMN()-1,FALSE)-VLOOKUP($R21,F_Inputs!$B$137:$O$155,COLUMN()-1,FALSE)</f>
        <v>0</v>
      </c>
      <c r="G21" s="347">
        <f>VLOOKUP($B21,F_Inputs!$B$137:$O$155,COLUMN()-1,FALSE)+VLOOKUP($Q21,F_Inputs!$B$137:$O$155,COLUMN()-1,FALSE)-VLOOKUP($R21,F_Inputs!$B$137:$O$155,COLUMN()-1,FALSE)</f>
        <v>0</v>
      </c>
      <c r="H21" s="347">
        <f>VLOOKUP($B21,F_Inputs!$B$137:$O$155,COLUMN()-1,FALSE)+VLOOKUP($Q21,F_Inputs!$B$137:$O$155,COLUMN()-1,FALSE)-VLOOKUP($R21,F_Inputs!$B$137:$O$155,COLUMN()-1,FALSE)</f>
        <v>0</v>
      </c>
      <c r="I21" s="347">
        <f>VLOOKUP($B21,F_Inputs!$B$137:$O$155,COLUMN()-1,FALSE)+VLOOKUP($Q21,F_Inputs!$B$137:$O$155,COLUMN()-1,FALSE)-VLOOKUP($R21,F_Inputs!$B$137:$O$155,COLUMN()-1,FALSE)</f>
        <v>0</v>
      </c>
      <c r="J21" s="347">
        <f>VLOOKUP($B21,F_Inputs!$B$137:$O$155,COLUMN()-1,FALSE)+VLOOKUP($Q21,F_Inputs!$B$137:$O$155,COLUMN()-1,FALSE)-VLOOKUP($R21,F_Inputs!$B$137:$O$155,COLUMN()-1,FALSE)</f>
        <v>0</v>
      </c>
      <c r="K21" s="542">
        <f>VLOOKUP($B21,F_Inputs!$B$137:$O$155,COLUMN()-1,FALSE)+VLOOKUP($Q21,F_Inputs!$B$137:$O$155,COLUMN()-1,FALSE)-VLOOKUP($R21,F_Inputs!$B$137:$O$155,COLUMN()-1,FALSE)</f>
        <v>1.0771538540932137</v>
      </c>
      <c r="L21" s="543">
        <f>VLOOKUP($B21,F_Inputs!$B$137:$O$155,COLUMN()-1,FALSE)+VLOOKUP($Q21,F_Inputs!$B$137:$O$155,COLUMN()-1,FALSE)-VLOOKUP($R21,F_Inputs!$B$137:$O$155,COLUMN()-1,FALSE)</f>
        <v>2.4341750454482081</v>
      </c>
      <c r="M21" s="543">
        <f>VLOOKUP($B21,F_Inputs!$B$137:$O$155,COLUMN()-1,FALSE)+VLOOKUP($Q21,F_Inputs!$B$137:$O$155,COLUMN()-1,FALSE)-VLOOKUP($R21,F_Inputs!$B$137:$O$155,COLUMN()-1,FALSE)</f>
        <v>3.543586485153682</v>
      </c>
      <c r="N21" s="543">
        <f>VLOOKUP($B21,F_Inputs!$B$137:$O$155,COLUMN()-1,FALSE)+VLOOKUP($Q21,F_Inputs!$B$137:$O$155,COLUMN()-1,FALSE)-VLOOKUP($R21,F_Inputs!$B$137:$O$155,COLUMN()-1,FALSE)</f>
        <v>7.1392022125432195</v>
      </c>
      <c r="O21" s="543">
        <f>VLOOKUP($B21,F_Inputs!$B$137:$O$155,COLUMN()-1,FALSE)+VLOOKUP($Q21,F_Inputs!$B$137:$O$155,COLUMN()-1,FALSE)-VLOOKUP($R21,F_Inputs!$B$137:$O$155,COLUMN()-1,FALSE)</f>
        <v>10.831931083424301</v>
      </c>
      <c r="Q21" s="276" t="s">
        <v>239</v>
      </c>
      <c r="R21" s="276" t="s">
        <v>241</v>
      </c>
    </row>
    <row r="22" spans="1:18">
      <c r="A22" s="276" t="s">
        <v>224</v>
      </c>
      <c r="B22" s="268" t="s">
        <v>97</v>
      </c>
      <c r="C22" s="276" t="s">
        <v>252</v>
      </c>
      <c r="D22" s="276" t="s">
        <v>74</v>
      </c>
      <c r="F22" s="347">
        <f>VLOOKUP($B22,F_Inputs!$B$156:$O$174,COLUMN()-1,FALSE)+VLOOKUP($Q22,F_Inputs!$B$156:$O$174,COLUMN()-1,FALSE)-VLOOKUP($R22,F_Inputs!$B$156:$O$174,COLUMN()-1,FALSE)</f>
        <v>1.749532242495025</v>
      </c>
      <c r="G22" s="347">
        <f>VLOOKUP($B22,F_Inputs!$B$156:$O$174,COLUMN()-1,FALSE)+VLOOKUP($Q22,F_Inputs!$B$156:$O$174,COLUMN()-1,FALSE)-VLOOKUP($R22,F_Inputs!$B$156:$O$174,COLUMN()-1,FALSE)</f>
        <v>1.7495322424950288</v>
      </c>
      <c r="H22" s="347">
        <f>VLOOKUP($B22,F_Inputs!$B$156:$O$174,COLUMN()-1,FALSE)+VLOOKUP($Q22,F_Inputs!$B$156:$O$174,COLUMN()-1,FALSE)-VLOOKUP($R22,F_Inputs!$B$156:$O$174,COLUMN()-1,FALSE)</f>
        <v>1.6523360068008595</v>
      </c>
      <c r="I22" s="347">
        <f>VLOOKUP($B22,F_Inputs!$B$156:$O$174,COLUMN()-1,FALSE)+VLOOKUP($Q22,F_Inputs!$B$156:$O$174,COLUMN()-1,FALSE)-VLOOKUP($R22,F_Inputs!$B$156:$O$174,COLUMN()-1,FALSE)</f>
        <v>0.7046727087827187</v>
      </c>
      <c r="J22" s="347">
        <f>VLOOKUP($B22,F_Inputs!$B$156:$O$174,COLUMN()-1,FALSE)+VLOOKUP($Q22,F_Inputs!$B$156:$O$174,COLUMN()-1,FALSE)-VLOOKUP($R22,F_Inputs!$B$156:$O$174,COLUMN()-1,FALSE)</f>
        <v>0.80186894447688639</v>
      </c>
      <c r="K22" s="542">
        <f>VLOOKUP($B22,F_Inputs!$B$156:$O$174,COLUMN()-1,FALSE)+VLOOKUP($Q22,F_Inputs!$B$156:$O$174,COLUMN()-1,FALSE)-VLOOKUP($R22,F_Inputs!$B$156:$O$174,COLUMN()-1,FALSE)</f>
        <v>0.80186894447688639</v>
      </c>
      <c r="L22" s="543">
        <f>VLOOKUP($B22,F_Inputs!$B$156:$O$174,COLUMN()-1,FALSE)+VLOOKUP($Q22,F_Inputs!$B$156:$O$174,COLUMN()-1,FALSE)-VLOOKUP($R22,F_Inputs!$B$156:$O$174,COLUMN()-1,FALSE)</f>
        <v>0.80186894447688639</v>
      </c>
      <c r="M22" s="543">
        <f>VLOOKUP($B22,F_Inputs!$B$156:$O$174,COLUMN()-1,FALSE)+VLOOKUP($Q22,F_Inputs!$B$156:$O$174,COLUMN()-1,FALSE)-VLOOKUP($R22,F_Inputs!$B$156:$O$174,COLUMN()-1,FALSE)</f>
        <v>0.80186894447688639</v>
      </c>
      <c r="N22" s="543">
        <f>VLOOKUP($B22,F_Inputs!$B$156:$O$174,COLUMN()-1,FALSE)+VLOOKUP($Q22,F_Inputs!$B$156:$O$174,COLUMN()-1,FALSE)-VLOOKUP($R22,F_Inputs!$B$156:$O$174,COLUMN()-1,FALSE)</f>
        <v>0.80186894447688639</v>
      </c>
      <c r="O22" s="543">
        <f>VLOOKUP($B22,F_Inputs!$B$156:$O$174,COLUMN()-1,FALSE)+VLOOKUP($Q22,F_Inputs!$B$156:$O$174,COLUMN()-1,FALSE)-VLOOKUP($R22,F_Inputs!$B$156:$O$174,COLUMN()-1,FALSE)</f>
        <v>0.80186894447688639</v>
      </c>
      <c r="Q22" s="276" t="s">
        <v>235</v>
      </c>
      <c r="R22" s="276" t="s">
        <v>237</v>
      </c>
    </row>
    <row r="23" spans="1:18">
      <c r="B23" s="268" t="s">
        <v>98</v>
      </c>
      <c r="C23" s="276" t="s">
        <v>251</v>
      </c>
      <c r="D23" s="276" t="s">
        <v>74</v>
      </c>
      <c r="F23" s="347">
        <f>VLOOKUP($B23,F_Inputs!$B$156:$O$174,COLUMN()-1,FALSE)+VLOOKUP($Q23,F_Inputs!$B$156:$O$174,COLUMN()-1,FALSE)-VLOOKUP($R23,F_Inputs!$B$156:$O$174,COLUMN()-1,FALSE)</f>
        <v>0</v>
      </c>
      <c r="G23" s="347">
        <f>VLOOKUP($B23,F_Inputs!$B$156:$O$174,COLUMN()-1,FALSE)+VLOOKUP($Q23,F_Inputs!$B$156:$O$174,COLUMN()-1,FALSE)-VLOOKUP($R23,F_Inputs!$B$156:$O$174,COLUMN()-1,FALSE)</f>
        <v>0</v>
      </c>
      <c r="H23" s="347">
        <f>VLOOKUP($B23,F_Inputs!$B$156:$O$174,COLUMN()-1,FALSE)+VLOOKUP($Q23,F_Inputs!$B$156:$O$174,COLUMN()-1,FALSE)-VLOOKUP($R23,F_Inputs!$B$156:$O$174,COLUMN()-1,FALSE)</f>
        <v>0</v>
      </c>
      <c r="I23" s="347">
        <f>VLOOKUP($B23,F_Inputs!$B$156:$O$174,COLUMN()-1,FALSE)+VLOOKUP($Q23,F_Inputs!$B$156:$O$174,COLUMN()-1,FALSE)-VLOOKUP($R23,F_Inputs!$B$156:$O$174,COLUMN()-1,FALSE)</f>
        <v>0</v>
      </c>
      <c r="J23" s="347">
        <f>VLOOKUP($B23,F_Inputs!$B$156:$O$174,COLUMN()-1,FALSE)+VLOOKUP($Q23,F_Inputs!$B$156:$O$174,COLUMN()-1,FALSE)-VLOOKUP($R23,F_Inputs!$B$156:$O$174,COLUMN()-1,FALSE)</f>
        <v>0</v>
      </c>
      <c r="K23" s="542">
        <f>VLOOKUP($B23,F_Inputs!$B$156:$O$174,COLUMN()-1,FALSE)+VLOOKUP($Q23,F_Inputs!$B$156:$O$174,COLUMN()-1,FALSE)-VLOOKUP($R23,F_Inputs!$B$156:$O$174,COLUMN()-1,FALSE)</f>
        <v>0.48471688999645701</v>
      </c>
      <c r="L23" s="543">
        <f>VLOOKUP($B23,F_Inputs!$B$156:$O$174,COLUMN()-1,FALSE)+VLOOKUP($Q23,F_Inputs!$B$156:$O$174,COLUMN()-1,FALSE)-VLOOKUP($R23,F_Inputs!$B$156:$O$174,COLUMN()-1,FALSE)</f>
        <v>0.46138910120443699</v>
      </c>
      <c r="M23" s="543">
        <f>VLOOKUP($B23,F_Inputs!$B$156:$O$174,COLUMN()-1,FALSE)+VLOOKUP($Q23,F_Inputs!$B$156:$O$174,COLUMN()-1,FALSE)-VLOOKUP($R23,F_Inputs!$B$156:$O$174,COLUMN()-1,FALSE)</f>
        <v>0.58562784967460602</v>
      </c>
      <c r="N23" s="543">
        <f>VLOOKUP($B23,F_Inputs!$B$156:$O$174,COLUMN()-1,FALSE)+VLOOKUP($Q23,F_Inputs!$B$156:$O$174,COLUMN()-1,FALSE)-VLOOKUP($R23,F_Inputs!$B$156:$O$174,COLUMN()-1,FALSE)</f>
        <v>0.56803855392144997</v>
      </c>
      <c r="O23" s="543">
        <f>VLOOKUP($B23,F_Inputs!$B$156:$O$174,COLUMN()-1,FALSE)+VLOOKUP($Q23,F_Inputs!$B$156:$O$174,COLUMN()-1,FALSE)-VLOOKUP($R23,F_Inputs!$B$156:$O$174,COLUMN()-1,FALSE)</f>
        <v>0.52372990528111496</v>
      </c>
      <c r="Q23" s="276" t="s">
        <v>239</v>
      </c>
      <c r="R23" s="276" t="s">
        <v>241</v>
      </c>
    </row>
    <row r="24" spans="1:18">
      <c r="A24" s="276" t="s">
        <v>225</v>
      </c>
      <c r="B24" s="268" t="s">
        <v>97</v>
      </c>
      <c r="C24" s="276" t="s">
        <v>252</v>
      </c>
      <c r="D24" s="276" t="s">
        <v>74</v>
      </c>
      <c r="F24" s="347">
        <f>VLOOKUP($B24,F_Inputs!$B$175:$O$193,COLUMN()-1,FALSE)+VLOOKUP($Q24,F_Inputs!$B$175:$O$193,COLUMN()-1,FALSE)-VLOOKUP($R24,F_Inputs!$B$175:$O$193,COLUMN()-1,FALSE)</f>
        <v>6.6315852457875204</v>
      </c>
      <c r="G24" s="347">
        <f>VLOOKUP($B24,F_Inputs!$B$175:$O$193,COLUMN()-1,FALSE)+VLOOKUP($Q24,F_Inputs!$B$175:$O$193,COLUMN()-1,FALSE)-VLOOKUP($R24,F_Inputs!$B$175:$O$193,COLUMN()-1,FALSE)</f>
        <v>6.5185187327623604</v>
      </c>
      <c r="H24" s="347">
        <f>VLOOKUP($B24,F_Inputs!$B$175:$O$193,COLUMN()-1,FALSE)+VLOOKUP($Q24,F_Inputs!$B$175:$O$193,COLUMN()-1,FALSE)-VLOOKUP($R24,F_Inputs!$B$175:$O$193,COLUMN()-1,FALSE)</f>
        <v>6.4462548990210298</v>
      </c>
      <c r="I24" s="347">
        <f>VLOOKUP($B24,F_Inputs!$B$175:$O$193,COLUMN()-1,FALSE)+VLOOKUP($Q24,F_Inputs!$B$175:$O$193,COLUMN()-1,FALSE)-VLOOKUP($R24,F_Inputs!$B$175:$O$193,COLUMN()-1,FALSE)</f>
        <v>5.6357767745546798</v>
      </c>
      <c r="J24" s="347">
        <f>VLOOKUP($B24,F_Inputs!$B$175:$O$193,COLUMN()-1,FALSE)+VLOOKUP($Q24,F_Inputs!$B$175:$O$193,COLUMN()-1,FALSE)-VLOOKUP($R24,F_Inputs!$B$175:$O$193,COLUMN()-1,FALSE)</f>
        <v>5.1939219791406002</v>
      </c>
      <c r="K24" s="542">
        <f>VLOOKUP($B24,F_Inputs!$B$175:$O$193,COLUMN()-1,FALSE)+VLOOKUP($Q24,F_Inputs!$B$175:$O$193,COLUMN()-1,FALSE)-VLOOKUP($R24,F_Inputs!$B$175:$O$193,COLUMN()-1,FALSE)</f>
        <v>4.6802277339418401</v>
      </c>
      <c r="L24" s="543">
        <f>VLOOKUP($B24,F_Inputs!$B$175:$O$193,COLUMN()-1,FALSE)+VLOOKUP($Q24,F_Inputs!$B$175:$O$193,COLUMN()-1,FALSE)-VLOOKUP($R24,F_Inputs!$B$175:$O$193,COLUMN()-1,FALSE)</f>
        <v>4.2547540450388297</v>
      </c>
      <c r="M24" s="543">
        <f>VLOOKUP($B24,F_Inputs!$B$175:$O$193,COLUMN()-1,FALSE)+VLOOKUP($Q24,F_Inputs!$B$175:$O$193,COLUMN()-1,FALSE)-VLOOKUP($R24,F_Inputs!$B$175:$O$193,COLUMN()-1,FALSE)</f>
        <v>3.5833639750016002</v>
      </c>
      <c r="N24" s="543">
        <f>VLOOKUP($B24,F_Inputs!$B$175:$O$193,COLUMN()-1,FALSE)+VLOOKUP($Q24,F_Inputs!$B$175:$O$193,COLUMN()-1,FALSE)-VLOOKUP($R24,F_Inputs!$B$175:$O$193,COLUMN()-1,FALSE)</f>
        <v>1.7689514606562802</v>
      </c>
      <c r="O24" s="543">
        <f>VLOOKUP($B24,F_Inputs!$B$175:$O$193,COLUMN()-1,FALSE)+VLOOKUP($Q24,F_Inputs!$B$175:$O$193,COLUMN()-1,FALSE)-VLOOKUP($R24,F_Inputs!$B$175:$O$193,COLUMN()-1,FALSE)</f>
        <v>1.7242527380335599</v>
      </c>
      <c r="Q24" s="276" t="s">
        <v>235</v>
      </c>
      <c r="R24" s="276" t="s">
        <v>237</v>
      </c>
    </row>
    <row r="25" spans="1:18">
      <c r="B25" s="268" t="s">
        <v>98</v>
      </c>
      <c r="C25" s="276" t="s">
        <v>251</v>
      </c>
      <c r="D25" s="276" t="s">
        <v>74</v>
      </c>
      <c r="F25" s="347">
        <f>VLOOKUP($B25,F_Inputs!$B$175:$O$193,COLUMN()-1,FALSE)+VLOOKUP($Q25,F_Inputs!$B$175:$O$193,COLUMN()-1,FALSE)-VLOOKUP($R25,F_Inputs!$B$175:$O$193,COLUMN()-1,FALSE)</f>
        <v>0</v>
      </c>
      <c r="G25" s="347">
        <f>VLOOKUP($B25,F_Inputs!$B$175:$O$193,COLUMN()-1,FALSE)+VLOOKUP($Q25,F_Inputs!$B$175:$O$193,COLUMN()-1,FALSE)-VLOOKUP($R25,F_Inputs!$B$175:$O$193,COLUMN()-1,FALSE)</f>
        <v>0</v>
      </c>
      <c r="H25" s="347">
        <f>VLOOKUP($B25,F_Inputs!$B$175:$O$193,COLUMN()-1,FALSE)+VLOOKUP($Q25,F_Inputs!$B$175:$O$193,COLUMN()-1,FALSE)-VLOOKUP($R25,F_Inputs!$B$175:$O$193,COLUMN()-1,FALSE)</f>
        <v>0</v>
      </c>
      <c r="I25" s="347">
        <f>VLOOKUP($B25,F_Inputs!$B$175:$O$193,COLUMN()-1,FALSE)+VLOOKUP($Q25,F_Inputs!$B$175:$O$193,COLUMN()-1,FALSE)-VLOOKUP($R25,F_Inputs!$B$175:$O$193,COLUMN()-1,FALSE)</f>
        <v>0</v>
      </c>
      <c r="J25" s="347">
        <f>VLOOKUP($B25,F_Inputs!$B$175:$O$193,COLUMN()-1,FALSE)+VLOOKUP($Q25,F_Inputs!$B$175:$O$193,COLUMN()-1,FALSE)-VLOOKUP($R25,F_Inputs!$B$175:$O$193,COLUMN()-1,FALSE)</f>
        <v>0</v>
      </c>
      <c r="K25" s="542">
        <f>VLOOKUP($B25,F_Inputs!$B$175:$O$193,COLUMN()-1,FALSE)+VLOOKUP($Q25,F_Inputs!$B$175:$O$193,COLUMN()-1,FALSE)-VLOOKUP($R25,F_Inputs!$B$175:$O$193,COLUMN()-1,FALSE)</f>
        <v>6.86052144027961E-2</v>
      </c>
      <c r="L25" s="543">
        <f>VLOOKUP($B25,F_Inputs!$B$175:$O$193,COLUMN()-1,FALSE)+VLOOKUP($Q25,F_Inputs!$B$175:$O$193,COLUMN()-1,FALSE)-VLOOKUP($R25,F_Inputs!$B$175:$O$193,COLUMN()-1,FALSE)</f>
        <v>0.21359065401496499</v>
      </c>
      <c r="M25" s="543">
        <f>VLOOKUP($B25,F_Inputs!$B$175:$O$193,COLUMN()-1,FALSE)+VLOOKUP($Q25,F_Inputs!$B$175:$O$193,COLUMN()-1,FALSE)-VLOOKUP($R25,F_Inputs!$B$175:$O$193,COLUMN()-1,FALSE)</f>
        <v>0.37186765972028302</v>
      </c>
      <c r="N25" s="543">
        <f>VLOOKUP($B25,F_Inputs!$B$175:$O$193,COLUMN()-1,FALSE)+VLOOKUP($Q25,F_Inputs!$B$175:$O$193,COLUMN()-1,FALSE)-VLOOKUP($R25,F_Inputs!$B$175:$O$193,COLUMN()-1,FALSE)</f>
        <v>0.53151454828199696</v>
      </c>
      <c r="O25" s="543">
        <f>VLOOKUP($B25,F_Inputs!$B$175:$O$193,COLUMN()-1,FALSE)+VLOOKUP($Q25,F_Inputs!$B$175:$O$193,COLUMN()-1,FALSE)-VLOOKUP($R25,F_Inputs!$B$175:$O$193,COLUMN()-1,FALSE)</f>
        <v>0.68538571453025399</v>
      </c>
      <c r="Q25" s="276" t="s">
        <v>239</v>
      </c>
      <c r="R25" s="276" t="s">
        <v>241</v>
      </c>
    </row>
    <row r="26" spans="1:18">
      <c r="A26" s="276" t="s">
        <v>226</v>
      </c>
      <c r="B26" s="268" t="s">
        <v>97</v>
      </c>
      <c r="C26" s="276" t="s">
        <v>252</v>
      </c>
      <c r="D26" s="276" t="s">
        <v>74</v>
      </c>
      <c r="F26" s="347">
        <f>VLOOKUP($B26,F_Inputs!$B$194:$O$212,COLUMN()-1,FALSE)+VLOOKUP($Q26,F_Inputs!$B$194:$O$212,COLUMN()-1,FALSE)-VLOOKUP($R26,F_Inputs!$B$194:$O$212,COLUMN()-1,FALSE)</f>
        <v>0.558544039094232</v>
      </c>
      <c r="G26" s="347">
        <f>VLOOKUP($B26,F_Inputs!$B$194:$O$212,COLUMN()-1,FALSE)+VLOOKUP($Q26,F_Inputs!$B$194:$O$212,COLUMN()-1,FALSE)-VLOOKUP($R26,F_Inputs!$B$194:$O$212,COLUMN()-1,FALSE)</f>
        <v>0.62738058368391902</v>
      </c>
      <c r="H26" s="347">
        <f>VLOOKUP($B26,F_Inputs!$B$194:$O$212,COLUMN()-1,FALSE)+VLOOKUP($Q26,F_Inputs!$B$194:$O$212,COLUMN()-1,FALSE)-VLOOKUP($R26,F_Inputs!$B$194:$O$212,COLUMN()-1,FALSE)</f>
        <v>0.55838517257610099</v>
      </c>
      <c r="I26" s="347">
        <f>VLOOKUP($B26,F_Inputs!$B$194:$O$212,COLUMN()-1,FALSE)+VLOOKUP($Q26,F_Inputs!$B$194:$O$212,COLUMN()-1,FALSE)-VLOOKUP($R26,F_Inputs!$B$194:$O$212,COLUMN()-1,FALSE)</f>
        <v>0.84294746377094099</v>
      </c>
      <c r="J26" s="347">
        <f>VLOOKUP($B26,F_Inputs!$B$194:$O$212,COLUMN()-1,FALSE)+VLOOKUP($Q26,F_Inputs!$B$194:$O$212,COLUMN()-1,FALSE)-VLOOKUP($R26,F_Inputs!$B$194:$O$212,COLUMN()-1,FALSE)</f>
        <v>1.66614930823282</v>
      </c>
      <c r="K26" s="542">
        <f>VLOOKUP($B26,F_Inputs!$B$194:$O$212,COLUMN()-1,FALSE)+VLOOKUP($Q26,F_Inputs!$B$194:$O$212,COLUMN()-1,FALSE)-VLOOKUP($R26,F_Inputs!$B$194:$O$212,COLUMN()-1,FALSE)</f>
        <v>1.7305229332185399</v>
      </c>
      <c r="L26" s="543">
        <f>VLOOKUP($B26,F_Inputs!$B$194:$O$212,COLUMN()-1,FALSE)+VLOOKUP($Q26,F_Inputs!$B$194:$O$212,COLUMN()-1,FALSE)-VLOOKUP($R26,F_Inputs!$B$194:$O$212,COLUMN()-1,FALSE)</f>
        <v>1.6754468631596799</v>
      </c>
      <c r="M26" s="543">
        <f>VLOOKUP($B26,F_Inputs!$B$194:$O$212,COLUMN()-1,FALSE)+VLOOKUP($Q26,F_Inputs!$B$194:$O$212,COLUMN()-1,FALSE)-VLOOKUP($R26,F_Inputs!$B$194:$O$212,COLUMN()-1,FALSE)</f>
        <v>1.6301293109941299</v>
      </c>
      <c r="N26" s="543">
        <f>VLOOKUP($B26,F_Inputs!$B$194:$O$212,COLUMN()-1,FALSE)+VLOOKUP($Q26,F_Inputs!$B$194:$O$212,COLUMN()-1,FALSE)-VLOOKUP($R26,F_Inputs!$B$194:$O$212,COLUMN()-1,FALSE)</f>
        <v>1.1896396162524701</v>
      </c>
      <c r="O26" s="543">
        <f>VLOOKUP($B26,F_Inputs!$B$194:$O$212,COLUMN()-1,FALSE)+VLOOKUP($Q26,F_Inputs!$B$194:$O$212,COLUMN()-1,FALSE)-VLOOKUP($R26,F_Inputs!$B$194:$O$212,COLUMN()-1,FALSE)</f>
        <v>0.16888299719754199</v>
      </c>
      <c r="Q26" s="276" t="s">
        <v>235</v>
      </c>
      <c r="R26" s="276" t="s">
        <v>237</v>
      </c>
    </row>
    <row r="27" spans="1:18">
      <c r="B27" s="268" t="s">
        <v>98</v>
      </c>
      <c r="C27" s="276" t="s">
        <v>251</v>
      </c>
      <c r="D27" s="276" t="s">
        <v>74</v>
      </c>
      <c r="F27" s="347">
        <f>VLOOKUP($B27,F_Inputs!$B$194:$O$212,COLUMN()-1,FALSE)+VLOOKUP($Q27,F_Inputs!$B$194:$O$212,COLUMN()-1,FALSE)-VLOOKUP($R27,F_Inputs!$B$194:$O$212,COLUMN()-1,FALSE)</f>
        <v>0</v>
      </c>
      <c r="G27" s="347">
        <f>VLOOKUP($B27,F_Inputs!$B$194:$O$212,COLUMN()-1,FALSE)+VLOOKUP($Q27,F_Inputs!$B$194:$O$212,COLUMN()-1,FALSE)-VLOOKUP($R27,F_Inputs!$B$194:$O$212,COLUMN()-1,FALSE)</f>
        <v>0</v>
      </c>
      <c r="H27" s="347">
        <f>VLOOKUP($B27,F_Inputs!$B$194:$O$212,COLUMN()-1,FALSE)+VLOOKUP($Q27,F_Inputs!$B$194:$O$212,COLUMN()-1,FALSE)-VLOOKUP($R27,F_Inputs!$B$194:$O$212,COLUMN()-1,FALSE)</f>
        <v>0</v>
      </c>
      <c r="I27" s="347">
        <f>VLOOKUP($B27,F_Inputs!$B$194:$O$212,COLUMN()-1,FALSE)+VLOOKUP($Q27,F_Inputs!$B$194:$O$212,COLUMN()-1,FALSE)-VLOOKUP($R27,F_Inputs!$B$194:$O$212,COLUMN()-1,FALSE)</f>
        <v>0</v>
      </c>
      <c r="J27" s="347">
        <f>VLOOKUP($B27,F_Inputs!$B$194:$O$212,COLUMN()-1,FALSE)+VLOOKUP($Q27,F_Inputs!$B$194:$O$212,COLUMN()-1,FALSE)-VLOOKUP($R27,F_Inputs!$B$194:$O$212,COLUMN()-1,FALSE)</f>
        <v>0</v>
      </c>
      <c r="K27" s="542">
        <f>VLOOKUP($B27,F_Inputs!$B$194:$O$212,COLUMN()-1,FALSE)+VLOOKUP($Q27,F_Inputs!$B$194:$O$212,COLUMN()-1,FALSE)-VLOOKUP($R27,F_Inputs!$B$194:$O$212,COLUMN()-1,FALSE)</f>
        <v>0.22800000000000001</v>
      </c>
      <c r="L27" s="543">
        <f>VLOOKUP($B27,F_Inputs!$B$194:$O$212,COLUMN()-1,FALSE)+VLOOKUP($Q27,F_Inputs!$B$194:$O$212,COLUMN()-1,FALSE)-VLOOKUP($R27,F_Inputs!$B$194:$O$212,COLUMN()-1,FALSE)</f>
        <v>0.45</v>
      </c>
      <c r="M27" s="543">
        <f>VLOOKUP($B27,F_Inputs!$B$194:$O$212,COLUMN()-1,FALSE)+VLOOKUP($Q27,F_Inputs!$B$194:$O$212,COLUMN()-1,FALSE)-VLOOKUP($R27,F_Inputs!$B$194:$O$212,COLUMN()-1,FALSE)</f>
        <v>0.66600000000000004</v>
      </c>
      <c r="N27" s="543">
        <f>VLOOKUP($B27,F_Inputs!$B$194:$O$212,COLUMN()-1,FALSE)+VLOOKUP($Q27,F_Inputs!$B$194:$O$212,COLUMN()-1,FALSE)-VLOOKUP($R27,F_Inputs!$B$194:$O$212,COLUMN()-1,FALSE)</f>
        <v>0.876</v>
      </c>
      <c r="O27" s="543">
        <f>VLOOKUP($B27,F_Inputs!$B$194:$O$212,COLUMN()-1,FALSE)+VLOOKUP($Q27,F_Inputs!$B$194:$O$212,COLUMN()-1,FALSE)-VLOOKUP($R27,F_Inputs!$B$194:$O$212,COLUMN()-1,FALSE)</f>
        <v>1.081</v>
      </c>
      <c r="Q27" s="276" t="s">
        <v>239</v>
      </c>
      <c r="R27" s="276" t="s">
        <v>241</v>
      </c>
    </row>
    <row r="28" spans="1:18">
      <c r="A28" s="276" t="s">
        <v>227</v>
      </c>
      <c r="B28" s="268" t="s">
        <v>97</v>
      </c>
      <c r="C28" s="276" t="s">
        <v>252</v>
      </c>
      <c r="D28" s="276" t="s">
        <v>74</v>
      </c>
      <c r="F28" s="347">
        <f>VLOOKUP($B28,F_Inputs!$B$213:$O$231,COLUMN()-1,FALSE)+VLOOKUP($Q28,F_Inputs!$B$213:$O$231,COLUMN()-1,FALSE)-VLOOKUP($R28,F_Inputs!$B$213:$O$231,COLUMN()-1,FALSE)</f>
        <v>0.45511690152037598</v>
      </c>
      <c r="G28" s="347">
        <f>VLOOKUP($B28,F_Inputs!$B$213:$O$231,COLUMN()-1,FALSE)+VLOOKUP($Q28,F_Inputs!$B$213:$O$231,COLUMN()-1,FALSE)-VLOOKUP($R28,F_Inputs!$B$213:$O$231,COLUMN()-1,FALSE)</f>
        <v>0.465882382659495</v>
      </c>
      <c r="H28" s="347">
        <f>VLOOKUP($B28,F_Inputs!$B$213:$O$231,COLUMN()-1,FALSE)+VLOOKUP($Q28,F_Inputs!$B$213:$O$231,COLUMN()-1,FALSE)-VLOOKUP($R28,F_Inputs!$B$213:$O$231,COLUMN()-1,FALSE)</f>
        <v>0.53915368179299994</v>
      </c>
      <c r="I28" s="347">
        <f>VLOOKUP($B28,F_Inputs!$B$213:$O$231,COLUMN()-1,FALSE)+VLOOKUP($Q28,F_Inputs!$B$213:$O$231,COLUMN()-1,FALSE)-VLOOKUP($R28,F_Inputs!$B$213:$O$231,COLUMN()-1,FALSE)</f>
        <v>0.54740121471888303</v>
      </c>
      <c r="J28" s="347">
        <f>VLOOKUP($B28,F_Inputs!$B$213:$O$231,COLUMN()-1,FALSE)+VLOOKUP($Q28,F_Inputs!$B$213:$O$231,COLUMN()-1,FALSE)-VLOOKUP($R28,F_Inputs!$B$213:$O$231,COLUMN()-1,FALSE)</f>
        <v>0.59235484222294199</v>
      </c>
      <c r="K28" s="542">
        <f>VLOOKUP($B28,F_Inputs!$B$213:$O$231,COLUMN()-1,FALSE)+VLOOKUP($Q28,F_Inputs!$B$213:$O$231,COLUMN()-1,FALSE)-VLOOKUP($R28,F_Inputs!$B$213:$O$231,COLUMN()-1,FALSE)</f>
        <v>0.64104512219362297</v>
      </c>
      <c r="L28" s="543">
        <f>VLOOKUP($B28,F_Inputs!$B$213:$O$231,COLUMN()-1,FALSE)+VLOOKUP($Q28,F_Inputs!$B$213:$O$231,COLUMN()-1,FALSE)-VLOOKUP($R28,F_Inputs!$B$213:$O$231,COLUMN()-1,FALSE)</f>
        <v>0.58955967440942303</v>
      </c>
      <c r="M28" s="543">
        <f>VLOOKUP($B28,F_Inputs!$B$213:$O$231,COLUMN()-1,FALSE)+VLOOKUP($Q28,F_Inputs!$B$213:$O$231,COLUMN()-1,FALSE)-VLOOKUP($R28,F_Inputs!$B$213:$O$231,COLUMN()-1,FALSE)</f>
        <v>0.46069831014932994</v>
      </c>
      <c r="N28" s="543">
        <f>VLOOKUP($B28,F_Inputs!$B$213:$O$231,COLUMN()-1,FALSE)+VLOOKUP($Q28,F_Inputs!$B$213:$O$231,COLUMN()-1,FALSE)-VLOOKUP($R28,F_Inputs!$B$213:$O$231,COLUMN()-1,FALSE)</f>
        <v>0.29869711420328904</v>
      </c>
      <c r="O28" s="543">
        <f>VLOOKUP($B28,F_Inputs!$B$213:$O$231,COLUMN()-1,FALSE)+VLOOKUP($Q28,F_Inputs!$B$213:$O$231,COLUMN()-1,FALSE)-VLOOKUP($R28,F_Inputs!$B$213:$O$231,COLUMN()-1,FALSE)</f>
        <v>0.14213225374133601</v>
      </c>
      <c r="Q28" s="276" t="s">
        <v>235</v>
      </c>
      <c r="R28" s="276" t="s">
        <v>237</v>
      </c>
    </row>
    <row r="29" spans="1:18">
      <c r="B29" s="268" t="s">
        <v>98</v>
      </c>
      <c r="C29" s="276" t="s">
        <v>251</v>
      </c>
      <c r="D29" s="276" t="s">
        <v>74</v>
      </c>
      <c r="F29" s="347">
        <f>VLOOKUP($B29,F_Inputs!$B$213:$O$231,COLUMN()-1,FALSE)+VLOOKUP($Q29,F_Inputs!$B$213:$O$231,COLUMN()-1,FALSE)-VLOOKUP($R29,F_Inputs!$B$213:$O$231,COLUMN()-1,FALSE)</f>
        <v>0</v>
      </c>
      <c r="G29" s="347">
        <f>VLOOKUP($B29,F_Inputs!$B$213:$O$231,COLUMN()-1,FALSE)+VLOOKUP($Q29,F_Inputs!$B$213:$O$231,COLUMN()-1,FALSE)-VLOOKUP($R29,F_Inputs!$B$213:$O$231,COLUMN()-1,FALSE)</f>
        <v>0</v>
      </c>
      <c r="H29" s="347">
        <f>VLOOKUP($B29,F_Inputs!$B$213:$O$231,COLUMN()-1,FALSE)+VLOOKUP($Q29,F_Inputs!$B$213:$O$231,COLUMN()-1,FALSE)-VLOOKUP($R29,F_Inputs!$B$213:$O$231,COLUMN()-1,FALSE)</f>
        <v>0</v>
      </c>
      <c r="I29" s="347">
        <f>VLOOKUP($B29,F_Inputs!$B$213:$O$231,COLUMN()-1,FALSE)+VLOOKUP($Q29,F_Inputs!$B$213:$O$231,COLUMN()-1,FALSE)-VLOOKUP($R29,F_Inputs!$B$213:$O$231,COLUMN()-1,FALSE)</f>
        <v>0</v>
      </c>
      <c r="J29" s="347">
        <f>VLOOKUP($B29,F_Inputs!$B$213:$O$231,COLUMN()-1,FALSE)+VLOOKUP($Q29,F_Inputs!$B$213:$O$231,COLUMN()-1,FALSE)-VLOOKUP($R29,F_Inputs!$B$213:$O$231,COLUMN()-1,FALSE)</f>
        <v>0</v>
      </c>
      <c r="K29" s="542">
        <f>VLOOKUP($B29,F_Inputs!$B$213:$O$231,COLUMN()-1,FALSE)+VLOOKUP($Q29,F_Inputs!$B$213:$O$231,COLUMN()-1,FALSE)-VLOOKUP($R29,F_Inputs!$B$213:$O$231,COLUMN()-1,FALSE)</f>
        <v>9.5600645428745995E-2</v>
      </c>
      <c r="L29" s="543">
        <f>VLOOKUP($B29,F_Inputs!$B$213:$O$231,COLUMN()-1,FALSE)+VLOOKUP($Q29,F_Inputs!$B$213:$O$231,COLUMN()-1,FALSE)-VLOOKUP($R29,F_Inputs!$B$213:$O$231,COLUMN()-1,FALSE)</f>
        <v>0.29231822374269001</v>
      </c>
      <c r="M29" s="543">
        <f>VLOOKUP($B29,F_Inputs!$B$213:$O$231,COLUMN()-1,FALSE)+VLOOKUP($Q29,F_Inputs!$B$213:$O$231,COLUMN()-1,FALSE)-VLOOKUP($R29,F_Inputs!$B$213:$O$231,COLUMN()-1,FALSE)</f>
        <v>0.49640739054843097</v>
      </c>
      <c r="N29" s="543">
        <f>VLOOKUP($B29,F_Inputs!$B$213:$O$231,COLUMN()-1,FALSE)+VLOOKUP($Q29,F_Inputs!$B$213:$O$231,COLUMN()-1,FALSE)-VLOOKUP($R29,F_Inputs!$B$213:$O$231,COLUMN()-1,FALSE)</f>
        <v>0.70755726879124703</v>
      </c>
      <c r="O29" s="543">
        <f>VLOOKUP($B29,F_Inputs!$B$213:$O$231,COLUMN()-1,FALSE)+VLOOKUP($Q29,F_Inputs!$B$213:$O$231,COLUMN()-1,FALSE)-VLOOKUP($R29,F_Inputs!$B$213:$O$231,COLUMN()-1,FALSE)</f>
        <v>0.92609744938700311</v>
      </c>
      <c r="Q29" s="276" t="s">
        <v>239</v>
      </c>
      <c r="R29" s="276" t="s">
        <v>241</v>
      </c>
    </row>
    <row r="30" spans="1:18">
      <c r="A30" s="276" t="s">
        <v>228</v>
      </c>
      <c r="B30" s="268" t="s">
        <v>97</v>
      </c>
      <c r="C30" s="276" t="s">
        <v>252</v>
      </c>
      <c r="D30" s="276" t="s">
        <v>74</v>
      </c>
      <c r="F30" s="347">
        <f>VLOOKUP($B30,F_Inputs!$B$251:$O$269,COLUMN()-1,FALSE)+VLOOKUP($Q30,F_Inputs!$B$251:$O$269,COLUMN()-1,FALSE)-VLOOKUP($R30,F_Inputs!$B$251:$O$269,COLUMN()-1,FALSE)</f>
        <v>8.9999999999999993E-3</v>
      </c>
      <c r="G30" s="347">
        <f>VLOOKUP($B30,F_Inputs!$B$251:$O$269,COLUMN()-1,FALSE)+VLOOKUP($Q30,F_Inputs!$B$251:$O$269,COLUMN()-1,FALSE)-VLOOKUP($R30,F_Inputs!$B$251:$O$269,COLUMN()-1,FALSE)</f>
        <v>8.9999999999999993E-3</v>
      </c>
      <c r="H30" s="347">
        <f>VLOOKUP($B30,F_Inputs!$B$251:$O$269,COLUMN()-1,FALSE)+VLOOKUP($Q30,F_Inputs!$B$251:$O$269,COLUMN()-1,FALSE)-VLOOKUP($R30,F_Inputs!$B$251:$O$269,COLUMN()-1,FALSE)</f>
        <v>4.8000000000000001E-2</v>
      </c>
      <c r="I30" s="347">
        <f>VLOOKUP($B30,F_Inputs!$B$251:$O$269,COLUMN()-1,FALSE)+VLOOKUP($Q30,F_Inputs!$B$251:$O$269,COLUMN()-1,FALSE)-VLOOKUP($R30,F_Inputs!$B$251:$O$269,COLUMN()-1,FALSE)</f>
        <v>4.8000000000000001E-2</v>
      </c>
      <c r="J30" s="347">
        <f>VLOOKUP($B30,F_Inputs!$B$251:$O$269,COLUMN()-1,FALSE)+VLOOKUP($Q30,F_Inputs!$B$251:$O$269,COLUMN()-1,FALSE)-VLOOKUP($R30,F_Inputs!$B$251:$O$269,COLUMN()-1,FALSE)</f>
        <v>4.8000000000000001E-2</v>
      </c>
      <c r="K30" s="542">
        <f>VLOOKUP($B30,F_Inputs!$B$251:$O$269,COLUMN()-1,FALSE)+VLOOKUP($Q30,F_Inputs!$B$251:$O$269,COLUMN()-1,FALSE)-VLOOKUP($R30,F_Inputs!$B$251:$O$269,COLUMN()-1,FALSE)</f>
        <v>4.8000000000000001E-2</v>
      </c>
      <c r="L30" s="543">
        <f>VLOOKUP($B30,F_Inputs!$B$251:$O$269,COLUMN()-1,FALSE)+VLOOKUP($Q30,F_Inputs!$B$251:$O$269,COLUMN()-1,FALSE)-VLOOKUP($R30,F_Inputs!$B$251:$O$269,COLUMN()-1,FALSE)</f>
        <v>4.8000000000000001E-2</v>
      </c>
      <c r="M30" s="543">
        <f>VLOOKUP($B30,F_Inputs!$B$251:$O$269,COLUMN()-1,FALSE)+VLOOKUP($Q30,F_Inputs!$B$251:$O$269,COLUMN()-1,FALSE)-VLOOKUP($R30,F_Inputs!$B$251:$O$269,COLUMN()-1,FALSE)</f>
        <v>4.8000000000000001E-2</v>
      </c>
      <c r="N30" s="543">
        <f>VLOOKUP($B30,F_Inputs!$B$251:$O$269,COLUMN()-1,FALSE)+VLOOKUP($Q30,F_Inputs!$B$251:$O$269,COLUMN()-1,FALSE)-VLOOKUP($R30,F_Inputs!$B$251:$O$269,COLUMN()-1,FALSE)</f>
        <v>4.8000000000000001E-2</v>
      </c>
      <c r="O30" s="543">
        <f>VLOOKUP($B30,F_Inputs!$B$251:$O$269,COLUMN()-1,FALSE)+VLOOKUP($Q30,F_Inputs!$B$251:$O$269,COLUMN()-1,FALSE)-VLOOKUP($R30,F_Inputs!$B$251:$O$269,COLUMN()-1,FALSE)</f>
        <v>4.8000000000000001E-2</v>
      </c>
      <c r="Q30" s="276" t="s">
        <v>235</v>
      </c>
      <c r="R30" s="276" t="s">
        <v>237</v>
      </c>
    </row>
    <row r="31" spans="1:18">
      <c r="B31" s="268" t="s">
        <v>98</v>
      </c>
      <c r="C31" s="276" t="s">
        <v>251</v>
      </c>
      <c r="D31" s="276" t="s">
        <v>74</v>
      </c>
      <c r="F31" s="347">
        <f>VLOOKUP($B31,F_Inputs!$B$251:$O$269,COLUMN()-1,FALSE)+VLOOKUP($Q31,F_Inputs!$B$251:$O$269,COLUMN()-1,FALSE)-VLOOKUP($R31,F_Inputs!$B$251:$O$269,COLUMN()-1,FALSE)</f>
        <v>0</v>
      </c>
      <c r="G31" s="347">
        <f>VLOOKUP($B31,F_Inputs!$B$251:$O$269,COLUMN()-1,FALSE)+VLOOKUP($Q31,F_Inputs!$B$251:$O$269,COLUMN()-1,FALSE)-VLOOKUP($R31,F_Inputs!$B$251:$O$269,COLUMN()-1,FALSE)</f>
        <v>0</v>
      </c>
      <c r="H31" s="347">
        <f>VLOOKUP($B31,F_Inputs!$B$251:$O$269,COLUMN()-1,FALSE)+VLOOKUP($Q31,F_Inputs!$B$251:$O$269,COLUMN()-1,FALSE)-VLOOKUP($R31,F_Inputs!$B$251:$O$269,COLUMN()-1,FALSE)</f>
        <v>0</v>
      </c>
      <c r="I31" s="347">
        <f>VLOOKUP($B31,F_Inputs!$B$251:$O$269,COLUMN()-1,FALSE)+VLOOKUP($Q31,F_Inputs!$B$251:$O$269,COLUMN()-1,FALSE)-VLOOKUP($R31,F_Inputs!$B$251:$O$269,COLUMN()-1,FALSE)</f>
        <v>0</v>
      </c>
      <c r="J31" s="347">
        <f>VLOOKUP($B31,F_Inputs!$B$251:$O$269,COLUMN()-1,FALSE)+VLOOKUP($Q31,F_Inputs!$B$251:$O$269,COLUMN()-1,FALSE)-VLOOKUP($R31,F_Inputs!$B$251:$O$269,COLUMN()-1,FALSE)</f>
        <v>0</v>
      </c>
      <c r="K31" s="542">
        <f>VLOOKUP($B31,F_Inputs!$B$251:$O$269,COLUMN()-1,FALSE)+VLOOKUP($Q31,F_Inputs!$B$251:$O$269,COLUMN()-1,FALSE)-VLOOKUP($R31,F_Inputs!$B$251:$O$269,COLUMN()-1,FALSE)</f>
        <v>3.4000000000000002E-2</v>
      </c>
      <c r="L31" s="543">
        <f>VLOOKUP($B31,F_Inputs!$B$251:$O$269,COLUMN()-1,FALSE)+VLOOKUP($Q31,F_Inputs!$B$251:$O$269,COLUMN()-1,FALSE)-VLOOKUP($R31,F_Inputs!$B$251:$O$269,COLUMN()-1,FALSE)</f>
        <v>6.4000000000000001E-2</v>
      </c>
      <c r="M31" s="543">
        <f>VLOOKUP($B31,F_Inputs!$B$251:$O$269,COLUMN()-1,FALSE)+VLOOKUP($Q31,F_Inputs!$B$251:$O$269,COLUMN()-1,FALSE)-VLOOKUP($R31,F_Inputs!$B$251:$O$269,COLUMN()-1,FALSE)</f>
        <v>8.3000000000000004E-2</v>
      </c>
      <c r="N31" s="543">
        <f>VLOOKUP($B31,F_Inputs!$B$251:$O$269,COLUMN()-1,FALSE)+VLOOKUP($Q31,F_Inputs!$B$251:$O$269,COLUMN()-1,FALSE)-VLOOKUP($R31,F_Inputs!$B$251:$O$269,COLUMN()-1,FALSE)</f>
        <v>9.6000000000000002E-2</v>
      </c>
      <c r="O31" s="543">
        <f>VLOOKUP($B31,F_Inputs!$B$251:$O$269,COLUMN()-1,FALSE)+VLOOKUP($Q31,F_Inputs!$B$251:$O$269,COLUMN()-1,FALSE)-VLOOKUP($R31,F_Inputs!$B$251:$O$269,COLUMN()-1,FALSE)</f>
        <v>0.11</v>
      </c>
      <c r="Q31" s="276" t="s">
        <v>239</v>
      </c>
      <c r="R31" s="276" t="s">
        <v>241</v>
      </c>
    </row>
    <row r="32" spans="1:18">
      <c r="A32" s="276" t="s">
        <v>229</v>
      </c>
      <c r="B32" s="268" t="s">
        <v>97</v>
      </c>
      <c r="C32" s="276" t="s">
        <v>252</v>
      </c>
      <c r="D32" s="276" t="s">
        <v>74</v>
      </c>
      <c r="F32" s="347">
        <f>VLOOKUP($B32,F_Inputs!$B$270:$O$288,COLUMN()-1,FALSE)+VLOOKUP($Q32,F_Inputs!$B$270:$O$288,COLUMN()-1,FALSE)-VLOOKUP($R32,F_Inputs!$B$270:$O$288,COLUMN()-1,FALSE)</f>
        <v>0.11100000000000002</v>
      </c>
      <c r="G32" s="347">
        <f>VLOOKUP($B32,F_Inputs!$B$270:$O$288,COLUMN()-1,FALSE)+VLOOKUP($Q32,F_Inputs!$B$270:$O$288,COLUMN()-1,FALSE)-VLOOKUP($R32,F_Inputs!$B$270:$O$288,COLUMN()-1,FALSE)</f>
        <v>0.11100000000000002</v>
      </c>
      <c r="H32" s="347">
        <f>VLOOKUP($B32,F_Inputs!$B$270:$O$288,COLUMN()-1,FALSE)+VLOOKUP($Q32,F_Inputs!$B$270:$O$288,COLUMN()-1,FALSE)-VLOOKUP($R32,F_Inputs!$B$270:$O$288,COLUMN()-1,FALSE)</f>
        <v>0.17299999999999999</v>
      </c>
      <c r="I32" s="347">
        <f>VLOOKUP($B32,F_Inputs!$B$270:$O$288,COLUMN()-1,FALSE)+VLOOKUP($Q32,F_Inputs!$B$270:$O$288,COLUMN()-1,FALSE)-VLOOKUP($R32,F_Inputs!$B$270:$O$288,COLUMN()-1,FALSE)</f>
        <v>0.19600000000000001</v>
      </c>
      <c r="J32" s="347">
        <f>VLOOKUP($B32,F_Inputs!$B$270:$O$288,COLUMN()-1,FALSE)+VLOOKUP($Q32,F_Inputs!$B$270:$O$288,COLUMN()-1,FALSE)-VLOOKUP($R32,F_Inputs!$B$270:$O$288,COLUMN()-1,FALSE)</f>
        <v>0.191</v>
      </c>
      <c r="K32" s="542">
        <f>VLOOKUP($B32,F_Inputs!$B$270:$O$288,COLUMN()-1,FALSE)+VLOOKUP($Q32,F_Inputs!$B$270:$O$288,COLUMN()-1,FALSE)-VLOOKUP($R32,F_Inputs!$B$270:$O$288,COLUMN()-1,FALSE)</f>
        <v>0.17899999999999999</v>
      </c>
      <c r="L32" s="543">
        <f>VLOOKUP($B32,F_Inputs!$B$270:$O$288,COLUMN()-1,FALSE)+VLOOKUP($Q32,F_Inputs!$B$270:$O$288,COLUMN()-1,FALSE)-VLOOKUP($R32,F_Inputs!$B$270:$O$288,COLUMN()-1,FALSE)</f>
        <v>0.17099999999999999</v>
      </c>
      <c r="M32" s="543">
        <f>VLOOKUP($B32,F_Inputs!$B$270:$O$288,COLUMN()-1,FALSE)+VLOOKUP($Q32,F_Inputs!$B$270:$O$288,COLUMN()-1,FALSE)-VLOOKUP($R32,F_Inputs!$B$270:$O$288,COLUMN()-1,FALSE)</f>
        <v>0.13100000000000001</v>
      </c>
      <c r="N32" s="543">
        <f>VLOOKUP($B32,F_Inputs!$B$270:$O$288,COLUMN()-1,FALSE)+VLOOKUP($Q32,F_Inputs!$B$270:$O$288,COLUMN()-1,FALSE)-VLOOKUP($R32,F_Inputs!$B$270:$O$288,COLUMN()-1,FALSE)</f>
        <v>0.107</v>
      </c>
      <c r="O32" s="543">
        <f>VLOOKUP($B32,F_Inputs!$B$270:$O$288,COLUMN()-1,FALSE)+VLOOKUP($Q32,F_Inputs!$B$270:$O$288,COLUMN()-1,FALSE)-VLOOKUP($R32,F_Inputs!$B$270:$O$288,COLUMN()-1,FALSE)</f>
        <v>9.1999999999999998E-2</v>
      </c>
      <c r="Q32" s="276" t="s">
        <v>235</v>
      </c>
      <c r="R32" s="276" t="s">
        <v>237</v>
      </c>
    </row>
    <row r="33" spans="1:34">
      <c r="B33" s="268" t="s">
        <v>98</v>
      </c>
      <c r="C33" s="276" t="s">
        <v>251</v>
      </c>
      <c r="D33" s="276" t="s">
        <v>74</v>
      </c>
      <c r="F33" s="347">
        <f>VLOOKUP($B33,F_Inputs!$B$270:$O$288,COLUMN()-1,FALSE)+VLOOKUP($Q33,F_Inputs!$B$270:$O$288,COLUMN()-1,FALSE)-VLOOKUP($R33,F_Inputs!$B$270:$O$288,COLUMN()-1,FALSE)</f>
        <v>0</v>
      </c>
      <c r="G33" s="347">
        <f>VLOOKUP($B33,F_Inputs!$B$270:$O$288,COLUMN()-1,FALSE)+VLOOKUP($Q33,F_Inputs!$B$270:$O$288,COLUMN()-1,FALSE)-VLOOKUP($R33,F_Inputs!$B$270:$O$288,COLUMN()-1,FALSE)</f>
        <v>0</v>
      </c>
      <c r="H33" s="347">
        <f>VLOOKUP($B33,F_Inputs!$B$270:$O$288,COLUMN()-1,FALSE)+VLOOKUP($Q33,F_Inputs!$B$270:$O$288,COLUMN()-1,FALSE)-VLOOKUP($R33,F_Inputs!$B$270:$O$288,COLUMN()-1,FALSE)</f>
        <v>0</v>
      </c>
      <c r="I33" s="347">
        <f>VLOOKUP($B33,F_Inputs!$B$270:$O$288,COLUMN()-1,FALSE)+VLOOKUP($Q33,F_Inputs!$B$270:$O$288,COLUMN()-1,FALSE)-VLOOKUP($R33,F_Inputs!$B$270:$O$288,COLUMN()-1,FALSE)</f>
        <v>0</v>
      </c>
      <c r="J33" s="347">
        <f>VLOOKUP($B33,F_Inputs!$B$270:$O$288,COLUMN()-1,FALSE)+VLOOKUP($Q33,F_Inputs!$B$270:$O$288,COLUMN()-1,FALSE)-VLOOKUP($R33,F_Inputs!$B$270:$O$288,COLUMN()-1,FALSE)</f>
        <v>0</v>
      </c>
      <c r="K33" s="542">
        <f>VLOOKUP($B33,F_Inputs!$B$270:$O$288,COLUMN()-1,FALSE)+VLOOKUP($Q33,F_Inputs!$B$270:$O$288,COLUMN()-1,FALSE)-VLOOKUP($R33,F_Inputs!$B$270:$O$288,COLUMN()-1,FALSE)</f>
        <v>1.2E-2</v>
      </c>
      <c r="L33" s="543">
        <f>VLOOKUP($B33,F_Inputs!$B$270:$O$288,COLUMN()-1,FALSE)+VLOOKUP($Q33,F_Inputs!$B$270:$O$288,COLUMN()-1,FALSE)-VLOOKUP($R33,F_Inputs!$B$270:$O$288,COLUMN()-1,FALSE)</f>
        <v>2.4E-2</v>
      </c>
      <c r="M33" s="543">
        <f>VLOOKUP($B33,F_Inputs!$B$270:$O$288,COLUMN()-1,FALSE)+VLOOKUP($Q33,F_Inputs!$B$270:$O$288,COLUMN()-1,FALSE)-VLOOKUP($R33,F_Inputs!$B$270:$O$288,COLUMN()-1,FALSE)</f>
        <v>3.6000000000000004E-2</v>
      </c>
      <c r="N33" s="543">
        <f>VLOOKUP($B33,F_Inputs!$B$270:$O$288,COLUMN()-1,FALSE)+VLOOKUP($Q33,F_Inputs!$B$270:$O$288,COLUMN()-1,FALSE)-VLOOKUP($R33,F_Inputs!$B$270:$O$288,COLUMN()-1,FALSE)</f>
        <v>4.9000000000000002E-2</v>
      </c>
      <c r="O33" s="543">
        <f>VLOOKUP($B33,F_Inputs!$B$270:$O$288,COLUMN()-1,FALSE)+VLOOKUP($Q33,F_Inputs!$B$270:$O$288,COLUMN()-1,FALSE)-VLOOKUP($R33,F_Inputs!$B$270:$O$288,COLUMN()-1,FALSE)</f>
        <v>6.0999999999999999E-2</v>
      </c>
      <c r="Q33" s="276" t="s">
        <v>239</v>
      </c>
      <c r="R33" s="276" t="s">
        <v>241</v>
      </c>
    </row>
    <row r="34" spans="1:34">
      <c r="A34" s="276" t="s">
        <v>230</v>
      </c>
      <c r="B34" s="268" t="s">
        <v>97</v>
      </c>
      <c r="C34" s="276" t="s">
        <v>252</v>
      </c>
      <c r="D34" s="276" t="s">
        <v>74</v>
      </c>
      <c r="F34" s="347">
        <f>VLOOKUP($B34,F_Inputs!$B$289:$O$307,COLUMN()-1,FALSE)+VLOOKUP($Q34,F_Inputs!$B$289:$O$307,COLUMN()-1,FALSE)-VLOOKUP($R34,F_Inputs!$B$289:$O$307,COLUMN()-1,FALSE)</f>
        <v>0.32500000000000001</v>
      </c>
      <c r="G34" s="347">
        <f>VLOOKUP($B34,F_Inputs!$B$289:$O$307,COLUMN()-1,FALSE)+VLOOKUP($Q34,F_Inputs!$B$289:$O$307,COLUMN()-1,FALSE)-VLOOKUP($R34,F_Inputs!$B$289:$O$307,COLUMN()-1,FALSE)</f>
        <v>0.33499999999999996</v>
      </c>
      <c r="H34" s="347">
        <f>VLOOKUP($B34,F_Inputs!$B$289:$O$307,COLUMN()-1,FALSE)+VLOOKUP($Q34,F_Inputs!$B$289:$O$307,COLUMN()-1,FALSE)-VLOOKUP($R34,F_Inputs!$B$289:$O$307,COLUMN()-1,FALSE)</f>
        <v>0.372</v>
      </c>
      <c r="I34" s="347">
        <f>VLOOKUP($B34,F_Inputs!$B$289:$O$307,COLUMN()-1,FALSE)+VLOOKUP($Q34,F_Inputs!$B$289:$O$307,COLUMN()-1,FALSE)-VLOOKUP($R34,F_Inputs!$B$289:$O$307,COLUMN()-1,FALSE)</f>
        <v>0.32100000000000001</v>
      </c>
      <c r="J34" s="347">
        <f>VLOOKUP($B34,F_Inputs!$B$289:$O$307,COLUMN()-1,FALSE)+VLOOKUP($Q34,F_Inputs!$B$289:$O$307,COLUMN()-1,FALSE)-VLOOKUP($R34,F_Inputs!$B$289:$O$307,COLUMN()-1,FALSE)</f>
        <v>0.32500000000000001</v>
      </c>
      <c r="K34" s="542">
        <f>VLOOKUP($B34,F_Inputs!$B$289:$O$307,COLUMN()-1,FALSE)+VLOOKUP($Q34,F_Inputs!$B$289:$O$307,COLUMN()-1,FALSE)-VLOOKUP($R34,F_Inputs!$B$289:$O$307,COLUMN()-1,FALSE)</f>
        <v>0.48699999999999999</v>
      </c>
      <c r="L34" s="543">
        <f>VLOOKUP($B34,F_Inputs!$B$289:$O$307,COLUMN()-1,FALSE)+VLOOKUP($Q34,F_Inputs!$B$289:$O$307,COLUMN()-1,FALSE)-VLOOKUP($R34,F_Inputs!$B$289:$O$307,COLUMN()-1,FALSE)</f>
        <v>0.47499999999999998</v>
      </c>
      <c r="M34" s="543">
        <f>VLOOKUP($B34,F_Inputs!$B$289:$O$307,COLUMN()-1,FALSE)+VLOOKUP($Q34,F_Inputs!$B$289:$O$307,COLUMN()-1,FALSE)-VLOOKUP($R34,F_Inputs!$B$289:$O$307,COLUMN()-1,FALSE)</f>
        <v>0.40400000000000003</v>
      </c>
      <c r="N34" s="543">
        <f>VLOOKUP($B34,F_Inputs!$B$289:$O$307,COLUMN()-1,FALSE)+VLOOKUP($Q34,F_Inputs!$B$289:$O$307,COLUMN()-1,FALSE)-VLOOKUP($R34,F_Inputs!$B$289:$O$307,COLUMN()-1,FALSE)</f>
        <v>0.30599999999999999</v>
      </c>
      <c r="O34" s="543">
        <f>VLOOKUP($B34,F_Inputs!$B$289:$O$307,COLUMN()-1,FALSE)+VLOOKUP($Q34,F_Inputs!$B$289:$O$307,COLUMN()-1,FALSE)-VLOOKUP($R34,F_Inputs!$B$289:$O$307,COLUMN()-1,FALSE)</f>
        <v>0.21299999999999999</v>
      </c>
      <c r="Q34" s="276" t="s">
        <v>235</v>
      </c>
      <c r="R34" s="276" t="s">
        <v>237</v>
      </c>
    </row>
    <row r="35" spans="1:34">
      <c r="B35" s="268" t="s">
        <v>98</v>
      </c>
      <c r="C35" s="276" t="s">
        <v>251</v>
      </c>
      <c r="D35" s="276" t="s">
        <v>74</v>
      </c>
      <c r="F35" s="347">
        <f>VLOOKUP($B35,F_Inputs!$B$289:$O$307,COLUMN()-1,FALSE)+VLOOKUP($Q35,F_Inputs!$B$289:$O$307,COLUMN()-1,FALSE)-VLOOKUP($R35,F_Inputs!$B$289:$O$307,COLUMN()-1,FALSE)</f>
        <v>0</v>
      </c>
      <c r="G35" s="347">
        <f>VLOOKUP($B35,F_Inputs!$B$289:$O$307,COLUMN()-1,FALSE)+VLOOKUP($Q35,F_Inputs!$B$289:$O$307,COLUMN()-1,FALSE)-VLOOKUP($R35,F_Inputs!$B$289:$O$307,COLUMN()-1,FALSE)</f>
        <v>0</v>
      </c>
      <c r="H35" s="347">
        <f>VLOOKUP($B35,F_Inputs!$B$289:$O$307,COLUMN()-1,FALSE)+VLOOKUP($Q35,F_Inputs!$B$289:$O$307,COLUMN()-1,FALSE)-VLOOKUP($R35,F_Inputs!$B$289:$O$307,COLUMN()-1,FALSE)</f>
        <v>0</v>
      </c>
      <c r="I35" s="347">
        <f>VLOOKUP($B35,F_Inputs!$B$289:$O$307,COLUMN()-1,FALSE)+VLOOKUP($Q35,F_Inputs!$B$289:$O$307,COLUMN()-1,FALSE)-VLOOKUP($R35,F_Inputs!$B$289:$O$307,COLUMN()-1,FALSE)</f>
        <v>0</v>
      </c>
      <c r="J35" s="347">
        <f>VLOOKUP($B35,F_Inputs!$B$289:$O$307,COLUMN()-1,FALSE)+VLOOKUP($Q35,F_Inputs!$B$289:$O$307,COLUMN()-1,FALSE)-VLOOKUP($R35,F_Inputs!$B$289:$O$307,COLUMN()-1,FALSE)</f>
        <v>0</v>
      </c>
      <c r="K35" s="542">
        <f>VLOOKUP($B35,F_Inputs!$B$289:$O$307,COLUMN()-1,FALSE)+VLOOKUP($Q35,F_Inputs!$B$289:$O$307,COLUMN()-1,FALSE)-VLOOKUP($R35,F_Inputs!$B$289:$O$307,COLUMN()-1,FALSE)</f>
        <v>5.5E-2</v>
      </c>
      <c r="L35" s="543">
        <f>VLOOKUP($B35,F_Inputs!$B$289:$O$307,COLUMN()-1,FALSE)+VLOOKUP($Q35,F_Inputs!$B$289:$O$307,COLUMN()-1,FALSE)-VLOOKUP($R35,F_Inputs!$B$289:$O$307,COLUMN()-1,FALSE)</f>
        <v>0.112</v>
      </c>
      <c r="M35" s="543">
        <f>VLOOKUP($B35,F_Inputs!$B$289:$O$307,COLUMN()-1,FALSE)+VLOOKUP($Q35,F_Inputs!$B$289:$O$307,COLUMN()-1,FALSE)-VLOOKUP($R35,F_Inputs!$B$289:$O$307,COLUMN()-1,FALSE)</f>
        <v>0.17499999999999999</v>
      </c>
      <c r="N35" s="543">
        <f>VLOOKUP($B35,F_Inputs!$B$289:$O$307,COLUMN()-1,FALSE)+VLOOKUP($Q35,F_Inputs!$B$289:$O$307,COLUMN()-1,FALSE)-VLOOKUP($R35,F_Inputs!$B$289:$O$307,COLUMN()-1,FALSE)</f>
        <v>0.23799999999999999</v>
      </c>
      <c r="O35" s="543">
        <f>VLOOKUP($B35,F_Inputs!$B$289:$O$307,COLUMN()-1,FALSE)+VLOOKUP($Q35,F_Inputs!$B$289:$O$307,COLUMN()-1,FALSE)-VLOOKUP($R35,F_Inputs!$B$289:$O$307,COLUMN()-1,FALSE)</f>
        <v>0.23500000000000001</v>
      </c>
      <c r="Q35" s="276" t="s">
        <v>239</v>
      </c>
      <c r="R35" s="276" t="s">
        <v>241</v>
      </c>
    </row>
    <row r="36" spans="1:34">
      <c r="A36" s="276" t="s">
        <v>231</v>
      </c>
      <c r="B36" s="268" t="s">
        <v>97</v>
      </c>
      <c r="C36" s="276" t="s">
        <v>252</v>
      </c>
      <c r="D36" s="276" t="s">
        <v>74</v>
      </c>
      <c r="F36" s="347">
        <f>VLOOKUP($B36,F_Inputs!$B$308:$O$326,COLUMN()-1,FALSE)+VLOOKUP($Q36,F_Inputs!$B$308:$O$326,COLUMN()-1,FALSE)-VLOOKUP($R36,F_Inputs!$B$308:$O$326,COLUMN()-1,FALSE)</f>
        <v>2.3767965559112398</v>
      </c>
      <c r="G36" s="347">
        <f>VLOOKUP($B36,F_Inputs!$B$308:$O$326,COLUMN()-1,FALSE)+VLOOKUP($Q36,F_Inputs!$B$308:$O$326,COLUMN()-1,FALSE)-VLOOKUP($R36,F_Inputs!$B$308:$O$326,COLUMN()-1,FALSE)</f>
        <v>2.3360143955619601</v>
      </c>
      <c r="H36" s="347">
        <f>VLOOKUP($B36,F_Inputs!$B$308:$O$326,COLUMN()-1,FALSE)+VLOOKUP($Q36,F_Inputs!$B$308:$O$326,COLUMN()-1,FALSE)-VLOOKUP($R36,F_Inputs!$B$308:$O$326,COLUMN()-1,FALSE)</f>
        <v>1.9259999999999999</v>
      </c>
      <c r="I36" s="347">
        <f>VLOOKUP($B36,F_Inputs!$B$308:$O$326,COLUMN()-1,FALSE)+VLOOKUP($Q36,F_Inputs!$B$308:$O$326,COLUMN()-1,FALSE)-VLOOKUP($R36,F_Inputs!$B$308:$O$326,COLUMN()-1,FALSE)</f>
        <v>1.4307266949152539</v>
      </c>
      <c r="J36" s="347">
        <f>VLOOKUP($B36,F_Inputs!$B$308:$O$326,COLUMN()-1,FALSE)+VLOOKUP($Q36,F_Inputs!$B$308:$O$326,COLUMN()-1,FALSE)-VLOOKUP($R36,F_Inputs!$B$308:$O$326,COLUMN()-1,FALSE)</f>
        <v>1.613994612511618</v>
      </c>
      <c r="K36" s="542">
        <f>VLOOKUP($B36,F_Inputs!$B$308:$O$326,COLUMN()-1,FALSE)+VLOOKUP($Q36,F_Inputs!$B$308:$O$326,COLUMN()-1,FALSE)-VLOOKUP($R36,F_Inputs!$B$308:$O$326,COLUMN()-1,FALSE)</f>
        <v>1.4787598248128699</v>
      </c>
      <c r="L36" s="543">
        <f>VLOOKUP($B36,F_Inputs!$B$308:$O$326,COLUMN()-1,FALSE)+VLOOKUP($Q36,F_Inputs!$B$308:$O$326,COLUMN()-1,FALSE)-VLOOKUP($R36,F_Inputs!$B$308:$O$326,COLUMN()-1,FALSE)</f>
        <v>1.3009226195572561</v>
      </c>
      <c r="M36" s="543">
        <f>VLOOKUP($B36,F_Inputs!$B$308:$O$326,COLUMN()-1,FALSE)+VLOOKUP($Q36,F_Inputs!$B$308:$O$326,COLUMN()-1,FALSE)-VLOOKUP($R36,F_Inputs!$B$308:$O$326,COLUMN()-1,FALSE)</f>
        <v>0.72516422936402003</v>
      </c>
      <c r="N36" s="543">
        <f>VLOOKUP($B36,F_Inputs!$B$308:$O$326,COLUMN()-1,FALSE)+VLOOKUP($Q36,F_Inputs!$B$308:$O$326,COLUMN()-1,FALSE)-VLOOKUP($R36,F_Inputs!$B$308:$O$326,COLUMN()-1,FALSE)</f>
        <v>0.39699656679548001</v>
      </c>
      <c r="O36" s="543">
        <f>VLOOKUP($B36,F_Inputs!$B$308:$O$326,COLUMN()-1,FALSE)+VLOOKUP($Q36,F_Inputs!$B$308:$O$326,COLUMN()-1,FALSE)-VLOOKUP($R36,F_Inputs!$B$308:$O$326,COLUMN()-1,FALSE)</f>
        <v>0.25126823189967201</v>
      </c>
      <c r="Q36" s="276" t="s">
        <v>235</v>
      </c>
      <c r="R36" s="276" t="s">
        <v>237</v>
      </c>
    </row>
    <row r="37" spans="1:34">
      <c r="B37" s="268" t="s">
        <v>98</v>
      </c>
      <c r="C37" s="276" t="s">
        <v>251</v>
      </c>
      <c r="D37" s="276" t="s">
        <v>74</v>
      </c>
      <c r="F37" s="347">
        <f>VLOOKUP($B37,F_Inputs!$B$308:$O$326,COLUMN()-1,FALSE)+VLOOKUP($Q37,F_Inputs!$B$308:$O$326,COLUMN()-1,FALSE)-VLOOKUP($R37,F_Inputs!$B$308:$O$326,COLUMN()-1,FALSE)</f>
        <v>0</v>
      </c>
      <c r="G37" s="347">
        <f>VLOOKUP($B37,F_Inputs!$B$308:$O$326,COLUMN()-1,FALSE)+VLOOKUP($Q37,F_Inputs!$B$308:$O$326,COLUMN()-1,FALSE)-VLOOKUP($R37,F_Inputs!$B$308:$O$326,COLUMN()-1,FALSE)</f>
        <v>0</v>
      </c>
      <c r="H37" s="347">
        <f>VLOOKUP($B37,F_Inputs!$B$308:$O$326,COLUMN()-1,FALSE)+VLOOKUP($Q37,F_Inputs!$B$308:$O$326,COLUMN()-1,FALSE)-VLOOKUP($R37,F_Inputs!$B$308:$O$326,COLUMN()-1,FALSE)</f>
        <v>0</v>
      </c>
      <c r="I37" s="347">
        <f>VLOOKUP($B37,F_Inputs!$B$308:$O$326,COLUMN()-1,FALSE)+VLOOKUP($Q37,F_Inputs!$B$308:$O$326,COLUMN()-1,FALSE)-VLOOKUP($R37,F_Inputs!$B$308:$O$326,COLUMN()-1,FALSE)</f>
        <v>0</v>
      </c>
      <c r="J37" s="347">
        <f>VLOOKUP($B37,F_Inputs!$B$308:$O$326,COLUMN()-1,FALSE)+VLOOKUP($Q37,F_Inputs!$B$308:$O$326,COLUMN()-1,FALSE)-VLOOKUP($R37,F_Inputs!$B$308:$O$326,COLUMN()-1,FALSE)</f>
        <v>0</v>
      </c>
      <c r="K37" s="542">
        <f>VLOOKUP($B37,F_Inputs!$B$308:$O$326,COLUMN()-1,FALSE)+VLOOKUP($Q37,F_Inputs!$B$308:$O$326,COLUMN()-1,FALSE)-VLOOKUP($R37,F_Inputs!$B$308:$O$326,COLUMN()-1,FALSE)</f>
        <v>0.1000388866249205</v>
      </c>
      <c r="L37" s="543">
        <f>VLOOKUP($B37,F_Inputs!$B$308:$O$326,COLUMN()-1,FALSE)+VLOOKUP($Q37,F_Inputs!$B$308:$O$326,COLUMN()-1,FALSE)-VLOOKUP($R37,F_Inputs!$B$308:$O$326,COLUMN()-1,FALSE)</f>
        <v>0.36473472829814702</v>
      </c>
      <c r="M37" s="543">
        <f>VLOOKUP($B37,F_Inputs!$B$308:$O$326,COLUMN()-1,FALSE)+VLOOKUP($Q37,F_Inputs!$B$308:$O$326,COLUMN()-1,FALSE)-VLOOKUP($R37,F_Inputs!$B$308:$O$326,COLUMN()-1,FALSE)</f>
        <v>0.63728497469505396</v>
      </c>
      <c r="N37" s="543">
        <f>VLOOKUP($B37,F_Inputs!$B$308:$O$326,COLUMN()-1,FALSE)+VLOOKUP($Q37,F_Inputs!$B$308:$O$326,COLUMN()-1,FALSE)-VLOOKUP($R37,F_Inputs!$B$308:$O$326,COLUMN()-1,FALSE)</f>
        <v>0.83914530030431</v>
      </c>
      <c r="O37" s="543">
        <f>VLOOKUP($B37,F_Inputs!$B$308:$O$326,COLUMN()-1,FALSE)+VLOOKUP($Q37,F_Inputs!$B$308:$O$326,COLUMN()-1,FALSE)-VLOOKUP($R37,F_Inputs!$B$308:$O$326,COLUMN()-1,FALSE)</f>
        <v>1.05418669333882</v>
      </c>
      <c r="Q37" s="276" t="s">
        <v>239</v>
      </c>
      <c r="R37" s="276" t="s">
        <v>241</v>
      </c>
    </row>
    <row r="38" spans="1:34">
      <c r="A38" s="276" t="s">
        <v>232</v>
      </c>
      <c r="B38" s="268" t="s">
        <v>97</v>
      </c>
      <c r="C38" s="276" t="s">
        <v>252</v>
      </c>
      <c r="D38" s="276" t="s">
        <v>74</v>
      </c>
      <c r="F38" s="347">
        <f>VLOOKUP($B38,F_Inputs!$B$232:$O$250,COLUMN()-1,FALSE)+VLOOKUP($Q38,F_Inputs!$B$232:$O$250,COLUMN()-1,FALSE)-VLOOKUP($R38,F_Inputs!$B$232:$O$250,COLUMN()-1,FALSE)</f>
        <v>1.3832527517932109</v>
      </c>
      <c r="G38" s="347">
        <f>VLOOKUP($B38,F_Inputs!$B$232:$O$250,COLUMN()-1,FALSE)+VLOOKUP($Q38,F_Inputs!$B$232:$O$250,COLUMN()-1,FALSE)-VLOOKUP($R38,F_Inputs!$B$232:$O$250,COLUMN()-1,FALSE)</f>
        <v>1.4255378956352511</v>
      </c>
      <c r="H38" s="347">
        <f>VLOOKUP($B38,F_Inputs!$B$232:$O$250,COLUMN()-1,FALSE)+VLOOKUP($Q38,F_Inputs!$B$232:$O$250,COLUMN()-1,FALSE)-VLOOKUP($R38,F_Inputs!$B$232:$O$250,COLUMN()-1,FALSE)</f>
        <v>1.3977226340625719</v>
      </c>
      <c r="I38" s="347">
        <f>VLOOKUP($B38,F_Inputs!$B$232:$O$250,COLUMN()-1,FALSE)+VLOOKUP($Q38,F_Inputs!$B$232:$O$250,COLUMN()-1,FALSE)-VLOOKUP($R38,F_Inputs!$B$232:$O$250,COLUMN()-1,FALSE)</f>
        <v>1.7001286959343478</v>
      </c>
      <c r="J38" s="347">
        <f>VLOOKUP($B38,F_Inputs!$B$232:$O$250,COLUMN()-1,FALSE)+VLOOKUP($Q38,F_Inputs!$B$232:$O$250,COLUMN()-1,FALSE)-VLOOKUP($R38,F_Inputs!$B$232:$O$250,COLUMN()-1,FALSE)</f>
        <v>2.2640268861005008</v>
      </c>
      <c r="K38" s="542">
        <f>VLOOKUP($B38,F_Inputs!$B$232:$O$250,COLUMN()-1,FALSE)+VLOOKUP($Q38,F_Inputs!$B$232:$O$250,COLUMN()-1,FALSE)-VLOOKUP($R38,F_Inputs!$B$232:$O$250,COLUMN()-1,FALSE)</f>
        <v>2.376568820234128</v>
      </c>
      <c r="L38" s="543">
        <f>VLOOKUP($B38,F_Inputs!$B$232:$O$250,COLUMN()-1,FALSE)+VLOOKUP($Q38,F_Inputs!$B$232:$O$250,COLUMN()-1,FALSE)-VLOOKUP($R38,F_Inputs!$B$232:$O$250,COLUMN()-1,FALSE)</f>
        <v>2.1065484331065738</v>
      </c>
      <c r="M38" s="543">
        <f>VLOOKUP($B38,F_Inputs!$B$232:$O$250,COLUMN()-1,FALSE)+VLOOKUP($Q38,F_Inputs!$B$232:$O$250,COLUMN()-1,FALSE)-VLOOKUP($R38,F_Inputs!$B$232:$O$250,COLUMN()-1,FALSE)</f>
        <v>1.6030268400139469</v>
      </c>
      <c r="N38" s="543">
        <f>VLOOKUP($B38,F_Inputs!$B$232:$O$250,COLUMN()-1,FALSE)+VLOOKUP($Q38,F_Inputs!$B$232:$O$250,COLUMN()-1,FALSE)-VLOOKUP($R38,F_Inputs!$B$232:$O$250,COLUMN()-1,FALSE)</f>
        <v>0.78935398646813304</v>
      </c>
      <c r="O38" s="543">
        <f>VLOOKUP($B38,F_Inputs!$B$232:$O$250,COLUMN()-1,FALSE)+VLOOKUP($Q38,F_Inputs!$B$232:$O$250,COLUMN()-1,FALSE)-VLOOKUP($R38,F_Inputs!$B$232:$O$250,COLUMN()-1,FALSE)</f>
        <v>0.26332200774655901</v>
      </c>
      <c r="Q38" s="276" t="s">
        <v>235</v>
      </c>
      <c r="R38" s="276" t="s">
        <v>237</v>
      </c>
    </row>
    <row r="39" spans="1:34">
      <c r="B39" s="268" t="s">
        <v>98</v>
      </c>
      <c r="C39" s="276" t="s">
        <v>251</v>
      </c>
      <c r="D39" s="276" t="s">
        <v>74</v>
      </c>
      <c r="F39" s="347">
        <f>VLOOKUP($B39,F_Inputs!$B$232:$O$250,COLUMN()-1,FALSE)+VLOOKUP($Q39,F_Inputs!$B$232:$O$250,COLUMN()-1,FALSE)-VLOOKUP($R39,F_Inputs!$B$232:$O$250,COLUMN()-1,FALSE)</f>
        <v>0</v>
      </c>
      <c r="G39" s="347">
        <f>VLOOKUP($B39,F_Inputs!$B$232:$O$250,COLUMN()-1,FALSE)+VLOOKUP($Q39,F_Inputs!$B$232:$O$250,COLUMN()-1,FALSE)-VLOOKUP($R39,F_Inputs!$B$232:$O$250,COLUMN()-1,FALSE)</f>
        <v>0</v>
      </c>
      <c r="H39" s="347">
        <f>VLOOKUP($B39,F_Inputs!$B$232:$O$250,COLUMN()-1,FALSE)+VLOOKUP($Q39,F_Inputs!$B$232:$O$250,COLUMN()-1,FALSE)-VLOOKUP($R39,F_Inputs!$B$232:$O$250,COLUMN()-1,FALSE)</f>
        <v>0</v>
      </c>
      <c r="I39" s="347">
        <f>VLOOKUP($B39,F_Inputs!$B$232:$O$250,COLUMN()-1,FALSE)+VLOOKUP($Q39,F_Inputs!$B$232:$O$250,COLUMN()-1,FALSE)-VLOOKUP($R39,F_Inputs!$B$232:$O$250,COLUMN()-1,FALSE)</f>
        <v>0</v>
      </c>
      <c r="J39" s="347">
        <f>VLOOKUP($B39,F_Inputs!$B$232:$O$250,COLUMN()-1,FALSE)+VLOOKUP($Q39,F_Inputs!$B$232:$O$250,COLUMN()-1,FALSE)-VLOOKUP($R39,F_Inputs!$B$232:$O$250,COLUMN()-1,FALSE)</f>
        <v>0</v>
      </c>
      <c r="K39" s="542">
        <f>VLOOKUP($B39,F_Inputs!$B$232:$O$250,COLUMN()-1,FALSE)+VLOOKUP($Q39,F_Inputs!$B$232:$O$250,COLUMN()-1,FALSE)-VLOOKUP($R39,F_Inputs!$B$232:$O$250,COLUMN()-1,FALSE)</f>
        <v>0.20924913779915999</v>
      </c>
      <c r="L39" s="543">
        <f>VLOOKUP($B39,F_Inputs!$B$232:$O$250,COLUMN()-1,FALSE)+VLOOKUP($Q39,F_Inputs!$B$232:$O$250,COLUMN()-1,FALSE)-VLOOKUP($R39,F_Inputs!$B$232:$O$250,COLUMN()-1,FALSE)</f>
        <v>0.41252552193052794</v>
      </c>
      <c r="M39" s="543">
        <f>VLOOKUP($B39,F_Inputs!$B$232:$O$250,COLUMN()-1,FALSE)+VLOOKUP($Q39,F_Inputs!$B$232:$O$250,COLUMN()-1,FALSE)-VLOOKUP($R39,F_Inputs!$B$232:$O$250,COLUMN()-1,FALSE)</f>
        <v>0.62595563390783493</v>
      </c>
      <c r="N39" s="543">
        <f>VLOOKUP($B39,F_Inputs!$B$232:$O$250,COLUMN()-1,FALSE)+VLOOKUP($Q39,F_Inputs!$B$232:$O$250,COLUMN()-1,FALSE)-VLOOKUP($R39,F_Inputs!$B$232:$O$250,COLUMN()-1,FALSE)</f>
        <v>0.81967952271444999</v>
      </c>
      <c r="O39" s="543">
        <f>VLOOKUP($B39,F_Inputs!$B$232:$O$250,COLUMN()-1,FALSE)+VLOOKUP($Q39,F_Inputs!$B$232:$O$250,COLUMN()-1,FALSE)-VLOOKUP($R39,F_Inputs!$B$232:$O$250,COLUMN()-1,FALSE)</f>
        <v>0.95460579456879491</v>
      </c>
      <c r="Q39" s="276" t="s">
        <v>239</v>
      </c>
      <c r="R39" s="276" t="s">
        <v>241</v>
      </c>
    </row>
    <row r="40" spans="1:34">
      <c r="A40" s="276" t="s">
        <v>254</v>
      </c>
      <c r="B40" s="268" t="s">
        <v>97</v>
      </c>
      <c r="C40" s="276" t="s">
        <v>252</v>
      </c>
      <c r="D40" s="276" t="s">
        <v>74</v>
      </c>
      <c r="F40" s="347">
        <f>VLOOKUP($B40,F_Inputs!$B$327:$O$345,COLUMN()-1,FALSE)+VLOOKUP($Q40,F_Inputs!$B$327:$O$345,COLUMN()-1,FALSE)-VLOOKUP($R40,F_Inputs!$B$327:$O$345,COLUMN()-1,FALSE)</f>
        <v>8.8362999999999997E-2</v>
      </c>
      <c r="G40" s="347">
        <f>VLOOKUP($B40,F_Inputs!$B$327:$O$345,COLUMN()-1,FALSE)+VLOOKUP($Q40,F_Inputs!$B$327:$O$345,COLUMN()-1,FALSE)-VLOOKUP($R40,F_Inputs!$B$327:$O$345,COLUMN()-1,FALSE)</f>
        <v>6.5103999999999995E-2</v>
      </c>
      <c r="H40" s="347">
        <f>VLOOKUP($B40,F_Inputs!$B$327:$O$345,COLUMN()-1,FALSE)+VLOOKUP($Q40,F_Inputs!$B$327:$O$345,COLUMN()-1,FALSE)-VLOOKUP($R40,F_Inputs!$B$327:$O$345,COLUMN()-1,FALSE)</f>
        <v>5.4174E-2</v>
      </c>
      <c r="I40" s="347">
        <f>VLOOKUP($B40,F_Inputs!$B$327:$O$345,COLUMN()-1,FALSE)+VLOOKUP($Q40,F_Inputs!$B$327:$O$345,COLUMN()-1,FALSE)-VLOOKUP($R40,F_Inputs!$B$327:$O$345,COLUMN()-1,FALSE)</f>
        <v>0.21058359999999998</v>
      </c>
      <c r="J40" s="347">
        <f>VLOOKUP($B40,F_Inputs!$B$327:$O$345,COLUMN()-1,FALSE)+VLOOKUP($Q40,F_Inputs!$B$327:$O$345,COLUMN()-1,FALSE)-VLOOKUP($R40,F_Inputs!$B$327:$O$345,COLUMN()-1,FALSE)</f>
        <v>0.22235985348408122</v>
      </c>
      <c r="K40" s="542">
        <f>VLOOKUP($B40,F_Inputs!$B$327:$O$345,COLUMN()-1,FALSE)+VLOOKUP($Q40,F_Inputs!$B$327:$O$345,COLUMN()-1,FALSE)-VLOOKUP($R40,F_Inputs!$B$327:$O$345,COLUMN()-1,FALSE)</f>
        <v>0.19486053822223701</v>
      </c>
      <c r="L40" s="543">
        <f>VLOOKUP($B40,F_Inputs!$B$327:$O$345,COLUMN()-1,FALSE)+VLOOKUP($Q40,F_Inputs!$B$327:$O$345,COLUMN()-1,FALSE)-VLOOKUP($R40,F_Inputs!$B$327:$O$345,COLUMN()-1,FALSE)</f>
        <v>0.16154316981037792</v>
      </c>
      <c r="M40" s="543">
        <f>VLOOKUP($B40,F_Inputs!$B$327:$O$345,COLUMN()-1,FALSE)+VLOOKUP($Q40,F_Inputs!$B$327:$O$345,COLUMN()-1,FALSE)-VLOOKUP($R40,F_Inputs!$B$327:$O$345,COLUMN()-1,FALSE)</f>
        <v>0.14083293548626941</v>
      </c>
      <c r="N40" s="543">
        <f>VLOOKUP($B40,F_Inputs!$B$327:$O$345,COLUMN()-1,FALSE)+VLOOKUP($Q40,F_Inputs!$B$327:$O$345,COLUMN()-1,FALSE)-VLOOKUP($R40,F_Inputs!$B$327:$O$345,COLUMN()-1,FALSE)</f>
        <v>0.1092909382391917</v>
      </c>
      <c r="O40" s="543">
        <f>VLOOKUP($B40,F_Inputs!$B$327:$O$345,COLUMN()-1,FALSE)+VLOOKUP($Q40,F_Inputs!$B$327:$O$345,COLUMN()-1,FALSE)-VLOOKUP($R40,F_Inputs!$B$327:$O$345,COLUMN()-1,FALSE)</f>
        <v>8.3231045270833415E-2</v>
      </c>
      <c r="Q40" s="276" t="s">
        <v>235</v>
      </c>
      <c r="R40" s="276" t="s">
        <v>237</v>
      </c>
    </row>
    <row r="41" spans="1:34">
      <c r="B41" s="268" t="s">
        <v>98</v>
      </c>
      <c r="C41" s="276" t="s">
        <v>251</v>
      </c>
      <c r="D41" s="276" t="s">
        <v>74</v>
      </c>
      <c r="F41" s="347">
        <f>VLOOKUP($B41,F_Inputs!$B$327:$O$345,COLUMN()-1,FALSE)+VLOOKUP($Q41,F_Inputs!$B$327:$O$345,COLUMN()-1,FALSE)-VLOOKUP($R41,F_Inputs!$B$327:$O$345,COLUMN()-1,FALSE)</f>
        <v>0</v>
      </c>
      <c r="G41" s="347">
        <f>VLOOKUP($B41,F_Inputs!$B$327:$O$345,COLUMN()-1,FALSE)+VLOOKUP($Q41,F_Inputs!$B$327:$O$345,COLUMN()-1,FALSE)-VLOOKUP($R41,F_Inputs!$B$327:$O$345,COLUMN()-1,FALSE)</f>
        <v>0</v>
      </c>
      <c r="H41" s="347">
        <f>VLOOKUP($B41,F_Inputs!$B$327:$O$345,COLUMN()-1,FALSE)+VLOOKUP($Q41,F_Inputs!$B$327:$O$345,COLUMN()-1,FALSE)-VLOOKUP($R41,F_Inputs!$B$327:$O$345,COLUMN()-1,FALSE)</f>
        <v>0</v>
      </c>
      <c r="I41" s="347">
        <f>VLOOKUP($B41,F_Inputs!$B$327:$O$345,COLUMN()-1,FALSE)+VLOOKUP($Q41,F_Inputs!$B$327:$O$345,COLUMN()-1,FALSE)-VLOOKUP($R41,F_Inputs!$B$327:$O$345,COLUMN()-1,FALSE)</f>
        <v>0</v>
      </c>
      <c r="J41" s="347">
        <f>VLOOKUP($B41,F_Inputs!$B$327:$O$345,COLUMN()-1,FALSE)+VLOOKUP($Q41,F_Inputs!$B$327:$O$345,COLUMN()-1,FALSE)-VLOOKUP($R41,F_Inputs!$B$327:$O$345,COLUMN()-1,FALSE)</f>
        <v>0</v>
      </c>
      <c r="K41" s="542">
        <f>VLOOKUP($B41,F_Inputs!$B$327:$O$345,COLUMN()-1,FALSE)+VLOOKUP($Q41,F_Inputs!$B$327:$O$345,COLUMN()-1,FALSE)-VLOOKUP($R41,F_Inputs!$B$327:$O$345,COLUMN()-1,FALSE)</f>
        <v>3.4606137609889995E-2</v>
      </c>
      <c r="L41" s="543">
        <f>VLOOKUP($B41,F_Inputs!$B$327:$O$345,COLUMN()-1,FALSE)+VLOOKUP($Q41,F_Inputs!$B$327:$O$345,COLUMN()-1,FALSE)-VLOOKUP($R41,F_Inputs!$B$327:$O$345,COLUMN()-1,FALSE)</f>
        <v>9.8518713665266905E-2</v>
      </c>
      <c r="M41" s="543">
        <f>VLOOKUP($B41,F_Inputs!$B$327:$O$345,COLUMN()-1,FALSE)+VLOOKUP($Q41,F_Inputs!$B$327:$O$345,COLUMN()-1,FALSE)-VLOOKUP($R41,F_Inputs!$B$327:$O$345,COLUMN()-1,FALSE)</f>
        <v>0.15204333542185081</v>
      </c>
      <c r="N41" s="543">
        <f>VLOOKUP($B41,F_Inputs!$B$327:$O$345,COLUMN()-1,FALSE)+VLOOKUP($Q41,F_Inputs!$B$327:$O$345,COLUMN()-1,FALSE)-VLOOKUP($R41,F_Inputs!$B$327:$O$345,COLUMN()-1,FALSE)</f>
        <v>0.195222026921055</v>
      </c>
      <c r="O41" s="543">
        <f>VLOOKUP($B41,F_Inputs!$B$327:$O$345,COLUMN()-1,FALSE)+VLOOKUP($Q41,F_Inputs!$B$327:$O$345,COLUMN()-1,FALSE)-VLOOKUP($R41,F_Inputs!$B$327:$O$345,COLUMN()-1,FALSE)</f>
        <v>0.22937174227118298</v>
      </c>
      <c r="Q41" s="276" t="s">
        <v>239</v>
      </c>
      <c r="R41" s="276" t="s">
        <v>241</v>
      </c>
    </row>
    <row r="42" spans="1:34">
      <c r="B42" s="268"/>
    </row>
    <row r="43" spans="1:34" s="272" customFormat="1" ht="15">
      <c r="A43" s="302" t="s">
        <v>431</v>
      </c>
      <c r="B43" s="274"/>
      <c r="C43" s="292"/>
      <c r="D43" s="292"/>
      <c r="E43" s="284"/>
      <c r="F43" s="292"/>
      <c r="G43" s="274"/>
      <c r="H43" s="274"/>
      <c r="I43" s="274"/>
      <c r="J43" s="274"/>
      <c r="K43" s="459"/>
      <c r="L43" s="274"/>
      <c r="M43" s="274"/>
      <c r="N43" s="274"/>
      <c r="O43" s="274"/>
      <c r="P43" s="274"/>
      <c r="Q43" s="274"/>
      <c r="R43" s="274"/>
      <c r="S43" s="274"/>
      <c r="T43" s="274"/>
    </row>
    <row r="45" spans="1:34" ht="15">
      <c r="A45" s="275" t="s">
        <v>3</v>
      </c>
      <c r="B45" s="275" t="s">
        <v>3</v>
      </c>
      <c r="C45" s="275" t="s">
        <v>3</v>
      </c>
      <c r="D45" s="275" t="s">
        <v>3</v>
      </c>
      <c r="E45" s="285" t="s">
        <v>3</v>
      </c>
      <c r="F45" s="275"/>
      <c r="G45" s="275"/>
      <c r="H45" s="275"/>
      <c r="I45" s="275"/>
      <c r="J45" s="275"/>
      <c r="K45" s="460"/>
      <c r="L45" s="275"/>
      <c r="M45" s="275"/>
      <c r="N45" s="275"/>
      <c r="O45" s="275"/>
    </row>
    <row r="46" spans="1:34">
      <c r="A46" s="276" t="s">
        <v>215</v>
      </c>
      <c r="B46" s="276" t="s">
        <v>78</v>
      </c>
      <c r="C46" s="276" t="s">
        <v>132</v>
      </c>
      <c r="D46" s="276" t="s">
        <v>74</v>
      </c>
      <c r="E46" s="286" t="s">
        <v>182</v>
      </c>
      <c r="F46" s="277"/>
      <c r="G46" s="277"/>
      <c r="H46" s="277"/>
      <c r="I46" s="277">
        <f>VLOOKUP($B46,F_Inputs!$B$4:$O$22,COLUMN()-1,FALSE)+'New cost and adjustments inputs'!I27+I720</f>
        <v>65.433786189459894</v>
      </c>
      <c r="J46" s="277"/>
      <c r="K46" s="531">
        <f>VLOOKUP($B46,F_Inputs!$B$4:$O$22,COLUMN()-1,FALSE)+'New cost and adjustments inputs'!K27+K720</f>
        <v>66.744750480811305</v>
      </c>
      <c r="L46" s="532">
        <f>VLOOKUP($B46,F_Inputs!$B$4:$O$22,COLUMN()-1,FALSE)+'New cost and adjustments inputs'!L27+L720</f>
        <v>67.458328347404503</v>
      </c>
      <c r="M46" s="532">
        <f>VLOOKUP($B46,F_Inputs!$B$4:$O$22,COLUMN()-1,FALSE)+'New cost and adjustments inputs'!M27+M720</f>
        <v>68.246521397978896</v>
      </c>
      <c r="N46" s="532">
        <f>VLOOKUP($B46,F_Inputs!$B$4:$O$22,COLUMN()-1,FALSE)+'New cost and adjustments inputs'!N27+N720</f>
        <v>69.125517761991205</v>
      </c>
      <c r="O46" s="532">
        <f>VLOOKUP($B46,F_Inputs!$B$4:$O$22,COLUMN()-1,FALSE)+'New cost and adjustments inputs'!O27+O720</f>
        <v>70.095994252410406</v>
      </c>
      <c r="Y46" s="327"/>
      <c r="Z46" s="327"/>
      <c r="AA46" s="327"/>
      <c r="AB46" s="327"/>
      <c r="AC46" s="327"/>
      <c r="AD46" s="327"/>
      <c r="AE46" s="327"/>
      <c r="AF46" s="327"/>
      <c r="AG46" s="327"/>
      <c r="AH46" s="327"/>
    </row>
    <row r="47" spans="1:34">
      <c r="B47" s="276" t="s">
        <v>97</v>
      </c>
      <c r="C47" s="276" t="s">
        <v>99</v>
      </c>
      <c r="D47" s="276" t="s">
        <v>74</v>
      </c>
      <c r="E47" s="286" t="s">
        <v>182</v>
      </c>
      <c r="F47" s="277">
        <f>F6</f>
        <v>13.26045398894899</v>
      </c>
      <c r="G47" s="277">
        <f t="shared" ref="G47:K47" si="0">G6</f>
        <v>10.36994629660499</v>
      </c>
      <c r="H47" s="277">
        <f t="shared" si="0"/>
        <v>3.9829571644923902</v>
      </c>
      <c r="I47" s="277">
        <f t="shared" si="0"/>
        <v>3.8901520980701898</v>
      </c>
      <c r="K47" s="531">
        <f t="shared" si="0"/>
        <v>3.1181320570259561</v>
      </c>
      <c r="L47" s="532">
        <f t="shared" ref="L47:O47" si="1">L6</f>
        <v>2.379789043075605</v>
      </c>
      <c r="M47" s="532">
        <f t="shared" si="1"/>
        <v>1.8032473090598471</v>
      </c>
      <c r="N47" s="532">
        <f t="shared" si="1"/>
        <v>1.1450013524516489</v>
      </c>
      <c r="O47" s="532">
        <f t="shared" si="1"/>
        <v>0.27635100023722398</v>
      </c>
      <c r="Q47" s="278"/>
      <c r="Y47" s="327"/>
      <c r="Z47" s="327"/>
      <c r="AA47" s="327"/>
      <c r="AB47" s="327"/>
      <c r="AC47" s="327"/>
      <c r="AD47" s="327"/>
      <c r="AE47" s="327"/>
      <c r="AF47" s="327"/>
      <c r="AG47" s="327"/>
      <c r="AH47" s="327"/>
    </row>
    <row r="48" spans="1:34">
      <c r="B48" s="276" t="s">
        <v>98</v>
      </c>
      <c r="C48" s="276" t="s">
        <v>100</v>
      </c>
      <c r="D48" s="276" t="s">
        <v>74</v>
      </c>
      <c r="E48" s="286" t="s">
        <v>182</v>
      </c>
      <c r="F48" s="277">
        <f>F7</f>
        <v>0</v>
      </c>
      <c r="G48" s="277">
        <f t="shared" ref="G48:K48" si="2">G7</f>
        <v>0</v>
      </c>
      <c r="H48" s="277">
        <f t="shared" si="2"/>
        <v>0</v>
      </c>
      <c r="I48" s="277">
        <f t="shared" si="2"/>
        <v>0</v>
      </c>
      <c r="K48" s="531">
        <f t="shared" si="2"/>
        <v>0.92774996717968405</v>
      </c>
      <c r="L48" s="532">
        <f t="shared" ref="L48:O48" si="3">L7</f>
        <v>2.751835758401</v>
      </c>
      <c r="M48" s="532">
        <f t="shared" si="3"/>
        <v>3.8621929379507804</v>
      </c>
      <c r="N48" s="532">
        <f t="shared" si="3"/>
        <v>4.3138833715203404</v>
      </c>
      <c r="O48" s="532">
        <f t="shared" si="3"/>
        <v>4.6912495386250699</v>
      </c>
      <c r="Y48" s="327"/>
      <c r="Z48" s="327"/>
      <c r="AA48" s="327"/>
      <c r="AB48" s="327"/>
      <c r="AC48" s="327"/>
      <c r="AD48" s="327"/>
      <c r="AE48" s="327"/>
      <c r="AF48" s="327"/>
      <c r="AG48" s="327"/>
      <c r="AH48" s="327"/>
    </row>
    <row r="49" spans="1:34">
      <c r="B49" s="276" t="s">
        <v>79</v>
      </c>
      <c r="C49" s="276" t="s">
        <v>135</v>
      </c>
      <c r="D49" s="276" t="s">
        <v>74</v>
      </c>
      <c r="E49" s="286" t="s">
        <v>182</v>
      </c>
      <c r="F49" s="277"/>
      <c r="G49" s="277"/>
      <c r="H49" s="277"/>
      <c r="I49" s="277">
        <f>VLOOKUP($B49,F_Inputs!$B$4:$O$22,COLUMN()-1,FALSE)</f>
        <v>0.28987751397775402</v>
      </c>
      <c r="J49" s="277"/>
      <c r="K49" s="531">
        <f>VLOOKUP($B49,F_Inputs!$B$4:$O$22,COLUMN()-1,FALSE)</f>
        <v>0.33402756259004202</v>
      </c>
      <c r="L49" s="532">
        <f>VLOOKUP($B49,F_Inputs!$B$4:$O$22,COLUMN()-1,FALSE)</f>
        <v>0.35591939167372899</v>
      </c>
      <c r="M49" s="532">
        <f>VLOOKUP($B49,F_Inputs!$B$4:$O$22,COLUMN()-1,FALSE)</f>
        <v>0.377931743930085</v>
      </c>
      <c r="N49" s="532">
        <f>VLOOKUP($B49,F_Inputs!$B$4:$O$22,COLUMN()-1,FALSE)</f>
        <v>0.399705460304555</v>
      </c>
      <c r="O49" s="532">
        <f>VLOOKUP($B49,F_Inputs!$B$4:$O$22,COLUMN()-1,FALSE)</f>
        <v>0.420358311173199</v>
      </c>
      <c r="Y49" s="327"/>
      <c r="Z49" s="327"/>
      <c r="AA49" s="327"/>
      <c r="AB49" s="327"/>
      <c r="AC49" s="327"/>
      <c r="AD49" s="327"/>
      <c r="AE49" s="327"/>
      <c r="AF49" s="327"/>
      <c r="AG49" s="327"/>
      <c r="AH49" s="327"/>
    </row>
    <row r="50" spans="1:34">
      <c r="B50" s="276" t="s">
        <v>80</v>
      </c>
      <c r="C50" s="276" t="s">
        <v>136</v>
      </c>
      <c r="D50" s="276" t="s">
        <v>74</v>
      </c>
      <c r="E50" s="286" t="s">
        <v>182</v>
      </c>
      <c r="F50" s="277"/>
      <c r="G50" s="277"/>
      <c r="H50" s="277"/>
      <c r="I50" s="277">
        <f>VLOOKUP($B50,F_Inputs!$B$4:$O$22,COLUMN()-1,FALSE)</f>
        <v>1.55079740026748</v>
      </c>
      <c r="J50" s="277"/>
      <c r="K50" s="531">
        <f>VLOOKUP($B50,F_Inputs!$B$4:$O$22,COLUMN()-1,FALSE)</f>
        <v>1.64181898848782</v>
      </c>
      <c r="L50" s="532">
        <f>VLOOKUP($B50,F_Inputs!$B$4:$O$22,COLUMN()-1,FALSE)</f>
        <v>1.6881934866439401</v>
      </c>
      <c r="M50" s="532">
        <f>VLOOKUP($B50,F_Inputs!$B$4:$O$22,COLUMN()-1,FALSE)</f>
        <v>1.7357002611288399</v>
      </c>
      <c r="N50" s="532">
        <f>VLOOKUP($B50,F_Inputs!$B$4:$O$22,COLUMN()-1,FALSE)</f>
        <v>1.78577678404727</v>
      </c>
      <c r="O50" s="532">
        <f>VLOOKUP($B50,F_Inputs!$B$4:$O$22,COLUMN()-1,FALSE)</f>
        <v>1.8391158498106499</v>
      </c>
      <c r="Y50" s="327"/>
      <c r="Z50" s="327"/>
      <c r="AA50" s="327"/>
      <c r="AB50" s="327"/>
      <c r="AC50" s="327"/>
      <c r="AD50" s="327"/>
      <c r="AE50" s="327"/>
      <c r="AF50" s="327"/>
      <c r="AG50" s="327"/>
      <c r="AH50" s="327"/>
    </row>
    <row r="51" spans="1:34">
      <c r="B51" s="276" t="s">
        <v>81</v>
      </c>
      <c r="C51" s="276" t="s">
        <v>137</v>
      </c>
      <c r="D51" s="276" t="s">
        <v>74</v>
      </c>
      <c r="E51" s="286" t="s">
        <v>182</v>
      </c>
      <c r="F51" s="277"/>
      <c r="G51" s="277"/>
      <c r="H51" s="277"/>
      <c r="I51" s="277">
        <f>VLOOKUP($B51,F_Inputs!$B$4:$O$22,COLUMN()-1,FALSE)</f>
        <v>4.4781967449559703</v>
      </c>
      <c r="J51" s="277"/>
      <c r="K51" s="531">
        <f>VLOOKUP($B51,F_Inputs!$B$4:$O$22,COLUMN()-1,FALSE)</f>
        <v>4.8083236042213997</v>
      </c>
      <c r="L51" s="532">
        <f>VLOOKUP($B51,F_Inputs!$B$4:$O$22,COLUMN()-1,FALSE)</f>
        <v>4.9689314525341004</v>
      </c>
      <c r="M51" s="532">
        <f>VLOOKUP($B51,F_Inputs!$B$4:$O$22,COLUMN()-1,FALSE)</f>
        <v>5.1296071437294799</v>
      </c>
      <c r="N51" s="532">
        <f>VLOOKUP($B51,F_Inputs!$B$4:$O$22,COLUMN()-1,FALSE)</f>
        <v>5.2905542064555702</v>
      </c>
      <c r="O51" s="532">
        <f>VLOOKUP($B51,F_Inputs!$B$4:$O$22,COLUMN()-1,FALSE)</f>
        <v>5.44437776650026</v>
      </c>
      <c r="Y51" s="327"/>
      <c r="Z51" s="327"/>
      <c r="AA51" s="327"/>
      <c r="AB51" s="327"/>
      <c r="AC51" s="327"/>
      <c r="AD51" s="327"/>
      <c r="AE51" s="327"/>
      <c r="AF51" s="327"/>
      <c r="AG51" s="327"/>
      <c r="AH51" s="327"/>
    </row>
    <row r="52" spans="1:34">
      <c r="B52" s="276" t="s">
        <v>82</v>
      </c>
      <c r="C52" s="276" t="s">
        <v>89</v>
      </c>
      <c r="D52" s="276" t="s">
        <v>183</v>
      </c>
      <c r="E52" s="286" t="s">
        <v>182</v>
      </c>
      <c r="F52" s="277"/>
      <c r="G52" s="277"/>
      <c r="H52" s="277"/>
      <c r="I52" s="277">
        <f>VLOOKUP($B52,F_Inputs!$B$4:$O$22,COLUMN()-1,FALSE)</f>
        <v>115.05200000000001</v>
      </c>
      <c r="J52" s="277"/>
      <c r="K52" s="531">
        <f>VLOOKUP($B52,F_Inputs!$B$4:$O$22,COLUMN()-1,FALSE)</f>
        <v>98.325000000000003</v>
      </c>
      <c r="L52" s="532">
        <f>VLOOKUP($B52,F_Inputs!$B$4:$O$22,COLUMN()-1,FALSE)</f>
        <v>90.906999999999996</v>
      </c>
      <c r="M52" s="532">
        <f>VLOOKUP($B52,F_Inputs!$B$4:$O$22,COLUMN()-1,FALSE)</f>
        <v>83.548000000000002</v>
      </c>
      <c r="N52" s="532">
        <f>VLOOKUP($B52,F_Inputs!$B$4:$O$22,COLUMN()-1,FALSE)</f>
        <v>76.350999999999999</v>
      </c>
      <c r="O52" s="532">
        <f>VLOOKUP($B52,F_Inputs!$B$4:$O$22,COLUMN()-1,FALSE)</f>
        <v>69.706999999999994</v>
      </c>
      <c r="Y52" s="327"/>
      <c r="Z52" s="327"/>
      <c r="AA52" s="327"/>
      <c r="AB52" s="327"/>
      <c r="AC52" s="327"/>
      <c r="AD52" s="327"/>
      <c r="AE52" s="327"/>
      <c r="AF52" s="327"/>
      <c r="AG52" s="327"/>
      <c r="AH52" s="327"/>
    </row>
    <row r="53" spans="1:34">
      <c r="B53" s="276" t="s">
        <v>87</v>
      </c>
      <c r="C53" s="276" t="s">
        <v>90</v>
      </c>
      <c r="D53" s="276" t="s">
        <v>183</v>
      </c>
      <c r="E53" s="286" t="s">
        <v>182</v>
      </c>
      <c r="F53" s="277"/>
      <c r="G53" s="277"/>
      <c r="H53" s="277"/>
      <c r="I53" s="277">
        <f>VLOOKUP($B53,F_Inputs!$B$4:$O$22,COLUMN()-1,FALSE)</f>
        <v>117.932</v>
      </c>
      <c r="J53" s="277"/>
      <c r="K53" s="531">
        <f>VLOOKUP($B53,F_Inputs!$B$4:$O$22,COLUMN()-1,FALSE)</f>
        <v>138.57400000000001</v>
      </c>
      <c r="L53" s="532">
        <f>VLOOKUP($B53,F_Inputs!$B$4:$O$22,COLUMN()-1,FALSE)</f>
        <v>147.65600000000001</v>
      </c>
      <c r="M53" s="532">
        <f>VLOOKUP($B53,F_Inputs!$B$4:$O$22,COLUMN()-1,FALSE)</f>
        <v>156.78800000000001</v>
      </c>
      <c r="N53" s="532">
        <f>VLOOKUP($B53,F_Inputs!$B$4:$O$22,COLUMN()-1,FALSE)</f>
        <v>165.821</v>
      </c>
      <c r="O53" s="532">
        <f>VLOOKUP($B53,F_Inputs!$B$4:$O$22,COLUMN()-1,FALSE)</f>
        <v>174.38900000000001</v>
      </c>
      <c r="Y53" s="327"/>
      <c r="Z53" s="327"/>
      <c r="AA53" s="327"/>
      <c r="AB53" s="327"/>
      <c r="AC53" s="327"/>
      <c r="AD53" s="327"/>
      <c r="AE53" s="327"/>
      <c r="AF53" s="327"/>
      <c r="AG53" s="327"/>
      <c r="AH53" s="327"/>
    </row>
    <row r="54" spans="1:34">
      <c r="B54" s="276" t="s">
        <v>83</v>
      </c>
      <c r="C54" s="276" t="s">
        <v>91</v>
      </c>
      <c r="D54" s="276" t="s">
        <v>183</v>
      </c>
      <c r="E54" s="286" t="s">
        <v>182</v>
      </c>
      <c r="F54" s="277"/>
      <c r="G54" s="277"/>
      <c r="H54" s="277"/>
      <c r="I54" s="277">
        <f>VLOOKUP($B54,F_Inputs!$B$4:$O$22,COLUMN()-1,FALSE)</f>
        <v>292.30700000000002</v>
      </c>
      <c r="J54" s="277"/>
      <c r="K54" s="531">
        <f>VLOOKUP($B54,F_Inputs!$B$4:$O$22,COLUMN()-1,FALSE)</f>
        <v>269.91699999999997</v>
      </c>
      <c r="L54" s="532">
        <f>VLOOKUP($B54,F_Inputs!$B$4:$O$22,COLUMN()-1,FALSE)</f>
        <v>258.678</v>
      </c>
      <c r="M54" s="532">
        <f>VLOOKUP($B54,F_Inputs!$B$4:$O$22,COLUMN()-1,FALSE)</f>
        <v>247.46199999999999</v>
      </c>
      <c r="N54" s="532">
        <f>VLOOKUP($B54,F_Inputs!$B$4:$O$22,COLUMN()-1,FALSE)</f>
        <v>236.30699999999999</v>
      </c>
      <c r="O54" s="532">
        <f>VLOOKUP($B54,F_Inputs!$B$4:$O$22,COLUMN()-1,FALSE)</f>
        <v>225.24799999999999</v>
      </c>
      <c r="Y54" s="327"/>
      <c r="Z54" s="327"/>
      <c r="AA54" s="327"/>
      <c r="AB54" s="327"/>
      <c r="AC54" s="327"/>
      <c r="AD54" s="327"/>
      <c r="AE54" s="327"/>
      <c r="AF54" s="327"/>
      <c r="AG54" s="327"/>
      <c r="AH54" s="327"/>
    </row>
    <row r="55" spans="1:34">
      <c r="B55" s="276" t="s">
        <v>84</v>
      </c>
      <c r="C55" s="276" t="s">
        <v>92</v>
      </c>
      <c r="D55" s="276" t="s">
        <v>183</v>
      </c>
      <c r="E55" s="286" t="s">
        <v>182</v>
      </c>
      <c r="F55" s="277"/>
      <c r="G55" s="277"/>
      <c r="H55" s="277"/>
      <c r="I55" s="277">
        <f>VLOOKUP($B55,F_Inputs!$B$4:$O$22,COLUMN()-1,FALSE)</f>
        <v>505.98099999999999</v>
      </c>
      <c r="J55" s="277"/>
      <c r="K55" s="531">
        <f>VLOOKUP($B55,F_Inputs!$B$4:$O$22,COLUMN()-1,FALSE)</f>
        <v>537.95600000000002</v>
      </c>
      <c r="L55" s="532">
        <f>VLOOKUP($B55,F_Inputs!$B$4:$O$22,COLUMN()-1,FALSE)</f>
        <v>553.15099999999995</v>
      </c>
      <c r="M55" s="532">
        <f>VLOOKUP($B55,F_Inputs!$B$4:$O$22,COLUMN()-1,FALSE)</f>
        <v>568.71699999999998</v>
      </c>
      <c r="N55" s="532">
        <f>VLOOKUP($B55,F_Inputs!$B$4:$O$22,COLUMN()-1,FALSE)</f>
        <v>585.125</v>
      </c>
      <c r="O55" s="532">
        <f>VLOOKUP($B55,F_Inputs!$B$4:$O$22,COLUMN()-1,FALSE)</f>
        <v>602.60199999999998</v>
      </c>
      <c r="Y55" s="327"/>
      <c r="Z55" s="327"/>
      <c r="AA55" s="327"/>
      <c r="AB55" s="327"/>
      <c r="AC55" s="327"/>
      <c r="AD55" s="327"/>
      <c r="AE55" s="327"/>
      <c r="AF55" s="327"/>
      <c r="AG55" s="327"/>
      <c r="AH55" s="327"/>
    </row>
    <row r="56" spans="1:34">
      <c r="B56" s="276" t="s">
        <v>85</v>
      </c>
      <c r="C56" s="276" t="s">
        <v>93</v>
      </c>
      <c r="D56" s="276" t="s">
        <v>183</v>
      </c>
      <c r="E56" s="286" t="s">
        <v>182</v>
      </c>
      <c r="F56" s="277"/>
      <c r="G56" s="277"/>
      <c r="H56" s="277"/>
      <c r="I56" s="277">
        <f>VLOOKUP($B56,F_Inputs!$B$4:$O$22,COLUMN()-1,FALSE)</f>
        <v>369.65300000000002</v>
      </c>
      <c r="J56" s="277"/>
      <c r="K56" s="531">
        <f>VLOOKUP($B56,F_Inputs!$B$4:$O$22,COLUMN()-1,FALSE)</f>
        <v>296.858</v>
      </c>
      <c r="L56" s="532">
        <f>VLOOKUP($B56,F_Inputs!$B$4:$O$22,COLUMN()-1,FALSE)</f>
        <v>264.87700000000001</v>
      </c>
      <c r="M56" s="532">
        <f>VLOOKUP($B56,F_Inputs!$B$4:$O$22,COLUMN()-1,FALSE)</f>
        <v>233.91</v>
      </c>
      <c r="N56" s="532">
        <f>VLOOKUP($B56,F_Inputs!$B$4:$O$22,COLUMN()-1,FALSE)</f>
        <v>203.89099999999999</v>
      </c>
      <c r="O56" s="532">
        <f>VLOOKUP($B56,F_Inputs!$B$4:$O$22,COLUMN()-1,FALSE)</f>
        <v>176.89099999999999</v>
      </c>
      <c r="Y56" s="327"/>
      <c r="Z56" s="327"/>
      <c r="AA56" s="327"/>
      <c r="AB56" s="327"/>
      <c r="AC56" s="327"/>
      <c r="AD56" s="327"/>
      <c r="AE56" s="327"/>
      <c r="AF56" s="327"/>
      <c r="AG56" s="327"/>
      <c r="AH56" s="327"/>
    </row>
    <row r="57" spans="1:34">
      <c r="B57" s="276" t="s">
        <v>86</v>
      </c>
      <c r="C57" s="276" t="s">
        <v>94</v>
      </c>
      <c r="D57" s="276" t="s">
        <v>183</v>
      </c>
      <c r="E57" s="286" t="s">
        <v>182</v>
      </c>
      <c r="F57" s="277"/>
      <c r="G57" s="277"/>
      <c r="H57" s="277"/>
      <c r="I57" s="277">
        <f>VLOOKUP($B57,F_Inputs!$B$4:$O$22,COLUMN()-1,FALSE)</f>
        <v>1314.7380000000001</v>
      </c>
      <c r="J57" s="277"/>
      <c r="K57" s="531">
        <f>VLOOKUP($B57,F_Inputs!$B$4:$O$22,COLUMN()-1,FALSE)</f>
        <v>1417.4880000000001</v>
      </c>
      <c r="L57" s="532">
        <f>VLOOKUP($B57,F_Inputs!$B$4:$O$22,COLUMN()-1,FALSE)</f>
        <v>1464.835</v>
      </c>
      <c r="M57" s="532">
        <f>VLOOKUP($B57,F_Inputs!$B$4:$O$22,COLUMN()-1,FALSE)</f>
        <v>1512.202</v>
      </c>
      <c r="N57" s="532">
        <f>VLOOKUP($B57,F_Inputs!$B$4:$O$22,COLUMN()-1,FALSE)</f>
        <v>1559.6489999999999</v>
      </c>
      <c r="O57" s="532">
        <f>VLOOKUP($B57,F_Inputs!$B$4:$O$22,COLUMN()-1,FALSE)</f>
        <v>1604.9960000000001</v>
      </c>
      <c r="Y57" s="327"/>
      <c r="Z57" s="327"/>
      <c r="AA57" s="327"/>
      <c r="AB57" s="327"/>
      <c r="AC57" s="327"/>
      <c r="AD57" s="327"/>
      <c r="AE57" s="327"/>
      <c r="AF57" s="327"/>
      <c r="AG57" s="327"/>
      <c r="AH57" s="327"/>
    </row>
    <row r="58" spans="1:34">
      <c r="B58" s="276" t="s">
        <v>156</v>
      </c>
      <c r="C58" s="276" t="s">
        <v>157</v>
      </c>
      <c r="D58" s="276" t="s">
        <v>74</v>
      </c>
      <c r="E58" s="286" t="s">
        <v>182</v>
      </c>
      <c r="F58" s="277"/>
      <c r="G58" s="277"/>
      <c r="H58" s="277"/>
      <c r="I58" s="277">
        <f>I719</f>
        <v>1.72348213421129</v>
      </c>
      <c r="J58" s="277"/>
      <c r="K58" s="531">
        <f t="shared" ref="K58:O58" si="4">K719</f>
        <v>1.7176018468827143</v>
      </c>
      <c r="L58" s="532">
        <f t="shared" si="4"/>
        <v>1.7176018468827143</v>
      </c>
      <c r="M58" s="532">
        <f t="shared" si="4"/>
        <v>1.7176018468827143</v>
      </c>
      <c r="N58" s="532">
        <f t="shared" si="4"/>
        <v>1.7176018468827143</v>
      </c>
      <c r="O58" s="532">
        <f t="shared" si="4"/>
        <v>1.7176018468827143</v>
      </c>
      <c r="Y58" s="327"/>
      <c r="Z58" s="327"/>
      <c r="AA58" s="327"/>
      <c r="AB58" s="327"/>
      <c r="AC58" s="327"/>
      <c r="AD58" s="327"/>
      <c r="AE58" s="327"/>
      <c r="AF58" s="327"/>
      <c r="AG58" s="327"/>
      <c r="AH58" s="327"/>
    </row>
    <row r="59" spans="1:34">
      <c r="B59" s="276" t="s">
        <v>159</v>
      </c>
      <c r="C59" s="276" t="s">
        <v>158</v>
      </c>
      <c r="D59" s="276" t="s">
        <v>74</v>
      </c>
      <c r="E59" s="286" t="s">
        <v>182</v>
      </c>
      <c r="F59" s="277"/>
      <c r="G59" s="277"/>
      <c r="H59" s="277"/>
      <c r="I59" s="277">
        <f>VLOOKUP($B59,F_Inputs!$B$4:$O$22,COLUMN()-1,FALSE)</f>
        <v>0</v>
      </c>
      <c r="J59" s="277"/>
      <c r="K59" s="531">
        <f>VLOOKUP($B59,F_Inputs!$B$4:$O$22,COLUMN()-1,FALSE)</f>
        <v>0</v>
      </c>
      <c r="L59" s="532">
        <f>VLOOKUP($B59,F_Inputs!$B$4:$O$22,COLUMN()-1,FALSE)</f>
        <v>0</v>
      </c>
      <c r="M59" s="532">
        <f>VLOOKUP($B59,F_Inputs!$B$4:$O$22,COLUMN()-1,FALSE)</f>
        <v>0</v>
      </c>
      <c r="N59" s="532">
        <f>VLOOKUP($B59,F_Inputs!$B$4:$O$22,COLUMN()-1,FALSE)</f>
        <v>0</v>
      </c>
      <c r="O59" s="532">
        <f>VLOOKUP($B59,F_Inputs!$B$4:$O$22,COLUMN()-1,FALSE)</f>
        <v>0</v>
      </c>
      <c r="Y59" s="327"/>
      <c r="Z59" s="327"/>
      <c r="AA59" s="327"/>
      <c r="AB59" s="327"/>
      <c r="AC59" s="327"/>
      <c r="AD59" s="327"/>
      <c r="AE59" s="327"/>
      <c r="AF59" s="327"/>
      <c r="AG59" s="327"/>
      <c r="AH59" s="327"/>
    </row>
    <row r="60" spans="1:34">
      <c r="A60" s="276" t="s">
        <v>216</v>
      </c>
      <c r="B60" s="276" t="s">
        <v>78</v>
      </c>
      <c r="C60" s="276" t="s">
        <v>132</v>
      </c>
      <c r="D60" s="276" t="s">
        <v>74</v>
      </c>
      <c r="E60" s="286" t="s">
        <v>182</v>
      </c>
      <c r="F60" s="277"/>
      <c r="G60" s="277"/>
      <c r="H60" s="277"/>
      <c r="I60" s="277">
        <f>VLOOKUP($B60,F_Inputs!$B$23:$O$41,COLUMN()-1,FALSE)+'New cost and adjustments inputs'!I28+I726</f>
        <v>43.209284948659466</v>
      </c>
      <c r="J60" s="277"/>
      <c r="K60" s="531">
        <f>VLOOKUP($B60,F_Inputs!$B$23:$O$41,COLUMN()-1,FALSE)+'New cost and adjustments inputs'!K28+K726</f>
        <v>43.091180195978644</v>
      </c>
      <c r="L60" s="532">
        <f>VLOOKUP($B60,F_Inputs!$B$23:$O$41,COLUMN()-1,FALSE)+'New cost and adjustments inputs'!L28+L726</f>
        <v>41.839406072456995</v>
      </c>
      <c r="M60" s="532">
        <f>VLOOKUP($B60,F_Inputs!$B$23:$O$41,COLUMN()-1,FALSE)+'New cost and adjustments inputs'!M28+M726</f>
        <v>40.925862648057517</v>
      </c>
      <c r="N60" s="532">
        <f>VLOOKUP($B60,F_Inputs!$B$23:$O$41,COLUMN()-1,FALSE)+'New cost and adjustments inputs'!N28+N726</f>
        <v>40.006681291848302</v>
      </c>
      <c r="O60" s="532">
        <f>VLOOKUP($B60,F_Inputs!$B$23:$O$41,COLUMN()-1,FALSE)+'New cost and adjustments inputs'!O28+O726</f>
        <v>40.105968350484446</v>
      </c>
      <c r="Y60" s="327"/>
      <c r="Z60" s="327"/>
      <c r="AA60" s="327"/>
      <c r="AB60" s="327"/>
      <c r="AC60" s="327"/>
      <c r="AD60" s="327"/>
      <c r="AE60" s="327"/>
      <c r="AF60" s="327"/>
      <c r="AG60" s="327"/>
      <c r="AH60" s="327"/>
    </row>
    <row r="61" spans="1:34">
      <c r="B61" s="276" t="s">
        <v>97</v>
      </c>
      <c r="C61" s="276" t="s">
        <v>99</v>
      </c>
      <c r="D61" s="276" t="s">
        <v>74</v>
      </c>
      <c r="E61" s="286" t="s">
        <v>182</v>
      </c>
      <c r="F61" s="277">
        <f>F8</f>
        <v>0.365516805255102</v>
      </c>
      <c r="G61" s="277">
        <f t="shared" ref="G61:K61" si="5">G8</f>
        <v>0.64764164477887198</v>
      </c>
      <c r="H61" s="277">
        <f t="shared" si="5"/>
        <v>0.96566178137640402</v>
      </c>
      <c r="I61" s="277">
        <f t="shared" si="5"/>
        <v>1.33449578469868</v>
      </c>
      <c r="K61" s="531">
        <f t="shared" si="5"/>
        <v>3.4449999999999998</v>
      </c>
      <c r="L61" s="532">
        <f t="shared" ref="L61:O61" si="6">L8</f>
        <v>3.3249999999999997</v>
      </c>
      <c r="M61" s="532">
        <f t="shared" si="6"/>
        <v>3.1399999999999997</v>
      </c>
      <c r="N61" s="532">
        <f t="shared" si="6"/>
        <v>3.0619999999999998</v>
      </c>
      <c r="O61" s="532">
        <f t="shared" si="6"/>
        <v>3.0569999999999999</v>
      </c>
    </row>
    <row r="62" spans="1:34">
      <c r="B62" s="276" t="s">
        <v>98</v>
      </c>
      <c r="C62" s="276" t="s">
        <v>100</v>
      </c>
      <c r="D62" s="276" t="s">
        <v>74</v>
      </c>
      <c r="E62" s="286" t="s">
        <v>182</v>
      </c>
      <c r="F62" s="277">
        <f>F9</f>
        <v>0</v>
      </c>
      <c r="G62" s="277">
        <f t="shared" ref="G62:K62" si="7">G9</f>
        <v>0</v>
      </c>
      <c r="H62" s="277">
        <f t="shared" si="7"/>
        <v>0</v>
      </c>
      <c r="I62" s="277">
        <f t="shared" si="7"/>
        <v>0</v>
      </c>
      <c r="K62" s="531">
        <f t="shared" si="7"/>
        <v>0.71499999999999997</v>
      </c>
      <c r="L62" s="532">
        <f t="shared" ref="L62:O62" si="8">L9</f>
        <v>1.1539999999999999</v>
      </c>
      <c r="M62" s="532">
        <f t="shared" si="8"/>
        <v>1.323</v>
      </c>
      <c r="N62" s="532">
        <f t="shared" si="8"/>
        <v>1.44</v>
      </c>
      <c r="O62" s="532">
        <f t="shared" si="8"/>
        <v>1.518</v>
      </c>
    </row>
    <row r="63" spans="1:34">
      <c r="B63" s="276" t="s">
        <v>79</v>
      </c>
      <c r="C63" s="276" t="s">
        <v>135</v>
      </c>
      <c r="D63" s="276" t="s">
        <v>74</v>
      </c>
      <c r="E63" s="286" t="s">
        <v>182</v>
      </c>
      <c r="F63" s="277"/>
      <c r="G63" s="277"/>
      <c r="H63" s="277"/>
      <c r="I63" s="277">
        <f>VLOOKUP($B49,F_Inputs!$B$23:$O$41,COLUMN()-1,FALSE)</f>
        <v>0.198427353824771</v>
      </c>
      <c r="J63" s="277"/>
      <c r="K63" s="531">
        <f>VLOOKUP($B49,F_Inputs!$B$23:$O$41,COLUMN()-1,FALSE)</f>
        <v>0.19491902768104499</v>
      </c>
      <c r="L63" s="532">
        <f>VLOOKUP($B49,F_Inputs!$B$23:$O$41,COLUMN()-1,FALSE)</f>
        <v>0.19067109228056001</v>
      </c>
      <c r="M63" s="532">
        <f>VLOOKUP($B49,F_Inputs!$B$23:$O$41,COLUMN()-1,FALSE)</f>
        <v>0.18655714310794899</v>
      </c>
      <c r="N63" s="532">
        <f>VLOOKUP($B49,F_Inputs!$B$23:$O$41,COLUMN()-1,FALSE)</f>
        <v>0.180530259288192</v>
      </c>
      <c r="O63" s="532">
        <f>VLOOKUP($B49,F_Inputs!$B$23:$O$41,COLUMN()-1,FALSE)</f>
        <v>0.17976193074299099</v>
      </c>
    </row>
    <row r="64" spans="1:34">
      <c r="B64" s="276" t="s">
        <v>80</v>
      </c>
      <c r="C64" s="276" t="s">
        <v>136</v>
      </c>
      <c r="D64" s="276" t="s">
        <v>74</v>
      </c>
      <c r="E64" s="286" t="s">
        <v>182</v>
      </c>
      <c r="F64" s="277"/>
      <c r="G64" s="277"/>
      <c r="H64" s="277"/>
      <c r="I64" s="277">
        <f>VLOOKUP($B50,F_Inputs!$B$23:$O$41,COLUMN()-1,FALSE)</f>
        <v>0.52993991546752595</v>
      </c>
      <c r="J64" s="277"/>
      <c r="K64" s="531">
        <f>VLOOKUP($B50,F_Inputs!$B$23:$O$41,COLUMN()-1,FALSE)</f>
        <v>0.50136537389750502</v>
      </c>
      <c r="L64" s="532">
        <f>VLOOKUP($B50,F_Inputs!$B$23:$O$41,COLUMN()-1,FALSE)</f>
        <v>0.48121629306153402</v>
      </c>
      <c r="M64" s="532">
        <f>VLOOKUP($B50,F_Inputs!$B$23:$O$41,COLUMN()-1,FALSE)</f>
        <v>0.46071542144418098</v>
      </c>
      <c r="N64" s="532">
        <f>VLOOKUP($B50,F_Inputs!$B$23:$O$41,COLUMN()-1,FALSE)</f>
        <v>0.437806690250999</v>
      </c>
      <c r="O64" s="532">
        <f>VLOOKUP($B50,F_Inputs!$B$23:$O$41,COLUMN()-1,FALSE)</f>
        <v>0.42931107480178898</v>
      </c>
    </row>
    <row r="65" spans="1:16">
      <c r="B65" s="276" t="s">
        <v>81</v>
      </c>
      <c r="C65" s="276" t="s">
        <v>137</v>
      </c>
      <c r="D65" s="276" t="s">
        <v>74</v>
      </c>
      <c r="E65" s="286" t="s">
        <v>182</v>
      </c>
      <c r="F65" s="277"/>
      <c r="G65" s="277"/>
      <c r="H65" s="277"/>
      <c r="I65" s="277">
        <f>VLOOKUP($B51,F_Inputs!$B$23:$O$41,COLUMN()-1,FALSE)</f>
        <v>3.4520869511939698</v>
      </c>
      <c r="J65" s="277"/>
      <c r="K65" s="531">
        <f>VLOOKUP($B51,F_Inputs!$B$23:$O$41,COLUMN()-1,FALSE)</f>
        <v>3.5272188092294501</v>
      </c>
      <c r="L65" s="532">
        <f>VLOOKUP($B51,F_Inputs!$B$23:$O$41,COLUMN()-1,FALSE)</f>
        <v>3.5027972262938101</v>
      </c>
      <c r="M65" s="532">
        <f>VLOOKUP($B51,F_Inputs!$B$23:$O$41,COLUMN()-1,FALSE)</f>
        <v>3.4665277348141501</v>
      </c>
      <c r="N65" s="532">
        <f>VLOOKUP($B51,F_Inputs!$B$23:$O$41,COLUMN()-1,FALSE)</f>
        <v>3.3982281717454201</v>
      </c>
      <c r="O65" s="532">
        <f>VLOOKUP($B51,F_Inputs!$B$23:$O$41,COLUMN()-1,FALSE)</f>
        <v>3.4202144016843001</v>
      </c>
    </row>
    <row r="66" spans="1:16">
      <c r="B66" s="276" t="s">
        <v>82</v>
      </c>
      <c r="C66" s="276" t="s">
        <v>89</v>
      </c>
      <c r="D66" s="276" t="s">
        <v>183</v>
      </c>
      <c r="E66" s="286" t="s">
        <v>182</v>
      </c>
      <c r="F66" s="277"/>
      <c r="G66" s="277"/>
      <c r="H66" s="277"/>
      <c r="I66" s="277">
        <f>VLOOKUP($B52,F_Inputs!$B$23:$O$41,COLUMN()-1,FALSE)</f>
        <v>54.045999999999999</v>
      </c>
      <c r="J66" s="277"/>
      <c r="K66" s="531">
        <f>VLOOKUP($B52,F_Inputs!$B$23:$O$41,COLUMN()-1,FALSE)</f>
        <v>53.197000000000003</v>
      </c>
      <c r="L66" s="532">
        <f>VLOOKUP($B52,F_Inputs!$B$23:$O$41,COLUMN()-1,FALSE)</f>
        <v>52.78</v>
      </c>
      <c r="M66" s="532">
        <f>VLOOKUP($B52,F_Inputs!$B$23:$O$41,COLUMN()-1,FALSE)</f>
        <v>52.375</v>
      </c>
      <c r="N66" s="532">
        <f>VLOOKUP($B52,F_Inputs!$B$23:$O$41,COLUMN()-1,FALSE)</f>
        <v>51.981000000000002</v>
      </c>
      <c r="O66" s="532">
        <f>VLOOKUP($B52,F_Inputs!$B$23:$O$41,COLUMN()-1,FALSE)</f>
        <v>51.595999999999997</v>
      </c>
    </row>
    <row r="67" spans="1:16">
      <c r="B67" s="276" t="s">
        <v>87</v>
      </c>
      <c r="C67" s="276" t="s">
        <v>90</v>
      </c>
      <c r="D67" s="276" t="s">
        <v>183</v>
      </c>
      <c r="E67" s="286" t="s">
        <v>182</v>
      </c>
      <c r="F67" s="277"/>
      <c r="G67" s="277"/>
      <c r="H67" s="277"/>
      <c r="I67" s="277">
        <f>VLOOKUP($B53,F_Inputs!$B$23:$O$41,COLUMN()-1,FALSE)</f>
        <v>24.497</v>
      </c>
      <c r="J67" s="277"/>
      <c r="K67" s="531">
        <f>VLOOKUP($B53,F_Inputs!$B$23:$O$41,COLUMN()-1,FALSE)</f>
        <v>26.146000000000001</v>
      </c>
      <c r="L67" s="532">
        <f>VLOOKUP($B53,F_Inputs!$B$23:$O$41,COLUMN()-1,FALSE)</f>
        <v>26.99</v>
      </c>
      <c r="M67" s="532">
        <f>VLOOKUP($B53,F_Inputs!$B$23:$O$41,COLUMN()-1,FALSE)</f>
        <v>27.847999999999999</v>
      </c>
      <c r="N67" s="532">
        <f>VLOOKUP($B53,F_Inputs!$B$23:$O$41,COLUMN()-1,FALSE)</f>
        <v>28.722000000000001</v>
      </c>
      <c r="O67" s="532">
        <f>VLOOKUP($B53,F_Inputs!$B$23:$O$41,COLUMN()-1,FALSE)</f>
        <v>29.614000000000001</v>
      </c>
    </row>
    <row r="68" spans="1:16">
      <c r="B68" s="276" t="s">
        <v>83</v>
      </c>
      <c r="C68" s="276" t="s">
        <v>91</v>
      </c>
      <c r="D68" s="276" t="s">
        <v>183</v>
      </c>
      <c r="E68" s="286" t="s">
        <v>182</v>
      </c>
      <c r="F68" s="277"/>
      <c r="G68" s="277"/>
      <c r="H68" s="277"/>
      <c r="I68" s="277">
        <f>VLOOKUP($B54,F_Inputs!$B$23:$O$41,COLUMN()-1,FALSE)</f>
        <v>59.167999999999999</v>
      </c>
      <c r="J68" s="277"/>
      <c r="K68" s="531">
        <f>VLOOKUP($B54,F_Inputs!$B$23:$O$41,COLUMN()-1,FALSE)</f>
        <v>58.319000000000003</v>
      </c>
      <c r="L68" s="532">
        <f>VLOOKUP($B54,F_Inputs!$B$23:$O$41,COLUMN()-1,FALSE)</f>
        <v>57.902000000000001</v>
      </c>
      <c r="M68" s="532">
        <f>VLOOKUP($B54,F_Inputs!$B$23:$O$41,COLUMN()-1,FALSE)</f>
        <v>57.497</v>
      </c>
      <c r="N68" s="532">
        <f>VLOOKUP($B54,F_Inputs!$B$23:$O$41,COLUMN()-1,FALSE)</f>
        <v>57.103000000000002</v>
      </c>
      <c r="O68" s="532">
        <f>VLOOKUP($B54,F_Inputs!$B$23:$O$41,COLUMN()-1,FALSE)</f>
        <v>56.718000000000004</v>
      </c>
    </row>
    <row r="69" spans="1:16">
      <c r="B69" s="276" t="s">
        <v>84</v>
      </c>
      <c r="C69" s="276" t="s">
        <v>92</v>
      </c>
      <c r="D69" s="276" t="s">
        <v>183</v>
      </c>
      <c r="E69" s="286" t="s">
        <v>182</v>
      </c>
      <c r="F69" s="277"/>
      <c r="G69" s="277"/>
      <c r="H69" s="277"/>
      <c r="I69" s="277">
        <f>VLOOKUP($B55,F_Inputs!$B$23:$O$41,COLUMN()-1,FALSE)</f>
        <v>65.512</v>
      </c>
      <c r="J69" s="277"/>
      <c r="K69" s="531">
        <f>VLOOKUP($B55,F_Inputs!$B$23:$O$41,COLUMN()-1,FALSE)</f>
        <v>67.161000000000001</v>
      </c>
      <c r="L69" s="532">
        <f>VLOOKUP($B55,F_Inputs!$B$23:$O$41,COLUMN()-1,FALSE)</f>
        <v>68.004999999999995</v>
      </c>
      <c r="M69" s="532">
        <f>VLOOKUP($B55,F_Inputs!$B$23:$O$41,COLUMN()-1,FALSE)</f>
        <v>68.863</v>
      </c>
      <c r="N69" s="532">
        <f>VLOOKUP($B55,F_Inputs!$B$23:$O$41,COLUMN()-1,FALSE)</f>
        <v>69.736999999999995</v>
      </c>
      <c r="O69" s="532">
        <f>VLOOKUP($B55,F_Inputs!$B$23:$O$41,COLUMN()-1,FALSE)</f>
        <v>70.629000000000005</v>
      </c>
    </row>
    <row r="70" spans="1:16">
      <c r="B70" s="276" t="s">
        <v>85</v>
      </c>
      <c r="C70" s="276" t="s">
        <v>93</v>
      </c>
      <c r="D70" s="276" t="s">
        <v>183</v>
      </c>
      <c r="E70" s="286" t="s">
        <v>182</v>
      </c>
      <c r="F70" s="277"/>
      <c r="G70" s="277"/>
      <c r="H70" s="277"/>
      <c r="I70" s="277">
        <f>VLOOKUP($B56,F_Inputs!$B$23:$O$41,COLUMN()-1,FALSE)</f>
        <v>723.71</v>
      </c>
      <c r="J70" s="277"/>
      <c r="K70" s="531">
        <f>VLOOKUP($B56,F_Inputs!$B$23:$O$41,COLUMN()-1,FALSE)</f>
        <v>688.87300000000005</v>
      </c>
      <c r="L70" s="532">
        <f>VLOOKUP($B56,F_Inputs!$B$23:$O$41,COLUMN()-1,FALSE)</f>
        <v>671.755</v>
      </c>
      <c r="M70" s="532">
        <f>VLOOKUP($B56,F_Inputs!$B$23:$O$41,COLUMN()-1,FALSE)</f>
        <v>655.08000000000004</v>
      </c>
      <c r="N70" s="532">
        <f>VLOOKUP($B56,F_Inputs!$B$23:$O$41,COLUMN()-1,FALSE)</f>
        <v>638.83500000000004</v>
      </c>
      <c r="O70" s="532">
        <f>VLOOKUP($B56,F_Inputs!$B$23:$O$41,COLUMN()-1,FALSE)</f>
        <v>623.00900000000001</v>
      </c>
    </row>
    <row r="71" spans="1:16">
      <c r="B71" s="276" t="s">
        <v>86</v>
      </c>
      <c r="C71" s="276" t="s">
        <v>94</v>
      </c>
      <c r="D71" s="276" t="s">
        <v>183</v>
      </c>
      <c r="E71" s="286" t="s">
        <v>182</v>
      </c>
      <c r="F71" s="277"/>
      <c r="G71" s="277"/>
      <c r="H71" s="277"/>
      <c r="I71" s="277">
        <f>VLOOKUP($B57,F_Inputs!$B$23:$O$41,COLUMN()-1,FALSE)</f>
        <v>427.11799999999999</v>
      </c>
      <c r="J71" s="277"/>
      <c r="K71" s="531">
        <f>VLOOKUP($B57,F_Inputs!$B$23:$O$41,COLUMN()-1,FALSE)</f>
        <v>472.58300000000003</v>
      </c>
      <c r="L71" s="532">
        <f>VLOOKUP($B57,F_Inputs!$B$23:$O$41,COLUMN()-1,FALSE)</f>
        <v>495.37</v>
      </c>
      <c r="M71" s="532">
        <f>VLOOKUP($B57,F_Inputs!$B$23:$O$41,COLUMN()-1,FALSE)</f>
        <v>518.07000000000005</v>
      </c>
      <c r="N71" s="532">
        <f>VLOOKUP($B57,F_Inputs!$B$23:$O$41,COLUMN()-1,FALSE)</f>
        <v>540.69299999999998</v>
      </c>
      <c r="O71" s="532">
        <f>VLOOKUP($B57,F_Inputs!$B$23:$O$41,COLUMN()-1,FALSE)</f>
        <v>563.25199999999995</v>
      </c>
    </row>
    <row r="72" spans="1:16">
      <c r="B72" s="276" t="s">
        <v>156</v>
      </c>
      <c r="C72" s="276" t="s">
        <v>157</v>
      </c>
      <c r="D72" s="276" t="s">
        <v>74</v>
      </c>
      <c r="E72" s="286" t="s">
        <v>182</v>
      </c>
      <c r="F72" s="277"/>
      <c r="G72" s="277"/>
      <c r="H72" s="277"/>
      <c r="I72" s="277">
        <f>I725</f>
        <v>10.31124231344524</v>
      </c>
      <c r="J72" s="277"/>
      <c r="K72" s="531">
        <f t="shared" ref="K72:O72" si="9">K725</f>
        <v>9.7217609657333064</v>
      </c>
      <c r="L72" s="532">
        <f t="shared" si="9"/>
        <v>9.2412381138137434</v>
      </c>
      <c r="M72" s="532">
        <f t="shared" si="9"/>
        <v>8.7835098937705336</v>
      </c>
      <c r="N72" s="532">
        <f t="shared" si="9"/>
        <v>8.3494259374800226</v>
      </c>
      <c r="O72" s="532">
        <f t="shared" si="9"/>
        <v>7.937046179004037</v>
      </c>
      <c r="P72" s="277"/>
    </row>
    <row r="73" spans="1:16">
      <c r="B73" s="276" t="s">
        <v>159</v>
      </c>
      <c r="C73" s="276" t="s">
        <v>158</v>
      </c>
      <c r="D73" s="276" t="s">
        <v>74</v>
      </c>
      <c r="E73" s="286" t="s">
        <v>182</v>
      </c>
      <c r="F73" s="277"/>
      <c r="G73" s="277"/>
      <c r="H73" s="277"/>
      <c r="I73" s="277">
        <f>VLOOKUP($B59,F_Inputs!$B$23:$O$41,COLUMN()-1,FALSE)</f>
        <v>0</v>
      </c>
      <c r="J73" s="277"/>
      <c r="K73" s="531">
        <f>VLOOKUP($B59,F_Inputs!$B$23:$O$41,COLUMN()-1,FALSE)</f>
        <v>0</v>
      </c>
      <c r="L73" s="532">
        <f>VLOOKUP($B59,F_Inputs!$B$23:$O$41,COLUMN()-1,FALSE)</f>
        <v>0</v>
      </c>
      <c r="M73" s="532">
        <f>VLOOKUP($B59,F_Inputs!$B$23:$O$41,COLUMN()-1,FALSE)</f>
        <v>0</v>
      </c>
      <c r="N73" s="532">
        <f>VLOOKUP($B59,F_Inputs!$B$23:$O$41,COLUMN()-1,FALSE)</f>
        <v>0</v>
      </c>
      <c r="O73" s="532">
        <f>VLOOKUP($B59,F_Inputs!$B$23:$O$41,COLUMN()-1,FALSE)</f>
        <v>0</v>
      </c>
    </row>
    <row r="74" spans="1:16">
      <c r="A74" s="276" t="s">
        <v>217</v>
      </c>
      <c r="B74" s="276" t="s">
        <v>78</v>
      </c>
      <c r="C74" s="276" t="s">
        <v>132</v>
      </c>
      <c r="D74" s="276" t="s">
        <v>74</v>
      </c>
      <c r="E74" s="286" t="s">
        <v>182</v>
      </c>
      <c r="F74" s="277"/>
      <c r="G74" s="277"/>
      <c r="H74" s="277"/>
      <c r="I74" s="277">
        <f>VLOOKUP($B74,F_Inputs!$B$42:$O$60,COLUMN()-1,FALSE)+'New cost and adjustments inputs'!I29+I732</f>
        <v>44.055104115146428</v>
      </c>
      <c r="J74" s="277"/>
      <c r="K74" s="531">
        <f>VLOOKUP($B74,F_Inputs!$B$42:$O$60,COLUMN()-1,FALSE)+'New cost and adjustments inputs'!K29+K732</f>
        <v>45.296088338545431</v>
      </c>
      <c r="L74" s="532">
        <f>VLOOKUP($B74,F_Inputs!$B$42:$O$60,COLUMN()-1,FALSE)+'New cost and adjustments inputs'!L29+L732</f>
        <v>45.718989676418133</v>
      </c>
      <c r="M74" s="532">
        <f>VLOOKUP($B74,F_Inputs!$B$42:$O$60,COLUMN()-1,FALSE)+'New cost and adjustments inputs'!M29+M732</f>
        <v>46.148889381584333</v>
      </c>
      <c r="N74" s="532">
        <f>VLOOKUP($B74,F_Inputs!$B$42:$O$60,COLUMN()-1,FALSE)+'New cost and adjustments inputs'!N29+N732</f>
        <v>46.58478768728763</v>
      </c>
      <c r="O74" s="532">
        <f>VLOOKUP($B74,F_Inputs!$B$42:$O$60,COLUMN()-1,FALSE)+'New cost and adjustments inputs'!O29+O732</f>
        <v>47.025684826772029</v>
      </c>
      <c r="P74" s="277"/>
    </row>
    <row r="75" spans="1:16">
      <c r="B75" s="276" t="s">
        <v>97</v>
      </c>
      <c r="C75" s="276" t="s">
        <v>99</v>
      </c>
      <c r="D75" s="276" t="s">
        <v>74</v>
      </c>
      <c r="E75" s="286" t="s">
        <v>182</v>
      </c>
      <c r="F75" s="277">
        <f>F10</f>
        <v>1.9730835845916141</v>
      </c>
      <c r="G75" s="277">
        <f t="shared" ref="G75:K75" si="10">G10</f>
        <v>2.1023545780648489</v>
      </c>
      <c r="H75" s="277">
        <f t="shared" si="10"/>
        <v>2.3521489037988648</v>
      </c>
      <c r="I75" s="277">
        <f t="shared" si="10"/>
        <v>2.8148029857031069</v>
      </c>
      <c r="K75" s="531">
        <f t="shared" si="10"/>
        <v>2.5504292246149651</v>
      </c>
      <c r="L75" s="532">
        <f t="shared" ref="L75:O75" si="11">L10</f>
        <v>2.2112143620423272</v>
      </c>
      <c r="M75" s="532">
        <f t="shared" si="11"/>
        <v>1.8049340968407046</v>
      </c>
      <c r="N75" s="532">
        <f t="shared" si="11"/>
        <v>1.4385042882736896</v>
      </c>
      <c r="O75" s="532">
        <f t="shared" si="11"/>
        <v>1.3131211442282107</v>
      </c>
    </row>
    <row r="76" spans="1:16">
      <c r="B76" s="276" t="s">
        <v>98</v>
      </c>
      <c r="C76" s="276" t="s">
        <v>100</v>
      </c>
      <c r="D76" s="276" t="s">
        <v>74</v>
      </c>
      <c r="E76" s="286" t="s">
        <v>182</v>
      </c>
      <c r="F76" s="277">
        <f>F11</f>
        <v>0</v>
      </c>
      <c r="G76" s="277">
        <f t="shared" ref="G76:K76" si="12">G11</f>
        <v>0</v>
      </c>
      <c r="H76" s="277">
        <f t="shared" si="12"/>
        <v>0</v>
      </c>
      <c r="I76" s="277">
        <f t="shared" si="12"/>
        <v>0</v>
      </c>
      <c r="K76" s="531">
        <f t="shared" si="12"/>
        <v>0.97585020636944741</v>
      </c>
      <c r="L76" s="532">
        <f t="shared" ref="L76:O76" si="13">L11</f>
        <v>1.563887432319166</v>
      </c>
      <c r="M76" s="532">
        <f t="shared" si="13"/>
        <v>2.2345414586089252</v>
      </c>
      <c r="N76" s="532">
        <f t="shared" si="13"/>
        <v>2.7555132819296628</v>
      </c>
      <c r="O76" s="532">
        <f t="shared" si="13"/>
        <v>3.3309149972391348</v>
      </c>
    </row>
    <row r="77" spans="1:16">
      <c r="B77" s="276" t="s">
        <v>79</v>
      </c>
      <c r="C77" s="276" t="s">
        <v>135</v>
      </c>
      <c r="D77" s="276" t="s">
        <v>74</v>
      </c>
      <c r="E77" s="286" t="s">
        <v>182</v>
      </c>
      <c r="F77" s="277"/>
      <c r="G77" s="277"/>
      <c r="H77" s="277"/>
      <c r="I77" s="277">
        <f>VLOOKUP($B77,F_Inputs!$B$42:$O$60,COLUMN()-1,FALSE)</f>
        <v>1.01958851243182</v>
      </c>
      <c r="J77" s="277"/>
      <c r="K77" s="531">
        <f>VLOOKUP($B77,F_Inputs!$B$42:$O$60,COLUMN()-1,FALSE)</f>
        <v>1.1022053127718701</v>
      </c>
      <c r="L77" s="532">
        <f>VLOOKUP($B77,F_Inputs!$B$42:$O$60,COLUMN()-1,FALSE)</f>
        <v>1.1449716564773</v>
      </c>
      <c r="M77" s="532">
        <f>VLOOKUP($B77,F_Inputs!$B$42:$O$60,COLUMN()-1,FALSE)</f>
        <v>1.1896819248966199</v>
      </c>
      <c r="N77" s="532">
        <f>VLOOKUP($B77,F_Inputs!$B$42:$O$60,COLUMN()-1,FALSE)</f>
        <v>1.2343921933159301</v>
      </c>
      <c r="O77" s="532">
        <f>VLOOKUP($B77,F_Inputs!$B$42:$O$60,COLUMN()-1,FALSE)</f>
        <v>1.27813049937831</v>
      </c>
    </row>
    <row r="78" spans="1:16">
      <c r="B78" s="276" t="s">
        <v>80</v>
      </c>
      <c r="C78" s="276" t="s">
        <v>136</v>
      </c>
      <c r="D78" s="276" t="s">
        <v>74</v>
      </c>
      <c r="E78" s="286" t="s">
        <v>182</v>
      </c>
      <c r="F78" s="277"/>
      <c r="G78" s="277"/>
      <c r="H78" s="277"/>
      <c r="I78" s="277">
        <f>VLOOKUP($B78,F_Inputs!$B$42:$O$60,COLUMN()-1,FALSE)</f>
        <v>8.0672875626159504E-2</v>
      </c>
      <c r="J78" s="277"/>
      <c r="K78" s="531">
        <f>VLOOKUP($B78,F_Inputs!$B$42:$O$60,COLUMN()-1,FALSE)</f>
        <v>9.1364461552517998E-2</v>
      </c>
      <c r="L78" s="532">
        <f>VLOOKUP($B78,F_Inputs!$B$42:$O$60,COLUMN()-1,FALSE)</f>
        <v>9.6224273337226399E-2</v>
      </c>
      <c r="M78" s="532">
        <f>VLOOKUP($B78,F_Inputs!$B$42:$O$60,COLUMN()-1,FALSE)</f>
        <v>0.10108408512193499</v>
      </c>
      <c r="N78" s="532">
        <f>VLOOKUP($B78,F_Inputs!$B$42:$O$60,COLUMN()-1,FALSE)</f>
        <v>0.106915859263585</v>
      </c>
      <c r="O78" s="532">
        <f>VLOOKUP($B78,F_Inputs!$B$42:$O$60,COLUMN()-1,FALSE)</f>
        <v>0.112747633405235</v>
      </c>
    </row>
    <row r="79" spans="1:16">
      <c r="B79" s="276" t="s">
        <v>81</v>
      </c>
      <c r="C79" s="276" t="s">
        <v>137</v>
      </c>
      <c r="D79" s="276" t="s">
        <v>74</v>
      </c>
      <c r="E79" s="286" t="s">
        <v>182</v>
      </c>
      <c r="F79" s="277"/>
      <c r="G79" s="277"/>
      <c r="H79" s="277"/>
      <c r="I79" s="277">
        <f>VLOOKUP($B79,F_Inputs!$B$42:$O$60,COLUMN()-1,FALSE)</f>
        <v>1.5493079969650401</v>
      </c>
      <c r="J79" s="277"/>
      <c r="K79" s="531">
        <f>VLOOKUP($B79,F_Inputs!$B$42:$O$60,COLUMN()-1,FALSE)</f>
        <v>1.7573079413505599</v>
      </c>
      <c r="L79" s="532">
        <f>VLOOKUP($B79,F_Inputs!$B$42:$O$60,COLUMN()-1,FALSE)</f>
        <v>1.8622798759002599</v>
      </c>
      <c r="M79" s="532">
        <f>VLOOKUP($B79,F_Inputs!$B$42:$O$60,COLUMN()-1,FALSE)</f>
        <v>1.9691957351638401</v>
      </c>
      <c r="N79" s="532">
        <f>VLOOKUP($B79,F_Inputs!$B$42:$O$60,COLUMN()-1,FALSE)</f>
        <v>2.0751396320704898</v>
      </c>
      <c r="O79" s="532">
        <f>VLOOKUP($B79,F_Inputs!$B$42:$O$60,COLUMN()-1,FALSE)</f>
        <v>2.18205549133407</v>
      </c>
    </row>
    <row r="80" spans="1:16">
      <c r="B80" s="276" t="s">
        <v>82</v>
      </c>
      <c r="C80" s="276" t="s">
        <v>89</v>
      </c>
      <c r="D80" s="276" t="s">
        <v>183</v>
      </c>
      <c r="E80" s="286" t="s">
        <v>182</v>
      </c>
      <c r="F80" s="277"/>
      <c r="G80" s="277"/>
      <c r="H80" s="277"/>
      <c r="I80" s="277">
        <f>VLOOKUP($B80,F_Inputs!$B$42:$O$60,COLUMN()-1,FALSE)</f>
        <v>328.83100000000002</v>
      </c>
      <c r="J80" s="277"/>
      <c r="K80" s="531">
        <f>VLOOKUP($B80,F_Inputs!$B$42:$O$60,COLUMN()-1,FALSE)</f>
        <v>304.31200000000001</v>
      </c>
      <c r="L80" s="532">
        <f>VLOOKUP($B80,F_Inputs!$B$42:$O$60,COLUMN()-1,FALSE)</f>
        <v>291.65899999999999</v>
      </c>
      <c r="M80" s="532">
        <f>VLOOKUP($B80,F_Inputs!$B$42:$O$60,COLUMN()-1,FALSE)</f>
        <v>278.53100000000001</v>
      </c>
      <c r="N80" s="532">
        <f>VLOOKUP($B80,F_Inputs!$B$42:$O$60,COLUMN()-1,FALSE)</f>
        <v>265.41000000000003</v>
      </c>
      <c r="O80" s="532">
        <f>VLOOKUP($B80,F_Inputs!$B$42:$O$60,COLUMN()-1,FALSE)</f>
        <v>252.82300000000001</v>
      </c>
    </row>
    <row r="81" spans="1:15">
      <c r="B81" s="276" t="s">
        <v>87</v>
      </c>
      <c r="C81" s="276" t="s">
        <v>90</v>
      </c>
      <c r="D81" s="276" t="s">
        <v>183</v>
      </c>
      <c r="E81" s="286" t="s">
        <v>182</v>
      </c>
      <c r="F81" s="277"/>
      <c r="G81" s="277"/>
      <c r="H81" s="277"/>
      <c r="I81" s="277">
        <f>VLOOKUP($B81,F_Inputs!$B$42:$O$60,COLUMN()-1,FALSE)</f>
        <v>395.48099999999999</v>
      </c>
      <c r="J81" s="277"/>
      <c r="K81" s="531">
        <f>VLOOKUP($B81,F_Inputs!$B$42:$O$60,COLUMN()-1,FALSE)</f>
        <v>427.69400000000002</v>
      </c>
      <c r="L81" s="532">
        <f>VLOOKUP($B81,F_Inputs!$B$42:$O$60,COLUMN()-1,FALSE)</f>
        <v>444.28300000000002</v>
      </c>
      <c r="M81" s="532">
        <f>VLOOKUP($B81,F_Inputs!$B$42:$O$60,COLUMN()-1,FALSE)</f>
        <v>461.40100000000001</v>
      </c>
      <c r="N81" s="532">
        <f>VLOOKUP($B81,F_Inputs!$B$42:$O$60,COLUMN()-1,FALSE)</f>
        <v>478.72699999999998</v>
      </c>
      <c r="O81" s="532">
        <f>VLOOKUP($B81,F_Inputs!$B$42:$O$60,COLUMN()-1,FALSE)</f>
        <v>495.71199999999999</v>
      </c>
    </row>
    <row r="82" spans="1:15">
      <c r="B82" s="276" t="s">
        <v>83</v>
      </c>
      <c r="C82" s="276" t="s">
        <v>91</v>
      </c>
      <c r="D82" s="276" t="s">
        <v>183</v>
      </c>
      <c r="E82" s="286" t="s">
        <v>182</v>
      </c>
      <c r="F82" s="277"/>
      <c r="G82" s="277"/>
      <c r="H82" s="277"/>
      <c r="I82" s="277">
        <f>VLOOKUP($B82,F_Inputs!$B$42:$O$60,COLUMN()-1,FALSE)</f>
        <v>35.195999999999998</v>
      </c>
      <c r="J82" s="277"/>
      <c r="K82" s="531">
        <f>VLOOKUP($B82,F_Inputs!$B$42:$O$60,COLUMN()-1,FALSE)</f>
        <v>33.731000000000002</v>
      </c>
      <c r="L82" s="532">
        <f>VLOOKUP($B82,F_Inputs!$B$42:$O$60,COLUMN()-1,FALSE)</f>
        <v>33.009</v>
      </c>
      <c r="M82" s="532">
        <f>VLOOKUP($B82,F_Inputs!$B$42:$O$60,COLUMN()-1,FALSE)</f>
        <v>32.286999999999999</v>
      </c>
      <c r="N82" s="532">
        <f>VLOOKUP($B82,F_Inputs!$B$42:$O$60,COLUMN()-1,FALSE)</f>
        <v>31.565000000000001</v>
      </c>
      <c r="O82" s="532">
        <f>VLOOKUP($B82,F_Inputs!$B$42:$O$60,COLUMN()-1,FALSE)</f>
        <v>30.843</v>
      </c>
    </row>
    <row r="83" spans="1:15">
      <c r="B83" s="276" t="s">
        <v>84</v>
      </c>
      <c r="C83" s="276" t="s">
        <v>92</v>
      </c>
      <c r="D83" s="276" t="s">
        <v>183</v>
      </c>
      <c r="E83" s="286" t="s">
        <v>182</v>
      </c>
      <c r="F83" s="277"/>
      <c r="G83" s="277"/>
      <c r="H83" s="277"/>
      <c r="I83" s="277">
        <f>VLOOKUP($B83,F_Inputs!$B$42:$O$60,COLUMN()-1,FALSE)</f>
        <v>31.207999999999998</v>
      </c>
      <c r="J83" s="277"/>
      <c r="K83" s="531">
        <f>VLOOKUP($B83,F_Inputs!$B$42:$O$60,COLUMN()-1,FALSE)</f>
        <v>35.267000000000003</v>
      </c>
      <c r="L83" s="532">
        <f>VLOOKUP($B83,F_Inputs!$B$42:$O$60,COLUMN()-1,FALSE)</f>
        <v>37.325000000000003</v>
      </c>
      <c r="M83" s="532">
        <f>VLOOKUP($B83,F_Inputs!$B$42:$O$60,COLUMN()-1,FALSE)</f>
        <v>39.396000000000001</v>
      </c>
      <c r="N83" s="532">
        <f>VLOOKUP($B83,F_Inputs!$B$42:$O$60,COLUMN()-1,FALSE)</f>
        <v>41.470999999999997</v>
      </c>
      <c r="O83" s="532">
        <f>VLOOKUP($B83,F_Inputs!$B$42:$O$60,COLUMN()-1,FALSE)</f>
        <v>43.557000000000002</v>
      </c>
    </row>
    <row r="84" spans="1:15">
      <c r="B84" s="276" t="s">
        <v>85</v>
      </c>
      <c r="C84" s="276" t="s">
        <v>93</v>
      </c>
      <c r="D84" s="276" t="s">
        <v>183</v>
      </c>
      <c r="E84" s="286" t="s">
        <v>182</v>
      </c>
      <c r="F84" s="277"/>
      <c r="G84" s="277"/>
      <c r="H84" s="277"/>
      <c r="I84" s="277">
        <f>VLOOKUP($B84,F_Inputs!$B$42:$O$60,COLUMN()-1,FALSE)</f>
        <v>752.673</v>
      </c>
      <c r="J84" s="277"/>
      <c r="K84" s="531">
        <f>VLOOKUP($B84,F_Inputs!$B$42:$O$60,COLUMN()-1,FALSE)</f>
        <v>721.72900000000004</v>
      </c>
      <c r="L84" s="532">
        <f>VLOOKUP($B84,F_Inputs!$B$42:$O$60,COLUMN()-1,FALSE)</f>
        <v>706.49400000000003</v>
      </c>
      <c r="M84" s="532">
        <f>VLOOKUP($B84,F_Inputs!$B$42:$O$60,COLUMN()-1,FALSE)</f>
        <v>691.25900000000001</v>
      </c>
      <c r="N84" s="532">
        <f>VLOOKUP($B84,F_Inputs!$B$42:$O$60,COLUMN()-1,FALSE)</f>
        <v>676.024</v>
      </c>
      <c r="O84" s="532">
        <f>VLOOKUP($B84,F_Inputs!$B$42:$O$60,COLUMN()-1,FALSE)</f>
        <v>660.78800000000001</v>
      </c>
    </row>
    <row r="85" spans="1:15">
      <c r="B85" s="276" t="s">
        <v>86</v>
      </c>
      <c r="C85" s="276" t="s">
        <v>94</v>
      </c>
      <c r="D85" s="276" t="s">
        <v>183</v>
      </c>
      <c r="E85" s="286" t="s">
        <v>182</v>
      </c>
      <c r="F85" s="277"/>
      <c r="G85" s="277"/>
      <c r="H85" s="277"/>
      <c r="I85" s="277">
        <f>VLOOKUP($B85,F_Inputs!$B$42:$O$60,COLUMN()-1,FALSE)</f>
        <v>300.45299999999997</v>
      </c>
      <c r="J85" s="277"/>
      <c r="K85" s="531">
        <f>VLOOKUP($B85,F_Inputs!$B$42:$O$60,COLUMN()-1,FALSE)</f>
        <v>340.822</v>
      </c>
      <c r="L85" s="532">
        <f>VLOOKUP($B85,F_Inputs!$B$42:$O$60,COLUMN()-1,FALSE)</f>
        <v>361.30500000000001</v>
      </c>
      <c r="M85" s="532">
        <f>VLOOKUP($B85,F_Inputs!$B$42:$O$60,COLUMN()-1,FALSE)</f>
        <v>381.92500000000001</v>
      </c>
      <c r="N85" s="532">
        <f>VLOOKUP($B85,F_Inputs!$B$42:$O$60,COLUMN()-1,FALSE)</f>
        <v>402.58</v>
      </c>
      <c r="O85" s="532">
        <f>VLOOKUP($B85,F_Inputs!$B$42:$O$60,COLUMN()-1,FALSE)</f>
        <v>423.358</v>
      </c>
    </row>
    <row r="86" spans="1:15">
      <c r="B86" s="276" t="s">
        <v>156</v>
      </c>
      <c r="C86" s="276" t="s">
        <v>157</v>
      </c>
      <c r="D86" s="276" t="s">
        <v>74</v>
      </c>
      <c r="E86" s="286" t="s">
        <v>182</v>
      </c>
      <c r="F86" s="277"/>
      <c r="G86" s="277"/>
      <c r="H86" s="277"/>
      <c r="I86" s="277">
        <f>I731</f>
        <v>3.0130793167372873</v>
      </c>
      <c r="J86" s="277"/>
      <c r="K86" s="531">
        <f t="shared" ref="K86:O86" si="14">K731</f>
        <v>3.5590107574764795</v>
      </c>
      <c r="L86" s="532">
        <f t="shared" si="14"/>
        <v>3.5590107574764795</v>
      </c>
      <c r="M86" s="532">
        <f t="shared" si="14"/>
        <v>3.5590107574764795</v>
      </c>
      <c r="N86" s="532">
        <f t="shared" si="14"/>
        <v>3.5590107574764795</v>
      </c>
      <c r="O86" s="532">
        <f t="shared" si="14"/>
        <v>3.5590107574764795</v>
      </c>
    </row>
    <row r="87" spans="1:15">
      <c r="B87" s="276" t="s">
        <v>159</v>
      </c>
      <c r="C87" s="276" t="s">
        <v>158</v>
      </c>
      <c r="D87" s="276" t="s">
        <v>74</v>
      </c>
      <c r="E87" s="286" t="s">
        <v>182</v>
      </c>
      <c r="F87" s="277"/>
      <c r="G87" s="277"/>
      <c r="H87" s="277"/>
      <c r="I87" s="277">
        <f>VLOOKUP($B87,F_Inputs!$B$42:$O$60,COLUMN()-1,FALSE)</f>
        <v>0</v>
      </c>
      <c r="J87" s="277"/>
      <c r="K87" s="531">
        <f>VLOOKUP($B87,F_Inputs!$B$42:$O$60,COLUMN()-1,FALSE)</f>
        <v>0</v>
      </c>
      <c r="L87" s="532">
        <f>VLOOKUP($B87,F_Inputs!$B$42:$O$60,COLUMN()-1,FALSE)</f>
        <v>0</v>
      </c>
      <c r="M87" s="532">
        <f>VLOOKUP($B87,F_Inputs!$B$42:$O$60,COLUMN()-1,FALSE)</f>
        <v>0</v>
      </c>
      <c r="N87" s="532">
        <f>VLOOKUP($B87,F_Inputs!$B$42:$O$60,COLUMN()-1,FALSE)</f>
        <v>0</v>
      </c>
      <c r="O87" s="532">
        <f>VLOOKUP($B87,F_Inputs!$B$42:$O$60,COLUMN()-1,FALSE)</f>
        <v>0</v>
      </c>
    </row>
    <row r="88" spans="1:15">
      <c r="A88" s="276" t="s">
        <v>218</v>
      </c>
      <c r="B88" s="276" t="s">
        <v>78</v>
      </c>
      <c r="C88" s="276" t="s">
        <v>132</v>
      </c>
      <c r="D88" s="276" t="s">
        <v>74</v>
      </c>
      <c r="E88" s="286" t="s">
        <v>182</v>
      </c>
      <c r="F88" s="277"/>
      <c r="G88" s="277"/>
      <c r="H88" s="277"/>
      <c r="I88" s="277">
        <f>VLOOKUP($B88,F_Inputs!$B$61:$O$79,COLUMN()-1,FALSE)+'New cost and adjustments inputs'!I30+I738</f>
        <v>92.097702089302359</v>
      </c>
      <c r="J88" s="277"/>
      <c r="K88" s="531">
        <f>VLOOKUP($B88,F_Inputs!$B$61:$O$79,COLUMN()-1,FALSE)+'New cost and adjustments inputs'!K30+K738</f>
        <v>98.053489509747834</v>
      </c>
      <c r="L88" s="532">
        <f>VLOOKUP($B88,F_Inputs!$B$61:$O$79,COLUMN()-1,FALSE)+'New cost and adjustments inputs'!L30+L738</f>
        <v>100.19474781462728</v>
      </c>
      <c r="M88" s="532">
        <f>VLOOKUP($B88,F_Inputs!$B$61:$O$79,COLUMN()-1,FALSE)+'New cost and adjustments inputs'!M30+M738</f>
        <v>102.32478290592992</v>
      </c>
      <c r="N88" s="532">
        <f>VLOOKUP($B88,F_Inputs!$B$61:$O$79,COLUMN()-1,FALSE)+'New cost and adjustments inputs'!N30+N738</f>
        <v>105.29929858963773</v>
      </c>
      <c r="O88" s="532">
        <f>VLOOKUP($B88,F_Inputs!$B$61:$O$79,COLUMN()-1,FALSE)+'New cost and adjustments inputs'!O30+O738</f>
        <v>108.57733891418361</v>
      </c>
    </row>
    <row r="89" spans="1:15">
      <c r="B89" s="276" t="s">
        <v>97</v>
      </c>
      <c r="C89" s="276" t="s">
        <v>99</v>
      </c>
      <c r="D89" s="276" t="s">
        <v>74</v>
      </c>
      <c r="E89" s="286" t="s">
        <v>182</v>
      </c>
      <c r="F89" s="277">
        <f>F12</f>
        <v>20.702770789194901</v>
      </c>
      <c r="G89" s="277">
        <f t="shared" ref="G89:K89" si="15">G12</f>
        <v>22.355104608050802</v>
      </c>
      <c r="H89" s="277">
        <f t="shared" si="15"/>
        <v>13.224302170150391</v>
      </c>
      <c r="I89" s="277">
        <f t="shared" si="15"/>
        <v>13.828333668474309</v>
      </c>
      <c r="K89" s="531">
        <f t="shared" si="15"/>
        <v>8.3536031877957395</v>
      </c>
      <c r="L89" s="532">
        <f t="shared" ref="L89:O89" si="16">L12</f>
        <v>5.6335636274567804</v>
      </c>
      <c r="M89" s="532">
        <f t="shared" si="16"/>
        <v>4.8980841812096099</v>
      </c>
      <c r="N89" s="532">
        <f t="shared" si="16"/>
        <v>3.9265854569158503</v>
      </c>
      <c r="O89" s="532">
        <f t="shared" si="16"/>
        <v>3.2718876994738402</v>
      </c>
    </row>
    <row r="90" spans="1:15">
      <c r="B90" s="276" t="s">
        <v>98</v>
      </c>
      <c r="C90" s="276" t="s">
        <v>100</v>
      </c>
      <c r="D90" s="276" t="s">
        <v>74</v>
      </c>
      <c r="E90" s="286" t="s">
        <v>182</v>
      </c>
      <c r="F90" s="277">
        <f>F13</f>
        <v>0</v>
      </c>
      <c r="G90" s="277">
        <f t="shared" ref="G90:K90" si="17">G13</f>
        <v>0</v>
      </c>
      <c r="H90" s="277">
        <f t="shared" si="17"/>
        <v>0</v>
      </c>
      <c r="I90" s="277">
        <f t="shared" si="17"/>
        <v>0</v>
      </c>
      <c r="K90" s="531">
        <f t="shared" si="17"/>
        <v>0.48643053279879822</v>
      </c>
      <c r="L90" s="532">
        <f t="shared" ref="L90:O90" si="18">L13</f>
        <v>1.5086743878745299</v>
      </c>
      <c r="M90" s="532">
        <f t="shared" si="18"/>
        <v>2.7992490226720159</v>
      </c>
      <c r="N90" s="532">
        <f t="shared" si="18"/>
        <v>4.5379626354587517</v>
      </c>
      <c r="O90" s="532">
        <f t="shared" si="18"/>
        <v>5.6307036398897239</v>
      </c>
    </row>
    <row r="91" spans="1:15">
      <c r="B91" s="276" t="s">
        <v>79</v>
      </c>
      <c r="C91" s="276" t="s">
        <v>135</v>
      </c>
      <c r="D91" s="276" t="s">
        <v>74</v>
      </c>
      <c r="E91" s="286" t="s">
        <v>182</v>
      </c>
      <c r="F91" s="277"/>
      <c r="G91" s="277"/>
      <c r="H91" s="277"/>
      <c r="I91" s="277">
        <f>VLOOKUP($B91,F_Inputs!$B$61:$O$79,COLUMN()-1,FALSE)</f>
        <v>0.791916751425077</v>
      </c>
      <c r="J91" s="277"/>
      <c r="K91" s="531">
        <f>VLOOKUP($B91,F_Inputs!$B$61:$O$79,COLUMN()-1,FALSE)</f>
        <v>0.79497634639068304</v>
      </c>
      <c r="L91" s="532">
        <f>VLOOKUP($B91,F_Inputs!$B$61:$O$79,COLUMN()-1,FALSE)</f>
        <v>0.80809378792995101</v>
      </c>
      <c r="M91" s="532">
        <f>VLOOKUP($B91,F_Inputs!$B$61:$O$79,COLUMN()-1,FALSE)</f>
        <v>0.82216489792728598</v>
      </c>
      <c r="N91" s="532">
        <f>VLOOKUP($B91,F_Inputs!$B$61:$O$79,COLUMN()-1,FALSE)</f>
        <v>0.86852745698713996</v>
      </c>
      <c r="O91" s="532">
        <f>VLOOKUP($B91,F_Inputs!$B$61:$O$79,COLUMN()-1,FALSE)</f>
        <v>0.92193395808182899</v>
      </c>
    </row>
    <row r="92" spans="1:15">
      <c r="B92" s="276" t="s">
        <v>80</v>
      </c>
      <c r="C92" s="276" t="s">
        <v>136</v>
      </c>
      <c r="D92" s="276" t="s">
        <v>74</v>
      </c>
      <c r="E92" s="286" t="s">
        <v>182</v>
      </c>
      <c r="F92" s="277"/>
      <c r="G92" s="277"/>
      <c r="H92" s="277"/>
      <c r="I92" s="277">
        <f>VLOOKUP($B92,F_Inputs!$B$61:$O$79,COLUMN()-1,FALSE)</f>
        <v>0.106927261543727</v>
      </c>
      <c r="J92" s="277"/>
      <c r="K92" s="531">
        <f>VLOOKUP($B92,F_Inputs!$B$61:$O$79,COLUMN()-1,FALSE)</f>
        <v>0.15665783907002701</v>
      </c>
      <c r="L92" s="532">
        <f>VLOOKUP($B92,F_Inputs!$B$61:$O$79,COLUMN()-1,FALSE)</f>
        <v>0.16198420559840801</v>
      </c>
      <c r="M92" s="532">
        <f>VLOOKUP($B92,F_Inputs!$B$61:$O$79,COLUMN()-1,FALSE)</f>
        <v>0.16765365279435199</v>
      </c>
      <c r="N92" s="532">
        <f>VLOOKUP($B92,F_Inputs!$B$61:$O$79,COLUMN()-1,FALSE)</f>
        <v>0.173186223336566</v>
      </c>
      <c r="O92" s="532">
        <f>VLOOKUP($B92,F_Inputs!$B$61:$O$79,COLUMN()-1,FALSE)</f>
        <v>0.17855499625999899</v>
      </c>
    </row>
    <row r="93" spans="1:15">
      <c r="B93" s="276" t="s">
        <v>81</v>
      </c>
      <c r="C93" s="276" t="s">
        <v>137</v>
      </c>
      <c r="D93" s="276" t="s">
        <v>74</v>
      </c>
      <c r="E93" s="286" t="s">
        <v>182</v>
      </c>
      <c r="F93" s="277"/>
      <c r="G93" s="277"/>
      <c r="H93" s="277"/>
      <c r="I93" s="277">
        <f>VLOOKUP($B93,F_Inputs!$B$61:$O$79,COLUMN()-1,FALSE)</f>
        <v>8.4747094172008293</v>
      </c>
      <c r="J93" s="277"/>
      <c r="K93" s="531">
        <f>VLOOKUP($B93,F_Inputs!$B$61:$O$79,COLUMN()-1,FALSE)</f>
        <v>8.5074517202537496</v>
      </c>
      <c r="L93" s="532">
        <f>VLOOKUP($B93,F_Inputs!$B$61:$O$79,COLUMN()-1,FALSE)</f>
        <v>8.6478282246557097</v>
      </c>
      <c r="M93" s="532">
        <f>VLOOKUP($B93,F_Inputs!$B$61:$O$79,COLUMN()-1,FALSE)</f>
        <v>8.7984104268762007</v>
      </c>
      <c r="N93" s="532">
        <f>VLOOKUP($B93,F_Inputs!$B$61:$O$79,COLUMN()-1,FALSE)</f>
        <v>9.2945600728623798</v>
      </c>
      <c r="O93" s="532">
        <f>VLOOKUP($B93,F_Inputs!$B$61:$O$79,COLUMN()-1,FALSE)</f>
        <v>9.8660905739566296</v>
      </c>
    </row>
    <row r="94" spans="1:15">
      <c r="B94" s="276" t="s">
        <v>82</v>
      </c>
      <c r="C94" s="276" t="s">
        <v>89</v>
      </c>
      <c r="D94" s="276" t="s">
        <v>183</v>
      </c>
      <c r="E94" s="286" t="s">
        <v>182</v>
      </c>
      <c r="F94" s="277"/>
      <c r="G94" s="277"/>
      <c r="H94" s="277"/>
      <c r="I94" s="277">
        <f>VLOOKUP($B94,F_Inputs!$B$61:$O$79,COLUMN()-1,FALSE)</f>
        <v>155.49700000000001</v>
      </c>
      <c r="J94" s="277"/>
      <c r="K94" s="531">
        <f>VLOOKUP($B94,F_Inputs!$B$61:$O$79,COLUMN()-1,FALSE)</f>
        <v>148.935</v>
      </c>
      <c r="L94" s="532">
        <f>VLOOKUP($B94,F_Inputs!$B$61:$O$79,COLUMN()-1,FALSE)</f>
        <v>145.66900000000001</v>
      </c>
      <c r="M94" s="532">
        <f>VLOOKUP($B94,F_Inputs!$B$61:$O$79,COLUMN()-1,FALSE)</f>
        <v>142.45599999999999</v>
      </c>
      <c r="N94" s="532">
        <f>VLOOKUP($B94,F_Inputs!$B$61:$O$79,COLUMN()-1,FALSE)</f>
        <v>139.298</v>
      </c>
      <c r="O94" s="532">
        <f>VLOOKUP($B94,F_Inputs!$B$61:$O$79,COLUMN()-1,FALSE)</f>
        <v>136.191</v>
      </c>
    </row>
    <row r="95" spans="1:15">
      <c r="B95" s="276" t="s">
        <v>87</v>
      </c>
      <c r="C95" s="276" t="s">
        <v>90</v>
      </c>
      <c r="D95" s="276" t="s">
        <v>183</v>
      </c>
      <c r="E95" s="286" t="s">
        <v>182</v>
      </c>
      <c r="F95" s="277"/>
      <c r="G95" s="277"/>
      <c r="H95" s="277"/>
      <c r="I95" s="277">
        <f>VLOOKUP($B95,F_Inputs!$B$61:$O$79,COLUMN()-1,FALSE)</f>
        <v>104.505</v>
      </c>
      <c r="J95" s="277"/>
      <c r="K95" s="531">
        <f>VLOOKUP($B95,F_Inputs!$B$61:$O$79,COLUMN()-1,FALSE)</f>
        <v>113.721</v>
      </c>
      <c r="L95" s="532">
        <f>VLOOKUP($B95,F_Inputs!$B$61:$O$79,COLUMN()-1,FALSE)</f>
        <v>118.38800000000001</v>
      </c>
      <c r="M95" s="532">
        <f>VLOOKUP($B95,F_Inputs!$B$61:$O$79,COLUMN()-1,FALSE)</f>
        <v>123.16200000000001</v>
      </c>
      <c r="N95" s="532">
        <f>VLOOKUP($B95,F_Inputs!$B$61:$O$79,COLUMN()-1,FALSE)</f>
        <v>128.04599999999999</v>
      </c>
      <c r="O95" s="532">
        <f>VLOOKUP($B95,F_Inputs!$B$61:$O$79,COLUMN()-1,FALSE)</f>
        <v>133.03899999999999</v>
      </c>
    </row>
    <row r="96" spans="1:15">
      <c r="B96" s="276" t="s">
        <v>83</v>
      </c>
      <c r="C96" s="276" t="s">
        <v>91</v>
      </c>
      <c r="D96" s="276" t="s">
        <v>183</v>
      </c>
      <c r="E96" s="286" t="s">
        <v>182</v>
      </c>
      <c r="F96" s="277"/>
      <c r="G96" s="277"/>
      <c r="H96" s="277"/>
      <c r="I96" s="277">
        <f>VLOOKUP($B96,F_Inputs!$B$61:$O$79,COLUMN()-1,FALSE)</f>
        <v>478.077</v>
      </c>
      <c r="J96" s="277"/>
      <c r="K96" s="531">
        <f>VLOOKUP($B96,F_Inputs!$B$61:$O$79,COLUMN()-1,FALSE)</f>
        <v>457.61399999999998</v>
      </c>
      <c r="L96" s="532">
        <f>VLOOKUP($B96,F_Inputs!$B$61:$O$79,COLUMN()-1,FALSE)</f>
        <v>448.42399999999998</v>
      </c>
      <c r="M96" s="532">
        <f>VLOOKUP($B96,F_Inputs!$B$61:$O$79,COLUMN()-1,FALSE)</f>
        <v>439.05799999999999</v>
      </c>
      <c r="N96" s="532">
        <f>VLOOKUP($B96,F_Inputs!$B$61:$O$79,COLUMN()-1,FALSE)</f>
        <v>429.61200000000002</v>
      </c>
      <c r="O96" s="532">
        <f>VLOOKUP($B96,F_Inputs!$B$61:$O$79,COLUMN()-1,FALSE)</f>
        <v>420.22300000000001</v>
      </c>
    </row>
    <row r="97" spans="1:15">
      <c r="B97" s="276" t="s">
        <v>84</v>
      </c>
      <c r="C97" s="276" t="s">
        <v>92</v>
      </c>
      <c r="D97" s="276" t="s">
        <v>183</v>
      </c>
      <c r="E97" s="286" t="s">
        <v>182</v>
      </c>
      <c r="F97" s="277"/>
      <c r="G97" s="277"/>
      <c r="H97" s="277"/>
      <c r="I97" s="277">
        <f>VLOOKUP($B97,F_Inputs!$B$61:$O$79,COLUMN()-1,FALSE)</f>
        <v>223.54300000000001</v>
      </c>
      <c r="J97" s="277"/>
      <c r="K97" s="531">
        <f>VLOOKUP($B97,F_Inputs!$B$61:$O$79,COLUMN()-1,FALSE)</f>
        <v>245.434</v>
      </c>
      <c r="L97" s="532">
        <f>VLOOKUP($B97,F_Inputs!$B$61:$O$79,COLUMN()-1,FALSE)</f>
        <v>256.99700000000001</v>
      </c>
      <c r="M97" s="532">
        <f>VLOOKUP($B97,F_Inputs!$B$61:$O$79,COLUMN()-1,FALSE)</f>
        <v>268.89</v>
      </c>
      <c r="N97" s="532">
        <f>VLOOKUP($B97,F_Inputs!$B$61:$O$79,COLUMN()-1,FALSE)</f>
        <v>281.012</v>
      </c>
      <c r="O97" s="532">
        <f>VLOOKUP($B97,F_Inputs!$B$61:$O$79,COLUMN()-1,FALSE)</f>
        <v>293.17200000000003</v>
      </c>
    </row>
    <row r="98" spans="1:15">
      <c r="B98" s="276" t="s">
        <v>85</v>
      </c>
      <c r="C98" s="276" t="s">
        <v>93</v>
      </c>
      <c r="D98" s="276" t="s">
        <v>183</v>
      </c>
      <c r="E98" s="286" t="s">
        <v>182</v>
      </c>
      <c r="F98" s="277"/>
      <c r="G98" s="277"/>
      <c r="H98" s="277"/>
      <c r="I98" s="277">
        <f>VLOOKUP($B98,F_Inputs!$B$61:$O$79,COLUMN()-1,FALSE)</f>
        <v>1768.6469999999999</v>
      </c>
      <c r="J98" s="277"/>
      <c r="K98" s="531">
        <f>VLOOKUP($B98,F_Inputs!$B$61:$O$79,COLUMN()-1,FALSE)</f>
        <v>1690.922</v>
      </c>
      <c r="L98" s="532">
        <f>VLOOKUP($B98,F_Inputs!$B$61:$O$79,COLUMN()-1,FALSE)</f>
        <v>1653.8330000000001</v>
      </c>
      <c r="M98" s="532">
        <f>VLOOKUP($B98,F_Inputs!$B$61:$O$79,COLUMN()-1,FALSE)</f>
        <v>1617.3630000000001</v>
      </c>
      <c r="N98" s="532">
        <f>VLOOKUP($B98,F_Inputs!$B$61:$O$79,COLUMN()-1,FALSE)</f>
        <v>1581.5</v>
      </c>
      <c r="O98" s="532">
        <f>VLOOKUP($B98,F_Inputs!$B$61:$O$79,COLUMN()-1,FALSE)</f>
        <v>1546.2339999999999</v>
      </c>
    </row>
    <row r="99" spans="1:15">
      <c r="B99" s="276" t="s">
        <v>86</v>
      </c>
      <c r="C99" s="276" t="s">
        <v>94</v>
      </c>
      <c r="D99" s="276" t="s">
        <v>183</v>
      </c>
      <c r="E99" s="286" t="s">
        <v>182</v>
      </c>
      <c r="F99" s="277"/>
      <c r="G99" s="277"/>
      <c r="H99" s="277"/>
      <c r="I99" s="277">
        <f>VLOOKUP($B99,F_Inputs!$B$61:$O$79,COLUMN()-1,FALSE)</f>
        <v>1118.6849999999999</v>
      </c>
      <c r="J99" s="277"/>
      <c r="K99" s="531">
        <f>VLOOKUP($B99,F_Inputs!$B$61:$O$79,COLUMN()-1,FALSE)</f>
        <v>1216.989</v>
      </c>
      <c r="L99" s="532">
        <f>VLOOKUP($B99,F_Inputs!$B$61:$O$79,COLUMN()-1,FALSE)</f>
        <v>1266.9280000000001</v>
      </c>
      <c r="M99" s="532">
        <f>VLOOKUP($B99,F_Inputs!$B$61:$O$79,COLUMN()-1,FALSE)</f>
        <v>1318.0219999999999</v>
      </c>
      <c r="N99" s="532">
        <f>VLOOKUP($B99,F_Inputs!$B$61:$O$79,COLUMN()-1,FALSE)</f>
        <v>1370.2819999999999</v>
      </c>
      <c r="O99" s="532">
        <f>VLOOKUP($B99,F_Inputs!$B$61:$O$79,COLUMN()-1,FALSE)</f>
        <v>1423.7190000000001</v>
      </c>
    </row>
    <row r="100" spans="1:15">
      <c r="B100" s="276" t="s">
        <v>156</v>
      </c>
      <c r="C100" s="276" t="s">
        <v>157</v>
      </c>
      <c r="D100" s="276" t="s">
        <v>74</v>
      </c>
      <c r="E100" s="286" t="s">
        <v>182</v>
      </c>
      <c r="F100" s="277"/>
      <c r="G100" s="277"/>
      <c r="H100" s="277"/>
      <c r="I100" s="277">
        <f>I737</f>
        <v>0.75155692918620498</v>
      </c>
      <c r="J100" s="277"/>
      <c r="K100" s="531">
        <f t="shared" ref="K100:O100" si="19">K737</f>
        <v>0.78641324815506974</v>
      </c>
      <c r="L100" s="532">
        <f t="shared" si="19"/>
        <v>0.78641324815506974</v>
      </c>
      <c r="M100" s="532">
        <f t="shared" si="19"/>
        <v>0.78641324815506974</v>
      </c>
      <c r="N100" s="532">
        <f t="shared" si="19"/>
        <v>0.78641324815506974</v>
      </c>
      <c r="O100" s="532">
        <f t="shared" si="19"/>
        <v>0.78641324815506974</v>
      </c>
    </row>
    <row r="101" spans="1:15">
      <c r="B101" s="276" t="s">
        <v>159</v>
      </c>
      <c r="C101" s="276" t="s">
        <v>158</v>
      </c>
      <c r="D101" s="276" t="s">
        <v>74</v>
      </c>
      <c r="E101" s="286" t="s">
        <v>182</v>
      </c>
      <c r="F101" s="277"/>
      <c r="G101" s="277"/>
      <c r="H101" s="277"/>
      <c r="I101" s="277">
        <f>VLOOKUP($B101,F_Inputs!$B$61:$O$79,COLUMN()-1,FALSE)</f>
        <v>0</v>
      </c>
      <c r="J101" s="277"/>
      <c r="K101" s="531">
        <f>VLOOKUP($B101,F_Inputs!$B$61:$O$79,COLUMN()-1,FALSE)</f>
        <v>0.236645130527294</v>
      </c>
      <c r="L101" s="532">
        <f>VLOOKUP($B101,F_Inputs!$B$61:$O$79,COLUMN()-1,FALSE)</f>
        <v>0.74598648143025303</v>
      </c>
      <c r="M101" s="532">
        <f>VLOOKUP($B101,F_Inputs!$B$61:$O$79,COLUMN()-1,FALSE)</f>
        <v>1.1361871485702599</v>
      </c>
      <c r="N101" s="532">
        <f>VLOOKUP($B101,F_Inputs!$B$61:$O$79,COLUMN()-1,FALSE)</f>
        <v>1.3321029674834</v>
      </c>
      <c r="O101" s="532">
        <f>VLOOKUP($B101,F_Inputs!$B$61:$O$79,COLUMN()-1,FALSE)</f>
        <v>1.2682467921609899</v>
      </c>
    </row>
    <row r="102" spans="1:15">
      <c r="A102" s="276" t="s">
        <v>47</v>
      </c>
      <c r="B102" s="276" t="s">
        <v>78</v>
      </c>
      <c r="C102" s="276" t="s">
        <v>132</v>
      </c>
      <c r="D102" s="276" t="s">
        <v>74</v>
      </c>
      <c r="E102" s="286" t="s">
        <v>182</v>
      </c>
      <c r="F102" s="277"/>
      <c r="G102" s="277"/>
      <c r="H102" s="277"/>
      <c r="I102" s="277">
        <f>VLOOKUP($B46,F_Inputs!$B$80:$O$98,COLUMN()-1,FALSE)+'New cost and adjustments inputs'!I31+I744</f>
        <v>21.615020292637702</v>
      </c>
      <c r="J102" s="277"/>
      <c r="K102" s="531">
        <f>VLOOKUP($B46,F_Inputs!$B$80:$O$98,COLUMN()-1,FALSE)+'New cost and adjustments inputs'!K31+K744</f>
        <v>19.744417174258427</v>
      </c>
      <c r="L102" s="532">
        <f>VLOOKUP($B46,F_Inputs!$B$80:$O$98,COLUMN()-1,FALSE)+'New cost and adjustments inputs'!L31+L744</f>
        <v>19.843557203389825</v>
      </c>
      <c r="M102" s="532">
        <f>VLOOKUP($B46,F_Inputs!$B$80:$O$98,COLUMN()-1,FALSE)+'New cost and adjustments inputs'!M31+M744</f>
        <v>19.907706634004228</v>
      </c>
      <c r="N102" s="532">
        <f>VLOOKUP($B46,F_Inputs!$B$80:$O$98,COLUMN()-1,FALSE)+'New cost and adjustments inputs'!N31+N744</f>
        <v>19.932005660752125</v>
      </c>
      <c r="O102" s="532">
        <f>VLOOKUP($B46,F_Inputs!$B$80:$O$98,COLUMN()-1,FALSE)+'New cost and adjustments inputs'!O31+O744</f>
        <v>19.935893505031725</v>
      </c>
    </row>
    <row r="103" spans="1:15">
      <c r="B103" s="276" t="s">
        <v>97</v>
      </c>
      <c r="C103" s="276" t="s">
        <v>99</v>
      </c>
      <c r="D103" s="276" t="s">
        <v>74</v>
      </c>
      <c r="E103" s="286" t="s">
        <v>182</v>
      </c>
      <c r="F103" s="277">
        <f>F14</f>
        <v>2.67386490333686</v>
      </c>
      <c r="G103" s="277">
        <f t="shared" ref="G103:K103" si="20">G14</f>
        <v>2.7973039592161002</v>
      </c>
      <c r="H103" s="277">
        <f t="shared" si="20"/>
        <v>3.1238828787076298</v>
      </c>
      <c r="I103" s="277">
        <f t="shared" si="20"/>
        <v>3.1705370100635601</v>
      </c>
      <c r="K103" s="531">
        <f t="shared" si="20"/>
        <v>1.9478099841101699</v>
      </c>
      <c r="L103" s="532">
        <f t="shared" ref="L103:O103" si="21">L14</f>
        <v>1.36074549788136</v>
      </c>
      <c r="M103" s="532">
        <f t="shared" si="21"/>
        <v>1.1585775953389801</v>
      </c>
      <c r="N103" s="532">
        <f t="shared" si="21"/>
        <v>0.95446577065677995</v>
      </c>
      <c r="O103" s="532">
        <f t="shared" si="21"/>
        <v>0.54721408236228797</v>
      </c>
    </row>
    <row r="104" spans="1:15">
      <c r="B104" s="276" t="s">
        <v>98</v>
      </c>
      <c r="C104" s="276" t="s">
        <v>100</v>
      </c>
      <c r="D104" s="276" t="s">
        <v>74</v>
      </c>
      <c r="E104" s="286" t="s">
        <v>182</v>
      </c>
      <c r="F104" s="277">
        <f>F15</f>
        <v>0</v>
      </c>
      <c r="G104" s="277">
        <f t="shared" ref="G104:K104" si="22">G15</f>
        <v>0</v>
      </c>
      <c r="H104" s="277">
        <f t="shared" si="22"/>
        <v>0</v>
      </c>
      <c r="I104" s="277">
        <f t="shared" si="22"/>
        <v>0</v>
      </c>
      <c r="K104" s="531">
        <f t="shared" si="22"/>
        <v>0.132186705508475</v>
      </c>
      <c r="L104" s="532">
        <f t="shared" ref="L104:O104" si="23">L15</f>
        <v>0.42183110434322002</v>
      </c>
      <c r="M104" s="532">
        <f t="shared" si="23"/>
        <v>0.68134471001059305</v>
      </c>
      <c r="N104" s="532">
        <f t="shared" si="23"/>
        <v>0.89128830111228796</v>
      </c>
      <c r="O104" s="532">
        <f t="shared" si="23"/>
        <v>1.08470855402542</v>
      </c>
    </row>
    <row r="105" spans="1:15">
      <c r="B105" s="276" t="s">
        <v>79</v>
      </c>
      <c r="C105" s="276" t="s">
        <v>135</v>
      </c>
      <c r="D105" s="276" t="s">
        <v>74</v>
      </c>
      <c r="E105" s="286" t="s">
        <v>182</v>
      </c>
      <c r="F105" s="277"/>
      <c r="G105" s="277"/>
      <c r="H105" s="277"/>
      <c r="I105" s="277">
        <f>VLOOKUP($B49,F_Inputs!$B$80:$O$98,COLUMN()-1,FALSE)</f>
        <v>7.8728846663135593E-2</v>
      </c>
      <c r="J105" s="277"/>
      <c r="K105" s="531">
        <f>VLOOKUP($B49,F_Inputs!$B$80:$O$98,COLUMN()-1,FALSE)</f>
        <v>8.1644729872881405E-2</v>
      </c>
      <c r="L105" s="532">
        <f>VLOOKUP($B49,F_Inputs!$B$80:$O$98,COLUMN()-1,FALSE)</f>
        <v>8.5532574152542395E-2</v>
      </c>
      <c r="M105" s="532">
        <f>VLOOKUP($B49,F_Inputs!$B$80:$O$98,COLUMN()-1,FALSE)</f>
        <v>9.0392379502118606E-2</v>
      </c>
      <c r="N105" s="532">
        <f>VLOOKUP($B49,F_Inputs!$B$80:$O$98,COLUMN()-1,FALSE)</f>
        <v>9.4280223781779707E-2</v>
      </c>
      <c r="O105" s="532">
        <f>VLOOKUP($B49,F_Inputs!$B$80:$O$98,COLUMN()-1,FALSE)</f>
        <v>9.4280223781779707E-2</v>
      </c>
    </row>
    <row r="106" spans="1:15">
      <c r="B106" s="276" t="s">
        <v>80</v>
      </c>
      <c r="C106" s="276" t="s">
        <v>136</v>
      </c>
      <c r="D106" s="276" t="s">
        <v>74</v>
      </c>
      <c r="E106" s="286" t="s">
        <v>182</v>
      </c>
      <c r="F106" s="277"/>
      <c r="G106" s="277"/>
      <c r="H106" s="277"/>
      <c r="I106" s="277">
        <f>VLOOKUP($B50,F_Inputs!$B$80:$O$98,COLUMN()-1,FALSE)</f>
        <v>0</v>
      </c>
      <c r="J106" s="277"/>
      <c r="K106" s="531">
        <f>VLOOKUP($B50,F_Inputs!$B$80:$O$98,COLUMN()-1,FALSE)</f>
        <v>0</v>
      </c>
      <c r="L106" s="532">
        <f>VLOOKUP($B50,F_Inputs!$B$80:$O$98,COLUMN()-1,FALSE)</f>
        <v>0</v>
      </c>
      <c r="M106" s="532">
        <f>VLOOKUP($B50,F_Inputs!$B$80:$O$98,COLUMN()-1,FALSE)</f>
        <v>0</v>
      </c>
      <c r="N106" s="532">
        <f>VLOOKUP($B50,F_Inputs!$B$80:$O$98,COLUMN()-1,FALSE)</f>
        <v>0</v>
      </c>
      <c r="O106" s="532">
        <f>VLOOKUP($B50,F_Inputs!$B$80:$O$98,COLUMN()-1,FALSE)</f>
        <v>0</v>
      </c>
    </row>
    <row r="107" spans="1:15">
      <c r="B107" s="276" t="s">
        <v>81</v>
      </c>
      <c r="C107" s="276" t="s">
        <v>137</v>
      </c>
      <c r="D107" s="276" t="s">
        <v>74</v>
      </c>
      <c r="E107" s="286" t="s">
        <v>182</v>
      </c>
      <c r="F107" s="277"/>
      <c r="G107" s="277"/>
      <c r="H107" s="277"/>
      <c r="I107" s="277">
        <f>VLOOKUP($B51,F_Inputs!$B$80:$O$98,COLUMN()-1,FALSE)</f>
        <v>1.5298667240466099</v>
      </c>
      <c r="J107" s="277"/>
      <c r="K107" s="531">
        <f>VLOOKUP($B51,F_Inputs!$B$80:$O$98,COLUMN()-1,FALSE)</f>
        <v>1.54444614009534</v>
      </c>
      <c r="L107" s="532">
        <f>VLOOKUP($B51,F_Inputs!$B$80:$O$98,COLUMN()-1,FALSE)</f>
        <v>1.5852685050317801</v>
      </c>
      <c r="M107" s="532">
        <f>VLOOKUP($B51,F_Inputs!$B$80:$O$98,COLUMN()-1,FALSE)</f>
        <v>1.6231749867584699</v>
      </c>
      <c r="N107" s="532">
        <f>VLOOKUP($B51,F_Inputs!$B$80:$O$98,COLUMN()-1,FALSE)</f>
        <v>1.6591375463453399</v>
      </c>
      <c r="O107" s="532">
        <f>VLOOKUP($B51,F_Inputs!$B$80:$O$98,COLUMN()-1,FALSE)</f>
        <v>1.6591375463453399</v>
      </c>
    </row>
    <row r="108" spans="1:15">
      <c r="B108" s="276" t="s">
        <v>82</v>
      </c>
      <c r="C108" s="276" t="s">
        <v>89</v>
      </c>
      <c r="D108" s="276" t="s">
        <v>183</v>
      </c>
      <c r="E108" s="286" t="s">
        <v>182</v>
      </c>
      <c r="F108" s="277"/>
      <c r="G108" s="277"/>
      <c r="H108" s="277"/>
      <c r="I108" s="277">
        <f>VLOOKUP($B52,F_Inputs!$B$80:$O$98,COLUMN()-1,FALSE)</f>
        <v>32.115000000000002</v>
      </c>
      <c r="J108" s="277"/>
      <c r="K108" s="531">
        <f>VLOOKUP($B52,F_Inputs!$B$80:$O$98,COLUMN()-1,FALSE)</f>
        <v>30.221</v>
      </c>
      <c r="L108" s="532">
        <f>VLOOKUP($B52,F_Inputs!$B$80:$O$98,COLUMN()-1,FALSE)</f>
        <v>29.224</v>
      </c>
      <c r="M108" s="532">
        <f>VLOOKUP($B52,F_Inputs!$B$80:$O$98,COLUMN()-1,FALSE)</f>
        <v>28.206</v>
      </c>
      <c r="N108" s="532">
        <f>VLOOKUP($B52,F_Inputs!$B$80:$O$98,COLUMN()-1,FALSE)</f>
        <v>27.18</v>
      </c>
      <c r="O108" s="532">
        <f>VLOOKUP($B52,F_Inputs!$B$80:$O$98,COLUMN()-1,FALSE)</f>
        <v>26.161000000000001</v>
      </c>
    </row>
    <row r="109" spans="1:15">
      <c r="B109" s="276" t="s">
        <v>87</v>
      </c>
      <c r="C109" s="276" t="s">
        <v>90</v>
      </c>
      <c r="D109" s="276" t="s">
        <v>183</v>
      </c>
      <c r="E109" s="286" t="s">
        <v>182</v>
      </c>
      <c r="F109" s="277"/>
      <c r="G109" s="277"/>
      <c r="H109" s="277"/>
      <c r="I109" s="277">
        <f>VLOOKUP($B53,F_Inputs!$B$80:$O$98,COLUMN()-1,FALSE)</f>
        <v>27.384</v>
      </c>
      <c r="J109" s="277"/>
      <c r="K109" s="531">
        <f>VLOOKUP($B53,F_Inputs!$B$80:$O$98,COLUMN()-1,FALSE)</f>
        <v>30.388000000000002</v>
      </c>
      <c r="L109" s="532">
        <f>VLOOKUP($B53,F_Inputs!$B$80:$O$98,COLUMN()-1,FALSE)</f>
        <v>31.841999999999999</v>
      </c>
      <c r="M109" s="532">
        <f>VLOOKUP($B53,F_Inputs!$B$80:$O$98,COLUMN()-1,FALSE)</f>
        <v>33.317</v>
      </c>
      <c r="N109" s="532">
        <f>VLOOKUP($B53,F_Inputs!$B$80:$O$98,COLUMN()-1,FALSE)</f>
        <v>34.787999999999997</v>
      </c>
      <c r="O109" s="532">
        <f>VLOOKUP($B53,F_Inputs!$B$80:$O$98,COLUMN()-1,FALSE)</f>
        <v>36.26</v>
      </c>
    </row>
    <row r="110" spans="1:15">
      <c r="B110" s="276" t="s">
        <v>83</v>
      </c>
      <c r="C110" s="276" t="s">
        <v>91</v>
      </c>
      <c r="D110" s="276" t="s">
        <v>183</v>
      </c>
      <c r="E110" s="286" t="s">
        <v>182</v>
      </c>
      <c r="F110" s="277"/>
      <c r="G110" s="277"/>
      <c r="H110" s="277"/>
      <c r="I110" s="277">
        <f>VLOOKUP($B54,F_Inputs!$B$80:$O$98,COLUMN()-1,FALSE)</f>
        <v>2.512</v>
      </c>
      <c r="J110" s="277"/>
      <c r="K110" s="531">
        <f>VLOOKUP($B54,F_Inputs!$B$80:$O$98,COLUMN()-1,FALSE)</f>
        <v>2.4390000000000001</v>
      </c>
      <c r="L110" s="532">
        <f>VLOOKUP($B54,F_Inputs!$B$80:$O$98,COLUMN()-1,FALSE)</f>
        <v>2.395</v>
      </c>
      <c r="M110" s="532">
        <f>VLOOKUP($B54,F_Inputs!$B$80:$O$98,COLUMN()-1,FALSE)</f>
        <v>2.3559999999999999</v>
      </c>
      <c r="N110" s="532">
        <f>VLOOKUP($B54,F_Inputs!$B$80:$O$98,COLUMN()-1,FALSE)</f>
        <v>2.3220000000000001</v>
      </c>
      <c r="O110" s="532">
        <f>VLOOKUP($B54,F_Inputs!$B$80:$O$98,COLUMN()-1,FALSE)</f>
        <v>2.2919999999999998</v>
      </c>
    </row>
    <row r="111" spans="1:15">
      <c r="B111" s="276" t="s">
        <v>84</v>
      </c>
      <c r="C111" s="276" t="s">
        <v>92</v>
      </c>
      <c r="D111" s="276" t="s">
        <v>183</v>
      </c>
      <c r="E111" s="286" t="s">
        <v>182</v>
      </c>
      <c r="F111" s="277"/>
      <c r="G111" s="277"/>
      <c r="H111" s="277"/>
      <c r="I111" s="277">
        <f>VLOOKUP($B55,F_Inputs!$B$80:$O$98,COLUMN()-1,FALSE)</f>
        <v>2.089</v>
      </c>
      <c r="J111" s="277"/>
      <c r="K111" s="531">
        <f>VLOOKUP($B55,F_Inputs!$B$80:$O$98,COLUMN()-1,FALSE)</f>
        <v>2.2360000000000002</v>
      </c>
      <c r="L111" s="532">
        <f>VLOOKUP($B55,F_Inputs!$B$80:$O$98,COLUMN()-1,FALSE)</f>
        <v>2.2989999999999999</v>
      </c>
      <c r="M111" s="532">
        <f>VLOOKUP($B55,F_Inputs!$B$80:$O$98,COLUMN()-1,FALSE)</f>
        <v>2.3570000000000002</v>
      </c>
      <c r="N111" s="532">
        <f>VLOOKUP($B55,F_Inputs!$B$80:$O$98,COLUMN()-1,FALSE)</f>
        <v>2.41</v>
      </c>
      <c r="O111" s="532">
        <f>VLOOKUP($B55,F_Inputs!$B$80:$O$98,COLUMN()-1,FALSE)</f>
        <v>2.4590000000000001</v>
      </c>
    </row>
    <row r="112" spans="1:15">
      <c r="B112" s="276" t="s">
        <v>85</v>
      </c>
      <c r="C112" s="276" t="s">
        <v>93</v>
      </c>
      <c r="D112" s="276" t="s">
        <v>183</v>
      </c>
      <c r="E112" s="286" t="s">
        <v>182</v>
      </c>
      <c r="F112" s="277"/>
      <c r="G112" s="277"/>
      <c r="H112" s="277"/>
      <c r="I112" s="277">
        <f>VLOOKUP($B56,F_Inputs!$B$80:$O$98,COLUMN()-1,FALSE)</f>
        <v>137.31</v>
      </c>
      <c r="J112" s="277"/>
      <c r="K112" s="531">
        <f>VLOOKUP($B56,F_Inputs!$B$80:$O$98,COLUMN()-1,FALSE)</f>
        <v>120.35599999999999</v>
      </c>
      <c r="L112" s="532">
        <f>VLOOKUP($B56,F_Inputs!$B$80:$O$98,COLUMN()-1,FALSE)</f>
        <v>112.687</v>
      </c>
      <c r="M112" s="532">
        <f>VLOOKUP($B56,F_Inputs!$B$80:$O$98,COLUMN()-1,FALSE)</f>
        <v>105.905</v>
      </c>
      <c r="N112" s="532">
        <f>VLOOKUP($B56,F_Inputs!$B$80:$O$98,COLUMN()-1,FALSE)</f>
        <v>99.906999999999996</v>
      </c>
      <c r="O112" s="532">
        <f>VLOOKUP($B56,F_Inputs!$B$80:$O$98,COLUMN()-1,FALSE)</f>
        <v>94.605000000000004</v>
      </c>
    </row>
    <row r="113" spans="1:15">
      <c r="B113" s="276" t="s">
        <v>86</v>
      </c>
      <c r="C113" s="276" t="s">
        <v>94</v>
      </c>
      <c r="D113" s="276" t="s">
        <v>183</v>
      </c>
      <c r="E113" s="286" t="s">
        <v>182</v>
      </c>
      <c r="F113" s="277"/>
      <c r="G113" s="277"/>
      <c r="H113" s="277"/>
      <c r="I113" s="277">
        <f>VLOOKUP($B57,F_Inputs!$B$80:$O$98,COLUMN()-1,FALSE)</f>
        <v>514.22400000000005</v>
      </c>
      <c r="J113" s="277"/>
      <c r="K113" s="531">
        <f>VLOOKUP($B57,F_Inputs!$B$80:$O$98,COLUMN()-1,FALSE)</f>
        <v>541.63400000000001</v>
      </c>
      <c r="L113" s="532">
        <f>VLOOKUP($B57,F_Inputs!$B$80:$O$98,COLUMN()-1,FALSE)</f>
        <v>555.29200000000003</v>
      </c>
      <c r="M113" s="532">
        <f>VLOOKUP($B57,F_Inputs!$B$80:$O$98,COLUMN()-1,FALSE)</f>
        <v>568.02099999999996</v>
      </c>
      <c r="N113" s="532">
        <f>VLOOKUP($B57,F_Inputs!$B$80:$O$98,COLUMN()-1,FALSE)</f>
        <v>579.80200000000002</v>
      </c>
      <c r="O113" s="532">
        <f>VLOOKUP($B57,F_Inputs!$B$80:$O$98,COLUMN()-1,FALSE)</f>
        <v>590.95699999999999</v>
      </c>
    </row>
    <row r="114" spans="1:15">
      <c r="B114" s="276" t="s">
        <v>156</v>
      </c>
      <c r="C114" s="276" t="s">
        <v>157</v>
      </c>
      <c r="D114" s="276" t="s">
        <v>74</v>
      </c>
      <c r="E114" s="286" t="s">
        <v>182</v>
      </c>
      <c r="F114" s="277"/>
      <c r="G114" s="277"/>
      <c r="H114" s="277"/>
      <c r="I114" s="277">
        <f>I743</f>
        <v>7.4630000000000001</v>
      </c>
      <c r="J114" s="277"/>
      <c r="K114" s="531">
        <f t="shared" ref="K114:O114" si="24">K743</f>
        <v>7.4406169022196718</v>
      </c>
      <c r="L114" s="532">
        <f t="shared" si="24"/>
        <v>7.4406169022196718</v>
      </c>
      <c r="M114" s="532">
        <f t="shared" si="24"/>
        <v>7.4406169022196718</v>
      </c>
      <c r="N114" s="532">
        <f t="shared" si="24"/>
        <v>7.4406169022196718</v>
      </c>
      <c r="O114" s="532">
        <f t="shared" si="24"/>
        <v>7.4406169022196718</v>
      </c>
    </row>
    <row r="115" spans="1:15">
      <c r="B115" s="276" t="s">
        <v>159</v>
      </c>
      <c r="C115" s="276" t="s">
        <v>158</v>
      </c>
      <c r="D115" s="276" t="s">
        <v>74</v>
      </c>
      <c r="E115" s="286" t="s">
        <v>182</v>
      </c>
      <c r="F115" s="277"/>
      <c r="G115" s="277"/>
      <c r="H115" s="277"/>
      <c r="I115" s="277">
        <f>VLOOKUP($B59,F_Inputs!$B$80:$O$98,COLUMN()-1,FALSE)</f>
        <v>0</v>
      </c>
      <c r="J115" s="277"/>
      <c r="K115" s="531">
        <f>VLOOKUP($B59,F_Inputs!$B$80:$O$98,COLUMN()-1,FALSE)</f>
        <v>0</v>
      </c>
      <c r="L115" s="532">
        <f>VLOOKUP($B59,F_Inputs!$B$80:$O$98,COLUMN()-1,FALSE)</f>
        <v>0</v>
      </c>
      <c r="M115" s="532">
        <f>VLOOKUP($B59,F_Inputs!$B$80:$O$98,COLUMN()-1,FALSE)</f>
        <v>0</v>
      </c>
      <c r="N115" s="532">
        <f>VLOOKUP($B59,F_Inputs!$B$80:$O$98,COLUMN()-1,FALSE)</f>
        <v>0</v>
      </c>
      <c r="O115" s="532">
        <f>VLOOKUP($B59,F_Inputs!$B$80:$O$98,COLUMN()-1,FALSE)</f>
        <v>0</v>
      </c>
    </row>
    <row r="116" spans="1:15">
      <c r="A116" s="276" t="s">
        <v>48</v>
      </c>
      <c r="B116" s="276" t="s">
        <v>78</v>
      </c>
      <c r="C116" s="276" t="s">
        <v>132</v>
      </c>
      <c r="D116" s="276" t="s">
        <v>74</v>
      </c>
      <c r="E116" s="286" t="s">
        <v>182</v>
      </c>
      <c r="F116" s="277"/>
      <c r="G116" s="277"/>
      <c r="H116" s="277">
        <f>VLOOKUP($B46,F_Inputs!$B$99:$O$117,COLUMN()-1,FALSE)+'New cost and adjustments inputs'!H32+H750</f>
        <v>52.229774133994603</v>
      </c>
      <c r="I116" s="277">
        <f>VLOOKUP($B46,F_Inputs!$B$99:$O$117,COLUMN()-1,FALSE)+'New cost and adjustments inputs'!I32+I750</f>
        <v>60.206751966730003</v>
      </c>
      <c r="J116" s="277"/>
      <c r="K116" s="531">
        <f>VLOOKUP($B46,F_Inputs!$B$99:$O$117,COLUMN()-1,FALSE)+'New cost and adjustments inputs'!K32+K750</f>
        <v>55.837097216242782</v>
      </c>
      <c r="L116" s="532">
        <f>VLOOKUP($B46,F_Inputs!$B$99:$O$117,COLUMN()-1,FALSE)+'New cost and adjustments inputs'!L32+L750</f>
        <v>57.063726443016641</v>
      </c>
      <c r="M116" s="532">
        <f>VLOOKUP($B46,F_Inputs!$B$99:$O$117,COLUMN()-1,FALSE)+'New cost and adjustments inputs'!M32+M750</f>
        <v>56.417695374883394</v>
      </c>
      <c r="N116" s="532">
        <f>VLOOKUP($B46,F_Inputs!$B$99:$O$117,COLUMN()-1,FALSE)+'New cost and adjustments inputs'!N32+N750</f>
        <v>52.170684363031512</v>
      </c>
      <c r="O116" s="532">
        <f>VLOOKUP($B46,F_Inputs!$B$99:$O$117,COLUMN()-1,FALSE)+'New cost and adjustments inputs'!O32+O750</f>
        <v>52.251083428382522</v>
      </c>
    </row>
    <row r="117" spans="1:15">
      <c r="B117" s="276" t="s">
        <v>97</v>
      </c>
      <c r="C117" s="276" t="s">
        <v>99</v>
      </c>
      <c r="D117" s="276" t="s">
        <v>74</v>
      </c>
      <c r="E117" s="286" t="s">
        <v>182</v>
      </c>
      <c r="F117" s="277">
        <f>F16</f>
        <v>8.3366125526000001</v>
      </c>
      <c r="G117" s="277">
        <f t="shared" ref="G117:K117" si="25">G16</f>
        <v>9.4697985108000005</v>
      </c>
      <c r="H117" s="277">
        <f t="shared" si="25"/>
        <v>9.1514130890000001</v>
      </c>
      <c r="I117" s="277">
        <f t="shared" si="25"/>
        <v>10.425196680400001</v>
      </c>
      <c r="K117" s="531">
        <f t="shared" si="25"/>
        <v>7.3746752036279997</v>
      </c>
      <c r="L117" s="532">
        <f t="shared" ref="L117:O117" si="26">L16</f>
        <v>6.5280863914739999</v>
      </c>
      <c r="M117" s="532">
        <f t="shared" si="26"/>
        <v>5.6242219230900004</v>
      </c>
      <c r="N117" s="532">
        <f t="shared" si="26"/>
        <v>4.794027253656</v>
      </c>
      <c r="O117" s="532">
        <f t="shared" si="26"/>
        <v>3.9092800866980002</v>
      </c>
    </row>
    <row r="118" spans="1:15">
      <c r="B118" s="276" t="s">
        <v>98</v>
      </c>
      <c r="C118" s="276" t="s">
        <v>100</v>
      </c>
      <c r="D118" s="276" t="s">
        <v>74</v>
      </c>
      <c r="E118" s="286" t="s">
        <v>182</v>
      </c>
      <c r="F118" s="277">
        <f>F17</f>
        <v>0</v>
      </c>
      <c r="G118" s="277">
        <f t="shared" ref="G118:K118" si="27">G17</f>
        <v>0</v>
      </c>
      <c r="H118" s="277">
        <f t="shared" si="27"/>
        <v>0</v>
      </c>
      <c r="I118" s="277">
        <f t="shared" si="27"/>
        <v>0</v>
      </c>
      <c r="K118" s="531">
        <f t="shared" si="27"/>
        <v>0.26744038737173303</v>
      </c>
      <c r="L118" s="532">
        <f t="shared" ref="L118:O118" si="28">L17</f>
        <v>0.80933481688000097</v>
      </c>
      <c r="M118" s="532">
        <f t="shared" si="28"/>
        <v>1.356914119408005</v>
      </c>
      <c r="N118" s="532">
        <f t="shared" si="28"/>
        <v>1.904493421936009</v>
      </c>
      <c r="O118" s="532">
        <f t="shared" si="28"/>
        <v>2.4463878514442801</v>
      </c>
    </row>
    <row r="119" spans="1:15">
      <c r="B119" s="276" t="s">
        <v>79</v>
      </c>
      <c r="C119" s="276" t="s">
        <v>135</v>
      </c>
      <c r="D119" s="276" t="s">
        <v>74</v>
      </c>
      <c r="E119" s="286" t="s">
        <v>182</v>
      </c>
      <c r="F119" s="277"/>
      <c r="G119" s="277"/>
      <c r="H119" s="277">
        <f>VLOOKUP($B49,F_Inputs!$B$99:$O$117,COLUMN()-1,FALSE)</f>
        <v>0.294655004733273</v>
      </c>
      <c r="I119" s="277">
        <f>VLOOKUP($B49,F_Inputs!$B$99:$O$117,COLUMN()-1,FALSE)</f>
        <v>0.33918900396160001</v>
      </c>
      <c r="J119" s="277"/>
      <c r="K119" s="531">
        <f>VLOOKUP($B49,F_Inputs!$B$99:$O$117,COLUMN()-1,FALSE)</f>
        <v>0.25118251174995299</v>
      </c>
      <c r="L119" s="532">
        <f>VLOOKUP($B49,F_Inputs!$B$99:$O$117,COLUMN()-1,FALSE)</f>
        <v>0.25356917838436799</v>
      </c>
      <c r="M119" s="532">
        <f>VLOOKUP($B49,F_Inputs!$B$99:$O$117,COLUMN()-1,FALSE)</f>
        <v>0.23508418621868599</v>
      </c>
      <c r="N119" s="532">
        <f>VLOOKUP($B49,F_Inputs!$B$99:$O$117,COLUMN()-1,FALSE)</f>
        <v>0.236987360355709</v>
      </c>
      <c r="O119" s="532">
        <f>VLOOKUP($B49,F_Inputs!$B$99:$O$117,COLUMN()-1,FALSE)</f>
        <v>0.22342123297687599</v>
      </c>
    </row>
    <row r="120" spans="1:15">
      <c r="B120" s="276" t="s">
        <v>80</v>
      </c>
      <c r="C120" s="276" t="s">
        <v>136</v>
      </c>
      <c r="D120" s="276" t="s">
        <v>74</v>
      </c>
      <c r="E120" s="286" t="s">
        <v>182</v>
      </c>
      <c r="F120" s="277"/>
      <c r="G120" s="277"/>
      <c r="H120" s="277">
        <f>VLOOKUP($B50,F_Inputs!$B$99:$O$117,COLUMN()-1,FALSE)</f>
        <v>1.8981005156584401</v>
      </c>
      <c r="I120" s="277">
        <f>VLOOKUP($B50,F_Inputs!$B$99:$O$117,COLUMN()-1,FALSE)</f>
        <v>2.13333579637488</v>
      </c>
      <c r="J120" s="277"/>
      <c r="K120" s="531">
        <f>VLOOKUP($B50,F_Inputs!$B$99:$O$117,COLUMN()-1,FALSE)</f>
        <v>2.3623092053689798</v>
      </c>
      <c r="L120" s="532">
        <f>VLOOKUP($B50,F_Inputs!$B$99:$O$117,COLUMN()-1,FALSE)</f>
        <v>2.3752072808914</v>
      </c>
      <c r="M120" s="532">
        <f>VLOOKUP($B50,F_Inputs!$B$99:$O$117,COLUMN()-1,FALSE)</f>
        <v>2.36421125342906</v>
      </c>
      <c r="N120" s="532">
        <f>VLOOKUP($B50,F_Inputs!$B$99:$O$117,COLUMN()-1,FALSE)</f>
        <v>2.32858709848762</v>
      </c>
      <c r="O120" s="532">
        <f>VLOOKUP($B50,F_Inputs!$B$99:$O$117,COLUMN()-1,FALSE)</f>
        <v>2.4784567902608701</v>
      </c>
    </row>
    <row r="121" spans="1:15">
      <c r="B121" s="276" t="s">
        <v>81</v>
      </c>
      <c r="C121" s="276" t="s">
        <v>137</v>
      </c>
      <c r="D121" s="276" t="s">
        <v>74</v>
      </c>
      <c r="E121" s="286" t="s">
        <v>182</v>
      </c>
      <c r="F121" s="277"/>
      <c r="G121" s="277"/>
      <c r="H121" s="277">
        <f>VLOOKUP($B51,F_Inputs!$B$99:$O$117,COLUMN()-1,FALSE)</f>
        <v>3.1651661048403299</v>
      </c>
      <c r="I121" s="277">
        <f>VLOOKUP($B51,F_Inputs!$B$99:$O$117,COLUMN()-1,FALSE)</f>
        <v>3.58877706428212</v>
      </c>
      <c r="J121" s="277"/>
      <c r="K121" s="531">
        <f>VLOOKUP($B51,F_Inputs!$B$99:$O$117,COLUMN()-1,FALSE)</f>
        <v>3.1936212486056998</v>
      </c>
      <c r="L121" s="532">
        <f>VLOOKUP($B51,F_Inputs!$B$99:$O$117,COLUMN()-1,FALSE)</f>
        <v>3.2017433880762298</v>
      </c>
      <c r="M121" s="532">
        <f>VLOOKUP($B51,F_Inputs!$B$99:$O$117,COLUMN()-1,FALSE)</f>
        <v>2.9527253009476899</v>
      </c>
      <c r="N121" s="532">
        <f>VLOOKUP($B51,F_Inputs!$B$99:$O$117,COLUMN()-1,FALSE)</f>
        <v>2.9651256798614001</v>
      </c>
      <c r="O121" s="532">
        <f>VLOOKUP($B51,F_Inputs!$B$99:$O$117,COLUMN()-1,FALSE)</f>
        <v>2.79045165068379</v>
      </c>
    </row>
    <row r="122" spans="1:15">
      <c r="B122" s="276" t="s">
        <v>82</v>
      </c>
      <c r="C122" s="276" t="s">
        <v>89</v>
      </c>
      <c r="D122" s="276" t="s">
        <v>183</v>
      </c>
      <c r="E122" s="286" t="s">
        <v>182</v>
      </c>
      <c r="F122" s="277"/>
      <c r="G122" s="277"/>
      <c r="H122" s="277">
        <f>VLOOKUP($B52,F_Inputs!$B$99:$O$117,COLUMN()-1,FALSE)</f>
        <v>34.100107801418403</v>
      </c>
      <c r="I122" s="277">
        <f>VLOOKUP($B52,F_Inputs!$B$99:$O$117,COLUMN()-1,FALSE)</f>
        <v>30.657</v>
      </c>
      <c r="J122" s="277"/>
      <c r="K122" s="531">
        <f>VLOOKUP($B52,F_Inputs!$B$99:$O$117,COLUMN()-1,FALSE)</f>
        <v>6.6303407958681397</v>
      </c>
      <c r="L122" s="532">
        <f>VLOOKUP($B52,F_Inputs!$B$99:$O$117,COLUMN()-1,FALSE)</f>
        <v>6.5968377284694597</v>
      </c>
      <c r="M122" s="532">
        <f>VLOOKUP($B52,F_Inputs!$B$99:$O$117,COLUMN()-1,FALSE)</f>
        <v>6.5633346610707699</v>
      </c>
      <c r="N122" s="532">
        <f>VLOOKUP($B52,F_Inputs!$B$99:$O$117,COLUMN()-1,FALSE)</f>
        <v>6.5298315936720899</v>
      </c>
      <c r="O122" s="532">
        <f>VLOOKUP($B52,F_Inputs!$B$99:$O$117,COLUMN()-1,FALSE)</f>
        <v>6.4963285262734001</v>
      </c>
    </row>
    <row r="123" spans="1:15">
      <c r="B123" s="276" t="s">
        <v>87</v>
      </c>
      <c r="C123" s="276" t="s">
        <v>90</v>
      </c>
      <c r="D123" s="276" t="s">
        <v>183</v>
      </c>
      <c r="E123" s="286" t="s">
        <v>182</v>
      </c>
      <c r="F123" s="277"/>
      <c r="G123" s="277"/>
      <c r="H123" s="277">
        <f>VLOOKUP($B53,F_Inputs!$B$99:$O$117,COLUMN()-1,FALSE)</f>
        <v>39.836972843093399</v>
      </c>
      <c r="I123" s="277">
        <f>VLOOKUP($B53,F_Inputs!$B$99:$O$117,COLUMN()-1,FALSE)</f>
        <v>45.451000000000001</v>
      </c>
      <c r="J123" s="277"/>
      <c r="K123" s="531">
        <f>VLOOKUP($B53,F_Inputs!$B$99:$O$117,COLUMN()-1,FALSE)</f>
        <v>70.580510722633306</v>
      </c>
      <c r="L123" s="532">
        <f>VLOOKUP($B53,F_Inputs!$B$99:$O$117,COLUMN()-1,FALSE)</f>
        <v>71.194709843882094</v>
      </c>
      <c r="M123" s="532">
        <f>VLOOKUP($B53,F_Inputs!$B$99:$O$117,COLUMN()-1,FALSE)</f>
        <v>71.842871137946801</v>
      </c>
      <c r="N123" s="532">
        <f>VLOOKUP($B53,F_Inputs!$B$99:$O$117,COLUMN()-1,FALSE)</f>
        <v>72.455964546076501</v>
      </c>
      <c r="O123" s="532">
        <f>VLOOKUP($B53,F_Inputs!$B$99:$O$117,COLUMN()-1,FALSE)</f>
        <v>73.046670592544501</v>
      </c>
    </row>
    <row r="124" spans="1:15">
      <c r="B124" s="276" t="s">
        <v>83</v>
      </c>
      <c r="C124" s="276" t="s">
        <v>91</v>
      </c>
      <c r="D124" s="276" t="s">
        <v>183</v>
      </c>
      <c r="E124" s="286" t="s">
        <v>182</v>
      </c>
      <c r="F124" s="277"/>
      <c r="G124" s="277"/>
      <c r="H124" s="277">
        <f>VLOOKUP($B54,F_Inputs!$B$99:$O$117,COLUMN()-1,FALSE)</f>
        <v>452.30331205673798</v>
      </c>
      <c r="I124" s="277">
        <f>VLOOKUP($B54,F_Inputs!$B$99:$O$117,COLUMN()-1,FALSE)</f>
        <v>416.75400000000002</v>
      </c>
      <c r="J124" s="277"/>
      <c r="K124" s="531">
        <f>VLOOKUP($B54,F_Inputs!$B$99:$O$117,COLUMN()-1,FALSE)</f>
        <v>347.05900000000003</v>
      </c>
      <c r="L124" s="532">
        <f>VLOOKUP($B54,F_Inputs!$B$99:$O$117,COLUMN()-1,FALSE)</f>
        <v>312.09899999999999</v>
      </c>
      <c r="M124" s="532">
        <f>VLOOKUP($B54,F_Inputs!$B$99:$O$117,COLUMN()-1,FALSE)</f>
        <v>277.13900000000001</v>
      </c>
      <c r="N124" s="532">
        <f>VLOOKUP($B54,F_Inputs!$B$99:$O$117,COLUMN()-1,FALSE)</f>
        <v>242.179</v>
      </c>
      <c r="O124" s="532">
        <f>VLOOKUP($B54,F_Inputs!$B$99:$O$117,COLUMN()-1,FALSE)</f>
        <v>207.21899999999999</v>
      </c>
    </row>
    <row r="125" spans="1:15">
      <c r="B125" s="276" t="s">
        <v>84</v>
      </c>
      <c r="C125" s="276" t="s">
        <v>92</v>
      </c>
      <c r="D125" s="276" t="s">
        <v>183</v>
      </c>
      <c r="E125" s="286" t="s">
        <v>182</v>
      </c>
      <c r="F125" s="277"/>
      <c r="G125" s="277"/>
      <c r="H125" s="277">
        <f>VLOOKUP($B55,F_Inputs!$B$99:$O$117,COLUMN()-1,FALSE)</f>
        <v>403.83348245418</v>
      </c>
      <c r="I125" s="277">
        <f>VLOOKUP($B55,F_Inputs!$B$99:$O$117,COLUMN()-1,FALSE)</f>
        <v>450.66849999999999</v>
      </c>
      <c r="J125" s="277"/>
      <c r="K125" s="531">
        <f>VLOOKUP($B55,F_Inputs!$B$99:$O$117,COLUMN()-1,FALSE)</f>
        <v>533.21827628666301</v>
      </c>
      <c r="L125" s="532">
        <f>VLOOKUP($B55,F_Inputs!$B$99:$O$117,COLUMN()-1,FALSE)</f>
        <v>575.54872277417303</v>
      </c>
      <c r="M125" s="532">
        <f>VLOOKUP($B55,F_Inputs!$B$99:$O$117,COLUMN()-1,FALSE)</f>
        <v>618.34849284897302</v>
      </c>
      <c r="N125" s="532">
        <f>VLOOKUP($B55,F_Inputs!$B$99:$O$117,COLUMN()-1,FALSE)</f>
        <v>661.53042570671096</v>
      </c>
      <c r="O125" s="532">
        <f>VLOOKUP($B55,F_Inputs!$B$99:$O$117,COLUMN()-1,FALSE)</f>
        <v>704.107042687746</v>
      </c>
    </row>
    <row r="126" spans="1:15">
      <c r="B126" s="276" t="s">
        <v>85</v>
      </c>
      <c r="C126" s="276" t="s">
        <v>93</v>
      </c>
      <c r="D126" s="276" t="s">
        <v>183</v>
      </c>
      <c r="E126" s="286" t="s">
        <v>182</v>
      </c>
      <c r="F126" s="277"/>
      <c r="G126" s="277"/>
      <c r="H126" s="277">
        <f>VLOOKUP($B56,F_Inputs!$B$99:$O$117,COLUMN()-1,FALSE)</f>
        <v>373.02808014184399</v>
      </c>
      <c r="I126" s="277">
        <f>VLOOKUP($B56,F_Inputs!$B$99:$O$117,COLUMN()-1,FALSE)</f>
        <v>259.81900000000002</v>
      </c>
      <c r="J126" s="277"/>
      <c r="K126" s="531">
        <f>VLOOKUP($B56,F_Inputs!$B$99:$O$117,COLUMN()-1,FALSE)</f>
        <v>72.530659204131894</v>
      </c>
      <c r="L126" s="532">
        <f>VLOOKUP($B56,F_Inputs!$B$99:$O$117,COLUMN()-1,FALSE)</f>
        <v>72.1641622715305</v>
      </c>
      <c r="M126" s="532">
        <f>VLOOKUP($B56,F_Inputs!$B$99:$O$117,COLUMN()-1,FALSE)</f>
        <v>71.797665338929207</v>
      </c>
      <c r="N126" s="532">
        <f>VLOOKUP($B56,F_Inputs!$B$99:$O$117,COLUMN()-1,FALSE)</f>
        <v>71.431168406327899</v>
      </c>
      <c r="O126" s="532">
        <f>VLOOKUP($B56,F_Inputs!$B$99:$O$117,COLUMN()-1,FALSE)</f>
        <v>71.064671473726605</v>
      </c>
    </row>
    <row r="127" spans="1:15">
      <c r="B127" s="276" t="s">
        <v>86</v>
      </c>
      <c r="C127" s="276" t="s">
        <v>94</v>
      </c>
      <c r="D127" s="276" t="s">
        <v>183</v>
      </c>
      <c r="E127" s="286" t="s">
        <v>182</v>
      </c>
      <c r="F127" s="277"/>
      <c r="G127" s="277"/>
      <c r="H127" s="277">
        <f>VLOOKUP($B57,F_Inputs!$B$99:$O$117,COLUMN()-1,FALSE)</f>
        <v>538.98004470272701</v>
      </c>
      <c r="I127" s="277">
        <f>VLOOKUP($B57,F_Inputs!$B$99:$O$117,COLUMN()-1,FALSE)</f>
        <v>655.28499999999997</v>
      </c>
      <c r="J127" s="277"/>
      <c r="K127" s="531">
        <f>VLOOKUP($B57,F_Inputs!$B$99:$O$117,COLUMN()-1,FALSE)</f>
        <v>856.17692828678298</v>
      </c>
      <c r="L127" s="532">
        <f>VLOOKUP($B57,F_Inputs!$B$99:$O$117,COLUMN()-1,FALSE)</f>
        <v>863.70626576650795</v>
      </c>
      <c r="M127" s="532">
        <f>VLOOKUP($B57,F_Inputs!$B$99:$O$117,COLUMN()-1,FALSE)</f>
        <v>871.65452399987305</v>
      </c>
      <c r="N127" s="532">
        <f>VLOOKUP($B57,F_Inputs!$B$99:$O$117,COLUMN()-1,FALSE)</f>
        <v>879.170222594488</v>
      </c>
      <c r="O127" s="532">
        <f>VLOOKUP($B57,F_Inputs!$B$99:$O$117,COLUMN()-1,FALSE)</f>
        <v>886.40977482855601</v>
      </c>
    </row>
    <row r="128" spans="1:15">
      <c r="B128" s="276" t="s">
        <v>156</v>
      </c>
      <c r="C128" s="276" t="s">
        <v>157</v>
      </c>
      <c r="D128" s="276" t="s">
        <v>74</v>
      </c>
      <c r="E128" s="286" t="s">
        <v>182</v>
      </c>
      <c r="F128" s="277"/>
      <c r="G128" s="277"/>
      <c r="H128" s="277">
        <f>H749</f>
        <v>0</v>
      </c>
      <c r="I128" s="277">
        <f>I749</f>
        <v>1.2784</v>
      </c>
      <c r="J128" s="277"/>
      <c r="K128" s="531">
        <f t="shared" ref="K128:O128" si="29">K749</f>
        <v>0.75496607880118127</v>
      </c>
      <c r="L128" s="532">
        <f t="shared" si="29"/>
        <v>0.75496607880118127</v>
      </c>
      <c r="M128" s="532">
        <f t="shared" si="29"/>
        <v>0.75496607880118127</v>
      </c>
      <c r="N128" s="532">
        <f t="shared" si="29"/>
        <v>0.75496607880118127</v>
      </c>
      <c r="O128" s="532">
        <f t="shared" si="29"/>
        <v>0.75496607880118127</v>
      </c>
    </row>
    <row r="129" spans="1:15">
      <c r="B129" s="276" t="s">
        <v>159</v>
      </c>
      <c r="C129" s="276" t="s">
        <v>158</v>
      </c>
      <c r="D129" s="276" t="s">
        <v>74</v>
      </c>
      <c r="E129" s="286" t="s">
        <v>182</v>
      </c>
      <c r="F129" s="277"/>
      <c r="G129" s="277"/>
      <c r="H129" s="277">
        <f>VLOOKUP($B59,F_Inputs!$B$99:$O$117,COLUMN()-1,FALSE)</f>
        <v>0</v>
      </c>
      <c r="I129" s="277">
        <f>VLOOKUP($B59,F_Inputs!$B$99:$O$117,COLUMN()-1,FALSE)</f>
        <v>0</v>
      </c>
      <c r="J129" s="277"/>
      <c r="K129" s="531">
        <f>VLOOKUP($B59,F_Inputs!$B$99:$O$117,COLUMN()-1,FALSE)</f>
        <v>7.0000000000000097E-3</v>
      </c>
      <c r="L129" s="532">
        <f>VLOOKUP($B59,F_Inputs!$B$99:$O$117,COLUMN()-1,FALSE)</f>
        <v>2.4E-2</v>
      </c>
      <c r="M129" s="532">
        <f>VLOOKUP($B59,F_Inputs!$B$99:$O$117,COLUMN()-1,FALSE)</f>
        <v>4.7999999999999897E-2</v>
      </c>
      <c r="N129" s="532">
        <f>VLOOKUP($B59,F_Inputs!$B$99:$O$117,COLUMN()-1,FALSE)</f>
        <v>7.9000000000000001E-2</v>
      </c>
      <c r="O129" s="532">
        <f>VLOOKUP($B59,F_Inputs!$B$99:$O$117,COLUMN()-1,FALSE)</f>
        <v>0.11700000000000001</v>
      </c>
    </row>
    <row r="130" spans="1:15">
      <c r="A130" s="276" t="s">
        <v>49</v>
      </c>
      <c r="B130" s="276" t="s">
        <v>78</v>
      </c>
      <c r="C130" s="276" t="s">
        <v>132</v>
      </c>
      <c r="D130" s="276" t="s">
        <v>74</v>
      </c>
      <c r="E130" s="286" t="s">
        <v>182</v>
      </c>
      <c r="F130" s="277"/>
      <c r="G130" s="277"/>
      <c r="H130" s="277"/>
      <c r="I130" s="277">
        <f>VLOOKUP($B130,F_Inputs!$B$118:$O$136,COLUMN()-1,FALSE)+'New cost and adjustments inputs'!I33+I756</f>
        <v>143.80863444601991</v>
      </c>
      <c r="J130" s="277"/>
      <c r="K130" s="531">
        <f>VLOOKUP($B130,F_Inputs!$B$118:$O$136,COLUMN()-1,FALSE)+'New cost and adjustments inputs'!K33+K756</f>
        <v>146.21326931709376</v>
      </c>
      <c r="L130" s="532">
        <f>VLOOKUP($B130,F_Inputs!$B$118:$O$136,COLUMN()-1,FALSE)+'New cost and adjustments inputs'!L33+L756</f>
        <v>151.19846424584784</v>
      </c>
      <c r="M130" s="532">
        <f>VLOOKUP($B130,F_Inputs!$B$118:$O$136,COLUMN()-1,FALSE)+'New cost and adjustments inputs'!M33+M756</f>
        <v>151.50074453885617</v>
      </c>
      <c r="N130" s="532">
        <f>VLOOKUP($B130,F_Inputs!$B$118:$O$136,COLUMN()-1,FALSE)+'New cost and adjustments inputs'!N33+N756</f>
        <v>153.04227683696632</v>
      </c>
      <c r="O130" s="532">
        <f>VLOOKUP($B130,F_Inputs!$B$118:$O$136,COLUMN()-1,FALSE)+'New cost and adjustments inputs'!O33+O756</f>
        <v>148.83367983140838</v>
      </c>
    </row>
    <row r="131" spans="1:15">
      <c r="B131" s="276" t="s">
        <v>97</v>
      </c>
      <c r="C131" s="276" t="s">
        <v>99</v>
      </c>
      <c r="D131" s="276" t="s">
        <v>74</v>
      </c>
      <c r="E131" s="286" t="s">
        <v>182</v>
      </c>
      <c r="F131" s="277">
        <f>F18</f>
        <v>2.3375694684447401</v>
      </c>
      <c r="G131" s="277">
        <f t="shared" ref="G131:K131" si="30">G18</f>
        <v>2.3453451673002701</v>
      </c>
      <c r="H131" s="277">
        <f t="shared" si="30"/>
        <v>2.2743919152435299</v>
      </c>
      <c r="I131" s="277">
        <f t="shared" si="30"/>
        <v>2.0080742294415099</v>
      </c>
      <c r="K131" s="531">
        <f t="shared" si="30"/>
        <v>7.4306522188191497</v>
      </c>
      <c r="L131" s="532">
        <f t="shared" ref="L131:O131" si="31">L18</f>
        <v>6.9884093464106805</v>
      </c>
      <c r="M131" s="532">
        <f t="shared" si="31"/>
        <v>4.2912138058975202</v>
      </c>
      <c r="N131" s="532">
        <f t="shared" si="31"/>
        <v>2.6554011591646693</v>
      </c>
      <c r="O131" s="532">
        <f t="shared" si="31"/>
        <v>0.68231757457305997</v>
      </c>
    </row>
    <row r="132" spans="1:15">
      <c r="B132" s="276" t="s">
        <v>98</v>
      </c>
      <c r="C132" s="276" t="s">
        <v>100</v>
      </c>
      <c r="D132" s="276" t="s">
        <v>74</v>
      </c>
      <c r="E132" s="286" t="s">
        <v>182</v>
      </c>
      <c r="F132" s="277">
        <f>F19</f>
        <v>0</v>
      </c>
      <c r="G132" s="277">
        <f t="shared" ref="G132:K132" si="32">G19</f>
        <v>0</v>
      </c>
      <c r="H132" s="277">
        <f t="shared" si="32"/>
        <v>0</v>
      </c>
      <c r="I132" s="277">
        <f t="shared" si="32"/>
        <v>0</v>
      </c>
      <c r="K132" s="531">
        <f t="shared" si="32"/>
        <v>0.72216803120766804</v>
      </c>
      <c r="L132" s="532">
        <f t="shared" ref="L132:O132" si="33">L19</f>
        <v>2.7438497336463601</v>
      </c>
      <c r="M132" s="532">
        <f t="shared" si="33"/>
        <v>5.6296059714062103</v>
      </c>
      <c r="N132" s="532">
        <f t="shared" si="33"/>
        <v>8.4813435266731005</v>
      </c>
      <c r="O132" s="532">
        <f t="shared" si="33"/>
        <v>10.0636982437742</v>
      </c>
    </row>
    <row r="133" spans="1:15">
      <c r="B133" s="276" t="s">
        <v>79</v>
      </c>
      <c r="C133" s="276" t="s">
        <v>135</v>
      </c>
      <c r="D133" s="276" t="s">
        <v>74</v>
      </c>
      <c r="E133" s="286" t="s">
        <v>182</v>
      </c>
      <c r="F133" s="277"/>
      <c r="G133" s="277"/>
      <c r="H133" s="277"/>
      <c r="I133" s="277">
        <f>VLOOKUP($B133,F_Inputs!$B$118:$O$136,COLUMN()-1,FALSE)</f>
        <v>0.12897106956933299</v>
      </c>
      <c r="J133" s="277"/>
      <c r="K133" s="531">
        <f>VLOOKUP($B133,F_Inputs!$B$118:$O$136,COLUMN()-1,FALSE)</f>
        <v>0.1331654442713</v>
      </c>
      <c r="L133" s="532">
        <f>VLOOKUP($B133,F_Inputs!$B$118:$O$136,COLUMN()-1,FALSE)</f>
        <v>0.127602668844356</v>
      </c>
      <c r="M133" s="532">
        <f>VLOOKUP($B133,F_Inputs!$B$118:$O$136,COLUMN()-1,FALSE)</f>
        <v>0.118590065813774</v>
      </c>
      <c r="N133" s="532">
        <f>VLOOKUP($B133,F_Inputs!$B$118:$O$136,COLUMN()-1,FALSE)</f>
        <v>0.10752054011404</v>
      </c>
      <c r="O133" s="532">
        <f>VLOOKUP($B133,F_Inputs!$B$118:$O$136,COLUMN()-1,FALSE)</f>
        <v>9.8954670592440605E-2</v>
      </c>
    </row>
    <row r="134" spans="1:15">
      <c r="B134" s="276" t="s">
        <v>80</v>
      </c>
      <c r="C134" s="276" t="s">
        <v>136</v>
      </c>
      <c r="D134" s="276" t="s">
        <v>74</v>
      </c>
      <c r="E134" s="286" t="s">
        <v>182</v>
      </c>
      <c r="F134" s="277"/>
      <c r="G134" s="277"/>
      <c r="H134" s="277"/>
      <c r="I134" s="277">
        <f>VLOOKUP($B134,F_Inputs!$B$118:$O$136,COLUMN()-1,FALSE)</f>
        <v>3.0876830547812499</v>
      </c>
      <c r="J134" s="277"/>
      <c r="K134" s="531">
        <f>VLOOKUP($B134,F_Inputs!$B$118:$O$136,COLUMN()-1,FALSE)</f>
        <v>4.1549035910206404</v>
      </c>
      <c r="L134" s="532">
        <f>VLOOKUP($B134,F_Inputs!$B$118:$O$136,COLUMN()-1,FALSE)</f>
        <v>4.3600418233759299</v>
      </c>
      <c r="M134" s="532">
        <f>VLOOKUP($B134,F_Inputs!$B$118:$O$136,COLUMN()-1,FALSE)</f>
        <v>4.4155300171569198</v>
      </c>
      <c r="N134" s="532">
        <f>VLOOKUP($B134,F_Inputs!$B$118:$O$136,COLUMN()-1,FALSE)</f>
        <v>4.2814422739584801</v>
      </c>
      <c r="O134" s="532">
        <f>VLOOKUP($B134,F_Inputs!$B$118:$O$136,COLUMN()-1,FALSE)</f>
        <v>4.2170124692766997</v>
      </c>
    </row>
    <row r="135" spans="1:15">
      <c r="B135" s="276" t="s">
        <v>81</v>
      </c>
      <c r="C135" s="276" t="s">
        <v>137</v>
      </c>
      <c r="D135" s="276" t="s">
        <v>74</v>
      </c>
      <c r="E135" s="286" t="s">
        <v>182</v>
      </c>
      <c r="F135" s="277"/>
      <c r="G135" s="277"/>
      <c r="H135" s="277"/>
      <c r="I135" s="277">
        <f>VLOOKUP($B135,F_Inputs!$B$118:$O$136,COLUMN()-1,FALSE)</f>
        <v>11.850514907008501</v>
      </c>
      <c r="J135" s="277"/>
      <c r="K135" s="531">
        <f>VLOOKUP($B135,F_Inputs!$B$118:$O$136,COLUMN()-1,FALSE)</f>
        <v>14.093025996654999</v>
      </c>
      <c r="L135" s="532">
        <f>VLOOKUP($B135,F_Inputs!$B$118:$O$136,COLUMN()-1,FALSE)</f>
        <v>14.783983112121399</v>
      </c>
      <c r="M135" s="532">
        <f>VLOOKUP($B135,F_Inputs!$B$118:$O$136,COLUMN()-1,FALSE)</f>
        <v>15.237289276759601</v>
      </c>
      <c r="N135" s="532">
        <f>VLOOKUP($B135,F_Inputs!$B$118:$O$136,COLUMN()-1,FALSE)</f>
        <v>15.3258206681428</v>
      </c>
      <c r="O135" s="532">
        <f>VLOOKUP($B135,F_Inputs!$B$118:$O$136,COLUMN()-1,FALSE)</f>
        <v>15.515976436421401</v>
      </c>
    </row>
    <row r="136" spans="1:15">
      <c r="B136" s="276" t="s">
        <v>82</v>
      </c>
      <c r="C136" s="276" t="s">
        <v>89</v>
      </c>
      <c r="D136" s="276" t="s">
        <v>183</v>
      </c>
      <c r="E136" s="286" t="s">
        <v>182</v>
      </c>
      <c r="F136" s="277"/>
      <c r="G136" s="277"/>
      <c r="H136" s="277"/>
      <c r="I136" s="277">
        <f>VLOOKUP($B136,F_Inputs!$B$118:$O$136,COLUMN()-1,FALSE)</f>
        <v>32.143000000000001</v>
      </c>
      <c r="J136" s="277"/>
      <c r="K136" s="531">
        <f>VLOOKUP($B136,F_Inputs!$B$118:$O$136,COLUMN()-1,FALSE)</f>
        <v>32.143000000000001</v>
      </c>
      <c r="L136" s="532">
        <f>VLOOKUP($B136,F_Inputs!$B$118:$O$136,COLUMN()-1,FALSE)</f>
        <v>32.143000000000001</v>
      </c>
      <c r="M136" s="532">
        <f>VLOOKUP($B136,F_Inputs!$B$118:$O$136,COLUMN()-1,FALSE)</f>
        <v>32.143000000000001</v>
      </c>
      <c r="N136" s="532">
        <f>VLOOKUP($B136,F_Inputs!$B$118:$O$136,COLUMN()-1,FALSE)</f>
        <v>32.143000000000001</v>
      </c>
      <c r="O136" s="532">
        <f>VLOOKUP($B136,F_Inputs!$B$118:$O$136,COLUMN()-1,FALSE)</f>
        <v>32.143000000000001</v>
      </c>
    </row>
    <row r="137" spans="1:15">
      <c r="B137" s="276" t="s">
        <v>87</v>
      </c>
      <c r="C137" s="276" t="s">
        <v>90</v>
      </c>
      <c r="D137" s="276" t="s">
        <v>183</v>
      </c>
      <c r="E137" s="286" t="s">
        <v>182</v>
      </c>
      <c r="F137" s="277"/>
      <c r="G137" s="277"/>
      <c r="H137" s="277"/>
      <c r="I137" s="277">
        <f>VLOOKUP($B137,F_Inputs!$B$118:$O$136,COLUMN()-1,FALSE)</f>
        <v>15.452</v>
      </c>
      <c r="J137" s="277"/>
      <c r="K137" s="531">
        <f>VLOOKUP($B137,F_Inputs!$B$118:$O$136,COLUMN()-1,FALSE)</f>
        <v>15.452</v>
      </c>
      <c r="L137" s="532">
        <f>VLOOKUP($B137,F_Inputs!$B$118:$O$136,COLUMN()-1,FALSE)</f>
        <v>15.452</v>
      </c>
      <c r="M137" s="532">
        <f>VLOOKUP($B137,F_Inputs!$B$118:$O$136,COLUMN()-1,FALSE)</f>
        <v>15.452</v>
      </c>
      <c r="N137" s="532">
        <f>VLOOKUP($B137,F_Inputs!$B$118:$O$136,COLUMN()-1,FALSE)</f>
        <v>15.452</v>
      </c>
      <c r="O137" s="532">
        <f>VLOOKUP($B137,F_Inputs!$B$118:$O$136,COLUMN()-1,FALSE)</f>
        <v>15.452</v>
      </c>
    </row>
    <row r="138" spans="1:15">
      <c r="B138" s="276" t="s">
        <v>83</v>
      </c>
      <c r="C138" s="276" t="s">
        <v>91</v>
      </c>
      <c r="D138" s="276" t="s">
        <v>183</v>
      </c>
      <c r="E138" s="286" t="s">
        <v>182</v>
      </c>
      <c r="F138" s="277"/>
      <c r="G138" s="277"/>
      <c r="H138" s="277"/>
      <c r="I138" s="277">
        <f>VLOOKUP($B138,F_Inputs!$B$118:$O$136,COLUMN()-1,FALSE)</f>
        <v>1262.7260000000001</v>
      </c>
      <c r="J138" s="277"/>
      <c r="K138" s="531">
        <f>VLOOKUP($B138,F_Inputs!$B$118:$O$136,COLUMN()-1,FALSE)</f>
        <v>1109.327</v>
      </c>
      <c r="L138" s="532">
        <f>VLOOKUP($B138,F_Inputs!$B$118:$O$136,COLUMN()-1,FALSE)</f>
        <v>992.49599999999998</v>
      </c>
      <c r="M138" s="532">
        <f>VLOOKUP($B138,F_Inputs!$B$118:$O$136,COLUMN()-1,FALSE)</f>
        <v>872.70100000000002</v>
      </c>
      <c r="N138" s="532">
        <f>VLOOKUP($B138,F_Inputs!$B$118:$O$136,COLUMN()-1,FALSE)</f>
        <v>751.452</v>
      </c>
      <c r="O138" s="532">
        <f>VLOOKUP($B138,F_Inputs!$B$118:$O$136,COLUMN()-1,FALSE)</f>
        <v>637.14400000000001</v>
      </c>
    </row>
    <row r="139" spans="1:15">
      <c r="B139" s="276" t="s">
        <v>84</v>
      </c>
      <c r="C139" s="276" t="s">
        <v>92</v>
      </c>
      <c r="D139" s="276" t="s">
        <v>183</v>
      </c>
      <c r="E139" s="286" t="s">
        <v>182</v>
      </c>
      <c r="F139" s="277"/>
      <c r="G139" s="277"/>
      <c r="H139" s="277"/>
      <c r="I139" s="277">
        <f>VLOOKUP($B139,F_Inputs!$B$118:$O$136,COLUMN()-1,FALSE)</f>
        <v>612.82799999999997</v>
      </c>
      <c r="J139" s="277"/>
      <c r="K139" s="531">
        <f>VLOOKUP($B139,F_Inputs!$B$118:$O$136,COLUMN()-1,FALSE)</f>
        <v>804.98900000000003</v>
      </c>
      <c r="L139" s="532">
        <f>VLOOKUP($B139,F_Inputs!$B$118:$O$136,COLUMN()-1,FALSE)</f>
        <v>938.37400000000002</v>
      </c>
      <c r="M139" s="532">
        <f>VLOOKUP($B139,F_Inputs!$B$118:$O$136,COLUMN()-1,FALSE)</f>
        <v>1074.615</v>
      </c>
      <c r="N139" s="532">
        <f>VLOOKUP($B139,F_Inputs!$B$118:$O$136,COLUMN()-1,FALSE)</f>
        <v>1212.2</v>
      </c>
      <c r="O139" s="532">
        <f>VLOOKUP($B139,F_Inputs!$B$118:$O$136,COLUMN()-1,FALSE)</f>
        <v>1342.6849999999999</v>
      </c>
    </row>
    <row r="140" spans="1:15">
      <c r="B140" s="276" t="s">
        <v>85</v>
      </c>
      <c r="C140" s="276" t="s">
        <v>93</v>
      </c>
      <c r="D140" s="276" t="s">
        <v>183</v>
      </c>
      <c r="E140" s="286" t="s">
        <v>182</v>
      </c>
      <c r="F140" s="277"/>
      <c r="G140" s="277"/>
      <c r="H140" s="277"/>
      <c r="I140" s="277">
        <f>VLOOKUP($B140,F_Inputs!$B$118:$O$136,COLUMN()-1,FALSE)</f>
        <v>2250.386</v>
      </c>
      <c r="J140" s="277"/>
      <c r="K140" s="531">
        <f>VLOOKUP($B140,F_Inputs!$B$118:$O$136,COLUMN()-1,FALSE)</f>
        <v>2154.703</v>
      </c>
      <c r="L140" s="532">
        <f>VLOOKUP($B140,F_Inputs!$B$118:$O$136,COLUMN()-1,FALSE)</f>
        <v>2070.2020000000002</v>
      </c>
      <c r="M140" s="532">
        <f>VLOOKUP($B140,F_Inputs!$B$118:$O$136,COLUMN()-1,FALSE)</f>
        <v>1956.895</v>
      </c>
      <c r="N140" s="532">
        <f>VLOOKUP($B140,F_Inputs!$B$118:$O$136,COLUMN()-1,FALSE)</f>
        <v>1826.8420000000001</v>
      </c>
      <c r="O140" s="532">
        <f>VLOOKUP($B140,F_Inputs!$B$118:$O$136,COLUMN()-1,FALSE)</f>
        <v>1693.788</v>
      </c>
    </row>
    <row r="141" spans="1:15">
      <c r="B141" s="276" t="s">
        <v>86</v>
      </c>
      <c r="C141" s="276" t="s">
        <v>94</v>
      </c>
      <c r="D141" s="276" t="s">
        <v>183</v>
      </c>
      <c r="E141" s="286" t="s">
        <v>182</v>
      </c>
      <c r="F141" s="277"/>
      <c r="G141" s="277"/>
      <c r="H141" s="277"/>
      <c r="I141" s="277">
        <f>VLOOKUP($B141,F_Inputs!$B$118:$O$136,COLUMN()-1,FALSE)</f>
        <v>1092.1600000000001</v>
      </c>
      <c r="J141" s="277"/>
      <c r="K141" s="531">
        <f>VLOOKUP($B141,F_Inputs!$B$118:$O$136,COLUMN()-1,FALSE)</f>
        <v>1257.923</v>
      </c>
      <c r="L141" s="532">
        <f>VLOOKUP($B141,F_Inputs!$B$118:$O$136,COLUMN()-1,FALSE)</f>
        <v>1377.124</v>
      </c>
      <c r="M141" s="532">
        <f>VLOOKUP($B141,F_Inputs!$B$118:$O$136,COLUMN()-1,FALSE)</f>
        <v>1527.2170000000001</v>
      </c>
      <c r="N141" s="532">
        <f>VLOOKUP($B141,F_Inputs!$B$118:$O$136,COLUMN()-1,FALSE)</f>
        <v>1694.2349999999999</v>
      </c>
      <c r="O141" s="532">
        <f>VLOOKUP($B141,F_Inputs!$B$118:$O$136,COLUMN()-1,FALSE)</f>
        <v>1863.7349999999999</v>
      </c>
    </row>
    <row r="142" spans="1:15">
      <c r="B142" s="276" t="s">
        <v>156</v>
      </c>
      <c r="C142" s="276" t="s">
        <v>157</v>
      </c>
      <c r="D142" s="276" t="s">
        <v>74</v>
      </c>
      <c r="E142" s="286" t="s">
        <v>182</v>
      </c>
      <c r="F142" s="277"/>
      <c r="G142" s="277"/>
      <c r="H142" s="277"/>
      <c r="I142" s="277">
        <f>I755</f>
        <v>1.6</v>
      </c>
      <c r="J142" s="277"/>
      <c r="K142" s="531">
        <f t="shared" ref="K142:O142" si="34">K755</f>
        <v>1.6273394076498013</v>
      </c>
      <c r="L142" s="532">
        <f t="shared" si="34"/>
        <v>1.6273394076498013</v>
      </c>
      <c r="M142" s="532">
        <f t="shared" si="34"/>
        <v>1.6273394076498013</v>
      </c>
      <c r="N142" s="532">
        <f t="shared" si="34"/>
        <v>1.6273394076498013</v>
      </c>
      <c r="O142" s="532">
        <f t="shared" si="34"/>
        <v>1.6273394076498013</v>
      </c>
    </row>
    <row r="143" spans="1:15">
      <c r="B143" s="276" t="s">
        <v>159</v>
      </c>
      <c r="C143" s="276" t="s">
        <v>158</v>
      </c>
      <c r="D143" s="276" t="s">
        <v>74</v>
      </c>
      <c r="E143" s="286" t="s">
        <v>182</v>
      </c>
      <c r="F143" s="277"/>
      <c r="G143" s="277"/>
      <c r="H143" s="277"/>
      <c r="I143" s="277">
        <f>VLOOKUP($B143,F_Inputs!$B$118:$O$136,COLUMN()-1,FALSE)</f>
        <v>0</v>
      </c>
      <c r="J143" s="277"/>
      <c r="K143" s="531">
        <f>VLOOKUP($B143,F_Inputs!$B$118:$O$136,COLUMN()-1,FALSE)</f>
        <v>0</v>
      </c>
      <c r="L143" s="532">
        <f>VLOOKUP($B143,F_Inputs!$B$118:$O$136,COLUMN()-1,FALSE)</f>
        <v>0</v>
      </c>
      <c r="M143" s="532">
        <f>VLOOKUP($B143,F_Inputs!$B$118:$O$136,COLUMN()-1,FALSE)</f>
        <v>0</v>
      </c>
      <c r="N143" s="532">
        <f>VLOOKUP($B143,F_Inputs!$B$118:$O$136,COLUMN()-1,FALSE)</f>
        <v>0</v>
      </c>
      <c r="O143" s="532">
        <f>VLOOKUP($B143,F_Inputs!$B$118:$O$136,COLUMN()-1,FALSE)</f>
        <v>0</v>
      </c>
    </row>
    <row r="144" spans="1:15">
      <c r="A144" s="276" t="s">
        <v>50</v>
      </c>
      <c r="B144" s="276" t="s">
        <v>78</v>
      </c>
      <c r="C144" s="276" t="s">
        <v>132</v>
      </c>
      <c r="D144" s="276" t="s">
        <v>74</v>
      </c>
      <c r="E144" s="286" t="s">
        <v>182</v>
      </c>
      <c r="F144" s="277"/>
      <c r="G144" s="277"/>
      <c r="H144" s="277"/>
      <c r="I144" s="277">
        <f>VLOOKUP($B144,F_Inputs!$B$137:$O$155,COLUMN()-1,FALSE)+'New cost and adjustments inputs'!I34+I762</f>
        <v>96.044181517085306</v>
      </c>
      <c r="J144" s="277"/>
      <c r="K144" s="531">
        <f>VLOOKUP($B144,F_Inputs!$B$137:$O$155,COLUMN()-1,FALSE)+'New cost and adjustments inputs'!K34+K762</f>
        <v>98.57633261772753</v>
      </c>
      <c r="L144" s="532">
        <f>VLOOKUP($B144,F_Inputs!$B$137:$O$155,COLUMN()-1,FALSE)+'New cost and adjustments inputs'!L34+L762</f>
        <v>101.32390615971616</v>
      </c>
      <c r="M144" s="532">
        <f>VLOOKUP($B144,F_Inputs!$B$137:$O$155,COLUMN()-1,FALSE)+'New cost and adjustments inputs'!M34+M762</f>
        <v>102.93256070195426</v>
      </c>
      <c r="N144" s="532">
        <f>VLOOKUP($B144,F_Inputs!$B$137:$O$155,COLUMN()-1,FALSE)+'New cost and adjustments inputs'!N34+N762</f>
        <v>100.7083044664881</v>
      </c>
      <c r="O144" s="532">
        <f>VLOOKUP($B144,F_Inputs!$B$137:$O$155,COLUMN()-1,FALSE)+'New cost and adjustments inputs'!O34+O762</f>
        <v>101.11291446038078</v>
      </c>
    </row>
    <row r="145" spans="1:21">
      <c r="B145" s="276" t="s">
        <v>97</v>
      </c>
      <c r="C145" s="276" t="s">
        <v>99</v>
      </c>
      <c r="D145" s="276" t="s">
        <v>74</v>
      </c>
      <c r="E145" s="286" t="s">
        <v>182</v>
      </c>
      <c r="F145" s="277">
        <f>F20</f>
        <v>20.545192810207869</v>
      </c>
      <c r="G145" s="277">
        <f t="shared" ref="G145:K145" si="35">G20</f>
        <v>20.135386799472549</v>
      </c>
      <c r="H145" s="277">
        <f t="shared" si="35"/>
        <v>13.07360642207216</v>
      </c>
      <c r="I145" s="277">
        <f t="shared" si="35"/>
        <v>12.98621679740692</v>
      </c>
      <c r="K145" s="531">
        <f t="shared" si="35"/>
        <v>10.458663373944731</v>
      </c>
      <c r="L145" s="532">
        <f t="shared" ref="L145:O145" si="36">L20</f>
        <v>9.2206384200923885</v>
      </c>
      <c r="M145" s="532">
        <f t="shared" si="36"/>
        <v>8.7966878146498395</v>
      </c>
      <c r="N145" s="532">
        <f t="shared" si="36"/>
        <v>7.0780145616657197</v>
      </c>
      <c r="O145" s="532">
        <f t="shared" si="36"/>
        <v>5.3462616084032906</v>
      </c>
    </row>
    <row r="146" spans="1:21">
      <c r="B146" s="276" t="s">
        <v>98</v>
      </c>
      <c r="C146" s="276" t="s">
        <v>100</v>
      </c>
      <c r="D146" s="276" t="s">
        <v>74</v>
      </c>
      <c r="E146" s="286" t="s">
        <v>182</v>
      </c>
      <c r="F146" s="277">
        <f>F21</f>
        <v>0</v>
      </c>
      <c r="G146" s="277">
        <f t="shared" ref="G146:K146" si="37">G21</f>
        <v>0</v>
      </c>
      <c r="H146" s="277">
        <f t="shared" si="37"/>
        <v>0</v>
      </c>
      <c r="I146" s="277">
        <f t="shared" si="37"/>
        <v>0</v>
      </c>
      <c r="K146" s="531">
        <f t="shared" si="37"/>
        <v>1.0771538540932137</v>
      </c>
      <c r="L146" s="532">
        <f t="shared" ref="L146:O146" si="38">L21</f>
        <v>2.4341750454482081</v>
      </c>
      <c r="M146" s="532">
        <f t="shared" si="38"/>
        <v>3.543586485153682</v>
      </c>
      <c r="N146" s="532">
        <f t="shared" si="38"/>
        <v>7.1392022125432195</v>
      </c>
      <c r="O146" s="532">
        <f t="shared" si="38"/>
        <v>10.831931083424301</v>
      </c>
    </row>
    <row r="147" spans="1:21">
      <c r="B147" s="276" t="s">
        <v>79</v>
      </c>
      <c r="C147" s="276" t="s">
        <v>135</v>
      </c>
      <c r="D147" s="276" t="s">
        <v>74</v>
      </c>
      <c r="E147" s="286" t="s">
        <v>182</v>
      </c>
      <c r="F147" s="277"/>
      <c r="G147" s="277"/>
      <c r="H147" s="277"/>
      <c r="I147" s="277">
        <f>VLOOKUP($B147,F_Inputs!$B$137:$O$155,COLUMN()-1,FALSE)</f>
        <v>0.110803708691352</v>
      </c>
      <c r="J147" s="277"/>
      <c r="K147" s="531">
        <f>VLOOKUP($B147,F_Inputs!$B$137:$O$155,COLUMN()-1,FALSE)</f>
        <v>0.15378815262599699</v>
      </c>
      <c r="L147" s="532">
        <f>VLOOKUP($B147,F_Inputs!$B$137:$O$155,COLUMN()-1,FALSE)</f>
        <v>0.14558968599667099</v>
      </c>
      <c r="M147" s="532">
        <f>VLOOKUP($B147,F_Inputs!$B$137:$O$155,COLUMN()-1,FALSE)</f>
        <v>0.13260823531281199</v>
      </c>
      <c r="N147" s="532">
        <f>VLOOKUP($B147,F_Inputs!$B$137:$O$155,COLUMN()-1,FALSE)</f>
        <v>0.119921438505949</v>
      </c>
      <c r="O147" s="532">
        <f>VLOOKUP($B147,F_Inputs!$B$137:$O$155,COLUMN()-1,FALSE)</f>
        <v>0.112033727997521</v>
      </c>
    </row>
    <row r="148" spans="1:21">
      <c r="B148" s="276" t="s">
        <v>80</v>
      </c>
      <c r="C148" s="276" t="s">
        <v>136</v>
      </c>
      <c r="D148" s="276" t="s">
        <v>74</v>
      </c>
      <c r="E148" s="286" t="s">
        <v>182</v>
      </c>
      <c r="F148" s="277"/>
      <c r="G148" s="277"/>
      <c r="H148" s="277"/>
      <c r="I148" s="277">
        <f>VLOOKUP($B148,F_Inputs!$B$137:$O$155,COLUMN()-1,FALSE)</f>
        <v>1.9000025158931601E-2</v>
      </c>
      <c r="J148" s="277"/>
      <c r="K148" s="531">
        <f>VLOOKUP($B148,F_Inputs!$B$137:$O$155,COLUMN()-1,FALSE)</f>
        <v>5.8003111166725602E-2</v>
      </c>
      <c r="L148" s="532">
        <f>VLOOKUP($B148,F_Inputs!$B$137:$O$155,COLUMN()-1,FALSE)</f>
        <v>5.7240148854805203E-2</v>
      </c>
      <c r="M148" s="532">
        <f>VLOOKUP($B148,F_Inputs!$B$137:$O$155,COLUMN()-1,FALSE)</f>
        <v>5.5905762984325903E-2</v>
      </c>
      <c r="N148" s="532">
        <f>VLOOKUP($B148,F_Inputs!$B$137:$O$155,COLUMN()-1,FALSE)</f>
        <v>5.4576828086938901E-2</v>
      </c>
      <c r="O148" s="532">
        <f>VLOOKUP($B148,F_Inputs!$B$137:$O$155,COLUMN()-1,FALSE)</f>
        <v>5.5981356900631503E-2</v>
      </c>
    </row>
    <row r="149" spans="1:21">
      <c r="B149" s="276" t="s">
        <v>81</v>
      </c>
      <c r="C149" s="276" t="s">
        <v>137</v>
      </c>
      <c r="D149" s="276" t="s">
        <v>74</v>
      </c>
      <c r="E149" s="286" t="s">
        <v>182</v>
      </c>
      <c r="F149" s="277"/>
      <c r="G149" s="277"/>
      <c r="H149" s="277"/>
      <c r="I149" s="277">
        <f>VLOOKUP($B149,F_Inputs!$B$137:$O$155,COLUMN()-1,FALSE)</f>
        <v>5.1922229107824602</v>
      </c>
      <c r="J149" s="277"/>
      <c r="K149" s="531">
        <f>VLOOKUP($B149,F_Inputs!$B$137:$O$155,COLUMN()-1,FALSE)</f>
        <v>7.5778389983302397</v>
      </c>
      <c r="L149" s="532">
        <f>VLOOKUP($B149,F_Inputs!$B$137:$O$155,COLUMN()-1,FALSE)</f>
        <v>7.5372090772101101</v>
      </c>
      <c r="M149" s="532">
        <f>VLOOKUP($B149,F_Inputs!$B$137:$O$155,COLUMN()-1,FALSE)</f>
        <v>7.1690967526109004</v>
      </c>
      <c r="N149" s="532">
        <f>VLOOKUP($B149,F_Inputs!$B$137:$O$155,COLUMN()-1,FALSE)</f>
        <v>6.7315396274119097</v>
      </c>
      <c r="O149" s="532">
        <f>VLOOKUP($B149,F_Inputs!$B$137:$O$155,COLUMN()-1,FALSE)</f>
        <v>6.4796446352550801</v>
      </c>
    </row>
    <row r="150" spans="1:21">
      <c r="B150" s="276" t="s">
        <v>82</v>
      </c>
      <c r="C150" s="276" t="s">
        <v>89</v>
      </c>
      <c r="D150" s="276" t="s">
        <v>183</v>
      </c>
      <c r="E150" s="286" t="s">
        <v>182</v>
      </c>
      <c r="F150" s="277"/>
      <c r="G150" s="277"/>
      <c r="H150" s="277"/>
      <c r="I150" s="277">
        <f>VLOOKUP($B150,F_Inputs!$B$137:$O$155,COLUMN()-1,FALSE)</f>
        <v>46.084000000000003</v>
      </c>
      <c r="J150" s="277"/>
      <c r="K150" s="531">
        <f>VLOOKUP($B150,F_Inputs!$B$137:$O$155,COLUMN()-1,FALSE)</f>
        <v>47.109000000000002</v>
      </c>
      <c r="L150" s="532">
        <f>VLOOKUP($B150,F_Inputs!$B$137:$O$155,COLUMN()-1,FALSE)</f>
        <v>47.109000000000002</v>
      </c>
      <c r="M150" s="532">
        <f>VLOOKUP($B150,F_Inputs!$B$137:$O$155,COLUMN()-1,FALSE)</f>
        <v>47.109000000000002</v>
      </c>
      <c r="N150" s="532">
        <f>VLOOKUP($B150,F_Inputs!$B$137:$O$155,COLUMN()-1,FALSE)</f>
        <v>47.109000000000002</v>
      </c>
      <c r="O150" s="532">
        <f>VLOOKUP($B150,F_Inputs!$B$137:$O$155,COLUMN()-1,FALSE)</f>
        <v>47.109000000000002</v>
      </c>
    </row>
    <row r="151" spans="1:21">
      <c r="B151" s="276" t="s">
        <v>87</v>
      </c>
      <c r="C151" s="276" t="s">
        <v>90</v>
      </c>
      <c r="D151" s="276" t="s">
        <v>183</v>
      </c>
      <c r="E151" s="286" t="s">
        <v>182</v>
      </c>
      <c r="F151" s="277"/>
      <c r="G151" s="277"/>
      <c r="H151" s="277"/>
      <c r="I151" s="277">
        <f>VLOOKUP($B151,F_Inputs!$B$137:$O$155,COLUMN()-1,FALSE)</f>
        <v>23.175999999999998</v>
      </c>
      <c r="J151" s="277"/>
      <c r="K151" s="531">
        <f>VLOOKUP($B151,F_Inputs!$B$137:$O$155,COLUMN()-1,FALSE)</f>
        <v>23.187999999999999</v>
      </c>
      <c r="L151" s="532">
        <f>VLOOKUP($B151,F_Inputs!$B$137:$O$155,COLUMN()-1,FALSE)</f>
        <v>23.503</v>
      </c>
      <c r="M151" s="532">
        <f>VLOOKUP($B151,F_Inputs!$B$137:$O$155,COLUMN()-1,FALSE)</f>
        <v>23.838000000000001</v>
      </c>
      <c r="N151" s="532">
        <f>VLOOKUP($B151,F_Inputs!$B$137:$O$155,COLUMN()-1,FALSE)</f>
        <v>24.195</v>
      </c>
      <c r="O151" s="532">
        <f>VLOOKUP($B151,F_Inputs!$B$137:$O$155,COLUMN()-1,FALSE)</f>
        <v>24.574999999999999</v>
      </c>
    </row>
    <row r="152" spans="1:21">
      <c r="B152" s="276" t="s">
        <v>83</v>
      </c>
      <c r="C152" s="276" t="s">
        <v>91</v>
      </c>
      <c r="D152" s="276" t="s">
        <v>183</v>
      </c>
      <c r="E152" s="286" t="s">
        <v>182</v>
      </c>
      <c r="F152" s="277"/>
      <c r="G152" s="277"/>
      <c r="H152" s="277"/>
      <c r="I152" s="277">
        <f>VLOOKUP($B152,F_Inputs!$B$137:$O$155,COLUMN()-1,FALSE)</f>
        <v>27.266999999999999</v>
      </c>
      <c r="J152" s="277"/>
      <c r="K152" s="531">
        <f>VLOOKUP($B152,F_Inputs!$B$137:$O$155,COLUMN()-1,FALSE)</f>
        <v>28.268999999999998</v>
      </c>
      <c r="L152" s="532">
        <f>VLOOKUP($B152,F_Inputs!$B$137:$O$155,COLUMN()-1,FALSE)</f>
        <v>28.268999999999998</v>
      </c>
      <c r="M152" s="532">
        <f>VLOOKUP($B152,F_Inputs!$B$137:$O$155,COLUMN()-1,FALSE)</f>
        <v>28.268999999999998</v>
      </c>
      <c r="N152" s="532">
        <f>VLOOKUP($B152,F_Inputs!$B$137:$O$155,COLUMN()-1,FALSE)</f>
        <v>28.268999999999998</v>
      </c>
      <c r="O152" s="532">
        <f>VLOOKUP($B152,F_Inputs!$B$137:$O$155,COLUMN()-1,FALSE)</f>
        <v>28.268999999999998</v>
      </c>
    </row>
    <row r="153" spans="1:21">
      <c r="B153" s="276" t="s">
        <v>84</v>
      </c>
      <c r="C153" s="276" t="s">
        <v>92</v>
      </c>
      <c r="D153" s="276" t="s">
        <v>183</v>
      </c>
      <c r="E153" s="286" t="s">
        <v>182</v>
      </c>
      <c r="F153" s="277"/>
      <c r="G153" s="277"/>
      <c r="H153" s="277"/>
      <c r="I153" s="277">
        <f>VLOOKUP($B153,F_Inputs!$B$137:$O$155,COLUMN()-1,FALSE)</f>
        <v>15.521000000000001</v>
      </c>
      <c r="J153" s="277"/>
      <c r="K153" s="531">
        <f>VLOOKUP($B153,F_Inputs!$B$137:$O$155,COLUMN()-1,FALSE)</f>
        <v>14.968</v>
      </c>
      <c r="L153" s="532">
        <f>VLOOKUP($B153,F_Inputs!$B$137:$O$155,COLUMN()-1,FALSE)</f>
        <v>14.968</v>
      </c>
      <c r="M153" s="532">
        <f>VLOOKUP($B153,F_Inputs!$B$137:$O$155,COLUMN()-1,FALSE)</f>
        <v>14.968</v>
      </c>
      <c r="N153" s="532">
        <f>VLOOKUP($B153,F_Inputs!$B$137:$O$155,COLUMN()-1,FALSE)</f>
        <v>14.968</v>
      </c>
      <c r="O153" s="532">
        <f>VLOOKUP($B153,F_Inputs!$B$137:$O$155,COLUMN()-1,FALSE)</f>
        <v>14.968</v>
      </c>
    </row>
    <row r="154" spans="1:21">
      <c r="B154" s="276" t="s">
        <v>85</v>
      </c>
      <c r="C154" s="276" t="s">
        <v>93</v>
      </c>
      <c r="D154" s="276" t="s">
        <v>183</v>
      </c>
      <c r="E154" s="286" t="s">
        <v>182</v>
      </c>
      <c r="F154" s="277"/>
      <c r="G154" s="277"/>
      <c r="H154" s="277"/>
      <c r="I154" s="277">
        <f>VLOOKUP($B154,F_Inputs!$B$137:$O$155,COLUMN()-1,FALSE)</f>
        <v>1793.423</v>
      </c>
      <c r="J154" s="277"/>
      <c r="K154" s="531">
        <f>VLOOKUP($B154,F_Inputs!$B$137:$O$155,COLUMN()-1,FALSE)</f>
        <v>1678.184</v>
      </c>
      <c r="L154" s="532">
        <f>VLOOKUP($B154,F_Inputs!$B$137:$O$155,COLUMN()-1,FALSE)</f>
        <v>1616.836</v>
      </c>
      <c r="M154" s="532">
        <f>VLOOKUP($B154,F_Inputs!$B$137:$O$155,COLUMN()-1,FALSE)</f>
        <v>1558.1020000000001</v>
      </c>
      <c r="N154" s="532">
        <f>VLOOKUP($B154,F_Inputs!$B$137:$O$155,COLUMN()-1,FALSE)</f>
        <v>1505.809</v>
      </c>
      <c r="O154" s="532">
        <f>VLOOKUP($B154,F_Inputs!$B$137:$O$155,COLUMN()-1,FALSE)</f>
        <v>1459.174</v>
      </c>
    </row>
    <row r="155" spans="1:21">
      <c r="B155" s="276" t="s">
        <v>86</v>
      </c>
      <c r="C155" s="276" t="s">
        <v>94</v>
      </c>
      <c r="D155" s="276" t="s">
        <v>183</v>
      </c>
      <c r="E155" s="286" t="s">
        <v>182</v>
      </c>
      <c r="F155" s="277"/>
      <c r="G155" s="277"/>
      <c r="H155" s="277"/>
      <c r="I155" s="277">
        <f>VLOOKUP($B155,F_Inputs!$B$137:$O$155,COLUMN()-1,FALSE)</f>
        <v>1006.773</v>
      </c>
      <c r="J155" s="277"/>
      <c r="K155" s="531">
        <f>VLOOKUP($B155,F_Inputs!$B$137:$O$155,COLUMN()-1,FALSE)</f>
        <v>1142.0429999999999</v>
      </c>
      <c r="L155" s="532">
        <f>VLOOKUP($B155,F_Inputs!$B$137:$O$155,COLUMN()-1,FALSE)</f>
        <v>1215.5840000000001</v>
      </c>
      <c r="M155" s="532">
        <f>VLOOKUP($B155,F_Inputs!$B$137:$O$155,COLUMN()-1,FALSE)</f>
        <v>1287.8969999999999</v>
      </c>
      <c r="N155" s="532">
        <f>VLOOKUP($B155,F_Inputs!$B$137:$O$155,COLUMN()-1,FALSE)</f>
        <v>1355.3140000000001</v>
      </c>
      <c r="O155" s="532">
        <f>VLOOKUP($B155,F_Inputs!$B$137:$O$155,COLUMN()-1,FALSE)</f>
        <v>1418.1780000000001</v>
      </c>
    </row>
    <row r="156" spans="1:21">
      <c r="B156" s="276" t="s">
        <v>156</v>
      </c>
      <c r="C156" s="276" t="s">
        <v>157</v>
      </c>
      <c r="D156" s="276" t="s">
        <v>74</v>
      </c>
      <c r="E156" s="286" t="s">
        <v>182</v>
      </c>
      <c r="F156" s="277"/>
      <c r="G156" s="277"/>
      <c r="H156" s="277"/>
      <c r="I156" s="277">
        <f>I761</f>
        <v>19.400801224878901</v>
      </c>
      <c r="J156" s="277"/>
      <c r="K156" s="531">
        <f t="shared" ref="K156:O156" si="39">K761</f>
        <v>20.66706265899241</v>
      </c>
      <c r="L156" s="532">
        <f t="shared" si="39"/>
        <v>20.66706265899241</v>
      </c>
      <c r="M156" s="532">
        <f t="shared" si="39"/>
        <v>20.66706265899241</v>
      </c>
      <c r="N156" s="532">
        <f t="shared" si="39"/>
        <v>20.66706265899241</v>
      </c>
      <c r="O156" s="532">
        <f t="shared" si="39"/>
        <v>20.66706265899241</v>
      </c>
    </row>
    <row r="157" spans="1:21">
      <c r="B157" s="276" t="s">
        <v>159</v>
      </c>
      <c r="C157" s="276" t="s">
        <v>158</v>
      </c>
      <c r="D157" s="276" t="s">
        <v>74</v>
      </c>
      <c r="E157" s="286" t="s">
        <v>182</v>
      </c>
      <c r="F157" s="277"/>
      <c r="G157" s="277"/>
      <c r="H157" s="277"/>
      <c r="I157" s="277">
        <f>VLOOKUP($B157,F_Inputs!$B$137:$O$155,COLUMN()-1,FALSE)</f>
        <v>0</v>
      </c>
      <c r="J157" s="277"/>
      <c r="K157" s="531">
        <f>VLOOKUP($B157,F_Inputs!$B$137:$O$155,COLUMN()-1,FALSE)</f>
        <v>0</v>
      </c>
      <c r="L157" s="532">
        <f>VLOOKUP($B157,F_Inputs!$B$137:$O$155,COLUMN()-1,FALSE)</f>
        <v>0</v>
      </c>
      <c r="M157" s="532">
        <f>VLOOKUP($B157,F_Inputs!$B$137:$O$155,COLUMN()-1,FALSE)</f>
        <v>0</v>
      </c>
      <c r="N157" s="532">
        <f>VLOOKUP($B157,F_Inputs!$B$137:$O$155,COLUMN()-1,FALSE)</f>
        <v>0</v>
      </c>
      <c r="O157" s="532">
        <f>VLOOKUP($B157,F_Inputs!$B$137:$O$155,COLUMN()-1,FALSE)</f>
        <v>0</v>
      </c>
      <c r="Q157" s="277"/>
      <c r="R157" s="277"/>
      <c r="S157" s="277"/>
      <c r="T157" s="277"/>
      <c r="U157" s="277"/>
    </row>
    <row r="158" spans="1:21">
      <c r="A158" s="276" t="s">
        <v>51</v>
      </c>
      <c r="B158" s="276" t="s">
        <v>78</v>
      </c>
      <c r="C158" s="276" t="s">
        <v>132</v>
      </c>
      <c r="D158" s="276" t="s">
        <v>74</v>
      </c>
      <c r="E158" s="286" t="s">
        <v>182</v>
      </c>
      <c r="F158" s="277"/>
      <c r="G158" s="277"/>
      <c r="H158" s="277"/>
      <c r="I158" s="277">
        <f>VLOOKUP($B158,F_Inputs!$B156:$O174,COLUMN()-1,FALSE)+'New cost and adjustments inputs'!I35+I768</f>
        <v>25.757002458954499</v>
      </c>
      <c r="J158" s="277"/>
      <c r="K158" s="531">
        <f>VLOOKUP($B158,F_Inputs!$B156:$O174,COLUMN()-1,FALSE)+'New cost and adjustments inputs'!K35+K768</f>
        <v>26.746460138321201</v>
      </c>
      <c r="L158" s="532">
        <f>VLOOKUP($B158,F_Inputs!$B156:$O174,COLUMN()-1,FALSE)+'New cost and adjustments inputs'!L35+L768</f>
        <v>27.3228338159876</v>
      </c>
      <c r="M158" s="532">
        <f>VLOOKUP($B158,F_Inputs!$B156:$O174,COLUMN()-1,FALSE)+'New cost and adjustments inputs'!M35+M768</f>
        <v>27.8836560959429</v>
      </c>
      <c r="N158" s="532">
        <f>VLOOKUP($B158,F_Inputs!$B156:$O174,COLUMN()-1,FALSE)+'New cost and adjustments inputs'!N35+N768</f>
        <v>28.417263429903901</v>
      </c>
      <c r="O158" s="532">
        <f>VLOOKUP($B158,F_Inputs!$B156:$O174,COLUMN()-1,FALSE)+'New cost and adjustments inputs'!O35+O768</f>
        <v>28.925599742584399</v>
      </c>
      <c r="Q158" s="279"/>
      <c r="R158" s="279"/>
      <c r="S158" s="279"/>
      <c r="T158" s="279"/>
      <c r="U158" s="279"/>
    </row>
    <row r="159" spans="1:21">
      <c r="B159" s="276" t="s">
        <v>97</v>
      </c>
      <c r="C159" s="276" t="s">
        <v>99</v>
      </c>
      <c r="D159" s="276" t="s">
        <v>74</v>
      </c>
      <c r="E159" s="286" t="s">
        <v>182</v>
      </c>
      <c r="F159" s="277">
        <f>F22</f>
        <v>1.749532242495025</v>
      </c>
      <c r="G159" s="277">
        <f t="shared" ref="G159:K159" si="40">G22</f>
        <v>1.7495322424950288</v>
      </c>
      <c r="H159" s="277">
        <f t="shared" si="40"/>
        <v>1.6523360068008595</v>
      </c>
      <c r="I159" s="277">
        <f t="shared" si="40"/>
        <v>0.7046727087827187</v>
      </c>
      <c r="K159" s="531">
        <f t="shared" si="40"/>
        <v>0.80186894447688639</v>
      </c>
      <c r="L159" s="532">
        <f t="shared" ref="L159:O159" si="41">L22</f>
        <v>0.80186894447688639</v>
      </c>
      <c r="M159" s="532">
        <f t="shared" si="41"/>
        <v>0.80186894447688639</v>
      </c>
      <c r="N159" s="532">
        <f t="shared" si="41"/>
        <v>0.80186894447688639</v>
      </c>
      <c r="O159" s="532">
        <f t="shared" si="41"/>
        <v>0.80186894447688639</v>
      </c>
    </row>
    <row r="160" spans="1:21">
      <c r="B160" s="276" t="s">
        <v>98</v>
      </c>
      <c r="C160" s="276" t="s">
        <v>100</v>
      </c>
      <c r="D160" s="276" t="s">
        <v>74</v>
      </c>
      <c r="E160" s="286" t="s">
        <v>182</v>
      </c>
      <c r="F160" s="277">
        <f>F23</f>
        <v>0</v>
      </c>
      <c r="G160" s="277">
        <f t="shared" ref="G160:K160" si="42">G23</f>
        <v>0</v>
      </c>
      <c r="H160" s="277">
        <f t="shared" si="42"/>
        <v>0</v>
      </c>
      <c r="I160" s="277">
        <f t="shared" si="42"/>
        <v>0</v>
      </c>
      <c r="K160" s="531">
        <f t="shared" si="42"/>
        <v>0.48471688999645701</v>
      </c>
      <c r="L160" s="532">
        <f t="shared" ref="L160:O160" si="43">L23</f>
        <v>0.46138910120443699</v>
      </c>
      <c r="M160" s="532">
        <f t="shared" si="43"/>
        <v>0.58562784967460602</v>
      </c>
      <c r="N160" s="532">
        <f t="shared" si="43"/>
        <v>0.56803855392144997</v>
      </c>
      <c r="O160" s="532">
        <f t="shared" si="43"/>
        <v>0.52372990528111496</v>
      </c>
    </row>
    <row r="161" spans="1:15">
      <c r="B161" s="276" t="s">
        <v>79</v>
      </c>
      <c r="C161" s="276" t="s">
        <v>135</v>
      </c>
      <c r="D161" s="276" t="s">
        <v>74</v>
      </c>
      <c r="E161" s="286" t="s">
        <v>182</v>
      </c>
      <c r="F161" s="277"/>
      <c r="G161" s="277"/>
      <c r="H161" s="277"/>
      <c r="I161" s="277">
        <f>VLOOKUP($B161,F_Inputs!$B$156:$O$174,COLUMN()-1,FALSE)</f>
        <v>7.8728950912276094E-2</v>
      </c>
      <c r="J161" s="277"/>
      <c r="K161" s="531">
        <f>VLOOKUP($B161,F_Inputs!$B$156:$O$174,COLUMN()-1,FALSE)</f>
        <v>7.8728950912276094E-2</v>
      </c>
      <c r="L161" s="532">
        <f>VLOOKUP($B161,F_Inputs!$B$156:$O$174,COLUMN()-1,FALSE)</f>
        <v>7.8728950912276094E-2</v>
      </c>
      <c r="M161" s="532">
        <f>VLOOKUP($B161,F_Inputs!$B$156:$O$174,COLUMN()-1,FALSE)</f>
        <v>7.8728950912276094E-2</v>
      </c>
      <c r="N161" s="532">
        <f>VLOOKUP($B161,F_Inputs!$B$156:$O$174,COLUMN()-1,FALSE)</f>
        <v>7.8728950912276094E-2</v>
      </c>
      <c r="O161" s="532">
        <f>VLOOKUP($B161,F_Inputs!$B$156:$O$174,COLUMN()-1,FALSE)</f>
        <v>7.8728950912276094E-2</v>
      </c>
    </row>
    <row r="162" spans="1:15">
      <c r="B162" s="276" t="s">
        <v>80</v>
      </c>
      <c r="C162" s="276" t="s">
        <v>136</v>
      </c>
      <c r="D162" s="276" t="s">
        <v>74</v>
      </c>
      <c r="E162" s="286" t="s">
        <v>182</v>
      </c>
      <c r="F162" s="277"/>
      <c r="G162" s="277"/>
      <c r="H162" s="277"/>
      <c r="I162" s="277">
        <f>VLOOKUP($B162,F_Inputs!$B$156:$O$174,COLUMN()-1,FALSE)</f>
        <v>1.31409310658515</v>
      </c>
      <c r="J162" s="277"/>
      <c r="K162" s="531">
        <f>VLOOKUP($B162,F_Inputs!$B$156:$O$174,COLUMN()-1,FALSE)</f>
        <v>1.5211210886137301</v>
      </c>
      <c r="L162" s="532">
        <f>VLOOKUP($B162,F_Inputs!$B$156:$O$174,COLUMN()-1,FALSE)</f>
        <v>1.66302759272722</v>
      </c>
      <c r="M162" s="532">
        <f>VLOOKUP($B162,F_Inputs!$B$156:$O$174,COLUMN()-1,FALSE)</f>
        <v>1.80979390862541</v>
      </c>
      <c r="N162" s="532">
        <f>VLOOKUP($B162,F_Inputs!$B$156:$O$174,COLUMN()-1,FALSE)</f>
        <v>1.95072845038195</v>
      </c>
      <c r="O162" s="532">
        <f>VLOOKUP($B162,F_Inputs!$B$156:$O$174,COLUMN()-1,FALSE)</f>
        <v>2.0858312179968501</v>
      </c>
    </row>
    <row r="163" spans="1:15">
      <c r="B163" s="276" t="s">
        <v>81</v>
      </c>
      <c r="C163" s="276" t="s">
        <v>137</v>
      </c>
      <c r="D163" s="276" t="s">
        <v>74</v>
      </c>
      <c r="E163" s="286" t="s">
        <v>182</v>
      </c>
      <c r="F163" s="277"/>
      <c r="G163" s="277"/>
      <c r="H163" s="277"/>
      <c r="I163" s="277">
        <f>VLOOKUP($B163,F_Inputs!$B$156:$O$174,COLUMN()-1,FALSE)</f>
        <v>1.97891535873326</v>
      </c>
      <c r="J163" s="277"/>
      <c r="K163" s="531">
        <f>VLOOKUP($B163,F_Inputs!$B$156:$O$174,COLUMN()-1,FALSE)</f>
        <v>2.3152143342350802</v>
      </c>
      <c r="L163" s="532">
        <f>VLOOKUP($B163,F_Inputs!$B$156:$O$174,COLUMN()-1,FALSE)</f>
        <v>2.5212703539067198</v>
      </c>
      <c r="M163" s="532">
        <f>VLOOKUP($B163,F_Inputs!$B$156:$O$174,COLUMN()-1,FALSE)</f>
        <v>2.7030273146548098</v>
      </c>
      <c r="N163" s="532">
        <f>VLOOKUP($B163,F_Inputs!$B$156:$O$174,COLUMN()-1,FALSE)</f>
        <v>2.8663169906210202</v>
      </c>
      <c r="O163" s="532">
        <f>VLOOKUP($B163,F_Inputs!$B$156:$O$174,COLUMN()-1,FALSE)</f>
        <v>3.0121113441622702</v>
      </c>
    </row>
    <row r="164" spans="1:15">
      <c r="B164" s="276" t="s">
        <v>82</v>
      </c>
      <c r="C164" s="276" t="s">
        <v>89</v>
      </c>
      <c r="D164" s="276" t="s">
        <v>183</v>
      </c>
      <c r="E164" s="286" t="s">
        <v>182</v>
      </c>
      <c r="F164" s="277"/>
      <c r="G164" s="277"/>
      <c r="H164" s="277"/>
      <c r="I164" s="277">
        <f>VLOOKUP($B164,F_Inputs!$B$156:$O$174,COLUMN()-1,FALSE)</f>
        <v>22.218</v>
      </c>
      <c r="J164" s="277"/>
      <c r="K164" s="531">
        <f>VLOOKUP($B164,F_Inputs!$B$156:$O$174,COLUMN()-1,FALSE)</f>
        <v>22.218</v>
      </c>
      <c r="L164" s="532">
        <f>VLOOKUP($B164,F_Inputs!$B$156:$O$174,COLUMN()-1,FALSE)</f>
        <v>22.218</v>
      </c>
      <c r="M164" s="532">
        <f>VLOOKUP($B164,F_Inputs!$B$156:$O$174,COLUMN()-1,FALSE)</f>
        <v>22.218</v>
      </c>
      <c r="N164" s="532">
        <f>VLOOKUP($B164,F_Inputs!$B$156:$O$174,COLUMN()-1,FALSE)</f>
        <v>22.218</v>
      </c>
      <c r="O164" s="532">
        <f>VLOOKUP($B164,F_Inputs!$B$156:$O$174,COLUMN()-1,FALSE)</f>
        <v>22.218</v>
      </c>
    </row>
    <row r="165" spans="1:15">
      <c r="B165" s="276" t="s">
        <v>87</v>
      </c>
      <c r="C165" s="276" t="s">
        <v>90</v>
      </c>
      <c r="D165" s="276" t="s">
        <v>183</v>
      </c>
      <c r="E165" s="286" t="s">
        <v>182</v>
      </c>
      <c r="F165" s="277"/>
      <c r="G165" s="277"/>
      <c r="H165" s="277"/>
      <c r="I165" s="277">
        <f>VLOOKUP($B165,F_Inputs!$B$156:$O$174,COLUMN()-1,FALSE)</f>
        <v>16.611999999999998</v>
      </c>
      <c r="J165" s="277"/>
      <c r="K165" s="531">
        <f>VLOOKUP($B165,F_Inputs!$B$156:$O$174,COLUMN()-1,FALSE)</f>
        <v>16.611999999999998</v>
      </c>
      <c r="L165" s="532">
        <f>VLOOKUP($B165,F_Inputs!$B$156:$O$174,COLUMN()-1,FALSE)</f>
        <v>16.611999999999998</v>
      </c>
      <c r="M165" s="532">
        <f>VLOOKUP($B165,F_Inputs!$B$156:$O$174,COLUMN()-1,FALSE)</f>
        <v>16.611999999999998</v>
      </c>
      <c r="N165" s="532">
        <f>VLOOKUP($B165,F_Inputs!$B$156:$O$174,COLUMN()-1,FALSE)</f>
        <v>16.611999999999998</v>
      </c>
      <c r="O165" s="532">
        <f>VLOOKUP($B165,F_Inputs!$B$156:$O$174,COLUMN()-1,FALSE)</f>
        <v>16.611999999999998</v>
      </c>
    </row>
    <row r="166" spans="1:15">
      <c r="B166" s="276" t="s">
        <v>83</v>
      </c>
      <c r="C166" s="276" t="s">
        <v>91</v>
      </c>
      <c r="D166" s="276" t="s">
        <v>183</v>
      </c>
      <c r="E166" s="286" t="s">
        <v>182</v>
      </c>
      <c r="F166" s="277"/>
      <c r="G166" s="277"/>
      <c r="H166" s="277"/>
      <c r="I166" s="277">
        <f>VLOOKUP($B166,F_Inputs!$B$156:$O$174,COLUMN()-1,FALSE)</f>
        <v>324.24599999999998</v>
      </c>
      <c r="J166" s="277"/>
      <c r="K166" s="531">
        <f>VLOOKUP($B166,F_Inputs!$B$156:$O$174,COLUMN()-1,FALSE)</f>
        <v>292.10199999999998</v>
      </c>
      <c r="L166" s="532">
        <f>VLOOKUP($B166,F_Inputs!$B$156:$O$174,COLUMN()-1,FALSE)</f>
        <v>268.60199999999998</v>
      </c>
      <c r="M166" s="532">
        <f>VLOOKUP($B166,F_Inputs!$B$156:$O$174,COLUMN()-1,FALSE)</f>
        <v>244.124</v>
      </c>
      <c r="N166" s="532">
        <f>VLOOKUP($B166,F_Inputs!$B$156:$O$174,COLUMN()-1,FALSE)</f>
        <v>220.78700000000001</v>
      </c>
      <c r="O166" s="532">
        <f>VLOOKUP($B166,F_Inputs!$B$156:$O$174,COLUMN()-1,FALSE)</f>
        <v>198.536</v>
      </c>
    </row>
    <row r="167" spans="1:15">
      <c r="B167" s="276" t="s">
        <v>84</v>
      </c>
      <c r="C167" s="276" t="s">
        <v>92</v>
      </c>
      <c r="D167" s="276" t="s">
        <v>183</v>
      </c>
      <c r="E167" s="286" t="s">
        <v>182</v>
      </c>
      <c r="F167" s="277"/>
      <c r="G167" s="277"/>
      <c r="H167" s="277"/>
      <c r="I167" s="277">
        <f>VLOOKUP($B167,F_Inputs!$B$156:$O$174,COLUMN()-1,FALSE)</f>
        <v>277.37299999999999</v>
      </c>
      <c r="J167" s="277"/>
      <c r="K167" s="531">
        <f>VLOOKUP($B167,F_Inputs!$B$156:$O$174,COLUMN()-1,FALSE)</f>
        <v>321.17500000000001</v>
      </c>
      <c r="L167" s="532">
        <f>VLOOKUP($B167,F_Inputs!$B$156:$O$174,COLUMN()-1,FALSE)</f>
        <v>351.07</v>
      </c>
      <c r="M167" s="532">
        <f>VLOOKUP($B167,F_Inputs!$B$156:$O$174,COLUMN()-1,FALSE)</f>
        <v>382.05599999999998</v>
      </c>
      <c r="N167" s="532">
        <f>VLOOKUP($B167,F_Inputs!$B$156:$O$174,COLUMN()-1,FALSE)</f>
        <v>411.82600000000002</v>
      </c>
      <c r="O167" s="532">
        <f>VLOOKUP($B167,F_Inputs!$B$156:$O$174,COLUMN()-1,FALSE)</f>
        <v>440.37099999999998</v>
      </c>
    </row>
    <row r="168" spans="1:15">
      <c r="B168" s="276" t="s">
        <v>85</v>
      </c>
      <c r="C168" s="276" t="s">
        <v>93</v>
      </c>
      <c r="D168" s="276" t="s">
        <v>183</v>
      </c>
      <c r="E168" s="286" t="s">
        <v>182</v>
      </c>
      <c r="F168" s="277"/>
      <c r="G168" s="277"/>
      <c r="H168" s="277"/>
      <c r="I168" s="277">
        <f>VLOOKUP($B168,F_Inputs!$B$156:$O$174,COLUMN()-1,FALSE)</f>
        <v>210.52699999999999</v>
      </c>
      <c r="J168" s="277"/>
      <c r="K168" s="531">
        <f>VLOOKUP($B168,F_Inputs!$B$156:$O$174,COLUMN()-1,FALSE)</f>
        <v>172.98699999999999</v>
      </c>
      <c r="L168" s="532">
        <f>VLOOKUP($B168,F_Inputs!$B$156:$O$174,COLUMN()-1,FALSE)</f>
        <v>148.68700000000001</v>
      </c>
      <c r="M168" s="532">
        <f>VLOOKUP($B168,F_Inputs!$B$156:$O$174,COLUMN()-1,FALSE)</f>
        <v>127.64700000000001</v>
      </c>
      <c r="N168" s="532">
        <f>VLOOKUP($B168,F_Inputs!$B$156:$O$174,COLUMN()-1,FALSE)</f>
        <v>109.414</v>
      </c>
      <c r="O168" s="532">
        <f>VLOOKUP($B168,F_Inputs!$B$156:$O$174,COLUMN()-1,FALSE)</f>
        <v>93.599000000000004</v>
      </c>
    </row>
    <row r="169" spans="1:15">
      <c r="B169" s="276" t="s">
        <v>86</v>
      </c>
      <c r="C169" s="276" t="s">
        <v>94</v>
      </c>
      <c r="D169" s="276" t="s">
        <v>183</v>
      </c>
      <c r="E169" s="286" t="s">
        <v>182</v>
      </c>
      <c r="F169" s="277"/>
      <c r="G169" s="277"/>
      <c r="H169" s="277"/>
      <c r="I169" s="277">
        <f>VLOOKUP($B169,F_Inputs!$B$156:$O$174,COLUMN()-1,FALSE)</f>
        <v>280.26400000000001</v>
      </c>
      <c r="J169" s="277"/>
      <c r="K169" s="531">
        <f>VLOOKUP($B169,F_Inputs!$B$156:$O$174,COLUMN()-1,FALSE)</f>
        <v>327.89</v>
      </c>
      <c r="L169" s="532">
        <f>VLOOKUP($B169,F_Inputs!$B$156:$O$174,COLUMN()-1,FALSE)</f>
        <v>356.99</v>
      </c>
      <c r="M169" s="532">
        <f>VLOOKUP($B169,F_Inputs!$B$156:$O$174,COLUMN()-1,FALSE)</f>
        <v>382.83</v>
      </c>
      <c r="N169" s="532">
        <f>VLOOKUP($B169,F_Inputs!$B$156:$O$174,COLUMN()-1,FALSE)</f>
        <v>405.863</v>
      </c>
      <c r="O169" s="532">
        <f>VLOOKUP($B169,F_Inputs!$B$156:$O$174,COLUMN()-1,FALSE)</f>
        <v>426.47800000000001</v>
      </c>
    </row>
    <row r="170" spans="1:15">
      <c r="B170" s="276" t="s">
        <v>156</v>
      </c>
      <c r="C170" s="276" t="s">
        <v>157</v>
      </c>
      <c r="D170" s="276" t="s">
        <v>74</v>
      </c>
      <c r="E170" s="286" t="s">
        <v>182</v>
      </c>
      <c r="F170" s="277"/>
      <c r="G170" s="277"/>
      <c r="H170" s="277"/>
      <c r="I170" s="277">
        <f>I767</f>
        <v>0.43850276063668803</v>
      </c>
      <c r="J170" s="277"/>
      <c r="K170" s="531">
        <f t="shared" ref="K170:O170" si="44">K767</f>
        <v>1.4811451683709884</v>
      </c>
      <c r="L170" s="532">
        <f t="shared" si="44"/>
        <v>2.0847329927883615</v>
      </c>
      <c r="M170" s="532">
        <f t="shared" si="44"/>
        <v>2.7301151432120898</v>
      </c>
      <c r="N170" s="532">
        <f t="shared" si="44"/>
        <v>3.4163196585722595</v>
      </c>
      <c r="O170" s="532">
        <f t="shared" si="44"/>
        <v>4.1423745777989547</v>
      </c>
    </row>
    <row r="171" spans="1:15">
      <c r="B171" s="276" t="s">
        <v>159</v>
      </c>
      <c r="C171" s="276" t="s">
        <v>158</v>
      </c>
      <c r="D171" s="276" t="s">
        <v>74</v>
      </c>
      <c r="E171" s="286" t="s">
        <v>182</v>
      </c>
      <c r="F171" s="277"/>
      <c r="G171" s="277"/>
      <c r="H171" s="277"/>
      <c r="I171" s="277">
        <f>VLOOKUP($B171,F_Inputs!$B$156:$O$174,COLUMN()-1,FALSE)</f>
        <v>0</v>
      </c>
      <c r="J171" s="277"/>
      <c r="K171" s="531">
        <f>VLOOKUP($B171,F_Inputs!$B$156:$O$174,COLUMN()-1,FALSE)</f>
        <v>0</v>
      </c>
      <c r="L171" s="532">
        <f>VLOOKUP($B171,F_Inputs!$B$156:$O$174,COLUMN()-1,FALSE)</f>
        <v>0</v>
      </c>
      <c r="M171" s="532">
        <f>VLOOKUP($B171,F_Inputs!$B$156:$O$174,COLUMN()-1,FALSE)</f>
        <v>0</v>
      </c>
      <c r="N171" s="532">
        <f>VLOOKUP($B171,F_Inputs!$B$156:$O$174,COLUMN()-1,FALSE)</f>
        <v>0</v>
      </c>
      <c r="O171" s="532">
        <f>VLOOKUP($B171,F_Inputs!$B$156:$O$174,COLUMN()-1,FALSE)</f>
        <v>0</v>
      </c>
    </row>
    <row r="172" spans="1:15">
      <c r="A172" s="276" t="s">
        <v>52</v>
      </c>
      <c r="B172" s="276" t="s">
        <v>78</v>
      </c>
      <c r="C172" s="276" t="s">
        <v>132</v>
      </c>
      <c r="D172" s="276" t="s">
        <v>74</v>
      </c>
      <c r="E172" s="286" t="s">
        <v>182</v>
      </c>
      <c r="F172" s="277"/>
      <c r="G172" s="277"/>
      <c r="H172" s="277"/>
      <c r="I172" s="277">
        <f>VLOOKUP($B$46,F_Inputs!$B175:$O193,COLUMN()-1,FALSE)+'New cost and adjustments inputs'!I36+I774</f>
        <v>47.366505005957698</v>
      </c>
      <c r="J172" s="277"/>
      <c r="K172" s="531">
        <f>VLOOKUP($B$46,F_Inputs!$B175:$O193,COLUMN()-1,FALSE)+'New cost and adjustments inputs'!K36+K774</f>
        <v>47.542428198049599</v>
      </c>
      <c r="L172" s="532">
        <f>VLOOKUP($B$46,F_Inputs!$B175:$O193,COLUMN()-1,FALSE)+'New cost and adjustments inputs'!L36+L774</f>
        <v>47.929086667268599</v>
      </c>
      <c r="M172" s="532">
        <f>VLOOKUP($B$46,F_Inputs!$B175:$O193,COLUMN()-1,FALSE)+'New cost and adjustments inputs'!M36+M774</f>
        <v>48.470486532367502</v>
      </c>
      <c r="N172" s="532">
        <f>VLOOKUP($B$46,F_Inputs!$B175:$O193,COLUMN()-1,FALSE)+'New cost and adjustments inputs'!N36+N774</f>
        <v>49.092938217841102</v>
      </c>
      <c r="O172" s="532">
        <f>VLOOKUP($B$46,F_Inputs!$B175:$O193,COLUMN()-1,FALSE)+'New cost and adjustments inputs'!O36+O774</f>
        <v>49.732786361599501</v>
      </c>
    </row>
    <row r="173" spans="1:15">
      <c r="B173" s="276" t="s">
        <v>97</v>
      </c>
      <c r="C173" s="276" t="s">
        <v>99</v>
      </c>
      <c r="D173" s="276" t="s">
        <v>74</v>
      </c>
      <c r="E173" s="286" t="s">
        <v>182</v>
      </c>
      <c r="F173" s="277">
        <f>F24</f>
        <v>6.6315852457875204</v>
      </c>
      <c r="G173" s="277">
        <f t="shared" ref="G173:K173" si="45">G24</f>
        <v>6.5185187327623604</v>
      </c>
      <c r="H173" s="277">
        <f t="shared" si="45"/>
        <v>6.4462548990210298</v>
      </c>
      <c r="I173" s="277">
        <f t="shared" si="45"/>
        <v>5.6357767745546798</v>
      </c>
      <c r="K173" s="531">
        <f t="shared" si="45"/>
        <v>4.6802277339418401</v>
      </c>
      <c r="L173" s="532">
        <f t="shared" ref="L173:O173" si="46">L24</f>
        <v>4.2547540450388297</v>
      </c>
      <c r="M173" s="532">
        <f t="shared" si="46"/>
        <v>3.5833639750016002</v>
      </c>
      <c r="N173" s="532">
        <f t="shared" si="46"/>
        <v>1.7689514606562802</v>
      </c>
      <c r="O173" s="532">
        <f t="shared" si="46"/>
        <v>1.7242527380335599</v>
      </c>
    </row>
    <row r="174" spans="1:15">
      <c r="B174" s="276" t="s">
        <v>98</v>
      </c>
      <c r="C174" s="276" t="s">
        <v>100</v>
      </c>
      <c r="D174" s="276" t="s">
        <v>74</v>
      </c>
      <c r="E174" s="286" t="s">
        <v>182</v>
      </c>
      <c r="F174" s="277">
        <f>F25</f>
        <v>0</v>
      </c>
      <c r="G174" s="277">
        <f t="shared" ref="G174:K174" si="47">G25</f>
        <v>0</v>
      </c>
      <c r="H174" s="277">
        <f t="shared" si="47"/>
        <v>0</v>
      </c>
      <c r="I174" s="277">
        <f t="shared" si="47"/>
        <v>0</v>
      </c>
      <c r="K174" s="531">
        <f t="shared" si="47"/>
        <v>6.86052144027961E-2</v>
      </c>
      <c r="L174" s="532">
        <f t="shared" ref="L174:O174" si="48">L25</f>
        <v>0.21359065401496499</v>
      </c>
      <c r="M174" s="532">
        <f t="shared" si="48"/>
        <v>0.37186765972028302</v>
      </c>
      <c r="N174" s="532">
        <f t="shared" si="48"/>
        <v>0.53151454828199696</v>
      </c>
      <c r="O174" s="532">
        <f t="shared" si="48"/>
        <v>0.68538571453025399</v>
      </c>
    </row>
    <row r="175" spans="1:15">
      <c r="B175" s="276" t="s">
        <v>79</v>
      </c>
      <c r="C175" s="276" t="s">
        <v>135</v>
      </c>
      <c r="D175" s="276" t="s">
        <v>74</v>
      </c>
      <c r="E175" s="286" t="s">
        <v>182</v>
      </c>
      <c r="F175" s="277"/>
      <c r="G175" s="277"/>
      <c r="H175" s="277"/>
      <c r="I175" s="277">
        <f>VLOOKUP($B175,F_Inputs!$B$175:$O$193,COLUMN()-1,FALSE)</f>
        <v>0.21854275211506999</v>
      </c>
      <c r="J175" s="277"/>
      <c r="K175" s="531">
        <f>VLOOKUP($B175,F_Inputs!$B$175:$O$193,COLUMN()-1,FALSE)</f>
        <v>0.223603496225665</v>
      </c>
      <c r="L175" s="532">
        <f>VLOOKUP($B175,F_Inputs!$B$175:$O$193,COLUMN()-1,FALSE)</f>
        <v>0.23526976559396101</v>
      </c>
      <c r="M175" s="532">
        <f>VLOOKUP($B175,F_Inputs!$B$175:$O$193,COLUMN()-1,FALSE)</f>
        <v>0.24985260230433101</v>
      </c>
      <c r="N175" s="532">
        <f>VLOOKUP($B175,F_Inputs!$B$175:$O$193,COLUMN()-1,FALSE)</f>
        <v>0.26540762812872498</v>
      </c>
      <c r="O175" s="532">
        <f>VLOOKUP($B175,F_Inputs!$B$175:$O$193,COLUMN()-1,FALSE)</f>
        <v>0.28290703218116797</v>
      </c>
    </row>
    <row r="176" spans="1:15">
      <c r="B176" s="276" t="s">
        <v>80</v>
      </c>
      <c r="C176" s="276" t="s">
        <v>136</v>
      </c>
      <c r="D176" s="276" t="s">
        <v>74</v>
      </c>
      <c r="E176" s="286" t="s">
        <v>182</v>
      </c>
      <c r="F176" s="277"/>
      <c r="G176" s="277"/>
      <c r="H176" s="277"/>
      <c r="I176" s="277">
        <f>VLOOKUP($B176,F_Inputs!$B$175:$O$193,COLUMN()-1,FALSE)</f>
        <v>0.23879512554832799</v>
      </c>
      <c r="J176" s="277"/>
      <c r="K176" s="531">
        <f>VLOOKUP($B176,F_Inputs!$B$175:$O$193,COLUMN()-1,FALSE)</f>
        <v>0.24790822407628099</v>
      </c>
      <c r="L176" s="532">
        <f>VLOOKUP($B176,F_Inputs!$B$175:$O$193,COLUMN()-1,FALSE)</f>
        <v>0.26054668255860203</v>
      </c>
      <c r="M176" s="532">
        <f>VLOOKUP($B176,F_Inputs!$B$175:$O$193,COLUMN()-1,FALSE)</f>
        <v>0.27610170838299603</v>
      </c>
      <c r="N176" s="532">
        <f>VLOOKUP($B176,F_Inputs!$B$175:$O$193,COLUMN()-1,FALSE)</f>
        <v>0.29262892332141399</v>
      </c>
      <c r="O176" s="532">
        <f>VLOOKUP($B176,F_Inputs!$B$175:$O$193,COLUMN()-1,FALSE)</f>
        <v>0.31012832737385798</v>
      </c>
    </row>
    <row r="177" spans="1:15">
      <c r="B177" s="276" t="s">
        <v>81</v>
      </c>
      <c r="C177" s="276" t="s">
        <v>137</v>
      </c>
      <c r="D177" s="276" t="s">
        <v>74</v>
      </c>
      <c r="E177" s="286" t="s">
        <v>182</v>
      </c>
      <c r="F177" s="277"/>
      <c r="G177" s="277"/>
      <c r="H177" s="277"/>
      <c r="I177" s="277">
        <f>VLOOKUP($B177,F_Inputs!$B$175:$O$193,COLUMN()-1,FALSE)</f>
        <v>5.2048352072166804</v>
      </c>
      <c r="J177" s="277"/>
      <c r="K177" s="531">
        <f>VLOOKUP($B177,F_Inputs!$B$175:$O$193,COLUMN()-1,FALSE)</f>
        <v>5.3859276916964598</v>
      </c>
      <c r="L177" s="532">
        <f>VLOOKUP($B177,F_Inputs!$B$175:$O$193,COLUMN()-1,FALSE)</f>
        <v>5.6999447755264203</v>
      </c>
      <c r="M177" s="532">
        <f>VLOOKUP($B177,F_Inputs!$B$175:$O$193,COLUMN()-1,FALSE)</f>
        <v>6.0742375844258998</v>
      </c>
      <c r="N177" s="532">
        <f>VLOOKUP($B177,F_Inputs!$B$175:$O$193,COLUMN()-1,FALSE)</f>
        <v>6.4951954707985697</v>
      </c>
      <c r="O177" s="532">
        <f>VLOOKUP($B177,F_Inputs!$B$175:$O$193,COLUMN()-1,FALSE)</f>
        <v>6.9326805721096596</v>
      </c>
    </row>
    <row r="178" spans="1:15">
      <c r="B178" s="276" t="s">
        <v>82</v>
      </c>
      <c r="C178" s="276" t="s">
        <v>89</v>
      </c>
      <c r="D178" s="276" t="s">
        <v>183</v>
      </c>
      <c r="E178" s="286" t="s">
        <v>182</v>
      </c>
      <c r="F178" s="277"/>
      <c r="G178" s="277"/>
      <c r="H178" s="277"/>
      <c r="I178" s="277">
        <f>VLOOKUP($B178,F_Inputs!$B$175:$O$193,COLUMN()-1,FALSE)</f>
        <v>61.487000000000002</v>
      </c>
      <c r="J178" s="277"/>
      <c r="K178" s="531">
        <f>VLOOKUP($B178,F_Inputs!$B$175:$O$193,COLUMN()-1,FALSE)</f>
        <v>55.256999999999998</v>
      </c>
      <c r="L178" s="532">
        <f>VLOOKUP($B178,F_Inputs!$B$175:$O$193,COLUMN()-1,FALSE)</f>
        <v>53.05</v>
      </c>
      <c r="M178" s="532">
        <f>VLOOKUP($B178,F_Inputs!$B$175:$O$193,COLUMN()-1,FALSE)</f>
        <v>50.622</v>
      </c>
      <c r="N178" s="532">
        <f>VLOOKUP($B178,F_Inputs!$B$175:$O$193,COLUMN()-1,FALSE)</f>
        <v>48.304000000000002</v>
      </c>
      <c r="O178" s="532">
        <f>VLOOKUP($B178,F_Inputs!$B$175:$O$193,COLUMN()-1,FALSE)</f>
        <v>46.207000000000001</v>
      </c>
    </row>
    <row r="179" spans="1:15">
      <c r="B179" s="276" t="s">
        <v>87</v>
      </c>
      <c r="C179" s="276" t="s">
        <v>90</v>
      </c>
      <c r="D179" s="276" t="s">
        <v>183</v>
      </c>
      <c r="E179" s="286" t="s">
        <v>182</v>
      </c>
      <c r="F179" s="277"/>
      <c r="G179" s="277"/>
      <c r="H179" s="277"/>
      <c r="I179" s="277">
        <f>VLOOKUP($B179,F_Inputs!$B$175:$O$193,COLUMN()-1,FALSE)</f>
        <v>41.761000000000003</v>
      </c>
      <c r="J179" s="277"/>
      <c r="K179" s="531">
        <f>VLOOKUP($B179,F_Inputs!$B$175:$O$193,COLUMN()-1,FALSE)</f>
        <v>47.725000000000001</v>
      </c>
      <c r="L179" s="532">
        <f>VLOOKUP($B179,F_Inputs!$B$175:$O$193,COLUMN()-1,FALSE)</f>
        <v>50.343000000000004</v>
      </c>
      <c r="M179" s="532">
        <f>VLOOKUP($B179,F_Inputs!$B$175:$O$193,COLUMN()-1,FALSE)</f>
        <v>53.36</v>
      </c>
      <c r="N179" s="532">
        <f>VLOOKUP($B179,F_Inputs!$B$175:$O$193,COLUMN()-1,FALSE)</f>
        <v>56.402000000000001</v>
      </c>
      <c r="O179" s="532">
        <f>VLOOKUP($B179,F_Inputs!$B$175:$O$193,COLUMN()-1,FALSE)</f>
        <v>59.347000000000001</v>
      </c>
    </row>
    <row r="180" spans="1:15">
      <c r="B180" s="276" t="s">
        <v>83</v>
      </c>
      <c r="C180" s="276" t="s">
        <v>91</v>
      </c>
      <c r="D180" s="276" t="s">
        <v>183</v>
      </c>
      <c r="E180" s="286" t="s">
        <v>182</v>
      </c>
      <c r="F180" s="277"/>
      <c r="G180" s="277"/>
      <c r="H180" s="277"/>
      <c r="I180" s="277">
        <f>VLOOKUP($B180,F_Inputs!$B$175:$O$193,COLUMN()-1,FALSE)</f>
        <v>70.823999999999998</v>
      </c>
      <c r="J180" s="277"/>
      <c r="K180" s="531">
        <f>VLOOKUP($B180,F_Inputs!$B$175:$O$193,COLUMN()-1,FALSE)</f>
        <v>65.846000000000004</v>
      </c>
      <c r="L180" s="532">
        <f>VLOOKUP($B180,F_Inputs!$B$175:$O$193,COLUMN()-1,FALSE)</f>
        <v>63.216000000000001</v>
      </c>
      <c r="M180" s="532">
        <f>VLOOKUP($B180,F_Inputs!$B$175:$O$193,COLUMN()-1,FALSE)</f>
        <v>60.322000000000003</v>
      </c>
      <c r="N180" s="532">
        <f>VLOOKUP($B180,F_Inputs!$B$175:$O$193,COLUMN()-1,FALSE)</f>
        <v>57.561</v>
      </c>
      <c r="O180" s="532">
        <f>VLOOKUP($B180,F_Inputs!$B$175:$O$193,COLUMN()-1,FALSE)</f>
        <v>55.061999999999998</v>
      </c>
    </row>
    <row r="181" spans="1:15">
      <c r="B181" s="276" t="s">
        <v>84</v>
      </c>
      <c r="C181" s="276" t="s">
        <v>92</v>
      </c>
      <c r="D181" s="276" t="s">
        <v>183</v>
      </c>
      <c r="E181" s="286" t="s">
        <v>182</v>
      </c>
      <c r="F181" s="277"/>
      <c r="G181" s="277"/>
      <c r="H181" s="277"/>
      <c r="I181" s="277">
        <f>VLOOKUP($B181,F_Inputs!$B$175:$O$193,COLUMN()-1,FALSE)</f>
        <v>41.991999999999997</v>
      </c>
      <c r="J181" s="277"/>
      <c r="K181" s="531">
        <f>VLOOKUP($B181,F_Inputs!$B$175:$O$193,COLUMN()-1,FALSE)</f>
        <v>48.798999999999999</v>
      </c>
      <c r="L181" s="532">
        <f>VLOOKUP($B181,F_Inputs!$B$175:$O$193,COLUMN()-1,FALSE)</f>
        <v>51.475999999999999</v>
      </c>
      <c r="M181" s="532">
        <f>VLOOKUP($B181,F_Inputs!$B$175:$O$193,COLUMN()-1,FALSE)</f>
        <v>54.564</v>
      </c>
      <c r="N181" s="532">
        <f>VLOOKUP($B181,F_Inputs!$B$175:$O$193,COLUMN()-1,FALSE)</f>
        <v>57.670999999999999</v>
      </c>
      <c r="O181" s="532">
        <f>VLOOKUP($B181,F_Inputs!$B$175:$O$193,COLUMN()-1,FALSE)</f>
        <v>60.682000000000002</v>
      </c>
    </row>
    <row r="182" spans="1:15">
      <c r="B182" s="276" t="s">
        <v>85</v>
      </c>
      <c r="C182" s="276" t="s">
        <v>93</v>
      </c>
      <c r="D182" s="276" t="s">
        <v>183</v>
      </c>
      <c r="E182" s="286" t="s">
        <v>182</v>
      </c>
      <c r="F182" s="277"/>
      <c r="G182" s="277"/>
      <c r="H182" s="277"/>
      <c r="I182" s="277">
        <f>VLOOKUP($B182,F_Inputs!$B$175:$O$193,COLUMN()-1,FALSE)</f>
        <v>1021.321</v>
      </c>
      <c r="J182" s="277"/>
      <c r="K182" s="531">
        <f>VLOOKUP($B182,F_Inputs!$B$175:$O$193,COLUMN()-1,FALSE)</f>
        <v>946.12099999999998</v>
      </c>
      <c r="L182" s="532">
        <f>VLOOKUP($B182,F_Inputs!$B$175:$O$193,COLUMN()-1,FALSE)</f>
        <v>908.32799999999997</v>
      </c>
      <c r="M182" s="532">
        <f>VLOOKUP($B182,F_Inputs!$B$175:$O$193,COLUMN()-1,FALSE)</f>
        <v>866.75599999999997</v>
      </c>
      <c r="N182" s="532">
        <f>VLOOKUP($B182,F_Inputs!$B$175:$O$193,COLUMN()-1,FALSE)</f>
        <v>827.07399999999996</v>
      </c>
      <c r="O182" s="532">
        <f>VLOOKUP($B182,F_Inputs!$B$175:$O$193,COLUMN()-1,FALSE)</f>
        <v>791.17100000000005</v>
      </c>
    </row>
    <row r="183" spans="1:15">
      <c r="B183" s="276" t="s">
        <v>86</v>
      </c>
      <c r="C183" s="276" t="s">
        <v>94</v>
      </c>
      <c r="D183" s="276" t="s">
        <v>183</v>
      </c>
      <c r="E183" s="286" t="s">
        <v>182</v>
      </c>
      <c r="F183" s="277"/>
      <c r="G183" s="277"/>
      <c r="H183" s="277"/>
      <c r="I183" s="277">
        <f>VLOOKUP($B183,F_Inputs!$B$175:$O$193,COLUMN()-1,FALSE)</f>
        <v>870.19</v>
      </c>
      <c r="J183" s="277"/>
      <c r="K183" s="531">
        <f>VLOOKUP($B183,F_Inputs!$B$175:$O$193,COLUMN()-1,FALSE)</f>
        <v>966.21500000000003</v>
      </c>
      <c r="L183" s="532">
        <f>VLOOKUP($B183,F_Inputs!$B$175:$O$193,COLUMN()-1,FALSE)</f>
        <v>1019.213</v>
      </c>
      <c r="M183" s="532">
        <f>VLOOKUP($B183,F_Inputs!$B$175:$O$193,COLUMN()-1,FALSE)</f>
        <v>1080.3019999999999</v>
      </c>
      <c r="N183" s="532">
        <f>VLOOKUP($B183,F_Inputs!$B$175:$O$193,COLUMN()-1,FALSE)</f>
        <v>1141.8889999999999</v>
      </c>
      <c r="O183" s="532">
        <f>VLOOKUP($B183,F_Inputs!$B$175:$O$193,COLUMN()-1,FALSE)</f>
        <v>1201.5029999999999</v>
      </c>
    </row>
    <row r="184" spans="1:15">
      <c r="B184" s="276" t="s">
        <v>156</v>
      </c>
      <c r="C184" s="276" t="s">
        <v>157</v>
      </c>
      <c r="D184" s="276" t="s">
        <v>74</v>
      </c>
      <c r="E184" s="286" t="s">
        <v>182</v>
      </c>
      <c r="F184" s="277"/>
      <c r="G184" s="277"/>
      <c r="H184" s="277"/>
      <c r="I184" s="277">
        <f>I773</f>
        <v>0.95099999999999996</v>
      </c>
      <c r="J184" s="277"/>
      <c r="K184" s="531">
        <f t="shared" ref="K184:O184" si="49">K773</f>
        <v>2.7108088620120232</v>
      </c>
      <c r="L184" s="532">
        <f t="shared" si="49"/>
        <v>3.6205644234527008</v>
      </c>
      <c r="M184" s="532">
        <f t="shared" si="49"/>
        <v>4.5711423498298194</v>
      </c>
      <c r="N184" s="532">
        <f t="shared" si="49"/>
        <v>5.5664304854230409</v>
      </c>
      <c r="O184" s="532">
        <f t="shared" si="49"/>
        <v>6.6044849080925321</v>
      </c>
    </row>
    <row r="185" spans="1:15">
      <c r="B185" s="276" t="s">
        <v>159</v>
      </c>
      <c r="C185" s="276" t="s">
        <v>158</v>
      </c>
      <c r="D185" s="276" t="s">
        <v>74</v>
      </c>
      <c r="E185" s="286" t="s">
        <v>182</v>
      </c>
      <c r="F185" s="277"/>
      <c r="G185" s="277"/>
      <c r="H185" s="277"/>
      <c r="I185" s="277">
        <f>VLOOKUP($B185,F_Inputs!$B$175:$O$193,COLUMN()-1,FALSE)</f>
        <v>0</v>
      </c>
      <c r="J185" s="277"/>
      <c r="K185" s="531">
        <f>VLOOKUP($B185,F_Inputs!$B$175:$O$193,COLUMN()-1,FALSE)</f>
        <v>0</v>
      </c>
      <c r="L185" s="532">
        <f>VLOOKUP($B185,F_Inputs!$B$175:$O$193,COLUMN()-1,FALSE)</f>
        <v>0</v>
      </c>
      <c r="M185" s="532">
        <f>VLOOKUP($B185,F_Inputs!$B$175:$O$193,COLUMN()-1,FALSE)</f>
        <v>0</v>
      </c>
      <c r="N185" s="532">
        <f>VLOOKUP($B185,F_Inputs!$B$175:$O$193,COLUMN()-1,FALSE)</f>
        <v>0</v>
      </c>
      <c r="O185" s="532">
        <f>VLOOKUP($B185,F_Inputs!$B$175:$O$193,COLUMN()-1,FALSE)</f>
        <v>0</v>
      </c>
    </row>
    <row r="186" spans="1:15">
      <c r="A186" s="276" t="s">
        <v>53</v>
      </c>
      <c r="B186" s="276" t="s">
        <v>78</v>
      </c>
      <c r="C186" s="276" t="s">
        <v>132</v>
      </c>
      <c r="D186" s="276" t="s">
        <v>74</v>
      </c>
      <c r="E186" s="286" t="s">
        <v>182</v>
      </c>
      <c r="F186" s="277"/>
      <c r="G186" s="277"/>
      <c r="H186" s="277"/>
      <c r="I186" s="277">
        <f>VLOOKUP($B$46,F_Inputs!$B$194:$O$212,COLUMN()-1,FALSE)+'New cost and adjustments inputs'!I37+I780</f>
        <v>25.726041713578699</v>
      </c>
      <c r="J186" s="277"/>
      <c r="K186" s="531">
        <f>VLOOKUP($B$46,F_Inputs!$B$194:$O$212,COLUMN()-1,FALSE)+'New cost and adjustments inputs'!K37+K780</f>
        <v>25.682501961205801</v>
      </c>
      <c r="L186" s="532">
        <f>VLOOKUP($B$46,F_Inputs!$B$194:$O$212,COLUMN()-1,FALSE)+'New cost and adjustments inputs'!L37+L780</f>
        <v>25.605795416325101</v>
      </c>
      <c r="M186" s="532">
        <f>VLOOKUP($B$46,F_Inputs!$B$194:$O$212,COLUMN()-1,FALSE)+'New cost and adjustments inputs'!M37+M780</f>
        <v>25.520940419992701</v>
      </c>
      <c r="N186" s="532">
        <f>VLOOKUP($B$46,F_Inputs!$B$194:$O$212,COLUMN()-1,FALSE)+'New cost and adjustments inputs'!N37+N780</f>
        <v>25.383547316923998</v>
      </c>
      <c r="O186" s="532">
        <f>VLOOKUP($B$46,F_Inputs!$B$194:$O$212,COLUMN()-1,FALSE)+'New cost and adjustments inputs'!O37+O780</f>
        <v>25.2788321977138</v>
      </c>
    </row>
    <row r="187" spans="1:15">
      <c r="B187" s="276" t="s">
        <v>97</v>
      </c>
      <c r="C187" s="276" t="s">
        <v>99</v>
      </c>
      <c r="D187" s="276" t="s">
        <v>74</v>
      </c>
      <c r="E187" s="286" t="s">
        <v>182</v>
      </c>
      <c r="F187" s="277">
        <f>F26</f>
        <v>0.558544039094232</v>
      </c>
      <c r="G187" s="277">
        <f t="shared" ref="G187:K187" si="50">G26</f>
        <v>0.62738058368391902</v>
      </c>
      <c r="H187" s="277">
        <f t="shared" si="50"/>
        <v>0.55838517257610099</v>
      </c>
      <c r="I187" s="277">
        <f t="shared" si="50"/>
        <v>0.84294746377094099</v>
      </c>
      <c r="K187" s="531">
        <f t="shared" si="50"/>
        <v>1.7305229332185399</v>
      </c>
      <c r="L187" s="532">
        <f t="shared" ref="L187:O187" si="51">L26</f>
        <v>1.6754468631596799</v>
      </c>
      <c r="M187" s="532">
        <f t="shared" si="51"/>
        <v>1.6301293109941299</v>
      </c>
      <c r="N187" s="532">
        <f t="shared" si="51"/>
        <v>1.1896396162524701</v>
      </c>
      <c r="O187" s="532">
        <f t="shared" si="51"/>
        <v>0.16888299719754199</v>
      </c>
    </row>
    <row r="188" spans="1:15">
      <c r="B188" s="276" t="s">
        <v>98</v>
      </c>
      <c r="C188" s="276" t="s">
        <v>100</v>
      </c>
      <c r="D188" s="276" t="s">
        <v>74</v>
      </c>
      <c r="E188" s="286" t="s">
        <v>182</v>
      </c>
      <c r="F188" s="277">
        <f>F27</f>
        <v>0</v>
      </c>
      <c r="G188" s="277">
        <f t="shared" ref="G188:K188" si="52">G27</f>
        <v>0</v>
      </c>
      <c r="H188" s="277">
        <f t="shared" si="52"/>
        <v>0</v>
      </c>
      <c r="I188" s="277">
        <f t="shared" si="52"/>
        <v>0</v>
      </c>
      <c r="K188" s="531">
        <f t="shared" si="52"/>
        <v>0.22800000000000001</v>
      </c>
      <c r="L188" s="532">
        <f t="shared" ref="L188:O188" si="53">L27</f>
        <v>0.45</v>
      </c>
      <c r="M188" s="532">
        <f t="shared" si="53"/>
        <v>0.66600000000000004</v>
      </c>
      <c r="N188" s="532">
        <f t="shared" si="53"/>
        <v>0.876</v>
      </c>
      <c r="O188" s="532">
        <f t="shared" si="53"/>
        <v>1.081</v>
      </c>
    </row>
    <row r="189" spans="1:15">
      <c r="B189" s="276" t="s">
        <v>79</v>
      </c>
      <c r="C189" s="276" t="s">
        <v>135</v>
      </c>
      <c r="D189" s="276" t="s">
        <v>74</v>
      </c>
      <c r="E189" s="286" t="s">
        <v>182</v>
      </c>
      <c r="F189" s="277"/>
      <c r="G189" s="277"/>
      <c r="H189" s="277"/>
      <c r="I189" s="277">
        <f>VLOOKUP($B189,F_Inputs!$B$194:$O$212,COLUMN()-1,FALSE)</f>
        <v>5.2403120494321502</v>
      </c>
      <c r="J189" s="277"/>
      <c r="K189" s="531">
        <f>VLOOKUP($B189,F_Inputs!$B$194:$O$212,COLUMN()-1,FALSE)</f>
        <v>5.4957158221159101</v>
      </c>
      <c r="L189" s="532">
        <f>VLOOKUP($B189,F_Inputs!$B$194:$O$212,COLUMN()-1,FALSE)</f>
        <v>5.81151439813355</v>
      </c>
      <c r="M189" s="532">
        <f>VLOOKUP($B189,F_Inputs!$B$194:$O$212,COLUMN()-1,FALSE)</f>
        <v>6.1310324100065596</v>
      </c>
      <c r="N189" s="532">
        <f>VLOOKUP($B189,F_Inputs!$B$194:$O$212,COLUMN()-1,FALSE)</f>
        <v>6.3839166202295097</v>
      </c>
      <c r="O189" s="532">
        <f>VLOOKUP($B189,F_Inputs!$B$194:$O$212,COLUMN()-1,FALSE)</f>
        <v>6.5044633839159101</v>
      </c>
    </row>
    <row r="190" spans="1:15">
      <c r="B190" s="276" t="s">
        <v>80</v>
      </c>
      <c r="C190" s="276" t="s">
        <v>136</v>
      </c>
      <c r="D190" s="276" t="s">
        <v>74</v>
      </c>
      <c r="E190" s="286" t="s">
        <v>182</v>
      </c>
      <c r="F190" s="277"/>
      <c r="G190" s="277"/>
      <c r="H190" s="277"/>
      <c r="I190" s="277">
        <f>VLOOKUP($B190,F_Inputs!$B$194:$O$212,COLUMN()-1,FALSE)</f>
        <v>0</v>
      </c>
      <c r="J190" s="277"/>
      <c r="K190" s="531">
        <f>VLOOKUP($B190,F_Inputs!$B$194:$O$212,COLUMN()-1,FALSE)</f>
        <v>0</v>
      </c>
      <c r="L190" s="532">
        <f>VLOOKUP($B190,F_Inputs!$B$194:$O$212,COLUMN()-1,FALSE)</f>
        <v>0</v>
      </c>
      <c r="M190" s="532">
        <f>VLOOKUP($B190,F_Inputs!$B$194:$O$212,COLUMN()-1,FALSE)</f>
        <v>0</v>
      </c>
      <c r="N190" s="532">
        <f>VLOOKUP($B190,F_Inputs!$B$194:$O$212,COLUMN()-1,FALSE)</f>
        <v>0</v>
      </c>
      <c r="O190" s="532">
        <f>VLOOKUP($B190,F_Inputs!$B$194:$O$212,COLUMN()-1,FALSE)</f>
        <v>0</v>
      </c>
    </row>
    <row r="191" spans="1:15">
      <c r="B191" s="276" t="s">
        <v>81</v>
      </c>
      <c r="C191" s="276" t="s">
        <v>137</v>
      </c>
      <c r="D191" s="276" t="s">
        <v>74</v>
      </c>
      <c r="E191" s="286" t="s">
        <v>182</v>
      </c>
      <c r="F191" s="277"/>
      <c r="G191" s="277"/>
      <c r="H191" s="277"/>
      <c r="I191" s="277">
        <f>VLOOKUP($B191,F_Inputs!$B$194:$O$212,COLUMN()-1,FALSE)</f>
        <v>0</v>
      </c>
      <c r="J191" s="277"/>
      <c r="K191" s="531">
        <f>VLOOKUP($B191,F_Inputs!$B$194:$O$212,COLUMN()-1,FALSE)</f>
        <v>0</v>
      </c>
      <c r="L191" s="532">
        <f>VLOOKUP($B191,F_Inputs!$B$194:$O$212,COLUMN()-1,FALSE)</f>
        <v>0</v>
      </c>
      <c r="M191" s="532">
        <f>VLOOKUP($B191,F_Inputs!$B$194:$O$212,COLUMN()-1,FALSE)</f>
        <v>0</v>
      </c>
      <c r="N191" s="532">
        <f>VLOOKUP($B191,F_Inputs!$B$194:$O$212,COLUMN()-1,FALSE)</f>
        <v>0</v>
      </c>
      <c r="O191" s="532">
        <f>VLOOKUP($B191,F_Inputs!$B$194:$O$212,COLUMN()-1,FALSE)</f>
        <v>0</v>
      </c>
    </row>
    <row r="192" spans="1:15">
      <c r="B192" s="276" t="s">
        <v>82</v>
      </c>
      <c r="C192" s="276" t="s">
        <v>89</v>
      </c>
      <c r="D192" s="276" t="s">
        <v>183</v>
      </c>
      <c r="E192" s="286" t="s">
        <v>182</v>
      </c>
      <c r="F192" s="277"/>
      <c r="G192" s="277"/>
      <c r="H192" s="277"/>
      <c r="I192" s="277">
        <f>VLOOKUP($B192,F_Inputs!$B$194:$O$212,COLUMN()-1,FALSE)</f>
        <v>714.57100000000003</v>
      </c>
      <c r="J192" s="277"/>
      <c r="K192" s="531">
        <f>VLOOKUP($B192,F_Inputs!$B$194:$O$212,COLUMN()-1,FALSE)</f>
        <v>655.52537209214199</v>
      </c>
      <c r="L192" s="532">
        <f>VLOOKUP($B192,F_Inputs!$B$194:$O$212,COLUMN()-1,FALSE)</f>
        <v>590.37661627642603</v>
      </c>
      <c r="M192" s="532">
        <f>VLOOKUP($B192,F_Inputs!$B$194:$O$212,COLUMN()-1,FALSE)</f>
        <v>517.64089305975199</v>
      </c>
      <c r="N192" s="532">
        <f>VLOOKUP($B192,F_Inputs!$B$194:$O$212,COLUMN()-1,FALSE)</f>
        <v>446.496677152855</v>
      </c>
      <c r="O192" s="532">
        <f>VLOOKUP($B192,F_Inputs!$B$194:$O$212,COLUMN()-1,FALSE)</f>
        <v>387.71878542949901</v>
      </c>
    </row>
    <row r="193" spans="1:15">
      <c r="B193" s="276" t="s">
        <v>87</v>
      </c>
      <c r="C193" s="276" t="s">
        <v>90</v>
      </c>
      <c r="D193" s="276" t="s">
        <v>183</v>
      </c>
      <c r="E193" s="286" t="s">
        <v>182</v>
      </c>
      <c r="F193" s="277"/>
      <c r="G193" s="277"/>
      <c r="H193" s="277"/>
      <c r="I193" s="277">
        <f>VLOOKUP($B193,F_Inputs!$B$194:$O$212,COLUMN()-1,FALSE)</f>
        <v>658.45100000000002</v>
      </c>
      <c r="J193" s="277"/>
      <c r="K193" s="531">
        <f>VLOOKUP($B193,F_Inputs!$B$194:$O$212,COLUMN()-1,FALSE)</f>
        <v>705.16162790785802</v>
      </c>
      <c r="L193" s="532">
        <f>VLOOKUP($B193,F_Inputs!$B$194:$O$212,COLUMN()-1,FALSE)</f>
        <v>778.87838372357396</v>
      </c>
      <c r="M193" s="532">
        <f>VLOOKUP($B193,F_Inputs!$B$194:$O$212,COLUMN()-1,FALSE)</f>
        <v>859.98610694024796</v>
      </c>
      <c r="N193" s="532">
        <f>VLOOKUP($B193,F_Inputs!$B$194:$O$212,COLUMN()-1,FALSE)</f>
        <v>939.21782284714504</v>
      </c>
      <c r="O193" s="532">
        <f>VLOOKUP($B193,F_Inputs!$B$194:$O$212,COLUMN()-1,FALSE)</f>
        <v>1006.1212145705</v>
      </c>
    </row>
    <row r="194" spans="1:15">
      <c r="B194" s="276" t="s">
        <v>83</v>
      </c>
      <c r="C194" s="276" t="s">
        <v>91</v>
      </c>
      <c r="D194" s="276" t="s">
        <v>183</v>
      </c>
      <c r="E194" s="286" t="s">
        <v>182</v>
      </c>
      <c r="F194" s="277"/>
      <c r="G194" s="277"/>
      <c r="H194" s="277"/>
      <c r="I194" s="277">
        <f>VLOOKUP($B194,F_Inputs!$B$194:$O$212,COLUMN()-1,FALSE)</f>
        <v>0</v>
      </c>
      <c r="J194" s="277"/>
      <c r="K194" s="531">
        <f>VLOOKUP($B194,F_Inputs!$B$194:$O$212,COLUMN()-1,FALSE)</f>
        <v>0</v>
      </c>
      <c r="L194" s="532">
        <f>VLOOKUP($B194,F_Inputs!$B$194:$O$212,COLUMN()-1,FALSE)</f>
        <v>0</v>
      </c>
      <c r="M194" s="532">
        <f>VLOOKUP($B194,F_Inputs!$B$194:$O$212,COLUMN()-1,FALSE)</f>
        <v>0</v>
      </c>
      <c r="N194" s="532">
        <f>VLOOKUP($B194,F_Inputs!$B$194:$O$212,COLUMN()-1,FALSE)</f>
        <v>0</v>
      </c>
      <c r="O194" s="532">
        <f>VLOOKUP($B194,F_Inputs!$B$194:$O$212,COLUMN()-1,FALSE)</f>
        <v>0</v>
      </c>
    </row>
    <row r="195" spans="1:15">
      <c r="B195" s="276" t="s">
        <v>84</v>
      </c>
      <c r="C195" s="276" t="s">
        <v>92</v>
      </c>
      <c r="D195" s="276" t="s">
        <v>183</v>
      </c>
      <c r="E195" s="286" t="s">
        <v>182</v>
      </c>
      <c r="F195" s="277"/>
      <c r="G195" s="277"/>
      <c r="H195" s="277"/>
      <c r="I195" s="277">
        <f>VLOOKUP($B195,F_Inputs!$B$194:$O$212,COLUMN()-1,FALSE)</f>
        <v>0</v>
      </c>
      <c r="J195" s="277"/>
      <c r="K195" s="531">
        <f>VLOOKUP($B195,F_Inputs!$B$194:$O$212,COLUMN()-1,FALSE)</f>
        <v>0</v>
      </c>
      <c r="L195" s="532">
        <f>VLOOKUP($B195,F_Inputs!$B$194:$O$212,COLUMN()-1,FALSE)</f>
        <v>0</v>
      </c>
      <c r="M195" s="532">
        <f>VLOOKUP($B195,F_Inputs!$B$194:$O$212,COLUMN()-1,FALSE)</f>
        <v>0</v>
      </c>
      <c r="N195" s="532">
        <f>VLOOKUP($B195,F_Inputs!$B$194:$O$212,COLUMN()-1,FALSE)</f>
        <v>0</v>
      </c>
      <c r="O195" s="532">
        <f>VLOOKUP($B195,F_Inputs!$B$194:$O$212,COLUMN()-1,FALSE)</f>
        <v>0</v>
      </c>
    </row>
    <row r="196" spans="1:15">
      <c r="B196" s="276" t="s">
        <v>85</v>
      </c>
      <c r="C196" s="276" t="s">
        <v>93</v>
      </c>
      <c r="D196" s="276" t="s">
        <v>183</v>
      </c>
      <c r="E196" s="286" t="s">
        <v>182</v>
      </c>
      <c r="F196" s="277"/>
      <c r="G196" s="277"/>
      <c r="H196" s="277"/>
      <c r="I196" s="277">
        <f>VLOOKUP($B196,F_Inputs!$B$194:$O$212,COLUMN()-1,FALSE)</f>
        <v>0</v>
      </c>
      <c r="J196" s="277"/>
      <c r="K196" s="531">
        <f>VLOOKUP($B196,F_Inputs!$B$194:$O$212,COLUMN()-1,FALSE)</f>
        <v>0</v>
      </c>
      <c r="L196" s="532">
        <f>VLOOKUP($B196,F_Inputs!$B$194:$O$212,COLUMN()-1,FALSE)</f>
        <v>0</v>
      </c>
      <c r="M196" s="532">
        <f>VLOOKUP($B196,F_Inputs!$B$194:$O$212,COLUMN()-1,FALSE)</f>
        <v>0</v>
      </c>
      <c r="N196" s="532">
        <f>VLOOKUP($B196,F_Inputs!$B$194:$O$212,COLUMN()-1,FALSE)</f>
        <v>0</v>
      </c>
      <c r="O196" s="532">
        <f>VLOOKUP($B196,F_Inputs!$B$194:$O$212,COLUMN()-1,FALSE)</f>
        <v>0</v>
      </c>
    </row>
    <row r="197" spans="1:15">
      <c r="B197" s="276" t="s">
        <v>86</v>
      </c>
      <c r="C197" s="276" t="s">
        <v>94</v>
      </c>
      <c r="D197" s="276" t="s">
        <v>183</v>
      </c>
      <c r="E197" s="286" t="s">
        <v>182</v>
      </c>
      <c r="F197" s="277"/>
      <c r="G197" s="277"/>
      <c r="H197" s="277"/>
      <c r="I197" s="277">
        <f>VLOOKUP($B197,F_Inputs!$B$194:$O$212,COLUMN()-1,FALSE)</f>
        <v>0</v>
      </c>
      <c r="J197" s="277"/>
      <c r="K197" s="531">
        <f>VLOOKUP($B197,F_Inputs!$B$194:$O$212,COLUMN()-1,FALSE)</f>
        <v>0</v>
      </c>
      <c r="L197" s="532">
        <f>VLOOKUP($B197,F_Inputs!$B$194:$O$212,COLUMN()-1,FALSE)</f>
        <v>0</v>
      </c>
      <c r="M197" s="532">
        <f>VLOOKUP($B197,F_Inputs!$B$194:$O$212,COLUMN()-1,FALSE)</f>
        <v>0</v>
      </c>
      <c r="N197" s="532">
        <f>VLOOKUP($B197,F_Inputs!$B$194:$O$212,COLUMN()-1,FALSE)</f>
        <v>0</v>
      </c>
      <c r="O197" s="532">
        <f>VLOOKUP($B197,F_Inputs!$B$194:$O$212,COLUMN()-1,FALSE)</f>
        <v>0</v>
      </c>
    </row>
    <row r="198" spans="1:15">
      <c r="B198" s="276" t="s">
        <v>156</v>
      </c>
      <c r="C198" s="276" t="s">
        <v>157</v>
      </c>
      <c r="D198" s="276" t="s">
        <v>74</v>
      </c>
      <c r="E198" s="286" t="s">
        <v>182</v>
      </c>
      <c r="F198" s="277"/>
      <c r="G198" s="277"/>
      <c r="H198" s="277"/>
      <c r="I198" s="277">
        <f>I779</f>
        <v>0.13566</v>
      </c>
      <c r="J198" s="277"/>
      <c r="K198" s="531">
        <f t="shared" ref="K198:O198" si="54">K779</f>
        <v>0.11665052756737383</v>
      </c>
      <c r="L198" s="532">
        <f t="shared" si="54"/>
        <v>0.11665052756737383</v>
      </c>
      <c r="M198" s="532">
        <f t="shared" si="54"/>
        <v>0.11665052756737383</v>
      </c>
      <c r="N198" s="532">
        <f t="shared" si="54"/>
        <v>0.11665052756737383</v>
      </c>
      <c r="O198" s="532">
        <f t="shared" si="54"/>
        <v>0.11665052756737383</v>
      </c>
    </row>
    <row r="199" spans="1:15">
      <c r="B199" s="276" t="s">
        <v>159</v>
      </c>
      <c r="C199" s="276" t="s">
        <v>158</v>
      </c>
      <c r="D199" s="276" t="s">
        <v>74</v>
      </c>
      <c r="E199" s="286" t="s">
        <v>182</v>
      </c>
      <c r="F199" s="277"/>
      <c r="G199" s="277"/>
      <c r="H199" s="277"/>
      <c r="I199" s="277">
        <f>VLOOKUP($B199,F_Inputs!$B$194:$O$212,COLUMN()-1,FALSE)</f>
        <v>0</v>
      </c>
      <c r="J199" s="277"/>
      <c r="K199" s="531">
        <f>VLOOKUP($B199,F_Inputs!$B$194:$O$212,COLUMN()-1,FALSE)</f>
        <v>0</v>
      </c>
      <c r="L199" s="532">
        <f>VLOOKUP($B199,F_Inputs!$B$194:$O$212,COLUMN()-1,FALSE)</f>
        <v>0</v>
      </c>
      <c r="M199" s="532">
        <f>VLOOKUP($B199,F_Inputs!$B$194:$O$212,COLUMN()-1,FALSE)</f>
        <v>0</v>
      </c>
      <c r="N199" s="532">
        <f>VLOOKUP($B199,F_Inputs!$B$194:$O$212,COLUMN()-1,FALSE)</f>
        <v>0</v>
      </c>
      <c r="O199" s="532">
        <f>VLOOKUP($B199,F_Inputs!$B$194:$O$212,COLUMN()-1,FALSE)</f>
        <v>0</v>
      </c>
    </row>
    <row r="200" spans="1:15">
      <c r="A200" s="276" t="s">
        <v>54</v>
      </c>
      <c r="B200" s="276" t="s">
        <v>78</v>
      </c>
      <c r="C200" s="276" t="s">
        <v>132</v>
      </c>
      <c r="D200" s="276" t="s">
        <v>74</v>
      </c>
      <c r="E200" s="286" t="s">
        <v>182</v>
      </c>
      <c r="F200" s="277"/>
      <c r="G200" s="277"/>
      <c r="H200" s="277"/>
      <c r="I200" s="277">
        <f>VLOOKUP($B46,F_Inputs!$B$213:$O$231,COLUMN()-1,FALSE)+'New cost and adjustments inputs'!I38+I786</f>
        <v>8.3352069717081392</v>
      </c>
      <c r="J200" s="277"/>
      <c r="K200" s="531">
        <f>VLOOKUP($B46,F_Inputs!$B$213:$O$231,COLUMN()-1,FALSE)+'New cost and adjustments inputs'!K38+K786</f>
        <v>8.6953489147138292</v>
      </c>
      <c r="L200" s="532">
        <f>VLOOKUP($B46,F_Inputs!$B$213:$O$231,COLUMN()-1,FALSE)+'New cost and adjustments inputs'!L38+L786</f>
        <v>8.89124314668633</v>
      </c>
      <c r="M200" s="532">
        <f>VLOOKUP($B46,F_Inputs!$B$213:$O$231,COLUMN()-1,FALSE)+'New cost and adjustments inputs'!M38+M786</f>
        <v>9.0769720854024492</v>
      </c>
      <c r="N200" s="532">
        <f>VLOOKUP($B46,F_Inputs!$B$213:$O$231,COLUMN()-1,FALSE)+'New cost and adjustments inputs'!N38+N786</f>
        <v>9.2535233828427792</v>
      </c>
      <c r="O200" s="532">
        <f>VLOOKUP($B46,F_Inputs!$B$213:$O$231,COLUMN()-1,FALSE)+'New cost and adjustments inputs'!O38+O786</f>
        <v>9.4209357314604407</v>
      </c>
    </row>
    <row r="201" spans="1:15">
      <c r="B201" s="276" t="s">
        <v>97</v>
      </c>
      <c r="C201" s="276" t="s">
        <v>99</v>
      </c>
      <c r="D201" s="276" t="s">
        <v>74</v>
      </c>
      <c r="E201" s="286" t="s">
        <v>182</v>
      </c>
      <c r="F201" s="277">
        <f>F28</f>
        <v>0.45511690152037598</v>
      </c>
      <c r="G201" s="277">
        <f t="shared" ref="G201:K201" si="55">G28</f>
        <v>0.465882382659495</v>
      </c>
      <c r="H201" s="277">
        <f t="shared" si="55"/>
        <v>0.53915368179299994</v>
      </c>
      <c r="I201" s="277">
        <f t="shared" si="55"/>
        <v>0.54740121471888303</v>
      </c>
      <c r="K201" s="531">
        <f t="shared" si="55"/>
        <v>0.64104512219362297</v>
      </c>
      <c r="L201" s="532">
        <f t="shared" ref="L201:O201" si="56">L28</f>
        <v>0.58955967440942303</v>
      </c>
      <c r="M201" s="532">
        <f t="shared" si="56"/>
        <v>0.46069831014932994</v>
      </c>
      <c r="N201" s="532">
        <f t="shared" si="56"/>
        <v>0.29869711420328904</v>
      </c>
      <c r="O201" s="532">
        <f t="shared" si="56"/>
        <v>0.14213225374133601</v>
      </c>
    </row>
    <row r="202" spans="1:15">
      <c r="B202" s="276" t="s">
        <v>98</v>
      </c>
      <c r="C202" s="276" t="s">
        <v>100</v>
      </c>
      <c r="D202" s="276" t="s">
        <v>74</v>
      </c>
      <c r="E202" s="286" t="s">
        <v>182</v>
      </c>
      <c r="F202" s="277">
        <f>F29</f>
        <v>0</v>
      </c>
      <c r="G202" s="277">
        <f t="shared" ref="G202:K202" si="57">G29</f>
        <v>0</v>
      </c>
      <c r="H202" s="277">
        <f t="shared" si="57"/>
        <v>0</v>
      </c>
      <c r="I202" s="277">
        <f t="shared" si="57"/>
        <v>0</v>
      </c>
      <c r="K202" s="531">
        <f t="shared" si="57"/>
        <v>9.5600645428745995E-2</v>
      </c>
      <c r="L202" s="532">
        <f t="shared" ref="L202:O202" si="58">L29</f>
        <v>0.29231822374269001</v>
      </c>
      <c r="M202" s="532">
        <f t="shared" si="58"/>
        <v>0.49640739054843097</v>
      </c>
      <c r="N202" s="532">
        <f t="shared" si="58"/>
        <v>0.70755726879124703</v>
      </c>
      <c r="O202" s="532">
        <f t="shared" si="58"/>
        <v>0.92609744938700311</v>
      </c>
    </row>
    <row r="203" spans="1:15">
      <c r="B203" s="276" t="s">
        <v>79</v>
      </c>
      <c r="C203" s="276" t="s">
        <v>135</v>
      </c>
      <c r="D203" s="276" t="s">
        <v>74</v>
      </c>
      <c r="E203" s="286" t="s">
        <v>182</v>
      </c>
      <c r="F203" s="277"/>
      <c r="G203" s="277"/>
      <c r="H203" s="277"/>
      <c r="I203" s="277">
        <f>VLOOKUP($B49,F_Inputs!$B$213:$O$231,COLUMN()-1,FALSE)</f>
        <v>1.4693852131870899</v>
      </c>
      <c r="J203" s="277"/>
      <c r="K203" s="531">
        <f>VLOOKUP($B49,F_Inputs!$B$213:$O$231,COLUMN()-1,FALSE)</f>
        <v>1.7432408985121199</v>
      </c>
      <c r="L203" s="532">
        <f>VLOOKUP($B49,F_Inputs!$B$213:$O$231,COLUMN()-1,FALSE)</f>
        <v>1.9256176635968301</v>
      </c>
      <c r="M203" s="532">
        <f>VLOOKUP($B49,F_Inputs!$B$213:$O$231,COLUMN()-1,FALSE)</f>
        <v>2.0982853208004499</v>
      </c>
      <c r="N203" s="532">
        <f>VLOOKUP($B49,F_Inputs!$B$213:$O$231,COLUMN()-1,FALSE)</f>
        <v>2.26131742397056</v>
      </c>
      <c r="O203" s="532">
        <f>VLOOKUP($B49,F_Inputs!$B$213:$O$231,COLUMN()-1,FALSE)</f>
        <v>2.4152656269640298</v>
      </c>
    </row>
    <row r="204" spans="1:15">
      <c r="B204" s="276" t="s">
        <v>80</v>
      </c>
      <c r="C204" s="276" t="s">
        <v>136</v>
      </c>
      <c r="D204" s="276" t="s">
        <v>74</v>
      </c>
      <c r="E204" s="286" t="s">
        <v>182</v>
      </c>
      <c r="F204" s="277"/>
      <c r="G204" s="277"/>
      <c r="H204" s="277"/>
      <c r="I204" s="277">
        <f>VLOOKUP($B50,F_Inputs!$B$213:$O$231,COLUMN()-1,FALSE)</f>
        <v>0</v>
      </c>
      <c r="J204" s="277"/>
      <c r="K204" s="531">
        <f>VLOOKUP($B50,F_Inputs!$B$213:$O$231,COLUMN()-1,FALSE)</f>
        <v>0</v>
      </c>
      <c r="L204" s="532">
        <f>VLOOKUP($B50,F_Inputs!$B$213:$O$231,COLUMN()-1,FALSE)</f>
        <v>0</v>
      </c>
      <c r="M204" s="532">
        <f>VLOOKUP($B50,F_Inputs!$B$213:$O$231,COLUMN()-1,FALSE)</f>
        <v>0</v>
      </c>
      <c r="N204" s="532">
        <f>VLOOKUP($B50,F_Inputs!$B$213:$O$231,COLUMN()-1,FALSE)</f>
        <v>0</v>
      </c>
      <c r="O204" s="532">
        <f>VLOOKUP($B50,F_Inputs!$B$213:$O$231,COLUMN()-1,FALSE)</f>
        <v>0</v>
      </c>
    </row>
    <row r="205" spans="1:15">
      <c r="B205" s="276" t="s">
        <v>81</v>
      </c>
      <c r="C205" s="276" t="s">
        <v>137</v>
      </c>
      <c r="D205" s="276" t="s">
        <v>74</v>
      </c>
      <c r="E205" s="286" t="s">
        <v>182</v>
      </c>
      <c r="F205" s="277"/>
      <c r="G205" s="277"/>
      <c r="H205" s="277"/>
      <c r="I205" s="277">
        <f>VLOOKUP($B51,F_Inputs!$B$213:$O$231,COLUMN()-1,FALSE)</f>
        <v>0</v>
      </c>
      <c r="J205" s="277"/>
      <c r="K205" s="531">
        <f>VLOOKUP($B51,F_Inputs!$B$213:$O$231,COLUMN()-1,FALSE)</f>
        <v>0</v>
      </c>
      <c r="L205" s="532">
        <f>VLOOKUP($B51,F_Inputs!$B$213:$O$231,COLUMN()-1,FALSE)</f>
        <v>0</v>
      </c>
      <c r="M205" s="532">
        <f>VLOOKUP($B51,F_Inputs!$B$213:$O$231,COLUMN()-1,FALSE)</f>
        <v>0</v>
      </c>
      <c r="N205" s="532">
        <f>VLOOKUP($B51,F_Inputs!$B$213:$O$231,COLUMN()-1,FALSE)</f>
        <v>0</v>
      </c>
      <c r="O205" s="532">
        <f>VLOOKUP($B51,F_Inputs!$B$213:$O$231,COLUMN()-1,FALSE)</f>
        <v>0</v>
      </c>
    </row>
    <row r="206" spans="1:15">
      <c r="B206" s="276" t="s">
        <v>82</v>
      </c>
      <c r="C206" s="276" t="s">
        <v>89</v>
      </c>
      <c r="D206" s="276" t="s">
        <v>183</v>
      </c>
      <c r="E206" s="286" t="s">
        <v>182</v>
      </c>
      <c r="F206" s="277"/>
      <c r="G206" s="277"/>
      <c r="H206" s="277"/>
      <c r="I206" s="277">
        <f>VLOOKUP($B52,F_Inputs!$B$213:$O$231,COLUMN()-1,FALSE)</f>
        <v>273.38</v>
      </c>
      <c r="J206" s="277"/>
      <c r="K206" s="531">
        <f>VLOOKUP($B52,F_Inputs!$B$213:$O$231,COLUMN()-1,FALSE)</f>
        <v>245.697</v>
      </c>
      <c r="L206" s="532">
        <f>VLOOKUP($B52,F_Inputs!$B$213:$O$231,COLUMN()-1,FALSE)</f>
        <v>226.34200000000001</v>
      </c>
      <c r="M206" s="532">
        <f>VLOOKUP($B52,F_Inputs!$B$213:$O$231,COLUMN()-1,FALSE)</f>
        <v>208.30199999999999</v>
      </c>
      <c r="N206" s="532">
        <f>VLOOKUP($B52,F_Inputs!$B$213:$O$231,COLUMN()-1,FALSE)</f>
        <v>191.49700000000001</v>
      </c>
      <c r="O206" s="532">
        <f>VLOOKUP($B52,F_Inputs!$B$213:$O$231,COLUMN()-1,FALSE)</f>
        <v>175.84700000000001</v>
      </c>
    </row>
    <row r="207" spans="1:15">
      <c r="B207" s="276" t="s">
        <v>87</v>
      </c>
      <c r="C207" s="276" t="s">
        <v>90</v>
      </c>
      <c r="D207" s="276" t="s">
        <v>183</v>
      </c>
      <c r="E207" s="286" t="s">
        <v>182</v>
      </c>
      <c r="F207" s="277"/>
      <c r="G207" s="277"/>
      <c r="H207" s="277"/>
      <c r="I207" s="277">
        <f>VLOOKUP($B53,F_Inputs!$B$213:$O$231,COLUMN()-1,FALSE)</f>
        <v>199.77</v>
      </c>
      <c r="J207" s="277"/>
      <c r="K207" s="531">
        <f>VLOOKUP($B53,F_Inputs!$B$213:$O$231,COLUMN()-1,FALSE)</f>
        <v>237.00200000000001</v>
      </c>
      <c r="L207" s="532">
        <f>VLOOKUP($B53,F_Inputs!$B$213:$O$231,COLUMN()-1,FALSE)</f>
        <v>261.79700000000003</v>
      </c>
      <c r="M207" s="532">
        <f>VLOOKUP($B53,F_Inputs!$B$213:$O$231,COLUMN()-1,FALSE)</f>
        <v>285.27199999999999</v>
      </c>
      <c r="N207" s="532">
        <f>VLOOKUP($B53,F_Inputs!$B$213:$O$231,COLUMN()-1,FALSE)</f>
        <v>307.43700000000001</v>
      </c>
      <c r="O207" s="532">
        <f>VLOOKUP($B53,F_Inputs!$B$213:$O$231,COLUMN()-1,FALSE)</f>
        <v>328.36700000000002</v>
      </c>
    </row>
    <row r="208" spans="1:15">
      <c r="B208" s="276" t="s">
        <v>83</v>
      </c>
      <c r="C208" s="276" t="s">
        <v>91</v>
      </c>
      <c r="D208" s="276" t="s">
        <v>183</v>
      </c>
      <c r="E208" s="286" t="s">
        <v>182</v>
      </c>
      <c r="F208" s="277"/>
      <c r="G208" s="277"/>
      <c r="H208" s="277"/>
      <c r="I208" s="277">
        <f>VLOOKUP($B54,F_Inputs!$B$213:$O$231,COLUMN()-1,FALSE)</f>
        <v>0</v>
      </c>
      <c r="J208" s="277"/>
      <c r="K208" s="531">
        <f>VLOOKUP($B54,F_Inputs!$B$213:$O$231,COLUMN()-1,FALSE)</f>
        <v>0</v>
      </c>
      <c r="L208" s="532">
        <f>VLOOKUP($B54,F_Inputs!$B$213:$O$231,COLUMN()-1,FALSE)</f>
        <v>0</v>
      </c>
      <c r="M208" s="532">
        <f>VLOOKUP($B54,F_Inputs!$B$213:$O$231,COLUMN()-1,FALSE)</f>
        <v>0</v>
      </c>
      <c r="N208" s="532">
        <f>VLOOKUP($B54,F_Inputs!$B$213:$O$231,COLUMN()-1,FALSE)</f>
        <v>0</v>
      </c>
      <c r="O208" s="532">
        <f>VLOOKUP($B54,F_Inputs!$B$213:$O$231,COLUMN()-1,FALSE)</f>
        <v>0</v>
      </c>
    </row>
    <row r="209" spans="1:15">
      <c r="B209" s="276" t="s">
        <v>84</v>
      </c>
      <c r="C209" s="276" t="s">
        <v>92</v>
      </c>
      <c r="D209" s="276" t="s">
        <v>183</v>
      </c>
      <c r="E209" s="286" t="s">
        <v>182</v>
      </c>
      <c r="F209" s="277"/>
      <c r="G209" s="277"/>
      <c r="H209" s="277"/>
      <c r="I209" s="277">
        <f>VLOOKUP($B55,F_Inputs!$B$213:$O$231,COLUMN()-1,FALSE)</f>
        <v>0</v>
      </c>
      <c r="J209" s="277"/>
      <c r="K209" s="531">
        <f>VLOOKUP($B55,F_Inputs!$B$213:$O$231,COLUMN()-1,FALSE)</f>
        <v>0</v>
      </c>
      <c r="L209" s="532">
        <f>VLOOKUP($B55,F_Inputs!$B$213:$O$231,COLUMN()-1,FALSE)</f>
        <v>0</v>
      </c>
      <c r="M209" s="532">
        <f>VLOOKUP($B55,F_Inputs!$B$213:$O$231,COLUMN()-1,FALSE)</f>
        <v>0</v>
      </c>
      <c r="N209" s="532">
        <f>VLOOKUP($B55,F_Inputs!$B$213:$O$231,COLUMN()-1,FALSE)</f>
        <v>0</v>
      </c>
      <c r="O209" s="532">
        <f>VLOOKUP($B55,F_Inputs!$B$213:$O$231,COLUMN()-1,FALSE)</f>
        <v>0</v>
      </c>
    </row>
    <row r="210" spans="1:15">
      <c r="B210" s="276" t="s">
        <v>85</v>
      </c>
      <c r="C210" s="276" t="s">
        <v>93</v>
      </c>
      <c r="D210" s="276" t="s">
        <v>183</v>
      </c>
      <c r="E210" s="286" t="s">
        <v>182</v>
      </c>
      <c r="F210" s="277"/>
      <c r="G210" s="277"/>
      <c r="H210" s="277"/>
      <c r="I210" s="277">
        <f>VLOOKUP($B56,F_Inputs!$B$213:$O$231,COLUMN()-1,FALSE)</f>
        <v>0</v>
      </c>
      <c r="J210" s="277"/>
      <c r="K210" s="531">
        <f>VLOOKUP($B56,F_Inputs!$B$213:$O$231,COLUMN()-1,FALSE)</f>
        <v>0</v>
      </c>
      <c r="L210" s="532">
        <f>VLOOKUP($B56,F_Inputs!$B$213:$O$231,COLUMN()-1,FALSE)</f>
        <v>0</v>
      </c>
      <c r="M210" s="532">
        <f>VLOOKUP($B56,F_Inputs!$B$213:$O$231,COLUMN()-1,FALSE)</f>
        <v>0</v>
      </c>
      <c r="N210" s="532">
        <f>VLOOKUP($B56,F_Inputs!$B$213:$O$231,COLUMN()-1,FALSE)</f>
        <v>0</v>
      </c>
      <c r="O210" s="532">
        <f>VLOOKUP($B56,F_Inputs!$B$213:$O$231,COLUMN()-1,FALSE)</f>
        <v>0</v>
      </c>
    </row>
    <row r="211" spans="1:15">
      <c r="B211" s="276" t="s">
        <v>86</v>
      </c>
      <c r="C211" s="276" t="s">
        <v>94</v>
      </c>
      <c r="D211" s="276" t="s">
        <v>183</v>
      </c>
      <c r="E211" s="286" t="s">
        <v>182</v>
      </c>
      <c r="F211" s="277"/>
      <c r="G211" s="277"/>
      <c r="H211" s="277"/>
      <c r="I211" s="277">
        <f>VLOOKUP($B57,F_Inputs!$B$213:$O$231,COLUMN()-1,FALSE)</f>
        <v>0</v>
      </c>
      <c r="J211" s="277"/>
      <c r="K211" s="531">
        <f>VLOOKUP($B57,F_Inputs!$B$213:$O$231,COLUMN()-1,FALSE)</f>
        <v>0</v>
      </c>
      <c r="L211" s="532">
        <f>VLOOKUP($B57,F_Inputs!$B$213:$O$231,COLUMN()-1,FALSE)</f>
        <v>0</v>
      </c>
      <c r="M211" s="532">
        <f>VLOOKUP($B57,F_Inputs!$B$213:$O$231,COLUMN()-1,FALSE)</f>
        <v>0</v>
      </c>
      <c r="N211" s="532">
        <f>VLOOKUP($B57,F_Inputs!$B$213:$O$231,COLUMN()-1,FALSE)</f>
        <v>0</v>
      </c>
      <c r="O211" s="532">
        <f>VLOOKUP($B57,F_Inputs!$B$213:$O$231,COLUMN()-1,FALSE)</f>
        <v>0</v>
      </c>
    </row>
    <row r="212" spans="1:15">
      <c r="B212" s="276" t="s">
        <v>156</v>
      </c>
      <c r="C212" s="276" t="s">
        <v>157</v>
      </c>
      <c r="D212" s="276" t="s">
        <v>74</v>
      </c>
      <c r="E212" s="286" t="s">
        <v>182</v>
      </c>
      <c r="F212" s="277"/>
      <c r="G212" s="277"/>
      <c r="H212" s="277"/>
      <c r="I212" s="277">
        <f>I785</f>
        <v>0.95099999999999996</v>
      </c>
      <c r="J212" s="277"/>
      <c r="K212" s="531">
        <f t="shared" ref="K212:O212" si="59">K785</f>
        <v>0.62827546133535106</v>
      </c>
      <c r="L212" s="532">
        <f t="shared" si="59"/>
        <v>0.81502220665825997</v>
      </c>
      <c r="M212" s="532">
        <f t="shared" si="59"/>
        <v>1.0158234119497502</v>
      </c>
      <c r="N212" s="532">
        <f t="shared" si="59"/>
        <v>1.2305586937934683</v>
      </c>
      <c r="O212" s="532">
        <f t="shared" si="59"/>
        <v>1.4590090447323285</v>
      </c>
    </row>
    <row r="213" spans="1:15">
      <c r="B213" s="276" t="s">
        <v>159</v>
      </c>
      <c r="C213" s="276" t="s">
        <v>158</v>
      </c>
      <c r="D213" s="276" t="s">
        <v>74</v>
      </c>
      <c r="E213" s="286" t="s">
        <v>182</v>
      </c>
      <c r="F213" s="277"/>
      <c r="G213" s="277"/>
      <c r="H213" s="277"/>
      <c r="I213" s="277">
        <f>VLOOKUP($B59,F_Inputs!$B$213:$O$231,COLUMN()-1,FALSE)</f>
        <v>0</v>
      </c>
      <c r="J213" s="277"/>
      <c r="K213" s="531">
        <f>VLOOKUP($B59,F_Inputs!$B$213:$O$231,COLUMN()-1,FALSE)</f>
        <v>0</v>
      </c>
      <c r="L213" s="532">
        <f>VLOOKUP($B59,F_Inputs!$B$213:$O$231,COLUMN()-1,FALSE)</f>
        <v>0</v>
      </c>
      <c r="M213" s="532">
        <f>VLOOKUP($B59,F_Inputs!$B$213:$O$231,COLUMN()-1,FALSE)</f>
        <v>0</v>
      </c>
      <c r="N213" s="532">
        <f>VLOOKUP($B59,F_Inputs!$B$213:$O$231,COLUMN()-1,FALSE)</f>
        <v>0</v>
      </c>
      <c r="O213" s="532">
        <f>VLOOKUP($B59,F_Inputs!$B$213:$O$231,COLUMN()-1,FALSE)</f>
        <v>0</v>
      </c>
    </row>
    <row r="214" spans="1:15">
      <c r="A214" s="276" t="s">
        <v>55</v>
      </c>
      <c r="B214" s="276" t="s">
        <v>78</v>
      </c>
      <c r="C214" s="276" t="s">
        <v>132</v>
      </c>
      <c r="D214" s="276" t="s">
        <v>74</v>
      </c>
      <c r="E214" s="286" t="s">
        <v>182</v>
      </c>
      <c r="F214" s="277"/>
      <c r="G214" s="277"/>
      <c r="H214" s="277"/>
      <c r="I214" s="277">
        <f>VLOOKUP($B46,F_Inputs!$B$251:$O$269,COLUMN()-1,FALSE)+'New cost and adjustments inputs'!I39+I792</f>
        <v>2.5059999999999998</v>
      </c>
      <c r="J214" s="277"/>
      <c r="K214" s="531">
        <f>VLOOKUP($B46,F_Inputs!$B$251:$O$269,COLUMN()-1,FALSE)+'New cost and adjustments inputs'!K39+K792</f>
        <v>2.5740000000000003</v>
      </c>
      <c r="L214" s="532">
        <f>VLOOKUP($B46,F_Inputs!$B$251:$O$269,COLUMN()-1,FALSE)+'New cost and adjustments inputs'!L39+L792</f>
        <v>2.5730000000000004</v>
      </c>
      <c r="M214" s="532">
        <f>VLOOKUP($B46,F_Inputs!$B$251:$O$269,COLUMN()-1,FALSE)+'New cost and adjustments inputs'!M39+M792</f>
        <v>2.6040000000000001</v>
      </c>
      <c r="N214" s="532">
        <f>VLOOKUP($B46,F_Inputs!$B$251:$O$269,COLUMN()-1,FALSE)+'New cost and adjustments inputs'!N39+N792</f>
        <v>2.6080000000000001</v>
      </c>
      <c r="O214" s="532">
        <f>VLOOKUP($B46,F_Inputs!$B$251:$O$269,COLUMN()-1,FALSE)+'New cost and adjustments inputs'!O39+O792</f>
        <v>2.6140000000000003</v>
      </c>
    </row>
    <row r="215" spans="1:15">
      <c r="B215" s="276" t="s">
        <v>97</v>
      </c>
      <c r="C215" s="276" t="s">
        <v>99</v>
      </c>
      <c r="D215" s="276" t="s">
        <v>74</v>
      </c>
      <c r="E215" s="286" t="s">
        <v>182</v>
      </c>
      <c r="F215" s="277">
        <f>F30</f>
        <v>8.9999999999999993E-3</v>
      </c>
      <c r="G215" s="277">
        <f t="shared" ref="G215:K215" si="60">G30</f>
        <v>8.9999999999999993E-3</v>
      </c>
      <c r="H215" s="277">
        <f t="shared" si="60"/>
        <v>4.8000000000000001E-2</v>
      </c>
      <c r="I215" s="277">
        <f t="shared" si="60"/>
        <v>4.8000000000000001E-2</v>
      </c>
      <c r="K215" s="531">
        <f t="shared" si="60"/>
        <v>4.8000000000000001E-2</v>
      </c>
      <c r="L215" s="532">
        <f t="shared" ref="L215:O215" si="61">L30</f>
        <v>4.8000000000000001E-2</v>
      </c>
      <c r="M215" s="532">
        <f t="shared" si="61"/>
        <v>4.8000000000000001E-2</v>
      </c>
      <c r="N215" s="532">
        <f t="shared" si="61"/>
        <v>4.8000000000000001E-2</v>
      </c>
      <c r="O215" s="532">
        <f t="shared" si="61"/>
        <v>4.8000000000000001E-2</v>
      </c>
    </row>
    <row r="216" spans="1:15">
      <c r="B216" s="276" t="s">
        <v>98</v>
      </c>
      <c r="C216" s="276" t="s">
        <v>100</v>
      </c>
      <c r="D216" s="276" t="s">
        <v>74</v>
      </c>
      <c r="E216" s="286" t="s">
        <v>182</v>
      </c>
      <c r="F216" s="277">
        <f>F31</f>
        <v>0</v>
      </c>
      <c r="G216" s="277">
        <f t="shared" ref="G216:K216" si="62">G31</f>
        <v>0</v>
      </c>
      <c r="H216" s="277">
        <f t="shared" si="62"/>
        <v>0</v>
      </c>
      <c r="I216" s="277">
        <f t="shared" si="62"/>
        <v>0</v>
      </c>
      <c r="K216" s="531">
        <f t="shared" si="62"/>
        <v>3.4000000000000002E-2</v>
      </c>
      <c r="L216" s="532">
        <f t="shared" ref="L216:O216" si="63">L31</f>
        <v>6.4000000000000001E-2</v>
      </c>
      <c r="M216" s="532">
        <f t="shared" si="63"/>
        <v>8.3000000000000004E-2</v>
      </c>
      <c r="N216" s="532">
        <f t="shared" si="63"/>
        <v>9.6000000000000002E-2</v>
      </c>
      <c r="O216" s="532">
        <f t="shared" si="63"/>
        <v>0.11</v>
      </c>
    </row>
    <row r="217" spans="1:15">
      <c r="B217" s="276" t="s">
        <v>79</v>
      </c>
      <c r="C217" s="276" t="s">
        <v>135</v>
      </c>
      <c r="D217" s="276" t="s">
        <v>74</v>
      </c>
      <c r="E217" s="286" t="s">
        <v>182</v>
      </c>
      <c r="F217" s="277"/>
      <c r="G217" s="277"/>
      <c r="H217" s="277"/>
      <c r="I217" s="277">
        <f>VLOOKUP($B49,F_Inputs!$B$251:$O$269,COLUMN()-1,FALSE)</f>
        <v>0.18610599999999999</v>
      </c>
      <c r="J217" s="277"/>
      <c r="K217" s="531">
        <f>VLOOKUP($B49,F_Inputs!$B$251:$O$269,COLUMN()-1,FALSE)</f>
        <v>0.202737</v>
      </c>
      <c r="L217" s="532">
        <f>VLOOKUP($B49,F_Inputs!$B$251:$O$269,COLUMN()-1,FALSE)</f>
        <v>0.21085999999999999</v>
      </c>
      <c r="M217" s="532">
        <f>VLOOKUP($B49,F_Inputs!$B$251:$O$269,COLUMN()-1,FALSE)</f>
        <v>0.21885399999999999</v>
      </c>
      <c r="N217" s="532">
        <f>VLOOKUP($B49,F_Inputs!$B$251:$O$269,COLUMN()-1,FALSE)</f>
        <v>0.226849</v>
      </c>
      <c r="O217" s="532">
        <f>VLOOKUP($B49,F_Inputs!$B$251:$O$269,COLUMN()-1,FALSE)</f>
        <v>0.234843</v>
      </c>
    </row>
    <row r="218" spans="1:15">
      <c r="B218" s="276" t="s">
        <v>80</v>
      </c>
      <c r="C218" s="276" t="s">
        <v>136</v>
      </c>
      <c r="D218" s="276" t="s">
        <v>74</v>
      </c>
      <c r="E218" s="286" t="s">
        <v>182</v>
      </c>
      <c r="F218" s="277"/>
      <c r="G218" s="277"/>
      <c r="H218" s="277"/>
      <c r="I218" s="277">
        <f>VLOOKUP($B50,F_Inputs!$B$251:$O$269,COLUMN()-1,FALSE)</f>
        <v>0</v>
      </c>
      <c r="J218" s="277"/>
      <c r="K218" s="531">
        <f>VLOOKUP($B50,F_Inputs!$B$251:$O$269,COLUMN()-1,FALSE)</f>
        <v>0</v>
      </c>
      <c r="L218" s="532">
        <f>VLOOKUP($B50,F_Inputs!$B$251:$O$269,COLUMN()-1,FALSE)</f>
        <v>0</v>
      </c>
      <c r="M218" s="532">
        <f>VLOOKUP($B50,F_Inputs!$B$251:$O$269,COLUMN()-1,FALSE)</f>
        <v>0</v>
      </c>
      <c r="N218" s="532">
        <f>VLOOKUP($B50,F_Inputs!$B$251:$O$269,COLUMN()-1,FALSE)</f>
        <v>0</v>
      </c>
      <c r="O218" s="532">
        <f>VLOOKUP($B50,F_Inputs!$B$251:$O$269,COLUMN()-1,FALSE)</f>
        <v>0</v>
      </c>
    </row>
    <row r="219" spans="1:15">
      <c r="B219" s="276" t="s">
        <v>81</v>
      </c>
      <c r="C219" s="276" t="s">
        <v>137</v>
      </c>
      <c r="D219" s="276" t="s">
        <v>74</v>
      </c>
      <c r="E219" s="286" t="s">
        <v>182</v>
      </c>
      <c r="F219" s="277"/>
      <c r="G219" s="277"/>
      <c r="H219" s="277"/>
      <c r="I219" s="277">
        <f>VLOOKUP($B51,F_Inputs!$B$251:$O$269,COLUMN()-1,FALSE)</f>
        <v>0</v>
      </c>
      <c r="J219" s="277"/>
      <c r="K219" s="531">
        <f>VLOOKUP($B51,F_Inputs!$B$251:$O$269,COLUMN()-1,FALSE)</f>
        <v>0</v>
      </c>
      <c r="L219" s="532">
        <f>VLOOKUP($B51,F_Inputs!$B$251:$O$269,COLUMN()-1,FALSE)</f>
        <v>0</v>
      </c>
      <c r="M219" s="532">
        <f>VLOOKUP($B51,F_Inputs!$B$251:$O$269,COLUMN()-1,FALSE)</f>
        <v>0</v>
      </c>
      <c r="N219" s="532">
        <f>VLOOKUP($B51,F_Inputs!$B$251:$O$269,COLUMN()-1,FALSE)</f>
        <v>0</v>
      </c>
      <c r="O219" s="532">
        <f>VLOOKUP($B51,F_Inputs!$B$251:$O$269,COLUMN()-1,FALSE)</f>
        <v>0</v>
      </c>
    </row>
    <row r="220" spans="1:15">
      <c r="B220" s="276" t="s">
        <v>82</v>
      </c>
      <c r="C220" s="276" t="s">
        <v>89</v>
      </c>
      <c r="D220" s="276" t="s">
        <v>183</v>
      </c>
      <c r="E220" s="286" t="s">
        <v>182</v>
      </c>
      <c r="F220" s="277"/>
      <c r="G220" s="277"/>
      <c r="H220" s="277"/>
      <c r="I220" s="277">
        <f>VLOOKUP($B52,F_Inputs!$B$251:$O$269,COLUMN()-1,FALSE)</f>
        <v>49.905999999999999</v>
      </c>
      <c r="J220" s="277"/>
      <c r="K220" s="531">
        <f>VLOOKUP($B52,F_Inputs!$B$251:$O$269,COLUMN()-1,FALSE)</f>
        <v>47.847999999999999</v>
      </c>
      <c r="L220" s="532">
        <f>VLOOKUP($B52,F_Inputs!$B$251:$O$269,COLUMN()-1,FALSE)</f>
        <v>46.311999999999998</v>
      </c>
      <c r="M220" s="532">
        <f>VLOOKUP($B52,F_Inputs!$B$251:$O$269,COLUMN()-1,FALSE)</f>
        <v>44.825000000000003</v>
      </c>
      <c r="N220" s="532">
        <f>VLOOKUP($B52,F_Inputs!$B$251:$O$269,COLUMN()-1,FALSE)</f>
        <v>43.386000000000003</v>
      </c>
      <c r="O220" s="532">
        <f>VLOOKUP($B52,F_Inputs!$B$251:$O$269,COLUMN()-1,FALSE)</f>
        <v>41.993000000000002</v>
      </c>
    </row>
    <row r="221" spans="1:15">
      <c r="B221" s="276" t="s">
        <v>87</v>
      </c>
      <c r="C221" s="276" t="s">
        <v>90</v>
      </c>
      <c r="D221" s="276" t="s">
        <v>183</v>
      </c>
      <c r="E221" s="286" t="s">
        <v>182</v>
      </c>
      <c r="F221" s="277"/>
      <c r="G221" s="277"/>
      <c r="H221" s="277"/>
      <c r="I221" s="277">
        <f>VLOOKUP($B53,F_Inputs!$B$251:$O$269,COLUMN()-1,FALSE)</f>
        <v>63.613</v>
      </c>
      <c r="J221" s="277"/>
      <c r="K221" s="531">
        <f>VLOOKUP($B53,F_Inputs!$B$251:$O$269,COLUMN()-1,FALSE)</f>
        <v>69.438999999999993</v>
      </c>
      <c r="L221" s="532">
        <f>VLOOKUP($B53,F_Inputs!$B$251:$O$269,COLUMN()-1,FALSE)</f>
        <v>71.917000000000002</v>
      </c>
      <c r="M221" s="532">
        <f>VLOOKUP($B53,F_Inputs!$B$251:$O$269,COLUMN()-1,FALSE)</f>
        <v>74.346000000000004</v>
      </c>
      <c r="N221" s="532">
        <f>VLOOKUP($B53,F_Inputs!$B$251:$O$269,COLUMN()-1,FALSE)</f>
        <v>76.727000000000004</v>
      </c>
      <c r="O221" s="532">
        <f>VLOOKUP($B53,F_Inputs!$B$251:$O$269,COLUMN()-1,FALSE)</f>
        <v>79.063000000000002</v>
      </c>
    </row>
    <row r="222" spans="1:15">
      <c r="B222" s="276" t="s">
        <v>83</v>
      </c>
      <c r="C222" s="276" t="s">
        <v>91</v>
      </c>
      <c r="D222" s="276" t="s">
        <v>183</v>
      </c>
      <c r="E222" s="286" t="s">
        <v>182</v>
      </c>
      <c r="F222" s="277"/>
      <c r="G222" s="277"/>
      <c r="H222" s="277"/>
      <c r="I222" s="277">
        <f>VLOOKUP($B54,F_Inputs!$B$251:$O$269,COLUMN()-1,FALSE)</f>
        <v>0</v>
      </c>
      <c r="J222" s="277"/>
      <c r="K222" s="531">
        <f>VLOOKUP($B54,F_Inputs!$B$251:$O$269,COLUMN()-1,FALSE)</f>
        <v>0</v>
      </c>
      <c r="L222" s="532">
        <f>VLOOKUP($B54,F_Inputs!$B$251:$O$269,COLUMN()-1,FALSE)</f>
        <v>0</v>
      </c>
      <c r="M222" s="532">
        <f>VLOOKUP($B54,F_Inputs!$B$251:$O$269,COLUMN()-1,FALSE)</f>
        <v>0</v>
      </c>
      <c r="N222" s="532">
        <f>VLOOKUP($B54,F_Inputs!$B$251:$O$269,COLUMN()-1,FALSE)</f>
        <v>0</v>
      </c>
      <c r="O222" s="532">
        <f>VLOOKUP($B54,F_Inputs!$B$251:$O$269,COLUMN()-1,FALSE)</f>
        <v>0</v>
      </c>
    </row>
    <row r="223" spans="1:15">
      <c r="B223" s="276" t="s">
        <v>84</v>
      </c>
      <c r="C223" s="276" t="s">
        <v>92</v>
      </c>
      <c r="D223" s="276" t="s">
        <v>183</v>
      </c>
      <c r="E223" s="286" t="s">
        <v>182</v>
      </c>
      <c r="F223" s="277"/>
      <c r="G223" s="277"/>
      <c r="H223" s="277"/>
      <c r="I223" s="277">
        <f>VLOOKUP($B55,F_Inputs!$B$251:$O$269,COLUMN()-1,FALSE)</f>
        <v>0</v>
      </c>
      <c r="J223" s="277"/>
      <c r="K223" s="531">
        <f>VLOOKUP($B55,F_Inputs!$B$251:$O$269,COLUMN()-1,FALSE)</f>
        <v>0</v>
      </c>
      <c r="L223" s="532">
        <f>VLOOKUP($B55,F_Inputs!$B$251:$O$269,COLUMN()-1,FALSE)</f>
        <v>0</v>
      </c>
      <c r="M223" s="532">
        <f>VLOOKUP($B55,F_Inputs!$B$251:$O$269,COLUMN()-1,FALSE)</f>
        <v>0</v>
      </c>
      <c r="N223" s="532">
        <f>VLOOKUP($B55,F_Inputs!$B$251:$O$269,COLUMN()-1,FALSE)</f>
        <v>0</v>
      </c>
      <c r="O223" s="532">
        <f>VLOOKUP($B55,F_Inputs!$B$251:$O$269,COLUMN()-1,FALSE)</f>
        <v>0</v>
      </c>
    </row>
    <row r="224" spans="1:15">
      <c r="B224" s="276" t="s">
        <v>85</v>
      </c>
      <c r="C224" s="276" t="s">
        <v>93</v>
      </c>
      <c r="D224" s="276" t="s">
        <v>183</v>
      </c>
      <c r="E224" s="286" t="s">
        <v>182</v>
      </c>
      <c r="F224" s="277"/>
      <c r="G224" s="277"/>
      <c r="H224" s="277"/>
      <c r="I224" s="277">
        <f>VLOOKUP($B56,F_Inputs!$B$251:$O$269,COLUMN()-1,FALSE)</f>
        <v>0</v>
      </c>
      <c r="J224" s="277"/>
      <c r="K224" s="531">
        <f>VLOOKUP($B56,F_Inputs!$B$251:$O$269,COLUMN()-1,FALSE)</f>
        <v>0</v>
      </c>
      <c r="L224" s="532">
        <f>VLOOKUP($B56,F_Inputs!$B$251:$O$269,COLUMN()-1,FALSE)</f>
        <v>0</v>
      </c>
      <c r="M224" s="532">
        <f>VLOOKUP($B56,F_Inputs!$B$251:$O$269,COLUMN()-1,FALSE)</f>
        <v>0</v>
      </c>
      <c r="N224" s="532">
        <f>VLOOKUP($B56,F_Inputs!$B$251:$O$269,COLUMN()-1,FALSE)</f>
        <v>0</v>
      </c>
      <c r="O224" s="532">
        <f>VLOOKUP($B56,F_Inputs!$B$251:$O$269,COLUMN()-1,FALSE)</f>
        <v>0</v>
      </c>
    </row>
    <row r="225" spans="1:15">
      <c r="B225" s="276" t="s">
        <v>86</v>
      </c>
      <c r="C225" s="276" t="s">
        <v>94</v>
      </c>
      <c r="D225" s="276" t="s">
        <v>183</v>
      </c>
      <c r="E225" s="286" t="s">
        <v>182</v>
      </c>
      <c r="F225" s="277"/>
      <c r="G225" s="277"/>
      <c r="H225" s="277"/>
      <c r="I225" s="277">
        <f>VLOOKUP($B57,F_Inputs!$B$251:$O$269,COLUMN()-1,FALSE)</f>
        <v>0</v>
      </c>
      <c r="J225" s="277"/>
      <c r="K225" s="531">
        <f>VLOOKUP($B57,F_Inputs!$B$251:$O$269,COLUMN()-1,FALSE)</f>
        <v>0</v>
      </c>
      <c r="L225" s="532">
        <f>VLOOKUP($B57,F_Inputs!$B$251:$O$269,COLUMN()-1,FALSE)</f>
        <v>0</v>
      </c>
      <c r="M225" s="532">
        <f>VLOOKUP($B57,F_Inputs!$B$251:$O$269,COLUMN()-1,FALSE)</f>
        <v>0</v>
      </c>
      <c r="N225" s="532">
        <f>VLOOKUP($B57,F_Inputs!$B$251:$O$269,COLUMN()-1,FALSE)</f>
        <v>0</v>
      </c>
      <c r="O225" s="532">
        <f>VLOOKUP($B57,F_Inputs!$B$251:$O$269,COLUMN()-1,FALSE)</f>
        <v>0</v>
      </c>
    </row>
    <row r="226" spans="1:15">
      <c r="B226" s="276" t="s">
        <v>156</v>
      </c>
      <c r="C226" s="276" t="s">
        <v>157</v>
      </c>
      <c r="D226" s="276" t="s">
        <v>74</v>
      </c>
      <c r="E226" s="286" t="s">
        <v>182</v>
      </c>
      <c r="F226" s="277"/>
      <c r="G226" s="277"/>
      <c r="H226" s="277"/>
      <c r="I226" s="277">
        <f>I791</f>
        <v>0.04</v>
      </c>
      <c r="J226" s="277"/>
      <c r="K226" s="531">
        <f t="shared" ref="K226:O226" si="64">K791</f>
        <v>3.7356398550166127E-2</v>
      </c>
      <c r="L226" s="532">
        <f t="shared" si="64"/>
        <v>3.7356398550166127E-2</v>
      </c>
      <c r="M226" s="532">
        <f t="shared" si="64"/>
        <v>3.7356398550166127E-2</v>
      </c>
      <c r="N226" s="532">
        <f t="shared" si="64"/>
        <v>3.7356398550166127E-2</v>
      </c>
      <c r="O226" s="532">
        <f t="shared" si="64"/>
        <v>3.7356398550166127E-2</v>
      </c>
    </row>
    <row r="227" spans="1:15">
      <c r="B227" s="276" t="s">
        <v>159</v>
      </c>
      <c r="C227" s="276" t="s">
        <v>158</v>
      </c>
      <c r="D227" s="276" t="s">
        <v>74</v>
      </c>
      <c r="E227" s="286" t="s">
        <v>182</v>
      </c>
      <c r="F227" s="277"/>
      <c r="G227" s="277"/>
      <c r="H227" s="277"/>
      <c r="I227" s="277">
        <f>VLOOKUP($B59,F_Inputs!$B$251:$O$269,COLUMN()-1,FALSE)</f>
        <v>0</v>
      </c>
      <c r="J227" s="277"/>
      <c r="K227" s="531">
        <f>VLOOKUP($B59,F_Inputs!$B$251:$O$269,COLUMN()-1,FALSE)</f>
        <v>0</v>
      </c>
      <c r="L227" s="532">
        <f>VLOOKUP($B59,F_Inputs!$B$251:$O$269,COLUMN()-1,FALSE)</f>
        <v>0</v>
      </c>
      <c r="M227" s="532">
        <f>VLOOKUP($B59,F_Inputs!$B$251:$O$269,COLUMN()-1,FALSE)</f>
        <v>0</v>
      </c>
      <c r="N227" s="532">
        <f>VLOOKUP($B59,F_Inputs!$B$251:$O$269,COLUMN()-1,FALSE)</f>
        <v>0</v>
      </c>
      <c r="O227" s="532">
        <f>VLOOKUP($B59,F_Inputs!$B$251:$O$269,COLUMN()-1,FALSE)</f>
        <v>0</v>
      </c>
    </row>
    <row r="228" spans="1:15">
      <c r="A228" s="276" t="s">
        <v>56</v>
      </c>
      <c r="B228" s="276" t="s">
        <v>78</v>
      </c>
      <c r="C228" s="276" t="s">
        <v>132</v>
      </c>
      <c r="D228" s="276" t="s">
        <v>74</v>
      </c>
      <c r="E228" s="286" t="s">
        <v>182</v>
      </c>
      <c r="F228" s="277"/>
      <c r="G228" s="277"/>
      <c r="H228" s="277"/>
      <c r="I228" s="277">
        <f>VLOOKUP($B46,F_Inputs!$B$270:$O$288,COLUMN()-1,FALSE)+'New cost and adjustments inputs'!I40+I798</f>
        <v>3.9390000000000001</v>
      </c>
      <c r="J228" s="277"/>
      <c r="K228" s="531">
        <f>VLOOKUP($B46,F_Inputs!$B$270:$O$288,COLUMN()-1,FALSE)+'New cost and adjustments inputs'!K40+K798</f>
        <v>4.0469999999999997</v>
      </c>
      <c r="L228" s="532">
        <f>VLOOKUP($B46,F_Inputs!$B$270:$O$288,COLUMN()-1,FALSE)+'New cost and adjustments inputs'!L40+L798</f>
        <v>4.0780000000000003</v>
      </c>
      <c r="M228" s="532">
        <f>VLOOKUP($B46,F_Inputs!$B$270:$O$288,COLUMN()-1,FALSE)+'New cost and adjustments inputs'!M40+M798</f>
        <v>4.109</v>
      </c>
      <c r="N228" s="532">
        <f>VLOOKUP($B46,F_Inputs!$B$270:$O$288,COLUMN()-1,FALSE)+'New cost and adjustments inputs'!N40+N798</f>
        <v>4.1429999999999998</v>
      </c>
      <c r="O228" s="532">
        <f>VLOOKUP($B46,F_Inputs!$B$270:$O$288,COLUMN()-1,FALSE)+'New cost and adjustments inputs'!O40+O798</f>
        <v>4.1760000000000002</v>
      </c>
    </row>
    <row r="229" spans="1:15">
      <c r="B229" s="276" t="s">
        <v>97</v>
      </c>
      <c r="C229" s="276" t="s">
        <v>99</v>
      </c>
      <c r="D229" s="276" t="s">
        <v>74</v>
      </c>
      <c r="E229" s="286" t="s">
        <v>182</v>
      </c>
      <c r="F229" s="277">
        <f>F32</f>
        <v>0.11100000000000002</v>
      </c>
      <c r="G229" s="277">
        <f t="shared" ref="G229:K229" si="65">G32</f>
        <v>0.11100000000000002</v>
      </c>
      <c r="H229" s="277">
        <f t="shared" si="65"/>
        <v>0.17299999999999999</v>
      </c>
      <c r="I229" s="277">
        <f t="shared" si="65"/>
        <v>0.19600000000000001</v>
      </c>
      <c r="K229" s="531">
        <f t="shared" si="65"/>
        <v>0.17899999999999999</v>
      </c>
      <c r="L229" s="532">
        <f t="shared" ref="L229:O229" si="66">L32</f>
        <v>0.17099999999999999</v>
      </c>
      <c r="M229" s="532">
        <f t="shared" si="66"/>
        <v>0.13100000000000001</v>
      </c>
      <c r="N229" s="532">
        <f t="shared" si="66"/>
        <v>0.107</v>
      </c>
      <c r="O229" s="532">
        <f t="shared" si="66"/>
        <v>9.1999999999999998E-2</v>
      </c>
    </row>
    <row r="230" spans="1:15">
      <c r="B230" s="276" t="s">
        <v>98</v>
      </c>
      <c r="C230" s="276" t="s">
        <v>100</v>
      </c>
      <c r="D230" s="276" t="s">
        <v>74</v>
      </c>
      <c r="E230" s="286" t="s">
        <v>182</v>
      </c>
      <c r="F230" s="277">
        <f>F33</f>
        <v>0</v>
      </c>
      <c r="G230" s="277">
        <f t="shared" ref="G230:K230" si="67">G33</f>
        <v>0</v>
      </c>
      <c r="H230" s="277">
        <f t="shared" si="67"/>
        <v>0</v>
      </c>
      <c r="I230" s="277">
        <f t="shared" si="67"/>
        <v>0</v>
      </c>
      <c r="K230" s="531">
        <f t="shared" si="67"/>
        <v>1.2E-2</v>
      </c>
      <c r="L230" s="532">
        <f t="shared" ref="L230:O230" si="68">L33</f>
        <v>2.4E-2</v>
      </c>
      <c r="M230" s="532">
        <f t="shared" si="68"/>
        <v>3.6000000000000004E-2</v>
      </c>
      <c r="N230" s="532">
        <f t="shared" si="68"/>
        <v>4.9000000000000002E-2</v>
      </c>
      <c r="O230" s="532">
        <f t="shared" si="68"/>
        <v>6.0999999999999999E-2</v>
      </c>
    </row>
    <row r="231" spans="1:15">
      <c r="B231" s="276" t="s">
        <v>79</v>
      </c>
      <c r="C231" s="276" t="s">
        <v>135</v>
      </c>
      <c r="D231" s="276" t="s">
        <v>74</v>
      </c>
      <c r="E231" s="286" t="s">
        <v>182</v>
      </c>
      <c r="F231" s="277"/>
      <c r="G231" s="277"/>
      <c r="H231" s="277"/>
      <c r="I231" s="277">
        <f>VLOOKUP($B49,F_Inputs!$B$270:$O$288,COLUMN()-1,FALSE)</f>
        <v>0.27900000000000003</v>
      </c>
      <c r="J231" s="277"/>
      <c r="K231" s="531">
        <f>VLOOKUP($B49,F_Inputs!$B$270:$O$288,COLUMN()-1,FALSE)</f>
        <v>0.33700000000000002</v>
      </c>
      <c r="L231" s="532">
        <f>VLOOKUP($B49,F_Inputs!$B$270:$O$288,COLUMN()-1,FALSE)</f>
        <v>0.36799999999999999</v>
      </c>
      <c r="M231" s="532">
        <f>VLOOKUP($B49,F_Inputs!$B$270:$O$288,COLUMN()-1,FALSE)</f>
        <v>0.39900000000000002</v>
      </c>
      <c r="N231" s="532">
        <f>VLOOKUP($B49,F_Inputs!$B$270:$O$288,COLUMN()-1,FALSE)</f>
        <v>0.433</v>
      </c>
      <c r="O231" s="532">
        <f>VLOOKUP($B49,F_Inputs!$B$270:$O$288,COLUMN()-1,FALSE)</f>
        <v>0.46600000000000003</v>
      </c>
    </row>
    <row r="232" spans="1:15">
      <c r="B232" s="276" t="s">
        <v>80</v>
      </c>
      <c r="C232" s="276" t="s">
        <v>136</v>
      </c>
      <c r="D232" s="276" t="s">
        <v>74</v>
      </c>
      <c r="E232" s="286" t="s">
        <v>182</v>
      </c>
      <c r="F232" s="277"/>
      <c r="G232" s="277"/>
      <c r="H232" s="277"/>
      <c r="I232" s="277">
        <f>VLOOKUP($B50,F_Inputs!$B$270:$O$288,COLUMN()-1,FALSE)</f>
        <v>0</v>
      </c>
      <c r="J232" s="277"/>
      <c r="K232" s="531">
        <f>VLOOKUP($B50,F_Inputs!$B$270:$O$288,COLUMN()-1,FALSE)</f>
        <v>0</v>
      </c>
      <c r="L232" s="532">
        <f>VLOOKUP($B50,F_Inputs!$B$270:$O$288,COLUMN()-1,FALSE)</f>
        <v>0</v>
      </c>
      <c r="M232" s="532">
        <f>VLOOKUP($B50,F_Inputs!$B$270:$O$288,COLUMN()-1,FALSE)</f>
        <v>0</v>
      </c>
      <c r="N232" s="532">
        <f>VLOOKUP($B50,F_Inputs!$B$270:$O$288,COLUMN()-1,FALSE)</f>
        <v>0</v>
      </c>
      <c r="O232" s="532">
        <f>VLOOKUP($B50,F_Inputs!$B$270:$O$288,COLUMN()-1,FALSE)</f>
        <v>0</v>
      </c>
    </row>
    <row r="233" spans="1:15">
      <c r="B233" s="276" t="s">
        <v>81</v>
      </c>
      <c r="C233" s="276" t="s">
        <v>137</v>
      </c>
      <c r="D233" s="276" t="s">
        <v>74</v>
      </c>
      <c r="E233" s="286" t="s">
        <v>182</v>
      </c>
      <c r="F233" s="277"/>
      <c r="G233" s="277"/>
      <c r="H233" s="277"/>
      <c r="I233" s="277">
        <f>VLOOKUP($B51,F_Inputs!$B$270:$O$288,COLUMN()-1,FALSE)</f>
        <v>0</v>
      </c>
      <c r="J233" s="277"/>
      <c r="K233" s="531">
        <f>VLOOKUP($B51,F_Inputs!$B$270:$O$288,COLUMN()-1,FALSE)</f>
        <v>0</v>
      </c>
      <c r="L233" s="532">
        <f>VLOOKUP($B51,F_Inputs!$B$270:$O$288,COLUMN()-1,FALSE)</f>
        <v>0</v>
      </c>
      <c r="M233" s="532">
        <f>VLOOKUP($B51,F_Inputs!$B$270:$O$288,COLUMN()-1,FALSE)</f>
        <v>0</v>
      </c>
      <c r="N233" s="532">
        <f>VLOOKUP($B51,F_Inputs!$B$270:$O$288,COLUMN()-1,FALSE)</f>
        <v>0</v>
      </c>
      <c r="O233" s="532">
        <f>VLOOKUP($B51,F_Inputs!$B$270:$O$288,COLUMN()-1,FALSE)</f>
        <v>0</v>
      </c>
    </row>
    <row r="234" spans="1:15">
      <c r="B234" s="276" t="s">
        <v>82</v>
      </c>
      <c r="C234" s="276" t="s">
        <v>89</v>
      </c>
      <c r="D234" s="276" t="s">
        <v>183</v>
      </c>
      <c r="E234" s="286" t="s">
        <v>182</v>
      </c>
      <c r="F234" s="277"/>
      <c r="G234" s="277"/>
      <c r="H234" s="277"/>
      <c r="I234" s="277">
        <f>VLOOKUP($B52,F_Inputs!$B$270:$O$288,COLUMN()-1,FALSE)</f>
        <v>217.672</v>
      </c>
      <c r="J234" s="277"/>
      <c r="K234" s="531">
        <f>VLOOKUP($B52,F_Inputs!$B$270:$O$288,COLUMN()-1,FALSE)</f>
        <v>207.72300000000001</v>
      </c>
      <c r="L234" s="532">
        <f>VLOOKUP($B52,F_Inputs!$B$270:$O$288,COLUMN()-1,FALSE)</f>
        <v>202.72300000000001</v>
      </c>
      <c r="M234" s="532">
        <f>VLOOKUP($B52,F_Inputs!$B$270:$O$288,COLUMN()-1,FALSE)</f>
        <v>197.72300000000001</v>
      </c>
      <c r="N234" s="532">
        <f>VLOOKUP($B52,F_Inputs!$B$270:$O$288,COLUMN()-1,FALSE)</f>
        <v>192.72300000000001</v>
      </c>
      <c r="O234" s="532">
        <f>VLOOKUP($B52,F_Inputs!$B$270:$O$288,COLUMN()-1,FALSE)</f>
        <v>187.72300000000001</v>
      </c>
    </row>
    <row r="235" spans="1:15">
      <c r="B235" s="276" t="s">
        <v>87</v>
      </c>
      <c r="C235" s="276" t="s">
        <v>90</v>
      </c>
      <c r="D235" s="276" t="s">
        <v>183</v>
      </c>
      <c r="E235" s="286" t="s">
        <v>182</v>
      </c>
      <c r="F235" s="277"/>
      <c r="G235" s="277"/>
      <c r="H235" s="277"/>
      <c r="I235" s="277">
        <f>VLOOKUP($B53,F_Inputs!$B$270:$O$288,COLUMN()-1,FALSE)</f>
        <v>66.489000000000004</v>
      </c>
      <c r="J235" s="277"/>
      <c r="K235" s="531">
        <f>VLOOKUP($B53,F_Inputs!$B$270:$O$288,COLUMN()-1,FALSE)</f>
        <v>80.427000000000007</v>
      </c>
      <c r="L235" s="532">
        <f>VLOOKUP($B53,F_Inputs!$B$270:$O$288,COLUMN()-1,FALSE)</f>
        <v>87.587000000000003</v>
      </c>
      <c r="M235" s="532">
        <f>VLOOKUP($B53,F_Inputs!$B$270:$O$288,COLUMN()-1,FALSE)</f>
        <v>95.1</v>
      </c>
      <c r="N235" s="532">
        <f>VLOOKUP($B53,F_Inputs!$B$270:$O$288,COLUMN()-1,FALSE)</f>
        <v>103.10299999999999</v>
      </c>
      <c r="O235" s="532">
        <f>VLOOKUP($B53,F_Inputs!$B$270:$O$288,COLUMN()-1,FALSE)</f>
        <v>111.041</v>
      </c>
    </row>
    <row r="236" spans="1:15">
      <c r="B236" s="276" t="s">
        <v>83</v>
      </c>
      <c r="C236" s="276" t="s">
        <v>91</v>
      </c>
      <c r="D236" s="276" t="s">
        <v>183</v>
      </c>
      <c r="E236" s="286" t="s">
        <v>182</v>
      </c>
      <c r="F236" s="277"/>
      <c r="G236" s="277"/>
      <c r="H236" s="277"/>
      <c r="I236" s="277">
        <f>VLOOKUP($B54,F_Inputs!$B$270:$O$288,COLUMN()-1,FALSE)</f>
        <v>0</v>
      </c>
      <c r="J236" s="277"/>
      <c r="K236" s="531">
        <f>VLOOKUP($B54,F_Inputs!$B$270:$O$288,COLUMN()-1,FALSE)</f>
        <v>0</v>
      </c>
      <c r="L236" s="532">
        <f>VLOOKUP($B54,F_Inputs!$B$270:$O$288,COLUMN()-1,FALSE)</f>
        <v>0</v>
      </c>
      <c r="M236" s="532">
        <f>VLOOKUP($B54,F_Inputs!$B$270:$O$288,COLUMN()-1,FALSE)</f>
        <v>0</v>
      </c>
      <c r="N236" s="532">
        <f>VLOOKUP($B54,F_Inputs!$B$270:$O$288,COLUMN()-1,FALSE)</f>
        <v>0</v>
      </c>
      <c r="O236" s="532">
        <f>VLOOKUP($B54,F_Inputs!$B$270:$O$288,COLUMN()-1,FALSE)</f>
        <v>0</v>
      </c>
    </row>
    <row r="237" spans="1:15">
      <c r="B237" s="276" t="s">
        <v>84</v>
      </c>
      <c r="C237" s="276" t="s">
        <v>92</v>
      </c>
      <c r="D237" s="276" t="s">
        <v>183</v>
      </c>
      <c r="E237" s="286" t="s">
        <v>182</v>
      </c>
      <c r="F237" s="277"/>
      <c r="G237" s="277"/>
      <c r="H237" s="277"/>
      <c r="I237" s="277">
        <f>VLOOKUP($B55,F_Inputs!$B$270:$O$288,COLUMN()-1,FALSE)</f>
        <v>0</v>
      </c>
      <c r="J237" s="277"/>
      <c r="K237" s="531">
        <f>VLOOKUP($B55,F_Inputs!$B$270:$O$288,COLUMN()-1,FALSE)</f>
        <v>0</v>
      </c>
      <c r="L237" s="532">
        <f>VLOOKUP($B55,F_Inputs!$B$270:$O$288,COLUMN()-1,FALSE)</f>
        <v>0</v>
      </c>
      <c r="M237" s="532">
        <f>VLOOKUP($B55,F_Inputs!$B$270:$O$288,COLUMN()-1,FALSE)</f>
        <v>0</v>
      </c>
      <c r="N237" s="532">
        <f>VLOOKUP($B55,F_Inputs!$B$270:$O$288,COLUMN()-1,FALSE)</f>
        <v>0</v>
      </c>
      <c r="O237" s="532">
        <f>VLOOKUP($B55,F_Inputs!$B$270:$O$288,COLUMN()-1,FALSE)</f>
        <v>0</v>
      </c>
    </row>
    <row r="238" spans="1:15">
      <c r="B238" s="276" t="s">
        <v>85</v>
      </c>
      <c r="C238" s="276" t="s">
        <v>93</v>
      </c>
      <c r="D238" s="276" t="s">
        <v>183</v>
      </c>
      <c r="E238" s="286" t="s">
        <v>182</v>
      </c>
      <c r="F238" s="277"/>
      <c r="G238" s="277"/>
      <c r="H238" s="277"/>
      <c r="I238" s="277">
        <f>VLOOKUP($B56,F_Inputs!$B$270:$O$288,COLUMN()-1,FALSE)</f>
        <v>0</v>
      </c>
      <c r="J238" s="277"/>
      <c r="K238" s="531">
        <f>VLOOKUP($B56,F_Inputs!$B$270:$O$288,COLUMN()-1,FALSE)</f>
        <v>0</v>
      </c>
      <c r="L238" s="532">
        <f>VLOOKUP($B56,F_Inputs!$B$270:$O$288,COLUMN()-1,FALSE)</f>
        <v>0</v>
      </c>
      <c r="M238" s="532">
        <f>VLOOKUP($B56,F_Inputs!$B$270:$O$288,COLUMN()-1,FALSE)</f>
        <v>0</v>
      </c>
      <c r="N238" s="532">
        <f>VLOOKUP($B56,F_Inputs!$B$270:$O$288,COLUMN()-1,FALSE)</f>
        <v>0</v>
      </c>
      <c r="O238" s="532">
        <f>VLOOKUP($B56,F_Inputs!$B$270:$O$288,COLUMN()-1,FALSE)</f>
        <v>0</v>
      </c>
    </row>
    <row r="239" spans="1:15">
      <c r="B239" s="276" t="s">
        <v>86</v>
      </c>
      <c r="C239" s="276" t="s">
        <v>94</v>
      </c>
      <c r="D239" s="276" t="s">
        <v>183</v>
      </c>
      <c r="E239" s="286" t="s">
        <v>182</v>
      </c>
      <c r="F239" s="277"/>
      <c r="G239" s="277"/>
      <c r="H239" s="277"/>
      <c r="I239" s="277">
        <f>VLOOKUP($B57,F_Inputs!$B$270:$O$288,COLUMN()-1,FALSE)</f>
        <v>0</v>
      </c>
      <c r="J239" s="277"/>
      <c r="K239" s="531">
        <f>VLOOKUP($B57,F_Inputs!$B$270:$O$288,COLUMN()-1,FALSE)</f>
        <v>0</v>
      </c>
      <c r="L239" s="532">
        <f>VLOOKUP($B57,F_Inputs!$B$270:$O$288,COLUMN()-1,FALSE)</f>
        <v>0</v>
      </c>
      <c r="M239" s="532">
        <f>VLOOKUP($B57,F_Inputs!$B$270:$O$288,COLUMN()-1,FALSE)</f>
        <v>0</v>
      </c>
      <c r="N239" s="532">
        <f>VLOOKUP($B57,F_Inputs!$B$270:$O$288,COLUMN()-1,FALSE)</f>
        <v>0</v>
      </c>
      <c r="O239" s="532">
        <f>VLOOKUP($B57,F_Inputs!$B$270:$O$288,COLUMN()-1,FALSE)</f>
        <v>0</v>
      </c>
    </row>
    <row r="240" spans="1:15">
      <c r="B240" s="276" t="s">
        <v>156</v>
      </c>
      <c r="C240" s="276" t="s">
        <v>157</v>
      </c>
      <c r="D240" s="276" t="s">
        <v>74</v>
      </c>
      <c r="E240" s="286" t="s">
        <v>182</v>
      </c>
      <c r="F240" s="277"/>
      <c r="G240" s="277"/>
      <c r="H240" s="277"/>
      <c r="I240" s="277">
        <f>I797</f>
        <v>0</v>
      </c>
      <c r="J240" s="277"/>
      <c r="K240" s="531">
        <f t="shared" ref="K240:O240" si="69">K797</f>
        <v>5.9289625264830503E-2</v>
      </c>
      <c r="L240" s="532">
        <f t="shared" si="69"/>
        <v>8.9420418432203386E-2</v>
      </c>
      <c r="M240" s="532">
        <f t="shared" si="69"/>
        <v>0.11955121159957627</v>
      </c>
      <c r="N240" s="532">
        <f t="shared" si="69"/>
        <v>0.15065396583686441</v>
      </c>
      <c r="O240" s="532">
        <f t="shared" si="69"/>
        <v>0.18175672007415253</v>
      </c>
    </row>
    <row r="241" spans="1:15">
      <c r="B241" s="276" t="s">
        <v>159</v>
      </c>
      <c r="C241" s="276" t="s">
        <v>158</v>
      </c>
      <c r="D241" s="276" t="s">
        <v>74</v>
      </c>
      <c r="E241" s="286" t="s">
        <v>182</v>
      </c>
      <c r="F241" s="277"/>
      <c r="G241" s="277"/>
      <c r="H241" s="277"/>
      <c r="I241" s="277">
        <f>VLOOKUP($B59,F_Inputs!$B$270:$O$288,COLUMN()-1,FALSE)</f>
        <v>0</v>
      </c>
      <c r="J241" s="277"/>
      <c r="K241" s="531">
        <f>VLOOKUP($B59,F_Inputs!$B$270:$O$288,COLUMN()-1,FALSE)</f>
        <v>0</v>
      </c>
      <c r="L241" s="532">
        <f>VLOOKUP($B59,F_Inputs!$B$270:$O$288,COLUMN()-1,FALSE)</f>
        <v>0</v>
      </c>
      <c r="M241" s="532">
        <f>VLOOKUP($B59,F_Inputs!$B$270:$O$288,COLUMN()-1,FALSE)</f>
        <v>0</v>
      </c>
      <c r="N241" s="532">
        <f>VLOOKUP($B59,F_Inputs!$B$270:$O$288,COLUMN()-1,FALSE)</f>
        <v>0</v>
      </c>
      <c r="O241" s="532">
        <f>VLOOKUP($B59,F_Inputs!$B$270:$O$288,COLUMN()-1,FALSE)</f>
        <v>0</v>
      </c>
    </row>
    <row r="242" spans="1:15">
      <c r="A242" s="276" t="s">
        <v>57</v>
      </c>
      <c r="B242" s="276" t="s">
        <v>78</v>
      </c>
      <c r="C242" s="276" t="s">
        <v>132</v>
      </c>
      <c r="D242" s="276" t="s">
        <v>74</v>
      </c>
      <c r="E242" s="286" t="s">
        <v>182</v>
      </c>
      <c r="F242" s="277"/>
      <c r="G242" s="277"/>
      <c r="H242" s="277"/>
      <c r="I242" s="277">
        <f>VLOOKUP($B46,F_Inputs!$B$289:$O$307,COLUMN()-1,FALSE)+'New cost and adjustments inputs'!I41+I804</f>
        <v>4.0510000000000002</v>
      </c>
      <c r="J242" s="277"/>
      <c r="K242" s="531">
        <f>VLOOKUP($B46,F_Inputs!$B$289:$O$307,COLUMN()-1,FALSE)+'New cost and adjustments inputs'!K41+K804</f>
        <v>4.194</v>
      </c>
      <c r="L242" s="532">
        <f>VLOOKUP($B46,F_Inputs!$B$289:$O$307,COLUMN()-1,FALSE)+'New cost and adjustments inputs'!L41+L804</f>
        <v>4.2620000000000005</v>
      </c>
      <c r="M242" s="532">
        <f>VLOOKUP($B46,F_Inputs!$B$289:$O$307,COLUMN()-1,FALSE)+'New cost and adjustments inputs'!M41+M804</f>
        <v>4.33</v>
      </c>
      <c r="N242" s="532">
        <f>VLOOKUP($B46,F_Inputs!$B$289:$O$307,COLUMN()-1,FALSE)+'New cost and adjustments inputs'!N41+N804</f>
        <v>4.3929999999999998</v>
      </c>
      <c r="O242" s="532">
        <f>VLOOKUP($B46,F_Inputs!$B$289:$O$307,COLUMN()-1,FALSE)+'New cost and adjustments inputs'!O41+O804</f>
        <v>4.4530000000000003</v>
      </c>
    </row>
    <row r="243" spans="1:15">
      <c r="B243" s="276" t="s">
        <v>97</v>
      </c>
      <c r="C243" s="276" t="s">
        <v>99</v>
      </c>
      <c r="D243" s="276" t="s">
        <v>74</v>
      </c>
      <c r="E243" s="286" t="s">
        <v>182</v>
      </c>
      <c r="F243" s="277">
        <f>F34</f>
        <v>0.32500000000000001</v>
      </c>
      <c r="G243" s="277">
        <f t="shared" ref="G243:K243" si="70">G34</f>
        <v>0.33499999999999996</v>
      </c>
      <c r="H243" s="277">
        <f t="shared" si="70"/>
        <v>0.372</v>
      </c>
      <c r="I243" s="277">
        <f t="shared" si="70"/>
        <v>0.32100000000000001</v>
      </c>
      <c r="K243" s="531">
        <f t="shared" si="70"/>
        <v>0.48699999999999999</v>
      </c>
      <c r="L243" s="532">
        <f t="shared" ref="L243:O243" si="71">L34</f>
        <v>0.47499999999999998</v>
      </c>
      <c r="M243" s="532">
        <f t="shared" si="71"/>
        <v>0.40400000000000003</v>
      </c>
      <c r="N243" s="532">
        <f t="shared" si="71"/>
        <v>0.30599999999999999</v>
      </c>
      <c r="O243" s="532">
        <f t="shared" si="71"/>
        <v>0.21299999999999999</v>
      </c>
    </row>
    <row r="244" spans="1:15">
      <c r="B244" s="276" t="s">
        <v>98</v>
      </c>
      <c r="C244" s="276" t="s">
        <v>100</v>
      </c>
      <c r="D244" s="276" t="s">
        <v>74</v>
      </c>
      <c r="E244" s="286" t="s">
        <v>182</v>
      </c>
      <c r="F244" s="277">
        <f>F35</f>
        <v>0</v>
      </c>
      <c r="G244" s="277">
        <f t="shared" ref="G244:K244" si="72">G35</f>
        <v>0</v>
      </c>
      <c r="H244" s="277">
        <f t="shared" si="72"/>
        <v>0</v>
      </c>
      <c r="I244" s="277">
        <f t="shared" si="72"/>
        <v>0</v>
      </c>
      <c r="K244" s="531">
        <f t="shared" si="72"/>
        <v>5.5E-2</v>
      </c>
      <c r="L244" s="532">
        <f t="shared" ref="L244:O244" si="73">L35</f>
        <v>0.112</v>
      </c>
      <c r="M244" s="532">
        <f t="shared" si="73"/>
        <v>0.17499999999999999</v>
      </c>
      <c r="N244" s="532">
        <f t="shared" si="73"/>
        <v>0.23799999999999999</v>
      </c>
      <c r="O244" s="532">
        <f t="shared" si="73"/>
        <v>0.23500000000000001</v>
      </c>
    </row>
    <row r="245" spans="1:15">
      <c r="B245" s="276" t="s">
        <v>79</v>
      </c>
      <c r="C245" s="276" t="s">
        <v>135</v>
      </c>
      <c r="D245" s="276" t="s">
        <v>74</v>
      </c>
      <c r="E245" s="286" t="s">
        <v>182</v>
      </c>
      <c r="F245" s="277"/>
      <c r="G245" s="277"/>
      <c r="H245" s="277"/>
      <c r="I245" s="277">
        <f>VLOOKUP($B49,F_Inputs!$B$289:$O$307,COLUMN()-1,FALSE)</f>
        <v>0.625</v>
      </c>
      <c r="J245" s="277"/>
      <c r="K245" s="531">
        <f>VLOOKUP($B49,F_Inputs!$B$289:$O$307,COLUMN()-1,FALSE)</f>
        <v>0.754</v>
      </c>
      <c r="L245" s="532">
        <f>VLOOKUP($B49,F_Inputs!$B$289:$O$307,COLUMN()-1,FALSE)</f>
        <v>0.81299999999999994</v>
      </c>
      <c r="M245" s="532">
        <f>VLOOKUP($B49,F_Inputs!$B$289:$O$307,COLUMN()-1,FALSE)</f>
        <v>0.877</v>
      </c>
      <c r="N245" s="532">
        <f>VLOOKUP($B49,F_Inputs!$B$289:$O$307,COLUMN()-1,FALSE)</f>
        <v>0.94299999999999995</v>
      </c>
      <c r="O245" s="532">
        <f>VLOOKUP($B49,F_Inputs!$B$289:$O$307,COLUMN()-1,FALSE)</f>
        <v>1.0089999999999999</v>
      </c>
    </row>
    <row r="246" spans="1:15">
      <c r="B246" s="276" t="s">
        <v>80</v>
      </c>
      <c r="C246" s="276" t="s">
        <v>136</v>
      </c>
      <c r="D246" s="276" t="s">
        <v>74</v>
      </c>
      <c r="E246" s="286" t="s">
        <v>182</v>
      </c>
      <c r="F246" s="277"/>
      <c r="G246" s="277"/>
      <c r="H246" s="277"/>
      <c r="I246" s="277">
        <f>VLOOKUP($B50,F_Inputs!$B$289:$O$307,COLUMN()-1,FALSE)</f>
        <v>0</v>
      </c>
      <c r="J246" s="277"/>
      <c r="K246" s="531">
        <f>VLOOKUP($B50,F_Inputs!$B$289:$O$307,COLUMN()-1,FALSE)</f>
        <v>0</v>
      </c>
      <c r="L246" s="532">
        <f>VLOOKUP($B50,F_Inputs!$B$289:$O$307,COLUMN()-1,FALSE)</f>
        <v>0</v>
      </c>
      <c r="M246" s="532">
        <f>VLOOKUP($B50,F_Inputs!$B$289:$O$307,COLUMN()-1,FALSE)</f>
        <v>0</v>
      </c>
      <c r="N246" s="532">
        <f>VLOOKUP($B50,F_Inputs!$B$289:$O$307,COLUMN()-1,FALSE)</f>
        <v>0</v>
      </c>
      <c r="O246" s="532">
        <f>VLOOKUP($B50,F_Inputs!$B$289:$O$307,COLUMN()-1,FALSE)</f>
        <v>0</v>
      </c>
    </row>
    <row r="247" spans="1:15">
      <c r="B247" s="276" t="s">
        <v>81</v>
      </c>
      <c r="C247" s="276" t="s">
        <v>137</v>
      </c>
      <c r="D247" s="276" t="s">
        <v>74</v>
      </c>
      <c r="E247" s="286" t="s">
        <v>182</v>
      </c>
      <c r="F247" s="277"/>
      <c r="G247" s="277"/>
      <c r="H247" s="277"/>
      <c r="I247" s="277">
        <f>VLOOKUP($B51,F_Inputs!$B$289:$O$307,COLUMN()-1,FALSE)</f>
        <v>0</v>
      </c>
      <c r="J247" s="277"/>
      <c r="K247" s="531">
        <f>VLOOKUP($B51,F_Inputs!$B$289:$O$307,COLUMN()-1,FALSE)</f>
        <v>0</v>
      </c>
      <c r="L247" s="532">
        <f>VLOOKUP($B51,F_Inputs!$B$289:$O$307,COLUMN()-1,FALSE)</f>
        <v>0</v>
      </c>
      <c r="M247" s="532">
        <f>VLOOKUP($B51,F_Inputs!$B$289:$O$307,COLUMN()-1,FALSE)</f>
        <v>0</v>
      </c>
      <c r="N247" s="532">
        <f>VLOOKUP($B51,F_Inputs!$B$289:$O$307,COLUMN()-1,FALSE)</f>
        <v>0</v>
      </c>
      <c r="O247" s="532">
        <f>VLOOKUP($B51,F_Inputs!$B$289:$O$307,COLUMN()-1,FALSE)</f>
        <v>0</v>
      </c>
    </row>
    <row r="248" spans="1:15">
      <c r="B248" s="276" t="s">
        <v>82</v>
      </c>
      <c r="C248" s="276" t="s">
        <v>89</v>
      </c>
      <c r="D248" s="276" t="s">
        <v>183</v>
      </c>
      <c r="E248" s="286" t="s">
        <v>182</v>
      </c>
      <c r="F248" s="277"/>
      <c r="G248" s="277"/>
      <c r="H248" s="277"/>
      <c r="I248" s="277">
        <f>VLOOKUP($B52,F_Inputs!$B$289:$O$307,COLUMN()-1,FALSE)</f>
        <v>66.679000000000002</v>
      </c>
      <c r="J248" s="277"/>
      <c r="K248" s="531">
        <f>VLOOKUP($B52,F_Inputs!$B$289:$O$307,COLUMN()-1,FALSE)</f>
        <v>59.764000000000003</v>
      </c>
      <c r="L248" s="532">
        <f>VLOOKUP($B52,F_Inputs!$B$289:$O$307,COLUMN()-1,FALSE)</f>
        <v>56.173999999999999</v>
      </c>
      <c r="M248" s="532">
        <f>VLOOKUP($B52,F_Inputs!$B$289:$O$307,COLUMN()-1,FALSE)</f>
        <v>52.584000000000003</v>
      </c>
      <c r="N248" s="532">
        <f>VLOOKUP($B52,F_Inputs!$B$289:$O$307,COLUMN()-1,FALSE)</f>
        <v>48.994</v>
      </c>
      <c r="O248" s="532">
        <f>VLOOKUP($B52,F_Inputs!$B$289:$O$307,COLUMN()-1,FALSE)</f>
        <v>45.404000000000003</v>
      </c>
    </row>
    <row r="249" spans="1:15">
      <c r="B249" s="276" t="s">
        <v>87</v>
      </c>
      <c r="C249" s="276" t="s">
        <v>90</v>
      </c>
      <c r="D249" s="276" t="s">
        <v>183</v>
      </c>
      <c r="E249" s="286" t="s">
        <v>182</v>
      </c>
      <c r="F249" s="277"/>
      <c r="G249" s="277"/>
      <c r="H249" s="277"/>
      <c r="I249" s="277">
        <f>VLOOKUP($B53,F_Inputs!$B$289:$O$307,COLUMN()-1,FALSE)</f>
        <v>119.232</v>
      </c>
      <c r="J249" s="277"/>
      <c r="K249" s="531">
        <f>VLOOKUP($B53,F_Inputs!$B$289:$O$307,COLUMN()-1,FALSE)</f>
        <v>127.999</v>
      </c>
      <c r="L249" s="532">
        <f>VLOOKUP($B53,F_Inputs!$B$289:$O$307,COLUMN()-1,FALSE)</f>
        <v>132.67400000000001</v>
      </c>
      <c r="M249" s="532">
        <f>VLOOKUP($B53,F_Inputs!$B$289:$O$307,COLUMN()-1,FALSE)</f>
        <v>137.482</v>
      </c>
      <c r="N249" s="532">
        <f>VLOOKUP($B53,F_Inputs!$B$289:$O$307,COLUMN()-1,FALSE)</f>
        <v>142.19200000000001</v>
      </c>
      <c r="O249" s="532">
        <f>VLOOKUP($B53,F_Inputs!$B$289:$O$307,COLUMN()-1,FALSE)</f>
        <v>146.845</v>
      </c>
    </row>
    <row r="250" spans="1:15">
      <c r="B250" s="276" t="s">
        <v>83</v>
      </c>
      <c r="C250" s="276" t="s">
        <v>91</v>
      </c>
      <c r="D250" s="276" t="s">
        <v>183</v>
      </c>
      <c r="E250" s="286" t="s">
        <v>182</v>
      </c>
      <c r="F250" s="277"/>
      <c r="G250" s="277"/>
      <c r="H250" s="277"/>
      <c r="I250" s="277">
        <f>VLOOKUP($B54,F_Inputs!$B$289:$O$307,COLUMN()-1,FALSE)</f>
        <v>0</v>
      </c>
      <c r="J250" s="277"/>
      <c r="K250" s="531">
        <f>VLOOKUP($B54,F_Inputs!$B$289:$O$307,COLUMN()-1,FALSE)</f>
        <v>0</v>
      </c>
      <c r="L250" s="532">
        <f>VLOOKUP($B54,F_Inputs!$B$289:$O$307,COLUMN()-1,FALSE)</f>
        <v>0</v>
      </c>
      <c r="M250" s="532">
        <f>VLOOKUP($B54,F_Inputs!$B$289:$O$307,COLUMN()-1,FALSE)</f>
        <v>0</v>
      </c>
      <c r="N250" s="532">
        <f>VLOOKUP($B54,F_Inputs!$B$289:$O$307,COLUMN()-1,FALSE)</f>
        <v>0</v>
      </c>
      <c r="O250" s="532">
        <f>VLOOKUP($B54,F_Inputs!$B$289:$O$307,COLUMN()-1,FALSE)</f>
        <v>0</v>
      </c>
    </row>
    <row r="251" spans="1:15">
      <c r="B251" s="276" t="s">
        <v>84</v>
      </c>
      <c r="C251" s="276" t="s">
        <v>92</v>
      </c>
      <c r="D251" s="276" t="s">
        <v>183</v>
      </c>
      <c r="E251" s="286" t="s">
        <v>182</v>
      </c>
      <c r="F251" s="277"/>
      <c r="G251" s="277"/>
      <c r="H251" s="277"/>
      <c r="I251" s="277">
        <f>VLOOKUP($B55,F_Inputs!$B$289:$O$307,COLUMN()-1,FALSE)</f>
        <v>0</v>
      </c>
      <c r="J251" s="277"/>
      <c r="K251" s="531">
        <f>VLOOKUP($B55,F_Inputs!$B$289:$O$307,COLUMN()-1,FALSE)</f>
        <v>0</v>
      </c>
      <c r="L251" s="532">
        <f>VLOOKUP($B55,F_Inputs!$B$289:$O$307,COLUMN()-1,FALSE)</f>
        <v>0</v>
      </c>
      <c r="M251" s="532">
        <f>VLOOKUP($B55,F_Inputs!$B$289:$O$307,COLUMN()-1,FALSE)</f>
        <v>0</v>
      </c>
      <c r="N251" s="532">
        <f>VLOOKUP($B55,F_Inputs!$B$289:$O$307,COLUMN()-1,FALSE)</f>
        <v>0</v>
      </c>
      <c r="O251" s="532">
        <f>VLOOKUP($B55,F_Inputs!$B$289:$O$307,COLUMN()-1,FALSE)</f>
        <v>0</v>
      </c>
    </row>
    <row r="252" spans="1:15">
      <c r="B252" s="276" t="s">
        <v>85</v>
      </c>
      <c r="C252" s="276" t="s">
        <v>93</v>
      </c>
      <c r="D252" s="276" t="s">
        <v>183</v>
      </c>
      <c r="E252" s="286" t="s">
        <v>182</v>
      </c>
      <c r="F252" s="277"/>
      <c r="G252" s="277"/>
      <c r="H252" s="277"/>
      <c r="I252" s="277">
        <f>VLOOKUP($B56,F_Inputs!$B$289:$O$307,COLUMN()-1,FALSE)</f>
        <v>0</v>
      </c>
      <c r="J252" s="277"/>
      <c r="K252" s="531">
        <f>VLOOKUP($B56,F_Inputs!$B$289:$O$307,COLUMN()-1,FALSE)</f>
        <v>0</v>
      </c>
      <c r="L252" s="532">
        <f>VLOOKUP($B56,F_Inputs!$B$289:$O$307,COLUMN()-1,FALSE)</f>
        <v>0</v>
      </c>
      <c r="M252" s="532">
        <f>VLOOKUP($B56,F_Inputs!$B$289:$O$307,COLUMN()-1,FALSE)</f>
        <v>0</v>
      </c>
      <c r="N252" s="532">
        <f>VLOOKUP($B56,F_Inputs!$B$289:$O$307,COLUMN()-1,FALSE)</f>
        <v>0</v>
      </c>
      <c r="O252" s="532">
        <f>VLOOKUP($B56,F_Inputs!$B$289:$O$307,COLUMN()-1,FALSE)</f>
        <v>0</v>
      </c>
    </row>
    <row r="253" spans="1:15">
      <c r="B253" s="276" t="s">
        <v>86</v>
      </c>
      <c r="C253" s="276" t="s">
        <v>94</v>
      </c>
      <c r="D253" s="276" t="s">
        <v>183</v>
      </c>
      <c r="E253" s="286" t="s">
        <v>182</v>
      </c>
      <c r="F253" s="277"/>
      <c r="G253" s="277"/>
      <c r="H253" s="277"/>
      <c r="I253" s="277">
        <f>VLOOKUP($B57,F_Inputs!$B$289:$O$307,COLUMN()-1,FALSE)</f>
        <v>0</v>
      </c>
      <c r="J253" s="277"/>
      <c r="K253" s="531">
        <f>VLOOKUP($B57,F_Inputs!$B$289:$O$307,COLUMN()-1,FALSE)</f>
        <v>0</v>
      </c>
      <c r="L253" s="532">
        <f>VLOOKUP($B57,F_Inputs!$B$289:$O$307,COLUMN()-1,FALSE)</f>
        <v>0</v>
      </c>
      <c r="M253" s="532">
        <f>VLOOKUP($B57,F_Inputs!$B$289:$O$307,COLUMN()-1,FALSE)</f>
        <v>0</v>
      </c>
      <c r="N253" s="532">
        <f>VLOOKUP($B57,F_Inputs!$B$289:$O$307,COLUMN()-1,FALSE)</f>
        <v>0</v>
      </c>
      <c r="O253" s="532">
        <f>VLOOKUP($B57,F_Inputs!$B$289:$O$307,COLUMN()-1,FALSE)</f>
        <v>0</v>
      </c>
    </row>
    <row r="254" spans="1:15">
      <c r="B254" s="276" t="s">
        <v>156</v>
      </c>
      <c r="C254" s="276" t="s">
        <v>157</v>
      </c>
      <c r="D254" s="276" t="s">
        <v>74</v>
      </c>
      <c r="E254" s="286" t="s">
        <v>182</v>
      </c>
      <c r="F254" s="277"/>
      <c r="G254" s="277"/>
      <c r="H254" s="277"/>
      <c r="I254" s="277">
        <f>I803</f>
        <v>0.14099999999999999</v>
      </c>
      <c r="J254" s="277"/>
      <c r="K254" s="531">
        <f t="shared" ref="K254:O254" si="74">K803</f>
        <v>7.9898744193178897E-2</v>
      </c>
      <c r="L254" s="532">
        <f t="shared" si="74"/>
        <v>7.9898744193178897E-2</v>
      </c>
      <c r="M254" s="532">
        <f t="shared" si="74"/>
        <v>7.9898744193178897E-2</v>
      </c>
      <c r="N254" s="532">
        <f t="shared" si="74"/>
        <v>7.9898744193178897E-2</v>
      </c>
      <c r="O254" s="532">
        <f t="shared" si="74"/>
        <v>7.9898744193178897E-2</v>
      </c>
    </row>
    <row r="255" spans="1:15">
      <c r="B255" s="276" t="s">
        <v>159</v>
      </c>
      <c r="C255" s="276" t="s">
        <v>158</v>
      </c>
      <c r="D255" s="276" t="s">
        <v>74</v>
      </c>
      <c r="E255" s="286" t="s">
        <v>182</v>
      </c>
      <c r="F255" s="277"/>
      <c r="G255" s="277"/>
      <c r="H255" s="277"/>
      <c r="I255" s="277">
        <f>VLOOKUP($B59,F_Inputs!$B$289:$O$307,COLUMN()-1,FALSE)</f>
        <v>0</v>
      </c>
      <c r="J255" s="277"/>
      <c r="K255" s="531">
        <f>VLOOKUP($B59,F_Inputs!$B$289:$O$307,COLUMN()-1,FALSE)</f>
        <v>0</v>
      </c>
      <c r="L255" s="532">
        <f>VLOOKUP($B59,F_Inputs!$B$289:$O$307,COLUMN()-1,FALSE)</f>
        <v>0</v>
      </c>
      <c r="M255" s="532">
        <f>VLOOKUP($B59,F_Inputs!$B$289:$O$307,COLUMN()-1,FALSE)</f>
        <v>0</v>
      </c>
      <c r="N255" s="532">
        <f>VLOOKUP($B59,F_Inputs!$B$289:$O$307,COLUMN()-1,FALSE)</f>
        <v>0</v>
      </c>
      <c r="O255" s="532">
        <f>VLOOKUP($B59,F_Inputs!$B$289:$O$307,COLUMN()-1,FALSE)</f>
        <v>0</v>
      </c>
    </row>
    <row r="256" spans="1:15">
      <c r="A256" s="276" t="s">
        <v>58</v>
      </c>
      <c r="B256" s="276" t="s">
        <v>78</v>
      </c>
      <c r="C256" s="276" t="s">
        <v>132</v>
      </c>
      <c r="D256" s="276" t="s">
        <v>74</v>
      </c>
      <c r="E256" s="286" t="s">
        <v>182</v>
      </c>
      <c r="F256" s="277"/>
      <c r="G256" s="277"/>
      <c r="H256" s="277"/>
      <c r="I256" s="277">
        <f>VLOOKUP($B46,F_Inputs!$B$308:$O$326,COLUMN()-1,FALSE)+'New cost and adjustments inputs'!I42+I810</f>
        <v>18.156073774429</v>
      </c>
      <c r="J256" s="277"/>
      <c r="K256" s="531">
        <f>VLOOKUP($B46,F_Inputs!$B$308:$O$326,COLUMN()-1,FALSE)+'New cost and adjustments inputs'!K42+K810</f>
        <v>17.654438681453399</v>
      </c>
      <c r="L256" s="532">
        <f>VLOOKUP($B46,F_Inputs!$B$308:$O$326,COLUMN()-1,FALSE)+'New cost and adjustments inputs'!L42+L810</f>
        <v>18.118219651960199</v>
      </c>
      <c r="M256" s="532">
        <f>VLOOKUP($B46,F_Inputs!$B$308:$O$326,COLUMN()-1,FALSE)+'New cost and adjustments inputs'!M42+M810</f>
        <v>18.582875139426299</v>
      </c>
      <c r="N256" s="532">
        <f>VLOOKUP($B46,F_Inputs!$B$308:$O$326,COLUMN()-1,FALSE)+'New cost and adjustments inputs'!N42+N810</f>
        <v>19.029397152657001</v>
      </c>
      <c r="O256" s="532">
        <f>VLOOKUP($B46,F_Inputs!$B$308:$O$326,COLUMN()-1,FALSE)+'New cost and adjustments inputs'!O42+O810</f>
        <v>19.4714279377629</v>
      </c>
    </row>
    <row r="257" spans="1:15">
      <c r="B257" s="276" t="s">
        <v>97</v>
      </c>
      <c r="C257" s="276" t="s">
        <v>99</v>
      </c>
      <c r="D257" s="276" t="s">
        <v>74</v>
      </c>
      <c r="E257" s="286" t="s">
        <v>182</v>
      </c>
      <c r="F257" s="277">
        <f>F36</f>
        <v>2.3767965559112398</v>
      </c>
      <c r="G257" s="277">
        <f t="shared" ref="G257:I257" si="75">G36</f>
        <v>2.3360143955619601</v>
      </c>
      <c r="H257" s="277">
        <f t="shared" si="75"/>
        <v>1.9259999999999999</v>
      </c>
      <c r="I257" s="277">
        <f t="shared" si="75"/>
        <v>1.4307266949152539</v>
      </c>
      <c r="K257" s="531">
        <f>K36</f>
        <v>1.4787598248128699</v>
      </c>
      <c r="L257" s="532">
        <f t="shared" ref="L257:O257" si="76">L36</f>
        <v>1.3009226195572561</v>
      </c>
      <c r="M257" s="532">
        <f t="shared" si="76"/>
        <v>0.72516422936402003</v>
      </c>
      <c r="N257" s="532">
        <f t="shared" si="76"/>
        <v>0.39699656679548001</v>
      </c>
      <c r="O257" s="532">
        <f t="shared" si="76"/>
        <v>0.25126823189967201</v>
      </c>
    </row>
    <row r="258" spans="1:15">
      <c r="B258" s="276" t="s">
        <v>98</v>
      </c>
      <c r="C258" s="276" t="s">
        <v>100</v>
      </c>
      <c r="D258" s="276" t="s">
        <v>74</v>
      </c>
      <c r="E258" s="286" t="s">
        <v>182</v>
      </c>
      <c r="F258" s="277">
        <f>F37</f>
        <v>0</v>
      </c>
      <c r="G258" s="277">
        <f t="shared" ref="G258:K258" si="77">G37</f>
        <v>0</v>
      </c>
      <c r="H258" s="277">
        <f t="shared" si="77"/>
        <v>0</v>
      </c>
      <c r="I258" s="277">
        <f t="shared" si="77"/>
        <v>0</v>
      </c>
      <c r="K258" s="531">
        <f t="shared" si="77"/>
        <v>0.1000388866249205</v>
      </c>
      <c r="L258" s="532">
        <f t="shared" ref="L258:O258" si="78">L37</f>
        <v>0.36473472829814702</v>
      </c>
      <c r="M258" s="532">
        <f t="shared" si="78"/>
        <v>0.63728497469505396</v>
      </c>
      <c r="N258" s="532">
        <f t="shared" si="78"/>
        <v>0.83914530030431</v>
      </c>
      <c r="O258" s="532">
        <f t="shared" si="78"/>
        <v>1.05418669333882</v>
      </c>
    </row>
    <row r="259" spans="1:15">
      <c r="B259" s="276" t="s">
        <v>79</v>
      </c>
      <c r="C259" s="276" t="s">
        <v>135</v>
      </c>
      <c r="D259" s="276" t="s">
        <v>74</v>
      </c>
      <c r="E259" s="286" t="s">
        <v>182</v>
      </c>
      <c r="F259" s="277"/>
      <c r="G259" s="277"/>
      <c r="H259" s="277"/>
      <c r="I259" s="277">
        <f>VLOOKUP($B49,F_Inputs!$B$308:$O$326,COLUMN()-1,FALSE)</f>
        <v>3.39576389475056</v>
      </c>
      <c r="J259" s="277"/>
      <c r="K259" s="531">
        <f>VLOOKUP($B49,F_Inputs!$B$308:$O$326,COLUMN()-1,FALSE)</f>
        <v>4.1037899945101799</v>
      </c>
      <c r="L259" s="532">
        <f>VLOOKUP($B49,F_Inputs!$B$308:$O$326,COLUMN()-1,FALSE)</f>
        <v>4.4221978815610603</v>
      </c>
      <c r="M259" s="532">
        <f>VLOOKUP($B49,F_Inputs!$B$308:$O$326,COLUMN()-1,FALSE)</f>
        <v>4.7359919310614096</v>
      </c>
      <c r="N259" s="532">
        <f>VLOOKUP($B49,F_Inputs!$B$308:$O$326,COLUMN()-1,FALSE)</f>
        <v>5.0423541648494803</v>
      </c>
      <c r="O259" s="532">
        <f>VLOOKUP($B49,F_Inputs!$B$308:$O$326,COLUMN()-1,FALSE)</f>
        <v>5.3450493835058097</v>
      </c>
    </row>
    <row r="260" spans="1:15">
      <c r="B260" s="276" t="s">
        <v>80</v>
      </c>
      <c r="C260" s="276" t="s">
        <v>136</v>
      </c>
      <c r="D260" s="276" t="s">
        <v>74</v>
      </c>
      <c r="E260" s="286" t="s">
        <v>182</v>
      </c>
      <c r="F260" s="277"/>
      <c r="G260" s="277"/>
      <c r="H260" s="277"/>
      <c r="I260" s="277">
        <f>VLOOKUP($B50,F_Inputs!$B$308:$O$326,COLUMN()-1,FALSE)</f>
        <v>0</v>
      </c>
      <c r="J260" s="277"/>
      <c r="K260" s="531">
        <f>VLOOKUP($B50,F_Inputs!$B$308:$O$326,COLUMN()-1,FALSE)</f>
        <v>0</v>
      </c>
      <c r="L260" s="532">
        <f>VLOOKUP($B50,F_Inputs!$B$308:$O$326,COLUMN()-1,FALSE)</f>
        <v>0</v>
      </c>
      <c r="M260" s="532">
        <f>VLOOKUP($B50,F_Inputs!$B$308:$O$326,COLUMN()-1,FALSE)</f>
        <v>0</v>
      </c>
      <c r="N260" s="532">
        <f>VLOOKUP($B50,F_Inputs!$B$308:$O$326,COLUMN()-1,FALSE)</f>
        <v>0</v>
      </c>
      <c r="O260" s="532">
        <f>VLOOKUP($B50,F_Inputs!$B$308:$O$326,COLUMN()-1,FALSE)</f>
        <v>0</v>
      </c>
    </row>
    <row r="261" spans="1:15">
      <c r="B261" s="276" t="s">
        <v>81</v>
      </c>
      <c r="C261" s="276" t="s">
        <v>137</v>
      </c>
      <c r="D261" s="276" t="s">
        <v>74</v>
      </c>
      <c r="E261" s="286" t="s">
        <v>182</v>
      </c>
      <c r="F261" s="277"/>
      <c r="G261" s="277"/>
      <c r="H261" s="277"/>
      <c r="I261" s="277">
        <f>VLOOKUP($B51,F_Inputs!$B$308:$O$326,COLUMN()-1,FALSE)</f>
        <v>0</v>
      </c>
      <c r="J261" s="277"/>
      <c r="K261" s="531">
        <f>VLOOKUP($B51,F_Inputs!$B$308:$O$326,COLUMN()-1,FALSE)</f>
        <v>0</v>
      </c>
      <c r="L261" s="532">
        <f>VLOOKUP($B51,F_Inputs!$B$308:$O$326,COLUMN()-1,FALSE)</f>
        <v>0</v>
      </c>
      <c r="M261" s="532">
        <f>VLOOKUP($B51,F_Inputs!$B$308:$O$326,COLUMN()-1,FALSE)</f>
        <v>0</v>
      </c>
      <c r="N261" s="532">
        <f>VLOOKUP($B51,F_Inputs!$B$308:$O$326,COLUMN()-1,FALSE)</f>
        <v>0</v>
      </c>
      <c r="O261" s="532">
        <f>VLOOKUP($B51,F_Inputs!$B$308:$O$326,COLUMN()-1,FALSE)</f>
        <v>0</v>
      </c>
    </row>
    <row r="262" spans="1:15">
      <c r="B262" s="276" t="s">
        <v>82</v>
      </c>
      <c r="C262" s="276" t="s">
        <v>89</v>
      </c>
      <c r="D262" s="276" t="s">
        <v>183</v>
      </c>
      <c r="E262" s="286" t="s">
        <v>182</v>
      </c>
      <c r="F262" s="277"/>
      <c r="G262" s="277"/>
      <c r="H262" s="277"/>
      <c r="I262" s="277">
        <f>VLOOKUP($B52,F_Inputs!$B$308:$O$326,COLUMN()-1,FALSE)</f>
        <v>325.05200000000002</v>
      </c>
      <c r="J262" s="277"/>
      <c r="K262" s="531">
        <f>VLOOKUP($B52,F_Inputs!$B$308:$O$326,COLUMN()-1,FALSE)</f>
        <v>237.65425522721301</v>
      </c>
      <c r="L262" s="532">
        <f>VLOOKUP($B52,F_Inputs!$B$308:$O$326,COLUMN()-1,FALSE)</f>
        <v>199.321225144583</v>
      </c>
      <c r="M262" s="532">
        <f>VLOOKUP($B52,F_Inputs!$B$308:$O$326,COLUMN()-1,FALSE)</f>
        <v>161.965579816738</v>
      </c>
      <c r="N262" s="532">
        <f>VLOOKUP($B52,F_Inputs!$B$308:$O$326,COLUMN()-1,FALSE)</f>
        <v>125.098626866285</v>
      </c>
      <c r="O262" s="532">
        <f>VLOOKUP($B52,F_Inputs!$B$308:$O$326,COLUMN()-1,FALSE)</f>
        <v>88.720366293223194</v>
      </c>
    </row>
    <row r="263" spans="1:15">
      <c r="B263" s="276" t="s">
        <v>87</v>
      </c>
      <c r="C263" s="276" t="s">
        <v>90</v>
      </c>
      <c r="D263" s="276" t="s">
        <v>183</v>
      </c>
      <c r="E263" s="286" t="s">
        <v>182</v>
      </c>
      <c r="F263" s="277"/>
      <c r="G263" s="277"/>
      <c r="H263" s="277"/>
      <c r="I263" s="277">
        <f>VLOOKUP($B53,F_Inputs!$B$308:$O$326,COLUMN()-1,FALSE)</f>
        <v>494.94499999999999</v>
      </c>
      <c r="J263" s="277"/>
      <c r="K263" s="531">
        <f>VLOOKUP($B53,F_Inputs!$B$308:$O$326,COLUMN()-1,FALSE)</f>
        <v>598.14239204697196</v>
      </c>
      <c r="L263" s="532">
        <f>VLOOKUP($B53,F_Inputs!$B$308:$O$326,COLUMN()-1,FALSE)</f>
        <v>644.551505442642</v>
      </c>
      <c r="M263" s="532">
        <f>VLOOKUP($B53,F_Inputs!$B$308:$O$326,COLUMN()-1,FALSE)</f>
        <v>690.28813515062598</v>
      </c>
      <c r="N263" s="532">
        <f>VLOOKUP($B53,F_Inputs!$B$308:$O$326,COLUMN()-1,FALSE)</f>
        <v>734.94155055345902</v>
      </c>
      <c r="O263" s="532">
        <f>VLOOKUP($B53,F_Inputs!$B$308:$O$326,COLUMN()-1,FALSE)</f>
        <v>779.06048509700997</v>
      </c>
    </row>
    <row r="264" spans="1:15">
      <c r="B264" s="276" t="s">
        <v>83</v>
      </c>
      <c r="C264" s="276" t="s">
        <v>91</v>
      </c>
      <c r="D264" s="276" t="s">
        <v>183</v>
      </c>
      <c r="E264" s="286" t="s">
        <v>182</v>
      </c>
      <c r="F264" s="277"/>
      <c r="G264" s="277"/>
      <c r="H264" s="277"/>
      <c r="I264" s="277">
        <f>VLOOKUP($B54,F_Inputs!$B$308:$O$326,COLUMN()-1,FALSE)</f>
        <v>0</v>
      </c>
      <c r="J264" s="277"/>
      <c r="K264" s="531">
        <f>VLOOKUP($B54,F_Inputs!$B$308:$O$326,COLUMN()-1,FALSE)</f>
        <v>0</v>
      </c>
      <c r="L264" s="532">
        <f>VLOOKUP($B54,F_Inputs!$B$308:$O$326,COLUMN()-1,FALSE)</f>
        <v>0</v>
      </c>
      <c r="M264" s="532">
        <f>VLOOKUP($B54,F_Inputs!$B$308:$O$326,COLUMN()-1,FALSE)</f>
        <v>0</v>
      </c>
      <c r="N264" s="532">
        <f>VLOOKUP($B54,F_Inputs!$B$308:$O$326,COLUMN()-1,FALSE)</f>
        <v>0</v>
      </c>
      <c r="O264" s="532">
        <f>VLOOKUP($B54,F_Inputs!$B$308:$O$326,COLUMN()-1,FALSE)</f>
        <v>0</v>
      </c>
    </row>
    <row r="265" spans="1:15">
      <c r="B265" s="276" t="s">
        <v>84</v>
      </c>
      <c r="C265" s="276" t="s">
        <v>92</v>
      </c>
      <c r="D265" s="276" t="s">
        <v>183</v>
      </c>
      <c r="E265" s="286" t="s">
        <v>182</v>
      </c>
      <c r="F265" s="277"/>
      <c r="G265" s="277"/>
      <c r="H265" s="277"/>
      <c r="I265" s="277">
        <f>VLOOKUP($B55,F_Inputs!$B$308:$O$326,COLUMN()-1,FALSE)</f>
        <v>0</v>
      </c>
      <c r="J265" s="277"/>
      <c r="K265" s="531">
        <f>VLOOKUP($B55,F_Inputs!$B$308:$O$326,COLUMN()-1,FALSE)</f>
        <v>0</v>
      </c>
      <c r="L265" s="532">
        <f>VLOOKUP($B55,F_Inputs!$B$308:$O$326,COLUMN()-1,FALSE)</f>
        <v>0</v>
      </c>
      <c r="M265" s="532">
        <f>VLOOKUP($B55,F_Inputs!$B$308:$O$326,COLUMN()-1,FALSE)</f>
        <v>0</v>
      </c>
      <c r="N265" s="532">
        <f>VLOOKUP($B55,F_Inputs!$B$308:$O$326,COLUMN()-1,FALSE)</f>
        <v>0</v>
      </c>
      <c r="O265" s="532">
        <f>VLOOKUP($B55,F_Inputs!$B$308:$O$326,COLUMN()-1,FALSE)</f>
        <v>0</v>
      </c>
    </row>
    <row r="266" spans="1:15">
      <c r="B266" s="276" t="s">
        <v>85</v>
      </c>
      <c r="C266" s="276" t="s">
        <v>93</v>
      </c>
      <c r="D266" s="276" t="s">
        <v>183</v>
      </c>
      <c r="E266" s="286" t="s">
        <v>182</v>
      </c>
      <c r="F266" s="277"/>
      <c r="G266" s="277"/>
      <c r="H266" s="277"/>
      <c r="I266" s="277">
        <f>VLOOKUP($B56,F_Inputs!$B$308:$O$326,COLUMN()-1,FALSE)</f>
        <v>0</v>
      </c>
      <c r="J266" s="277"/>
      <c r="K266" s="531">
        <f>VLOOKUP($B56,F_Inputs!$B$308:$O$326,COLUMN()-1,FALSE)</f>
        <v>0</v>
      </c>
      <c r="L266" s="532">
        <f>VLOOKUP($B56,F_Inputs!$B$308:$O$326,COLUMN()-1,FALSE)</f>
        <v>0</v>
      </c>
      <c r="M266" s="532">
        <f>VLOOKUP($B56,F_Inputs!$B$308:$O$326,COLUMN()-1,FALSE)</f>
        <v>0</v>
      </c>
      <c r="N266" s="532">
        <f>VLOOKUP($B56,F_Inputs!$B$308:$O$326,COLUMN()-1,FALSE)</f>
        <v>0</v>
      </c>
      <c r="O266" s="532">
        <f>VLOOKUP($B56,F_Inputs!$B$308:$O$326,COLUMN()-1,FALSE)</f>
        <v>0</v>
      </c>
    </row>
    <row r="267" spans="1:15">
      <c r="B267" s="276" t="s">
        <v>86</v>
      </c>
      <c r="C267" s="276" t="s">
        <v>94</v>
      </c>
      <c r="D267" s="276" t="s">
        <v>183</v>
      </c>
      <c r="E267" s="286" t="s">
        <v>182</v>
      </c>
      <c r="F267" s="277"/>
      <c r="G267" s="277"/>
      <c r="H267" s="277"/>
      <c r="I267" s="277">
        <f>VLOOKUP($B57,F_Inputs!$B$308:$O$326,COLUMN()-1,FALSE)</f>
        <v>0</v>
      </c>
      <c r="J267" s="277"/>
      <c r="K267" s="531">
        <f>VLOOKUP($B57,F_Inputs!$B$308:$O$326,COLUMN()-1,FALSE)</f>
        <v>0</v>
      </c>
      <c r="L267" s="532">
        <f>VLOOKUP($B57,F_Inputs!$B$308:$O$326,COLUMN()-1,FALSE)</f>
        <v>0</v>
      </c>
      <c r="M267" s="532">
        <f>VLOOKUP($B57,F_Inputs!$B$308:$O$326,COLUMN()-1,FALSE)</f>
        <v>0</v>
      </c>
      <c r="N267" s="532">
        <f>VLOOKUP($B57,F_Inputs!$B$308:$O$326,COLUMN()-1,FALSE)</f>
        <v>0</v>
      </c>
      <c r="O267" s="532">
        <f>VLOOKUP($B57,F_Inputs!$B$308:$O$326,COLUMN()-1,FALSE)</f>
        <v>0</v>
      </c>
    </row>
    <row r="268" spans="1:15">
      <c r="B268" s="276" t="s">
        <v>156</v>
      </c>
      <c r="C268" s="276" t="s">
        <v>157</v>
      </c>
      <c r="D268" s="276" t="s">
        <v>74</v>
      </c>
      <c r="E268" s="286" t="s">
        <v>182</v>
      </c>
      <c r="F268" s="277"/>
      <c r="G268" s="277"/>
      <c r="H268" s="277"/>
      <c r="I268" s="277">
        <f>I809</f>
        <v>0.64600000000000002</v>
      </c>
      <c r="J268" s="277"/>
      <c r="K268" s="531">
        <f t="shared" ref="K268:O268" si="79">K809</f>
        <v>0.5981496564423604</v>
      </c>
      <c r="L268" s="532">
        <f t="shared" si="79"/>
        <v>0.5981496564423604</v>
      </c>
      <c r="M268" s="532">
        <f t="shared" si="79"/>
        <v>0.5981496564423604</v>
      </c>
      <c r="N268" s="532">
        <f t="shared" si="79"/>
        <v>0.5981496564423604</v>
      </c>
      <c r="O268" s="532">
        <f t="shared" si="79"/>
        <v>0.5981496564423604</v>
      </c>
    </row>
    <row r="269" spans="1:15">
      <c r="B269" s="276" t="s">
        <v>159</v>
      </c>
      <c r="C269" s="276" t="s">
        <v>158</v>
      </c>
      <c r="D269" s="276" t="s">
        <v>74</v>
      </c>
      <c r="E269" s="286" t="s">
        <v>182</v>
      </c>
      <c r="F269" s="277"/>
      <c r="G269" s="277"/>
      <c r="H269" s="277"/>
      <c r="I269" s="277">
        <f>VLOOKUP($B59,F_Inputs!$B$308:$O$326,COLUMN()-1,FALSE)</f>
        <v>0</v>
      </c>
      <c r="J269" s="277"/>
      <c r="K269" s="531">
        <f>VLOOKUP($B59,F_Inputs!$B$308:$O$326,COLUMN()-1,FALSE)</f>
        <v>0</v>
      </c>
      <c r="L269" s="532">
        <f>VLOOKUP($B59,F_Inputs!$B$308:$O$326,COLUMN()-1,FALSE)</f>
        <v>0</v>
      </c>
      <c r="M269" s="532">
        <f>VLOOKUP($B59,F_Inputs!$B$308:$O$326,COLUMN()-1,FALSE)</f>
        <v>0</v>
      </c>
      <c r="N269" s="532">
        <f>VLOOKUP($B59,F_Inputs!$B$308:$O$326,COLUMN()-1,FALSE)</f>
        <v>0</v>
      </c>
      <c r="O269" s="532">
        <f>VLOOKUP($B59,F_Inputs!$B$308:$O$326,COLUMN()-1,FALSE)</f>
        <v>0</v>
      </c>
    </row>
    <row r="270" spans="1:15">
      <c r="A270" s="276" t="s">
        <v>66</v>
      </c>
      <c r="B270" s="276" t="s">
        <v>78</v>
      </c>
      <c r="C270" s="276" t="s">
        <v>132</v>
      </c>
      <c r="D270" s="276" t="s">
        <v>74</v>
      </c>
      <c r="E270" s="286" t="s">
        <v>182</v>
      </c>
      <c r="F270" s="277"/>
      <c r="G270" s="277"/>
      <c r="H270" s="277"/>
      <c r="I270" s="277">
        <f>VLOOKUP($B46,F_Inputs!$B$232:$O$250,COLUMN()-1,FALSE)+'New cost and adjustments inputs'!I43+I816</f>
        <v>13.33819300188828</v>
      </c>
      <c r="J270" s="277"/>
      <c r="K270" s="531">
        <f>VLOOKUP($B46,F_Inputs!$B$232:$O$250,COLUMN()-1,FALSE)+'New cost and adjustments inputs'!K43+K816</f>
        <v>13.60124278370353</v>
      </c>
      <c r="L270" s="532">
        <f>VLOOKUP($B46,F_Inputs!$B$232:$O$250,COLUMN()-1,FALSE)+'New cost and adjustments inputs'!L43+L816</f>
        <v>13.735241310375237</v>
      </c>
      <c r="M270" s="532">
        <f>VLOOKUP($B46,F_Inputs!$B$232:$O$250,COLUMN()-1,FALSE)+'New cost and adjustments inputs'!M43+M816</f>
        <v>13.871586401869475</v>
      </c>
      <c r="N270" s="532">
        <f>VLOOKUP($B46,F_Inputs!$B$232:$O$250,COLUMN()-1,FALSE)+'New cost and adjustments inputs'!N43+N816</f>
        <v>14.009378580371443</v>
      </c>
      <c r="O270" s="532">
        <f>VLOOKUP($B46,F_Inputs!$B$232:$O$250,COLUMN()-1,FALSE)+'New cost and adjustments inputs'!O43+O816</f>
        <v>14.148131053182942</v>
      </c>
    </row>
    <row r="271" spans="1:15">
      <c r="B271" s="276" t="s">
        <v>97</v>
      </c>
      <c r="C271" s="276" t="s">
        <v>99</v>
      </c>
      <c r="D271" s="276" t="s">
        <v>74</v>
      </c>
      <c r="E271" s="286" t="s">
        <v>182</v>
      </c>
      <c r="F271" s="277">
        <f>F38</f>
        <v>1.3832527517932109</v>
      </c>
      <c r="G271" s="277">
        <f t="shared" ref="G271:K271" si="80">G38</f>
        <v>1.4255378956352511</v>
      </c>
      <c r="H271" s="277">
        <f t="shared" si="80"/>
        <v>1.3977226340625719</v>
      </c>
      <c r="I271" s="277">
        <f t="shared" si="80"/>
        <v>1.7001286959343478</v>
      </c>
      <c r="K271" s="531">
        <f t="shared" si="80"/>
        <v>2.376568820234128</v>
      </c>
      <c r="L271" s="532">
        <f t="shared" ref="L271:O271" si="81">L38</f>
        <v>2.1065484331065738</v>
      </c>
      <c r="M271" s="532">
        <f t="shared" si="81"/>
        <v>1.6030268400139469</v>
      </c>
      <c r="N271" s="532">
        <f t="shared" si="81"/>
        <v>0.78935398646813304</v>
      </c>
      <c r="O271" s="532">
        <f t="shared" si="81"/>
        <v>0.26332200774655901</v>
      </c>
    </row>
    <row r="272" spans="1:15">
      <c r="B272" s="276" t="s">
        <v>98</v>
      </c>
      <c r="C272" s="276" t="s">
        <v>100</v>
      </c>
      <c r="D272" s="276" t="s">
        <v>74</v>
      </c>
      <c r="E272" s="286" t="s">
        <v>182</v>
      </c>
      <c r="F272" s="277">
        <f>F39</f>
        <v>0</v>
      </c>
      <c r="G272" s="277">
        <f t="shared" ref="G272:K272" si="82">G39</f>
        <v>0</v>
      </c>
      <c r="H272" s="277">
        <f t="shared" si="82"/>
        <v>0</v>
      </c>
      <c r="I272" s="277">
        <f t="shared" si="82"/>
        <v>0</v>
      </c>
      <c r="K272" s="531">
        <f t="shared" si="82"/>
        <v>0.20924913779915999</v>
      </c>
      <c r="L272" s="532">
        <f t="shared" ref="L272:O272" si="83">L39</f>
        <v>0.41252552193052794</v>
      </c>
      <c r="M272" s="532">
        <f t="shared" si="83"/>
        <v>0.62595563390783493</v>
      </c>
      <c r="N272" s="532">
        <f t="shared" si="83"/>
        <v>0.81967952271444999</v>
      </c>
      <c r="O272" s="532">
        <f t="shared" si="83"/>
        <v>0.95460579456879491</v>
      </c>
    </row>
    <row r="273" spans="1:15">
      <c r="B273" s="276" t="s">
        <v>79</v>
      </c>
      <c r="C273" s="276" t="s">
        <v>135</v>
      </c>
      <c r="D273" s="276" t="s">
        <v>74</v>
      </c>
      <c r="E273" s="286" t="s">
        <v>182</v>
      </c>
      <c r="F273" s="277"/>
      <c r="G273" s="277"/>
      <c r="H273" s="277"/>
      <c r="I273" s="277">
        <f>VLOOKUP($B49,F_Inputs!$B$232:$O$250,COLUMN()-1,FALSE)</f>
        <v>1.2217733871463501</v>
      </c>
      <c r="J273" s="277"/>
      <c r="K273" s="531">
        <f>VLOOKUP($B49,F_Inputs!$B$232:$O$250,COLUMN()-1,FALSE)</f>
        <v>1.47969740602849</v>
      </c>
      <c r="L273" s="532">
        <f>VLOOKUP($B49,F_Inputs!$B$232:$O$250,COLUMN()-1,FALSE)</f>
        <v>1.54623645868458</v>
      </c>
      <c r="M273" s="532">
        <f>VLOOKUP($B49,F_Inputs!$B$232:$O$250,COLUMN()-1,FALSE)</f>
        <v>1.61362177949311</v>
      </c>
      <c r="N273" s="532">
        <f>VLOOKUP($B49,F_Inputs!$B$232:$O$250,COLUMN()-1,FALSE)</f>
        <v>1.6817537081648299</v>
      </c>
      <c r="O273" s="532">
        <f>VLOOKUP($B49,F_Inputs!$B$232:$O$250,COLUMN()-1,FALSE)</f>
        <v>1.7503397033752099</v>
      </c>
    </row>
    <row r="274" spans="1:15">
      <c r="B274" s="276" t="s">
        <v>80</v>
      </c>
      <c r="C274" s="276" t="s">
        <v>136</v>
      </c>
      <c r="D274" s="276" t="s">
        <v>74</v>
      </c>
      <c r="E274" s="286" t="s">
        <v>182</v>
      </c>
      <c r="F274" s="277"/>
      <c r="G274" s="277"/>
      <c r="H274" s="277"/>
      <c r="I274" s="277">
        <f>VLOOKUP($B50,F_Inputs!$B$232:$O$250,COLUMN()-1,FALSE)</f>
        <v>0</v>
      </c>
      <c r="J274" s="277"/>
      <c r="K274" s="531">
        <f>VLOOKUP($B50,F_Inputs!$B$232:$O$250,COLUMN()-1,FALSE)</f>
        <v>0</v>
      </c>
      <c r="L274" s="532">
        <f>VLOOKUP($B50,F_Inputs!$B$232:$O$250,COLUMN()-1,FALSE)</f>
        <v>0</v>
      </c>
      <c r="M274" s="532">
        <f>VLOOKUP($B50,F_Inputs!$B$232:$O$250,COLUMN()-1,FALSE)</f>
        <v>0</v>
      </c>
      <c r="N274" s="532">
        <f>VLOOKUP($B50,F_Inputs!$B$232:$O$250,COLUMN()-1,FALSE)</f>
        <v>0</v>
      </c>
      <c r="O274" s="532">
        <f>VLOOKUP($B50,F_Inputs!$B$232:$O$250,COLUMN()-1,FALSE)</f>
        <v>0</v>
      </c>
    </row>
    <row r="275" spans="1:15">
      <c r="B275" s="276" t="s">
        <v>81</v>
      </c>
      <c r="C275" s="276" t="s">
        <v>137</v>
      </c>
      <c r="D275" s="276" t="s">
        <v>74</v>
      </c>
      <c r="E275" s="286" t="s">
        <v>182</v>
      </c>
      <c r="F275" s="277"/>
      <c r="G275" s="277"/>
      <c r="H275" s="277"/>
      <c r="I275" s="277">
        <f>VLOOKUP($B51,F_Inputs!$B$232:$O$250,COLUMN()-1,FALSE)</f>
        <v>0</v>
      </c>
      <c r="J275" s="277"/>
      <c r="K275" s="531">
        <f>VLOOKUP($B51,F_Inputs!$B$232:$O$250,COLUMN()-1,FALSE)</f>
        <v>0</v>
      </c>
      <c r="L275" s="532">
        <f>VLOOKUP($B51,F_Inputs!$B$232:$O$250,COLUMN()-1,FALSE)</f>
        <v>0</v>
      </c>
      <c r="M275" s="532">
        <f>VLOOKUP($B51,F_Inputs!$B$232:$O$250,COLUMN()-1,FALSE)</f>
        <v>0</v>
      </c>
      <c r="N275" s="532">
        <f>VLOOKUP($B51,F_Inputs!$B$232:$O$250,COLUMN()-1,FALSE)</f>
        <v>0</v>
      </c>
      <c r="O275" s="532">
        <f>VLOOKUP($B51,F_Inputs!$B$232:$O$250,COLUMN()-1,FALSE)</f>
        <v>0</v>
      </c>
    </row>
    <row r="276" spans="1:15">
      <c r="B276" s="276" t="s">
        <v>82</v>
      </c>
      <c r="C276" s="276" t="s">
        <v>89</v>
      </c>
      <c r="D276" s="276" t="s">
        <v>183</v>
      </c>
      <c r="E276" s="286" t="s">
        <v>182</v>
      </c>
      <c r="F276" s="277"/>
      <c r="G276" s="277"/>
      <c r="H276" s="277"/>
      <c r="I276" s="277">
        <f>VLOOKUP($B52,F_Inputs!$B$232:$O$250,COLUMN()-1,FALSE)</f>
        <v>399.58100000000002</v>
      </c>
      <c r="J276" s="277"/>
      <c r="K276" s="531">
        <f>VLOOKUP($B52,F_Inputs!$B$232:$O$250,COLUMN()-1,FALSE)</f>
        <v>382.21011365547298</v>
      </c>
      <c r="L276" s="532">
        <f>VLOOKUP($B52,F_Inputs!$B$232:$O$250,COLUMN()-1,FALSE)</f>
        <v>373.758191524258</v>
      </c>
      <c r="M276" s="532">
        <f>VLOOKUP($B52,F_Inputs!$B$232:$O$250,COLUMN()-1,FALSE)</f>
        <v>365.31908753388802</v>
      </c>
      <c r="N276" s="532">
        <f>VLOOKUP($B52,F_Inputs!$B$232:$O$250,COLUMN()-1,FALSE)</f>
        <v>356.88434314554598</v>
      </c>
      <c r="O276" s="532">
        <f>VLOOKUP($B52,F_Inputs!$B$232:$O$250,COLUMN()-1,FALSE)</f>
        <v>348.45607453592498</v>
      </c>
    </row>
    <row r="277" spans="1:15">
      <c r="B277" s="276" t="s">
        <v>87</v>
      </c>
      <c r="C277" s="276" t="s">
        <v>90</v>
      </c>
      <c r="D277" s="276" t="s">
        <v>183</v>
      </c>
      <c r="E277" s="286" t="s">
        <v>182</v>
      </c>
      <c r="F277" s="277"/>
      <c r="G277" s="277"/>
      <c r="H277" s="277"/>
      <c r="I277" s="277">
        <f>VLOOKUP($B53,F_Inputs!$B$232:$O$250,COLUMN()-1,FALSE)</f>
        <v>248.7355</v>
      </c>
      <c r="J277" s="277"/>
      <c r="K277" s="531">
        <f>VLOOKUP($B53,F_Inputs!$B$232:$O$250,COLUMN()-1,FALSE)</f>
        <v>272.14275809452602</v>
      </c>
      <c r="L277" s="532">
        <f>VLOOKUP($B53,F_Inputs!$B$232:$O$250,COLUMN()-1,FALSE)</f>
        <v>284.30728168407501</v>
      </c>
      <c r="M277" s="532">
        <f>VLOOKUP($B53,F_Inputs!$B$232:$O$250,COLUMN()-1,FALSE)</f>
        <v>296.63267057027798</v>
      </c>
      <c r="N277" s="532">
        <f>VLOOKUP($B53,F_Inputs!$B$232:$O$250,COLUMN()-1,FALSE)</f>
        <v>309.10801907320399</v>
      </c>
      <c r="O277" s="532">
        <f>VLOOKUP($B53,F_Inputs!$B$232:$O$250,COLUMN()-1,FALSE)</f>
        <v>321.67376140678402</v>
      </c>
    </row>
    <row r="278" spans="1:15">
      <c r="B278" s="276" t="s">
        <v>83</v>
      </c>
      <c r="C278" s="276" t="s">
        <v>91</v>
      </c>
      <c r="D278" s="276" t="s">
        <v>183</v>
      </c>
      <c r="E278" s="286" t="s">
        <v>182</v>
      </c>
      <c r="F278" s="277"/>
      <c r="G278" s="277"/>
      <c r="H278" s="277"/>
      <c r="I278" s="277">
        <f>VLOOKUP($B54,F_Inputs!$B$232:$O$250,COLUMN()-1,FALSE)</f>
        <v>0</v>
      </c>
      <c r="J278" s="277"/>
      <c r="K278" s="531">
        <f>VLOOKUP($B54,F_Inputs!$B$232:$O$250,COLUMN()-1,FALSE)</f>
        <v>0</v>
      </c>
      <c r="L278" s="532">
        <f>VLOOKUP($B54,F_Inputs!$B$232:$O$250,COLUMN()-1,FALSE)</f>
        <v>0</v>
      </c>
      <c r="M278" s="532">
        <f>VLOOKUP($B54,F_Inputs!$B$232:$O$250,COLUMN()-1,FALSE)</f>
        <v>0</v>
      </c>
      <c r="N278" s="532">
        <f>VLOOKUP($B54,F_Inputs!$B$232:$O$250,COLUMN()-1,FALSE)</f>
        <v>0</v>
      </c>
      <c r="O278" s="532">
        <f>VLOOKUP($B54,F_Inputs!$B$232:$O$250,COLUMN()-1,FALSE)</f>
        <v>0</v>
      </c>
    </row>
    <row r="279" spans="1:15">
      <c r="B279" s="276" t="s">
        <v>84</v>
      </c>
      <c r="C279" s="276" t="s">
        <v>92</v>
      </c>
      <c r="D279" s="276" t="s">
        <v>183</v>
      </c>
      <c r="E279" s="286" t="s">
        <v>182</v>
      </c>
      <c r="F279" s="277"/>
      <c r="G279" s="277"/>
      <c r="H279" s="277"/>
      <c r="I279" s="277">
        <f>VLOOKUP($B55,F_Inputs!$B$232:$O$250,COLUMN()-1,FALSE)</f>
        <v>0</v>
      </c>
      <c r="J279" s="277"/>
      <c r="K279" s="531">
        <f>VLOOKUP($B55,F_Inputs!$B$232:$O$250,COLUMN()-1,FALSE)</f>
        <v>0</v>
      </c>
      <c r="L279" s="532">
        <f>VLOOKUP($B55,F_Inputs!$B$232:$O$250,COLUMN()-1,FALSE)</f>
        <v>0</v>
      </c>
      <c r="M279" s="532">
        <f>VLOOKUP($B55,F_Inputs!$B$232:$O$250,COLUMN()-1,FALSE)</f>
        <v>0</v>
      </c>
      <c r="N279" s="532">
        <f>VLOOKUP($B55,F_Inputs!$B$232:$O$250,COLUMN()-1,FALSE)</f>
        <v>0</v>
      </c>
      <c r="O279" s="532">
        <f>VLOOKUP($B55,F_Inputs!$B$232:$O$250,COLUMN()-1,FALSE)</f>
        <v>0</v>
      </c>
    </row>
    <row r="280" spans="1:15">
      <c r="B280" s="276" t="s">
        <v>85</v>
      </c>
      <c r="C280" s="276" t="s">
        <v>93</v>
      </c>
      <c r="D280" s="276" t="s">
        <v>183</v>
      </c>
      <c r="E280" s="286" t="s">
        <v>182</v>
      </c>
      <c r="F280" s="277"/>
      <c r="G280" s="277"/>
      <c r="H280" s="277"/>
      <c r="I280" s="277">
        <f>VLOOKUP($B56,F_Inputs!$B$232:$O$250,COLUMN()-1,FALSE)</f>
        <v>0</v>
      </c>
      <c r="J280" s="277"/>
      <c r="K280" s="531">
        <f>VLOOKUP($B56,F_Inputs!$B$232:$O$250,COLUMN()-1,FALSE)</f>
        <v>0</v>
      </c>
      <c r="L280" s="532">
        <f>VLOOKUP($B56,F_Inputs!$B$232:$O$250,COLUMN()-1,FALSE)</f>
        <v>0</v>
      </c>
      <c r="M280" s="532">
        <f>VLOOKUP($B56,F_Inputs!$B$232:$O$250,COLUMN()-1,FALSE)</f>
        <v>0</v>
      </c>
      <c r="N280" s="532">
        <f>VLOOKUP($B56,F_Inputs!$B$232:$O$250,COLUMN()-1,FALSE)</f>
        <v>0</v>
      </c>
      <c r="O280" s="532">
        <f>VLOOKUP($B56,F_Inputs!$B$232:$O$250,COLUMN()-1,FALSE)</f>
        <v>0</v>
      </c>
    </row>
    <row r="281" spans="1:15">
      <c r="B281" s="276" t="s">
        <v>86</v>
      </c>
      <c r="C281" s="276" t="s">
        <v>94</v>
      </c>
      <c r="D281" s="276" t="s">
        <v>183</v>
      </c>
      <c r="E281" s="286" t="s">
        <v>182</v>
      </c>
      <c r="F281" s="277"/>
      <c r="G281" s="277"/>
      <c r="H281" s="277"/>
      <c r="I281" s="277">
        <f>VLOOKUP($B57,F_Inputs!$B$232:$O$250,COLUMN()-1,FALSE)</f>
        <v>0</v>
      </c>
      <c r="J281" s="277"/>
      <c r="K281" s="531">
        <f>VLOOKUP($B57,F_Inputs!$B$232:$O$250,COLUMN()-1,FALSE)</f>
        <v>0</v>
      </c>
      <c r="L281" s="532">
        <f>VLOOKUP($B57,F_Inputs!$B$232:$O$250,COLUMN()-1,FALSE)</f>
        <v>0</v>
      </c>
      <c r="M281" s="532">
        <f>VLOOKUP($B57,F_Inputs!$B$232:$O$250,COLUMN()-1,FALSE)</f>
        <v>0</v>
      </c>
      <c r="N281" s="532">
        <f>VLOOKUP($B57,F_Inputs!$B$232:$O$250,COLUMN()-1,FALSE)</f>
        <v>0</v>
      </c>
      <c r="O281" s="532">
        <f>VLOOKUP($B57,F_Inputs!$B$232:$O$250,COLUMN()-1,FALSE)</f>
        <v>0</v>
      </c>
    </row>
    <row r="282" spans="1:15">
      <c r="B282" s="276" t="s">
        <v>156</v>
      </c>
      <c r="C282" s="276" t="s">
        <v>157</v>
      </c>
      <c r="D282" s="276" t="s">
        <v>74</v>
      </c>
      <c r="E282" s="286" t="s">
        <v>182</v>
      </c>
      <c r="F282" s="277"/>
      <c r="G282" s="277"/>
      <c r="H282" s="277"/>
      <c r="I282" s="277">
        <f>I815</f>
        <v>0.39128733321794001</v>
      </c>
      <c r="J282" s="277"/>
      <c r="K282" s="531">
        <f t="shared" ref="K282:O282" si="84">K815</f>
        <v>0.28781634921501137</v>
      </c>
      <c r="L282" s="532">
        <f t="shared" si="84"/>
        <v>0.28781634921501137</v>
      </c>
      <c r="M282" s="532">
        <f t="shared" si="84"/>
        <v>0.28781634921501137</v>
      </c>
      <c r="N282" s="532">
        <f t="shared" si="84"/>
        <v>0.28781634921501137</v>
      </c>
      <c r="O282" s="532">
        <f t="shared" si="84"/>
        <v>0.28781634921501137</v>
      </c>
    </row>
    <row r="283" spans="1:15">
      <c r="B283" s="276" t="s">
        <v>159</v>
      </c>
      <c r="C283" s="276" t="s">
        <v>158</v>
      </c>
      <c r="D283" s="276" t="s">
        <v>74</v>
      </c>
      <c r="E283" s="286" t="s">
        <v>182</v>
      </c>
      <c r="F283" s="277"/>
      <c r="G283" s="277"/>
      <c r="H283" s="277"/>
      <c r="I283" s="277">
        <f>VLOOKUP($B59,F_Inputs!$B$232:$O$250,COLUMN()-1,FALSE)</f>
        <v>0</v>
      </c>
      <c r="J283" s="277"/>
      <c r="K283" s="531">
        <f>VLOOKUP($B59,F_Inputs!$B$232:$O$250,COLUMN()-1,FALSE)</f>
        <v>0</v>
      </c>
      <c r="L283" s="532">
        <f>VLOOKUP($B59,F_Inputs!$B$232:$O$250,COLUMN()-1,FALSE)</f>
        <v>0</v>
      </c>
      <c r="M283" s="532">
        <f>VLOOKUP($B59,F_Inputs!$B$232:$O$250,COLUMN()-1,FALSE)</f>
        <v>0</v>
      </c>
      <c r="N283" s="532">
        <f>VLOOKUP($B59,F_Inputs!$B$232:$O$250,COLUMN()-1,FALSE)</f>
        <v>0</v>
      </c>
      <c r="O283" s="532">
        <f>VLOOKUP($B59,F_Inputs!$B$232:$O$250,COLUMN()-1,FALSE)</f>
        <v>0</v>
      </c>
    </row>
    <row r="284" spans="1:15">
      <c r="A284" s="276" t="s">
        <v>59</v>
      </c>
      <c r="B284" s="276" t="s">
        <v>78</v>
      </c>
      <c r="C284" s="276" t="s">
        <v>132</v>
      </c>
      <c r="D284" s="276" t="s">
        <v>74</v>
      </c>
      <c r="E284" s="286" t="s">
        <v>182</v>
      </c>
      <c r="F284" s="277"/>
      <c r="G284" s="277"/>
      <c r="H284" s="277"/>
      <c r="I284" s="277">
        <f>VLOOKUP($B46,F_Inputs!$B$327:$O$345,COLUMN()-1,FALSE)+'New cost and adjustments inputs'!I44+I822</f>
        <v>5.6407428778167397</v>
      </c>
      <c r="J284" s="277"/>
      <c r="K284" s="531">
        <f>VLOOKUP($B46,F_Inputs!$B$327:$O$345,COLUMN()-1,FALSE)+'New cost and adjustments inputs'!K44+K822</f>
        <v>5.1704651658058394</v>
      </c>
      <c r="L284" s="532">
        <f>VLOOKUP($B46,F_Inputs!$B$327:$O$345,COLUMN()-1,FALSE)+'New cost and adjustments inputs'!L44+L822</f>
        <v>5.1622962552040299</v>
      </c>
      <c r="M284" s="532">
        <f>VLOOKUP($B46,F_Inputs!$B$327:$O$345,COLUMN()-1,FALSE)+'New cost and adjustments inputs'!M44+M822</f>
        <v>5.3813125872751195</v>
      </c>
      <c r="N284" s="532">
        <f>VLOOKUP($B46,F_Inputs!$B$327:$O$345,COLUMN()-1,FALSE)+'New cost and adjustments inputs'!N44+N822</f>
        <v>5.3711260166270094</v>
      </c>
      <c r="O284" s="532">
        <f>VLOOKUP($B46,F_Inputs!$B$327:$O$345,COLUMN()-1,FALSE)+'New cost and adjustments inputs'!O44+O822</f>
        <v>5.3318049825085199</v>
      </c>
    </row>
    <row r="285" spans="1:15">
      <c r="B285" s="276" t="s">
        <v>97</v>
      </c>
      <c r="C285" s="276" t="s">
        <v>99</v>
      </c>
      <c r="D285" s="276" t="s">
        <v>74</v>
      </c>
      <c r="E285" s="286" t="s">
        <v>182</v>
      </c>
      <c r="F285" s="277">
        <f>F40</f>
        <v>8.8362999999999997E-2</v>
      </c>
      <c r="G285" s="277">
        <f t="shared" ref="G285:K285" si="85">G40</f>
        <v>6.5103999999999995E-2</v>
      </c>
      <c r="H285" s="277">
        <f t="shared" si="85"/>
        <v>5.4174E-2</v>
      </c>
      <c r="I285" s="277">
        <f t="shared" si="85"/>
        <v>0.21058359999999998</v>
      </c>
      <c r="K285" s="531">
        <f t="shared" si="85"/>
        <v>0.19486053822223701</v>
      </c>
      <c r="L285" s="532">
        <f t="shared" ref="L285:O285" si="86">L40</f>
        <v>0.16154316981037792</v>
      </c>
      <c r="M285" s="532">
        <f t="shared" si="86"/>
        <v>0.14083293548626941</v>
      </c>
      <c r="N285" s="532">
        <f t="shared" si="86"/>
        <v>0.1092909382391917</v>
      </c>
      <c r="O285" s="532">
        <f t="shared" si="86"/>
        <v>8.3231045270833415E-2</v>
      </c>
    </row>
    <row r="286" spans="1:15">
      <c r="B286" s="276" t="s">
        <v>98</v>
      </c>
      <c r="C286" s="276" t="s">
        <v>100</v>
      </c>
      <c r="D286" s="276" t="s">
        <v>74</v>
      </c>
      <c r="E286" s="286" t="s">
        <v>182</v>
      </c>
      <c r="F286" s="277">
        <f>F41</f>
        <v>0</v>
      </c>
      <c r="G286" s="277">
        <f t="shared" ref="G286:K286" si="87">G41</f>
        <v>0</v>
      </c>
      <c r="H286" s="277">
        <f t="shared" si="87"/>
        <v>0</v>
      </c>
      <c r="I286" s="277">
        <f t="shared" si="87"/>
        <v>0</v>
      </c>
      <c r="K286" s="531">
        <f t="shared" si="87"/>
        <v>3.4606137609889995E-2</v>
      </c>
      <c r="L286" s="532">
        <f t="shared" ref="L286:O286" si="88">L41</f>
        <v>9.8518713665266905E-2</v>
      </c>
      <c r="M286" s="532">
        <f t="shared" si="88"/>
        <v>0.15204333542185081</v>
      </c>
      <c r="N286" s="532">
        <f t="shared" si="88"/>
        <v>0.195222026921055</v>
      </c>
      <c r="O286" s="532">
        <f t="shared" si="88"/>
        <v>0.22937174227118298</v>
      </c>
    </row>
    <row r="287" spans="1:15">
      <c r="B287" s="276" t="s">
        <v>79</v>
      </c>
      <c r="C287" s="276" t="s">
        <v>135</v>
      </c>
      <c r="D287" s="276" t="s">
        <v>74</v>
      </c>
      <c r="E287" s="286" t="s">
        <v>182</v>
      </c>
      <c r="F287" s="277"/>
      <c r="G287" s="277"/>
      <c r="H287" s="277"/>
      <c r="I287" s="277">
        <f>VLOOKUP($B49,F_Inputs!$B$327:$O$345,COLUMN()-1,FALSE)</f>
        <v>0.86285900000000004</v>
      </c>
      <c r="J287" s="277"/>
      <c r="K287" s="531">
        <f>VLOOKUP($B49,F_Inputs!$B$327:$O$345,COLUMN()-1,FALSE)</f>
        <v>0.89621754698218603</v>
      </c>
      <c r="L287" s="532">
        <f>VLOOKUP($B49,F_Inputs!$B$327:$O$345,COLUMN()-1,FALSE)</f>
        <v>0.92621754698218595</v>
      </c>
      <c r="M287" s="532">
        <f>VLOOKUP($B49,F_Inputs!$B$327:$O$345,COLUMN()-1,FALSE)</f>
        <v>0.98450073501728097</v>
      </c>
      <c r="N287" s="532">
        <f>VLOOKUP($B49,F_Inputs!$B$327:$O$345,COLUMN()-1,FALSE)</f>
        <v>1.0145007350172801</v>
      </c>
      <c r="O287" s="532">
        <f>VLOOKUP($B49,F_Inputs!$B$327:$O$345,COLUMN()-1,FALSE)</f>
        <v>1.07090532734084</v>
      </c>
    </row>
    <row r="288" spans="1:15">
      <c r="B288" s="276" t="s">
        <v>80</v>
      </c>
      <c r="C288" s="276" t="s">
        <v>136</v>
      </c>
      <c r="D288" s="276" t="s">
        <v>74</v>
      </c>
      <c r="E288" s="286" t="s">
        <v>182</v>
      </c>
      <c r="F288" s="277"/>
      <c r="G288" s="277"/>
      <c r="H288" s="277"/>
      <c r="I288" s="277">
        <f>VLOOKUP($B50,F_Inputs!$B$327:$O$345,COLUMN()-1,FALSE)</f>
        <v>0</v>
      </c>
      <c r="J288" s="277"/>
      <c r="K288" s="531">
        <f>VLOOKUP($B50,F_Inputs!$B$327:$O$345,COLUMN()-1,FALSE)</f>
        <v>0</v>
      </c>
      <c r="L288" s="532">
        <f>VLOOKUP($B50,F_Inputs!$B$327:$O$345,COLUMN()-1,FALSE)</f>
        <v>0</v>
      </c>
      <c r="M288" s="532">
        <f>VLOOKUP($B50,F_Inputs!$B$327:$O$345,COLUMN()-1,FALSE)</f>
        <v>0</v>
      </c>
      <c r="N288" s="532">
        <f>VLOOKUP($B50,F_Inputs!$B$327:$O$345,COLUMN()-1,FALSE)</f>
        <v>0</v>
      </c>
      <c r="O288" s="532">
        <f>VLOOKUP($B50,F_Inputs!$B$327:$O$345,COLUMN()-1,FALSE)</f>
        <v>0</v>
      </c>
    </row>
    <row r="289" spans="1:22">
      <c r="B289" s="276" t="s">
        <v>81</v>
      </c>
      <c r="C289" s="276" t="s">
        <v>137</v>
      </c>
      <c r="D289" s="276" t="s">
        <v>74</v>
      </c>
      <c r="E289" s="286" t="s">
        <v>182</v>
      </c>
      <c r="F289" s="277"/>
      <c r="G289" s="277"/>
      <c r="H289" s="277"/>
      <c r="I289" s="277">
        <f>VLOOKUP($B51,F_Inputs!$B$327:$O$345,COLUMN()-1,FALSE)</f>
        <v>0</v>
      </c>
      <c r="J289" s="277"/>
      <c r="K289" s="531">
        <f>VLOOKUP($B51,F_Inputs!$B$327:$O$345,COLUMN()-1,FALSE)</f>
        <v>0</v>
      </c>
      <c r="L289" s="532">
        <f>VLOOKUP($B51,F_Inputs!$B$327:$O$345,COLUMN()-1,FALSE)</f>
        <v>0</v>
      </c>
      <c r="M289" s="532">
        <f>VLOOKUP($B51,F_Inputs!$B$327:$O$345,COLUMN()-1,FALSE)</f>
        <v>0</v>
      </c>
      <c r="N289" s="532">
        <f>VLOOKUP($B51,F_Inputs!$B$327:$O$345,COLUMN()-1,FALSE)</f>
        <v>0</v>
      </c>
      <c r="O289" s="532">
        <f>VLOOKUP($B51,F_Inputs!$B$327:$O$345,COLUMN()-1,FALSE)</f>
        <v>0</v>
      </c>
    </row>
    <row r="290" spans="1:22">
      <c r="B290" s="276" t="s">
        <v>82</v>
      </c>
      <c r="C290" s="276" t="s">
        <v>89</v>
      </c>
      <c r="D290" s="276" t="s">
        <v>183</v>
      </c>
      <c r="E290" s="286" t="s">
        <v>182</v>
      </c>
      <c r="F290" s="277"/>
      <c r="G290" s="277"/>
      <c r="H290" s="277"/>
      <c r="I290" s="277">
        <f>VLOOKUP($B52,F_Inputs!$B$327:$O$345,COLUMN()-1,FALSE)</f>
        <v>149.05099999999999</v>
      </c>
      <c r="J290" s="277"/>
      <c r="K290" s="531">
        <f>VLOOKUP($B52,F_Inputs!$B$327:$O$345,COLUMN()-1,FALSE)</f>
        <v>135.46893750000001</v>
      </c>
      <c r="L290" s="532">
        <f>VLOOKUP($B52,F_Inputs!$B$327:$O$345,COLUMN()-1,FALSE)</f>
        <v>129.01424812499999</v>
      </c>
      <c r="M290" s="532">
        <f>VLOOKUP($B52,F_Inputs!$B$327:$O$345,COLUMN()-1,FALSE)</f>
        <v>122.62410564375</v>
      </c>
      <c r="N290" s="532">
        <f>VLOOKUP($B52,F_Inputs!$B$327:$O$345,COLUMN()-1,FALSE)</f>
        <v>116.29786458731201</v>
      </c>
      <c r="O290" s="532">
        <f>VLOOKUP($B52,F_Inputs!$B$327:$O$345,COLUMN()-1,FALSE)</f>
        <v>110.034885941439</v>
      </c>
    </row>
    <row r="291" spans="1:22">
      <c r="B291" s="276" t="s">
        <v>87</v>
      </c>
      <c r="C291" s="276" t="s">
        <v>90</v>
      </c>
      <c r="D291" s="276" t="s">
        <v>183</v>
      </c>
      <c r="E291" s="286" t="s">
        <v>182</v>
      </c>
      <c r="F291" s="277"/>
      <c r="G291" s="277"/>
      <c r="H291" s="277"/>
      <c r="I291" s="277">
        <f>VLOOKUP($B53,F_Inputs!$B$327:$O$345,COLUMN()-1,FALSE)</f>
        <v>111.88800000000001</v>
      </c>
      <c r="J291" s="277"/>
      <c r="K291" s="531">
        <f>VLOOKUP($B53,F_Inputs!$B$327:$O$345,COLUMN()-1,FALSE)</f>
        <v>130.51314222472899</v>
      </c>
      <c r="L291" s="532">
        <f>VLOOKUP($B53,F_Inputs!$B$327:$O$345,COLUMN()-1,FALSE)</f>
        <v>139.37195098761401</v>
      </c>
      <c r="M291" s="532">
        <f>VLOOKUP($B53,F_Inputs!$B$327:$O$345,COLUMN()-1,FALSE)</f>
        <v>148.142073787269</v>
      </c>
      <c r="N291" s="532">
        <f>VLOOKUP($B53,F_Inputs!$B$327:$O$345,COLUMN()-1,FALSE)</f>
        <v>156.92568147398501</v>
      </c>
      <c r="O291" s="532">
        <f>VLOOKUP($B53,F_Inputs!$B$327:$O$345,COLUMN()-1,FALSE)</f>
        <v>165.650494362845</v>
      </c>
    </row>
    <row r="292" spans="1:22">
      <c r="B292" s="276" t="s">
        <v>83</v>
      </c>
      <c r="C292" s="276" t="s">
        <v>91</v>
      </c>
      <c r="D292" s="276" t="s">
        <v>183</v>
      </c>
      <c r="E292" s="286" t="s">
        <v>182</v>
      </c>
      <c r="F292" s="277"/>
      <c r="G292" s="277"/>
      <c r="H292" s="277"/>
      <c r="I292" s="277">
        <f>VLOOKUP($B54,F_Inputs!$B$327:$O$345,COLUMN()-1,FALSE)</f>
        <v>0</v>
      </c>
      <c r="J292" s="277"/>
      <c r="K292" s="531">
        <f>VLOOKUP($B54,F_Inputs!$B$327:$O$345,COLUMN()-1,FALSE)</f>
        <v>0</v>
      </c>
      <c r="L292" s="532">
        <f>VLOOKUP($B54,F_Inputs!$B$327:$O$345,COLUMN()-1,FALSE)</f>
        <v>0</v>
      </c>
      <c r="M292" s="532">
        <f>VLOOKUP($B54,F_Inputs!$B$327:$O$345,COLUMN()-1,FALSE)</f>
        <v>0</v>
      </c>
      <c r="N292" s="532">
        <f>VLOOKUP($B54,F_Inputs!$B$327:$O$345,COLUMN()-1,FALSE)</f>
        <v>0</v>
      </c>
      <c r="O292" s="532">
        <f>VLOOKUP($B54,F_Inputs!$B$327:$O$345,COLUMN()-1,FALSE)</f>
        <v>0</v>
      </c>
    </row>
    <row r="293" spans="1:22">
      <c r="B293" s="276" t="s">
        <v>84</v>
      </c>
      <c r="C293" s="276" t="s">
        <v>92</v>
      </c>
      <c r="D293" s="276" t="s">
        <v>183</v>
      </c>
      <c r="E293" s="286" t="s">
        <v>182</v>
      </c>
      <c r="F293" s="277"/>
      <c r="G293" s="277"/>
      <c r="H293" s="277"/>
      <c r="I293" s="277">
        <f>VLOOKUP($B55,F_Inputs!$B$327:$O$345,COLUMN()-1,FALSE)</f>
        <v>0</v>
      </c>
      <c r="J293" s="277"/>
      <c r="K293" s="531">
        <f>VLOOKUP($B55,F_Inputs!$B$327:$O$345,COLUMN()-1,FALSE)</f>
        <v>0</v>
      </c>
      <c r="L293" s="532">
        <f>VLOOKUP($B55,F_Inputs!$B$327:$O$345,COLUMN()-1,FALSE)</f>
        <v>0</v>
      </c>
      <c r="M293" s="532">
        <f>VLOOKUP($B55,F_Inputs!$B$327:$O$345,COLUMN()-1,FALSE)</f>
        <v>0</v>
      </c>
      <c r="N293" s="532">
        <f>VLOOKUP($B55,F_Inputs!$B$327:$O$345,COLUMN()-1,FALSE)</f>
        <v>0</v>
      </c>
      <c r="O293" s="532">
        <f>VLOOKUP($B55,F_Inputs!$B$327:$O$345,COLUMN()-1,FALSE)</f>
        <v>0</v>
      </c>
    </row>
    <row r="294" spans="1:22">
      <c r="B294" s="276" t="s">
        <v>85</v>
      </c>
      <c r="C294" s="276" t="s">
        <v>93</v>
      </c>
      <c r="D294" s="276" t="s">
        <v>183</v>
      </c>
      <c r="E294" s="286" t="s">
        <v>182</v>
      </c>
      <c r="F294" s="277"/>
      <c r="G294" s="277"/>
      <c r="H294" s="277"/>
      <c r="I294" s="277">
        <f>VLOOKUP($B56,F_Inputs!$B$327:$O$345,COLUMN()-1,FALSE)</f>
        <v>0</v>
      </c>
      <c r="J294" s="277"/>
      <c r="K294" s="531">
        <f>VLOOKUP($B56,F_Inputs!$B$327:$O$345,COLUMN()-1,FALSE)</f>
        <v>0</v>
      </c>
      <c r="L294" s="532">
        <f>VLOOKUP($B56,F_Inputs!$B$327:$O$345,COLUMN()-1,FALSE)</f>
        <v>0</v>
      </c>
      <c r="M294" s="532">
        <f>VLOOKUP($B56,F_Inputs!$B$327:$O$345,COLUMN()-1,FALSE)</f>
        <v>0</v>
      </c>
      <c r="N294" s="532">
        <f>VLOOKUP($B56,F_Inputs!$B$327:$O$345,COLUMN()-1,FALSE)</f>
        <v>0</v>
      </c>
      <c r="O294" s="532">
        <f>VLOOKUP($B56,F_Inputs!$B$327:$O$345,COLUMN()-1,FALSE)</f>
        <v>0</v>
      </c>
    </row>
    <row r="295" spans="1:22">
      <c r="B295" s="276" t="s">
        <v>86</v>
      </c>
      <c r="C295" s="276" t="s">
        <v>94</v>
      </c>
      <c r="D295" s="276" t="s">
        <v>183</v>
      </c>
      <c r="E295" s="286" t="s">
        <v>182</v>
      </c>
      <c r="F295" s="277"/>
      <c r="G295" s="277"/>
      <c r="H295" s="277"/>
      <c r="I295" s="277">
        <f>VLOOKUP($B57,F_Inputs!$B$327:$O$345,COLUMN()-1,FALSE)</f>
        <v>0</v>
      </c>
      <c r="J295" s="277"/>
      <c r="K295" s="531">
        <f>VLOOKUP($B57,F_Inputs!$B$327:$O$345,COLUMN()-1,FALSE)</f>
        <v>0</v>
      </c>
      <c r="L295" s="532">
        <f>VLOOKUP($B57,F_Inputs!$B$327:$O$345,COLUMN()-1,FALSE)</f>
        <v>0</v>
      </c>
      <c r="M295" s="532">
        <f>VLOOKUP($B57,F_Inputs!$B$327:$O$345,COLUMN()-1,FALSE)</f>
        <v>0</v>
      </c>
      <c r="N295" s="532">
        <f>VLOOKUP($B57,F_Inputs!$B$327:$O$345,COLUMN()-1,FALSE)</f>
        <v>0</v>
      </c>
      <c r="O295" s="532">
        <f>VLOOKUP($B57,F_Inputs!$B$327:$O$345,COLUMN()-1,FALSE)</f>
        <v>0</v>
      </c>
    </row>
    <row r="296" spans="1:22">
      <c r="B296" s="276" t="s">
        <v>156</v>
      </c>
      <c r="C296" s="276" t="s">
        <v>157</v>
      </c>
      <c r="D296" s="276" t="s">
        <v>74</v>
      </c>
      <c r="E296" s="286" t="s">
        <v>182</v>
      </c>
      <c r="F296" s="277"/>
      <c r="G296" s="277"/>
      <c r="H296" s="277"/>
      <c r="I296" s="277">
        <f>I821</f>
        <v>2.1567183963990499E-2</v>
      </c>
      <c r="J296" s="277"/>
      <c r="K296" s="531">
        <f t="shared" ref="K296:O296" si="89">K821</f>
        <v>7.9276964372798943E-3</v>
      </c>
      <c r="L296" s="532">
        <f t="shared" si="89"/>
        <v>7.9276964372798943E-3</v>
      </c>
      <c r="M296" s="532">
        <f t="shared" si="89"/>
        <v>7.9276964372798943E-3</v>
      </c>
      <c r="N296" s="532">
        <f t="shared" si="89"/>
        <v>7.9276964372798943E-3</v>
      </c>
      <c r="O296" s="532">
        <f t="shared" si="89"/>
        <v>7.9276964372798943E-3</v>
      </c>
    </row>
    <row r="297" spans="1:22">
      <c r="B297" s="276" t="s">
        <v>159</v>
      </c>
      <c r="C297" s="276" t="s">
        <v>158</v>
      </c>
      <c r="D297" s="276" t="s">
        <v>74</v>
      </c>
      <c r="E297" s="286" t="s">
        <v>182</v>
      </c>
      <c r="F297" s="277"/>
      <c r="G297" s="277"/>
      <c r="H297" s="277"/>
      <c r="I297" s="277">
        <f>VLOOKUP($B59,F_Inputs!$B$327:$O$345,COLUMN()-1,FALSE)</f>
        <v>0</v>
      </c>
      <c r="J297" s="277"/>
      <c r="K297" s="531">
        <f>VLOOKUP($B59,F_Inputs!$B$327:$O$345,COLUMN()-1,FALSE)</f>
        <v>0</v>
      </c>
      <c r="L297" s="532">
        <f>VLOOKUP($B59,F_Inputs!$B$327:$O$345,COLUMN()-1,FALSE)</f>
        <v>0</v>
      </c>
      <c r="M297" s="532">
        <f>VLOOKUP($B59,F_Inputs!$B$327:$O$345,COLUMN()-1,FALSE)</f>
        <v>0</v>
      </c>
      <c r="N297" s="532">
        <f>VLOOKUP($B59,F_Inputs!$B$327:$O$345,COLUMN()-1,FALSE)</f>
        <v>0</v>
      </c>
      <c r="O297" s="532">
        <f>VLOOKUP($B59,F_Inputs!$B$327:$O$345,COLUMN()-1,FALSE)</f>
        <v>0</v>
      </c>
    </row>
    <row r="298" spans="1:22">
      <c r="I298" s="277"/>
      <c r="J298" s="277"/>
      <c r="K298" s="461"/>
      <c r="L298" s="277"/>
      <c r="M298" s="277"/>
      <c r="N298" s="277"/>
      <c r="O298" s="277"/>
    </row>
    <row r="299" spans="1:22" s="272" customFormat="1">
      <c r="A299" s="274"/>
      <c r="B299" s="274"/>
      <c r="C299" s="274"/>
      <c r="D299" s="274"/>
      <c r="E299" s="287"/>
      <c r="F299" s="274"/>
      <c r="G299" s="274"/>
      <c r="H299" s="274"/>
      <c r="I299" s="274"/>
      <c r="J299" s="274"/>
      <c r="K299" s="459"/>
      <c r="L299" s="274"/>
      <c r="M299" s="274"/>
      <c r="N299" s="274"/>
      <c r="O299" s="274"/>
      <c r="P299" s="274"/>
      <c r="Q299" s="274"/>
      <c r="R299" s="274"/>
      <c r="S299" s="274"/>
      <c r="T299" s="274"/>
      <c r="U299" s="274"/>
      <c r="V299" s="274"/>
    </row>
    <row r="300" spans="1:22" s="272" customFormat="1">
      <c r="A300" s="274"/>
      <c r="B300" s="274"/>
      <c r="C300" s="274"/>
      <c r="D300" s="274"/>
      <c r="E300" s="287"/>
      <c r="F300" s="274"/>
      <c r="G300" s="274"/>
      <c r="H300" s="274"/>
      <c r="I300" s="274"/>
      <c r="J300" s="274"/>
      <c r="K300" s="459"/>
      <c r="L300" s="274"/>
      <c r="M300" s="274"/>
      <c r="N300" s="274"/>
      <c r="O300" s="274"/>
      <c r="P300" s="274"/>
      <c r="Q300" s="274"/>
      <c r="R300" s="274"/>
      <c r="S300" s="274"/>
      <c r="T300" s="274"/>
      <c r="U300" s="274"/>
      <c r="V300" s="274"/>
    </row>
    <row r="301" spans="1:22" s="272" customFormat="1" ht="34.5">
      <c r="A301" s="303" t="s">
        <v>432</v>
      </c>
      <c r="C301" s="274"/>
      <c r="D301" s="274"/>
      <c r="E301" s="287"/>
      <c r="F301" s="274"/>
      <c r="G301" s="274"/>
      <c r="H301" s="274"/>
      <c r="I301" s="274"/>
      <c r="J301" s="274"/>
      <c r="K301" s="459"/>
      <c r="L301" s="274"/>
      <c r="M301" s="274"/>
      <c r="N301" s="274"/>
      <c r="O301" s="274"/>
      <c r="P301" s="274"/>
      <c r="Q301" s="274"/>
      <c r="R301" s="274"/>
      <c r="S301" s="274"/>
      <c r="T301" s="274"/>
      <c r="U301" s="274"/>
      <c r="V301" s="274"/>
    </row>
    <row r="302" spans="1:22" s="272" customFormat="1">
      <c r="A302" s="274"/>
      <c r="B302" s="274"/>
      <c r="C302" s="274"/>
      <c r="D302" s="274"/>
      <c r="E302" s="287"/>
      <c r="F302" s="274"/>
      <c r="G302" s="274"/>
      <c r="H302" s="274"/>
      <c r="I302" s="274"/>
      <c r="J302" s="274"/>
      <c r="K302" s="459"/>
      <c r="L302" s="274"/>
      <c r="M302" s="274"/>
      <c r="N302" s="274"/>
      <c r="O302" s="274"/>
      <c r="P302" s="274"/>
      <c r="Q302" s="274"/>
      <c r="R302" s="274"/>
      <c r="S302" s="274"/>
      <c r="T302" s="274"/>
      <c r="U302" s="274"/>
      <c r="V302" s="274"/>
    </row>
    <row r="303" spans="1:22" s="272" customFormat="1">
      <c r="A303" s="274"/>
      <c r="B303" s="280"/>
      <c r="C303" s="280"/>
      <c r="D303" s="280"/>
      <c r="E303" s="273"/>
      <c r="F303" s="280"/>
      <c r="G303" s="280"/>
      <c r="H303" s="280"/>
      <c r="I303" s="280"/>
      <c r="J303" s="280"/>
      <c r="K303" s="462"/>
      <c r="L303" s="280"/>
      <c r="M303" s="280"/>
      <c r="N303" s="280"/>
      <c r="O303" s="280"/>
      <c r="P303" s="280"/>
      <c r="Q303" s="280"/>
      <c r="R303" s="280"/>
      <c r="S303" s="280"/>
      <c r="T303" s="280"/>
      <c r="U303" s="280"/>
      <c r="V303" s="280"/>
    </row>
    <row r="304" spans="1:22">
      <c r="B304" s="270"/>
      <c r="C304" s="270"/>
      <c r="D304" s="270"/>
      <c r="E304" s="269"/>
      <c r="F304" s="270"/>
      <c r="G304" s="270"/>
      <c r="H304" s="270"/>
      <c r="I304" s="270" t="s">
        <v>8</v>
      </c>
      <c r="J304" s="270" t="s">
        <v>9</v>
      </c>
      <c r="K304" s="533" t="s">
        <v>34</v>
      </c>
      <c r="L304" s="534" t="s">
        <v>35</v>
      </c>
      <c r="M304" s="534" t="s">
        <v>36</v>
      </c>
      <c r="N304" s="534" t="s">
        <v>37</v>
      </c>
      <c r="O304" s="534" t="s">
        <v>38</v>
      </c>
      <c r="P304" s="270"/>
      <c r="Q304" s="270"/>
      <c r="R304" s="270"/>
      <c r="S304" s="270"/>
      <c r="T304" s="270"/>
      <c r="U304" s="270"/>
      <c r="V304" s="270"/>
    </row>
    <row r="305" spans="1:22">
      <c r="B305" s="270"/>
      <c r="C305" s="270" t="s">
        <v>214</v>
      </c>
      <c r="D305" s="270"/>
      <c r="E305" s="269"/>
      <c r="F305" s="270"/>
      <c r="G305" s="270"/>
      <c r="H305" s="270"/>
      <c r="I305" s="270"/>
      <c r="J305" s="270"/>
      <c r="K305" s="463"/>
      <c r="L305" s="270"/>
      <c r="M305" s="270"/>
      <c r="N305" s="270"/>
      <c r="O305" s="270"/>
      <c r="P305" s="270"/>
      <c r="Q305" s="270"/>
      <c r="R305" s="270"/>
      <c r="S305" s="270"/>
      <c r="T305" s="270"/>
      <c r="U305" s="270"/>
      <c r="V305" s="270"/>
    </row>
    <row r="306" spans="1:22" s="298" customFormat="1">
      <c r="A306" s="296" t="s">
        <v>487</v>
      </c>
      <c r="B306" s="296"/>
      <c r="C306" s="296"/>
      <c r="D306" s="296"/>
      <c r="E306" s="297"/>
      <c r="F306" s="296"/>
      <c r="G306" s="296"/>
      <c r="H306" s="296"/>
      <c r="I306" s="296"/>
      <c r="J306" s="296"/>
      <c r="K306" s="464"/>
      <c r="L306" s="296"/>
      <c r="M306" s="296"/>
      <c r="N306" s="296"/>
      <c r="O306" s="296"/>
      <c r="P306" s="296"/>
      <c r="Q306" s="296"/>
      <c r="R306" s="296"/>
      <c r="S306" s="296"/>
      <c r="T306" s="296"/>
      <c r="U306" s="296"/>
      <c r="V306" s="293"/>
    </row>
    <row r="307" spans="1:22">
      <c r="B307" s="270" t="s">
        <v>215</v>
      </c>
      <c r="C307" s="270" t="s">
        <v>74</v>
      </c>
      <c r="D307" s="270"/>
      <c r="E307" s="269"/>
      <c r="F307" s="270"/>
      <c r="G307" s="270"/>
      <c r="H307" s="270"/>
      <c r="I307" s="540">
        <f t="shared" ref="I307:O316" ca="1" si="90">VLOOKUP($Q307,INDIRECT($B307),COLUMN()-1,FALSE)+VLOOKUP($R307,INDIRECT($B307),COLUMN()-1,FALSE)+VLOOKUP($S307,INDIRECT($B307),COLUMN()-1,FALSE)-VLOOKUP($T307,INDIRECT($B307),COLUMN()-1,FALSE)-VLOOKUP($U307,INDIRECT($B307),COLUMN()-1,FALSE)-VLOOKUP($V307,INDIRECT($B307),COLUMN()-1,FALSE)</f>
        <v>63.005066628328869</v>
      </c>
      <c r="J307" s="270">
        <f ca="1">VLOOKUP($Q307,INDIRECT($B307),COLUMN()-1,FALSE)+VLOOKUP($R307,INDIRECT($B307),COLUMN()-1,FALSE)+VLOOKUP($S307,INDIRECT($B307),COLUMN()-1,FALSE)-VLOOKUP($T307,INDIRECT($B307),COLUMN()-1,FALSE)-VLOOKUP($U307,INDIRECT($B307),COLUMN()-1,FALSE)-VLOOKUP($V307,INDIRECT($B307),COLUMN()-1,FALSE)</f>
        <v>0</v>
      </c>
      <c r="K307" s="537">
        <f ca="1">VLOOKUP($Q307,INDIRECT($B307),COLUMN()-1,FALSE)+VLOOKUP($R307,INDIRECT($B307),COLUMN()-1,FALSE)+VLOOKUP($S307,INDIRECT($B307),COLUMN()-1,FALSE)-VLOOKUP($T307,INDIRECT($B307),COLUMN()-1,FALSE)-VLOOKUP($U307,INDIRECT($B307),COLUMN()-1,FALSE)-VLOOKUP($V307,INDIRECT($B307),COLUMN()-1,FALSE)</f>
        <v>64.006462349717694</v>
      </c>
      <c r="L307" s="538">
        <f t="shared" ca="1" si="90"/>
        <v>65.576908818029352</v>
      </c>
      <c r="M307" s="538">
        <f t="shared" ca="1" si="90"/>
        <v>66.668722496201099</v>
      </c>
      <c r="N307" s="538">
        <f t="shared" ca="1" si="90"/>
        <v>67.108366035155782</v>
      </c>
      <c r="O307" s="538">
        <f t="shared" ca="1" si="90"/>
        <v>67.359742863788597</v>
      </c>
      <c r="P307" s="270"/>
      <c r="Q307" s="270" t="s">
        <v>78</v>
      </c>
      <c r="R307" s="270" t="s">
        <v>97</v>
      </c>
      <c r="S307" s="270" t="s">
        <v>98</v>
      </c>
      <c r="T307" s="270" t="s">
        <v>79</v>
      </c>
      <c r="U307" s="270" t="s">
        <v>80</v>
      </c>
      <c r="V307" s="270" t="s">
        <v>81</v>
      </c>
    </row>
    <row r="308" spans="1:22">
      <c r="B308" s="270" t="s">
        <v>216</v>
      </c>
      <c r="C308" s="270" t="s">
        <v>74</v>
      </c>
      <c r="D308" s="270"/>
      <c r="E308" s="269"/>
      <c r="F308" s="270"/>
      <c r="G308" s="270"/>
      <c r="H308" s="270"/>
      <c r="I308" s="540">
        <f t="shared" ca="1" si="90"/>
        <v>40.363326512871886</v>
      </c>
      <c r="J308" s="270">
        <f t="shared" ca="1" si="90"/>
        <v>0</v>
      </c>
      <c r="K308" s="537">
        <f t="shared" ca="1" si="90"/>
        <v>43.027676985170643</v>
      </c>
      <c r="L308" s="538">
        <f t="shared" ca="1" si="90"/>
        <v>42.143721460821091</v>
      </c>
      <c r="M308" s="538">
        <f t="shared" ca="1" si="90"/>
        <v>41.275062348691243</v>
      </c>
      <c r="N308" s="538">
        <f t="shared" ca="1" si="90"/>
        <v>40.492116170563683</v>
      </c>
      <c r="O308" s="538">
        <f t="shared" ca="1" si="90"/>
        <v>40.651680943255371</v>
      </c>
      <c r="P308" s="270"/>
      <c r="Q308" s="270" t="s">
        <v>78</v>
      </c>
      <c r="R308" s="270" t="s">
        <v>97</v>
      </c>
      <c r="S308" s="270" t="s">
        <v>98</v>
      </c>
      <c r="T308" s="270" t="s">
        <v>79</v>
      </c>
      <c r="U308" s="270" t="s">
        <v>80</v>
      </c>
      <c r="V308" s="270" t="s">
        <v>81</v>
      </c>
    </row>
    <row r="309" spans="1:22">
      <c r="B309" s="270" t="s">
        <v>217</v>
      </c>
      <c r="C309" s="270" t="s">
        <v>74</v>
      </c>
      <c r="D309" s="270"/>
      <c r="E309" s="269"/>
      <c r="F309" s="270"/>
      <c r="G309" s="270"/>
      <c r="H309" s="270"/>
      <c r="I309" s="540">
        <f t="shared" ca="1" si="90"/>
        <v>44.220337715826517</v>
      </c>
      <c r="J309" s="270">
        <f t="shared" ca="1" si="90"/>
        <v>0</v>
      </c>
      <c r="K309" s="537">
        <f t="shared" ca="1" si="90"/>
        <v>45.871490053854899</v>
      </c>
      <c r="L309" s="538">
        <f t="shared" ca="1" si="90"/>
        <v>46.390615665064828</v>
      </c>
      <c r="M309" s="538">
        <f t="shared" ca="1" si="90"/>
        <v>46.928403191851572</v>
      </c>
      <c r="N309" s="538">
        <f t="shared" ca="1" si="90"/>
        <v>47.362357572840985</v>
      </c>
      <c r="O309" s="538">
        <f t="shared" ca="1" si="90"/>
        <v>48.096787344121765</v>
      </c>
      <c r="P309" s="270"/>
      <c r="Q309" s="270" t="s">
        <v>78</v>
      </c>
      <c r="R309" s="270" t="s">
        <v>97</v>
      </c>
      <c r="S309" s="270" t="s">
        <v>98</v>
      </c>
      <c r="T309" s="270" t="s">
        <v>79</v>
      </c>
      <c r="U309" s="270" t="s">
        <v>80</v>
      </c>
      <c r="V309" s="270" t="s">
        <v>81</v>
      </c>
    </row>
    <row r="310" spans="1:22">
      <c r="B310" s="270" t="s">
        <v>219</v>
      </c>
      <c r="C310" s="270" t="s">
        <v>74</v>
      </c>
      <c r="D310" s="270"/>
      <c r="E310" s="269"/>
      <c r="F310" s="270"/>
      <c r="G310" s="270"/>
      <c r="H310" s="270"/>
      <c r="I310" s="540">
        <f t="shared" ca="1" si="90"/>
        <v>96.552482327607038</v>
      </c>
      <c r="J310" s="270">
        <f t="shared" ca="1" si="90"/>
        <v>0</v>
      </c>
      <c r="K310" s="537">
        <f t="shared" ca="1" si="90"/>
        <v>97.434437324627908</v>
      </c>
      <c r="L310" s="538">
        <f t="shared" ca="1" si="90"/>
        <v>97.719079611774518</v>
      </c>
      <c r="M310" s="538">
        <f t="shared" ca="1" si="90"/>
        <v>100.23388713221371</v>
      </c>
      <c r="N310" s="538">
        <f t="shared" ca="1" si="90"/>
        <v>103.42757292882624</v>
      </c>
      <c r="O310" s="538">
        <f t="shared" ca="1" si="90"/>
        <v>106.51335072524871</v>
      </c>
      <c r="P310" s="270"/>
      <c r="Q310" s="270" t="s">
        <v>78</v>
      </c>
      <c r="R310" s="270" t="s">
        <v>97</v>
      </c>
      <c r="S310" s="270" t="s">
        <v>98</v>
      </c>
      <c r="T310" s="270" t="s">
        <v>79</v>
      </c>
      <c r="U310" s="270" t="s">
        <v>80</v>
      </c>
      <c r="V310" s="270" t="s">
        <v>81</v>
      </c>
    </row>
    <row r="311" spans="1:22">
      <c r="B311" s="270" t="s">
        <v>220</v>
      </c>
      <c r="C311" s="270" t="s">
        <v>74</v>
      </c>
      <c r="D311" s="270"/>
      <c r="E311" s="269"/>
      <c r="F311" s="270"/>
      <c r="G311" s="270"/>
      <c r="H311" s="270"/>
      <c r="I311" s="540">
        <f t="shared" ca="1" si="90"/>
        <v>23.176961731991518</v>
      </c>
      <c r="J311" s="270">
        <f t="shared" ca="1" si="90"/>
        <v>0</v>
      </c>
      <c r="K311" s="537">
        <f t="shared" ca="1" si="90"/>
        <v>20.19832299390885</v>
      </c>
      <c r="L311" s="538">
        <f t="shared" ca="1" si="90"/>
        <v>19.955332726430083</v>
      </c>
      <c r="M311" s="538">
        <f t="shared" ca="1" si="90"/>
        <v>20.034061573093208</v>
      </c>
      <c r="N311" s="538">
        <f t="shared" ca="1" si="90"/>
        <v>20.024341962394068</v>
      </c>
      <c r="O311" s="538">
        <f t="shared" ca="1" si="90"/>
        <v>19.814398371292313</v>
      </c>
      <c r="P311" s="270"/>
      <c r="Q311" s="270" t="s">
        <v>78</v>
      </c>
      <c r="R311" s="270" t="s">
        <v>97</v>
      </c>
      <c r="S311" s="270" t="s">
        <v>98</v>
      </c>
      <c r="T311" s="270" t="s">
        <v>79</v>
      </c>
      <c r="U311" s="270" t="s">
        <v>80</v>
      </c>
      <c r="V311" s="270" t="s">
        <v>81</v>
      </c>
    </row>
    <row r="312" spans="1:22">
      <c r="B312" s="270" t="s">
        <v>221</v>
      </c>
      <c r="C312" s="270" t="s">
        <v>74</v>
      </c>
      <c r="D312" s="270"/>
      <c r="E312" s="269"/>
      <c r="F312" s="270"/>
      <c r="G312" s="270"/>
      <c r="H312" s="270"/>
      <c r="I312" s="540">
        <f t="shared" ca="1" si="90"/>
        <v>64.570646782511403</v>
      </c>
      <c r="J312" s="270">
        <f t="shared" ca="1" si="90"/>
        <v>0</v>
      </c>
      <c r="K312" s="537">
        <f t="shared" ca="1" si="90"/>
        <v>57.672099841517884</v>
      </c>
      <c r="L312" s="538">
        <f t="shared" ca="1" si="90"/>
        <v>58.570627804018635</v>
      </c>
      <c r="M312" s="538">
        <f t="shared" ca="1" si="90"/>
        <v>57.846810676785957</v>
      </c>
      <c r="N312" s="538">
        <f t="shared" ca="1" si="90"/>
        <v>53.338504899918789</v>
      </c>
      <c r="O312" s="538">
        <f t="shared" ca="1" si="90"/>
        <v>53.114421692603258</v>
      </c>
      <c r="P312" s="270"/>
      <c r="Q312" s="270" t="s">
        <v>78</v>
      </c>
      <c r="R312" s="270" t="s">
        <v>97</v>
      </c>
      <c r="S312" s="270" t="s">
        <v>98</v>
      </c>
      <c r="T312" s="270" t="s">
        <v>79</v>
      </c>
      <c r="U312" s="270" t="s">
        <v>80</v>
      </c>
      <c r="V312" s="270" t="s">
        <v>81</v>
      </c>
    </row>
    <row r="313" spans="1:22">
      <c r="B313" s="270" t="s">
        <v>222</v>
      </c>
      <c r="C313" s="270" t="s">
        <v>74</v>
      </c>
      <c r="D313" s="270"/>
      <c r="E313" s="269"/>
      <c r="F313" s="270"/>
      <c r="G313" s="270"/>
      <c r="H313" s="270"/>
      <c r="I313" s="540">
        <f t="shared" ca="1" si="90"/>
        <v>130.74953964410236</v>
      </c>
      <c r="J313" s="270">
        <f t="shared" ca="1" si="90"/>
        <v>0</v>
      </c>
      <c r="K313" s="537">
        <f t="shared" ca="1" si="90"/>
        <v>135.98499453517366</v>
      </c>
      <c r="L313" s="538">
        <f t="shared" ca="1" si="90"/>
        <v>141.6590957215632</v>
      </c>
      <c r="M313" s="538">
        <f t="shared" ca="1" si="90"/>
        <v>141.65015495642959</v>
      </c>
      <c r="N313" s="538">
        <f t="shared" ca="1" si="90"/>
        <v>144.46423804058878</v>
      </c>
      <c r="O313" s="538">
        <f t="shared" ca="1" si="90"/>
        <v>139.74775207346511</v>
      </c>
      <c r="P313" s="270"/>
      <c r="Q313" s="270" t="s">
        <v>78</v>
      </c>
      <c r="R313" s="270" t="s">
        <v>97</v>
      </c>
      <c r="S313" s="270" t="s">
        <v>98</v>
      </c>
      <c r="T313" s="270" t="s">
        <v>79</v>
      </c>
      <c r="U313" s="270" t="s">
        <v>80</v>
      </c>
      <c r="V313" s="270" t="s">
        <v>81</v>
      </c>
    </row>
    <row r="314" spans="1:22">
      <c r="B314" s="270" t="s">
        <v>223</v>
      </c>
      <c r="C314" s="270" t="s">
        <v>74</v>
      </c>
      <c r="D314" s="270"/>
      <c r="E314" s="269"/>
      <c r="F314" s="270"/>
      <c r="G314" s="270"/>
      <c r="H314" s="270"/>
      <c r="I314" s="540">
        <f t="shared" ca="1" si="90"/>
        <v>103.70837166985949</v>
      </c>
      <c r="J314" s="270">
        <f t="shared" ca="1" si="90"/>
        <v>0</v>
      </c>
      <c r="K314" s="537">
        <f t="shared" ca="1" si="90"/>
        <v>102.32251958364252</v>
      </c>
      <c r="L314" s="538">
        <f t="shared" ca="1" si="90"/>
        <v>105.23868071319518</v>
      </c>
      <c r="M314" s="538">
        <f t="shared" ca="1" si="90"/>
        <v>107.91522425084975</v>
      </c>
      <c r="N314" s="538">
        <f t="shared" ca="1" si="90"/>
        <v>108.01948334669225</v>
      </c>
      <c r="O314" s="538">
        <f t="shared" ca="1" si="90"/>
        <v>110.64344743205514</v>
      </c>
      <c r="P314" s="270"/>
      <c r="Q314" s="270" t="s">
        <v>78</v>
      </c>
      <c r="R314" s="270" t="s">
        <v>97</v>
      </c>
      <c r="S314" s="270" t="s">
        <v>98</v>
      </c>
      <c r="T314" s="270" t="s">
        <v>79</v>
      </c>
      <c r="U314" s="270" t="s">
        <v>80</v>
      </c>
      <c r="V314" s="270" t="s">
        <v>81</v>
      </c>
    </row>
    <row r="315" spans="1:22">
      <c r="B315" s="270" t="s">
        <v>224</v>
      </c>
      <c r="C315" s="270" t="s">
        <v>74</v>
      </c>
      <c r="D315" s="270"/>
      <c r="E315" s="269"/>
      <c r="F315" s="270"/>
      <c r="G315" s="270"/>
      <c r="H315" s="270"/>
      <c r="I315" s="540">
        <f t="shared" ca="1" si="90"/>
        <v>23.089937751506532</v>
      </c>
      <c r="J315" s="270">
        <f t="shared" ca="1" si="90"/>
        <v>0</v>
      </c>
      <c r="K315" s="537">
        <f t="shared" ca="1" si="90"/>
        <v>24.11798159903346</v>
      </c>
      <c r="L315" s="538">
        <f t="shared" ca="1" si="90"/>
        <v>24.323064964122707</v>
      </c>
      <c r="M315" s="538">
        <f t="shared" ca="1" si="90"/>
        <v>24.679602715901897</v>
      </c>
      <c r="N315" s="538">
        <f t="shared" ca="1" si="90"/>
        <v>24.891396536386996</v>
      </c>
      <c r="O315" s="538">
        <f t="shared" ca="1" si="90"/>
        <v>25.074527079271004</v>
      </c>
      <c r="P315" s="270"/>
      <c r="Q315" s="270" t="s">
        <v>78</v>
      </c>
      <c r="R315" s="270" t="s">
        <v>97</v>
      </c>
      <c r="S315" s="270" t="s">
        <v>98</v>
      </c>
      <c r="T315" s="270" t="s">
        <v>79</v>
      </c>
      <c r="U315" s="270" t="s">
        <v>80</v>
      </c>
      <c r="V315" s="270" t="s">
        <v>81</v>
      </c>
    </row>
    <row r="316" spans="1:22">
      <c r="B316" s="270" t="s">
        <v>225</v>
      </c>
      <c r="C316" s="270" t="s">
        <v>74</v>
      </c>
      <c r="D316" s="270"/>
      <c r="E316" s="269"/>
      <c r="F316" s="270"/>
      <c r="G316" s="270"/>
      <c r="H316" s="270"/>
      <c r="I316" s="540">
        <f t="shared" ca="1" si="90"/>
        <v>47.340108695632296</v>
      </c>
      <c r="J316" s="270">
        <f t="shared" ca="1" si="90"/>
        <v>0</v>
      </c>
      <c r="K316" s="537">
        <f t="shared" ca="1" si="90"/>
        <v>46.433821734395828</v>
      </c>
      <c r="L316" s="538">
        <f t="shared" ca="1" si="90"/>
        <v>46.201670142643408</v>
      </c>
      <c r="M316" s="538">
        <f t="shared" ca="1" si="90"/>
        <v>45.825526271976159</v>
      </c>
      <c r="N316" s="538">
        <f t="shared" ca="1" si="90"/>
        <v>44.340172204530667</v>
      </c>
      <c r="O316" s="538">
        <f t="shared" ca="1" si="90"/>
        <v>44.616708882498628</v>
      </c>
      <c r="P316" s="270"/>
      <c r="Q316" s="270" t="s">
        <v>78</v>
      </c>
      <c r="R316" s="270" t="s">
        <v>97</v>
      </c>
      <c r="S316" s="270" t="s">
        <v>98</v>
      </c>
      <c r="T316" s="270" t="s">
        <v>79</v>
      </c>
      <c r="U316" s="270" t="s">
        <v>80</v>
      </c>
      <c r="V316" s="270" t="s">
        <v>81</v>
      </c>
    </row>
    <row r="317" spans="1:22">
      <c r="B317" s="270" t="s">
        <v>226</v>
      </c>
      <c r="C317" s="270" t="s">
        <v>74</v>
      </c>
      <c r="D317" s="270"/>
      <c r="E317" s="269"/>
      <c r="F317" s="270"/>
      <c r="G317" s="270"/>
      <c r="H317" s="270"/>
      <c r="I317" s="540">
        <f t="shared" ref="I317:O324" ca="1" si="91">VLOOKUP($Q317,INDIRECT($B317),COLUMN()-1,FALSE)+VLOOKUP($R317,INDIRECT($B317),COLUMN()-1,FALSE)+VLOOKUP($S317,INDIRECT($B317),COLUMN()-1,FALSE)-VLOOKUP($T317,INDIRECT($B317),COLUMN()-1,FALSE)-VLOOKUP($U317,INDIRECT($B317),COLUMN()-1,FALSE)-VLOOKUP($V317,INDIRECT($B317),COLUMN()-1,FALSE)</f>
        <v>21.328677127917487</v>
      </c>
      <c r="J317" s="270">
        <f t="shared" ca="1" si="91"/>
        <v>0</v>
      </c>
      <c r="K317" s="537">
        <f t="shared" ca="1" si="91"/>
        <v>22.145309072308436</v>
      </c>
      <c r="L317" s="538">
        <f t="shared" ca="1" si="91"/>
        <v>21.919727881351232</v>
      </c>
      <c r="M317" s="538">
        <f t="shared" ca="1" si="91"/>
        <v>21.686037320980269</v>
      </c>
      <c r="N317" s="538">
        <f t="shared" ca="1" si="91"/>
        <v>21.065270312946961</v>
      </c>
      <c r="O317" s="538">
        <f t="shared" ca="1" si="91"/>
        <v>20.02425181099543</v>
      </c>
      <c r="P317" s="270"/>
      <c r="Q317" s="270" t="s">
        <v>78</v>
      </c>
      <c r="R317" s="270" t="s">
        <v>97</v>
      </c>
      <c r="S317" s="270" t="s">
        <v>98</v>
      </c>
      <c r="T317" s="270" t="s">
        <v>79</v>
      </c>
      <c r="U317" s="270" t="s">
        <v>80</v>
      </c>
      <c r="V317" s="270" t="s">
        <v>81</v>
      </c>
    </row>
    <row r="318" spans="1:22">
      <c r="B318" s="270" t="s">
        <v>227</v>
      </c>
      <c r="C318" s="270" t="s">
        <v>74</v>
      </c>
      <c r="D318" s="270"/>
      <c r="E318" s="269"/>
      <c r="F318" s="270"/>
      <c r="G318" s="270"/>
      <c r="H318" s="270"/>
      <c r="I318" s="540">
        <f t="shared" ca="1" si="91"/>
        <v>7.4132229732399324</v>
      </c>
      <c r="J318" s="270">
        <f t="shared" ca="1" si="91"/>
        <v>0</v>
      </c>
      <c r="K318" s="537">
        <f t="shared" ca="1" si="91"/>
        <v>7.6887537838240778</v>
      </c>
      <c r="L318" s="538">
        <f t="shared" ca="1" si="91"/>
        <v>7.847503381241614</v>
      </c>
      <c r="M318" s="538">
        <f t="shared" ca="1" si="91"/>
        <v>7.9357924652997589</v>
      </c>
      <c r="N318" s="538">
        <f t="shared" ca="1" si="91"/>
        <v>7.998460341866755</v>
      </c>
      <c r="O318" s="538">
        <f t="shared" ca="1" si="91"/>
        <v>8.0738998076247483</v>
      </c>
      <c r="P318" s="270"/>
      <c r="Q318" s="270" t="s">
        <v>78</v>
      </c>
      <c r="R318" s="270" t="s">
        <v>97</v>
      </c>
      <c r="S318" s="270" t="s">
        <v>98</v>
      </c>
      <c r="T318" s="270" t="s">
        <v>79</v>
      </c>
      <c r="U318" s="270" t="s">
        <v>80</v>
      </c>
      <c r="V318" s="270" t="s">
        <v>81</v>
      </c>
    </row>
    <row r="319" spans="1:22">
      <c r="B319" s="270" t="s">
        <v>228</v>
      </c>
      <c r="C319" s="270" t="s">
        <v>74</v>
      </c>
      <c r="D319" s="270"/>
      <c r="E319" s="269"/>
      <c r="F319" s="270"/>
      <c r="G319" s="270"/>
      <c r="H319" s="270"/>
      <c r="I319" s="540">
        <f t="shared" ca="1" si="91"/>
        <v>2.3678939999999997</v>
      </c>
      <c r="J319" s="270">
        <f t="shared" ca="1" si="91"/>
        <v>0</v>
      </c>
      <c r="K319" s="537">
        <f t="shared" ca="1" si="91"/>
        <v>2.4532630000000002</v>
      </c>
      <c r="L319" s="538">
        <f t="shared" ca="1" si="91"/>
        <v>2.4741400000000007</v>
      </c>
      <c r="M319" s="538">
        <f t="shared" ca="1" si="91"/>
        <v>2.5161460000000004</v>
      </c>
      <c r="N319" s="538">
        <f t="shared" ca="1" si="91"/>
        <v>2.5251510000000001</v>
      </c>
      <c r="O319" s="538">
        <f t="shared" ca="1" si="91"/>
        <v>2.5371570000000001</v>
      </c>
      <c r="P319" s="270"/>
      <c r="Q319" s="270" t="s">
        <v>78</v>
      </c>
      <c r="R319" s="270" t="s">
        <v>97</v>
      </c>
      <c r="S319" s="270" t="s">
        <v>98</v>
      </c>
      <c r="T319" s="270" t="s">
        <v>79</v>
      </c>
      <c r="U319" s="270" t="s">
        <v>80</v>
      </c>
      <c r="V319" s="270" t="s">
        <v>81</v>
      </c>
    </row>
    <row r="320" spans="1:22">
      <c r="B320" s="270" t="s">
        <v>229</v>
      </c>
      <c r="C320" s="270" t="s">
        <v>74</v>
      </c>
      <c r="D320" s="270"/>
      <c r="E320" s="269"/>
      <c r="F320" s="270"/>
      <c r="G320" s="270"/>
      <c r="H320" s="270"/>
      <c r="I320" s="540">
        <f t="shared" ca="1" si="91"/>
        <v>3.8559999999999999</v>
      </c>
      <c r="J320" s="270">
        <f t="shared" ca="1" si="91"/>
        <v>0</v>
      </c>
      <c r="K320" s="537">
        <f t="shared" ca="1" si="91"/>
        <v>3.9009999999999994</v>
      </c>
      <c r="L320" s="538">
        <f t="shared" ca="1" si="91"/>
        <v>3.9050000000000007</v>
      </c>
      <c r="M320" s="538">
        <f t="shared" ca="1" si="91"/>
        <v>3.8769999999999998</v>
      </c>
      <c r="N320" s="538">
        <f t="shared" ca="1" si="91"/>
        <v>3.8660000000000005</v>
      </c>
      <c r="O320" s="538">
        <f t="shared" ca="1" si="91"/>
        <v>3.8629999999999995</v>
      </c>
      <c r="P320" s="270"/>
      <c r="Q320" s="270" t="s">
        <v>78</v>
      </c>
      <c r="R320" s="270" t="s">
        <v>97</v>
      </c>
      <c r="S320" s="270" t="s">
        <v>98</v>
      </c>
      <c r="T320" s="270" t="s">
        <v>79</v>
      </c>
      <c r="U320" s="270" t="s">
        <v>80</v>
      </c>
      <c r="V320" s="270" t="s">
        <v>81</v>
      </c>
    </row>
    <row r="321" spans="1:22">
      <c r="B321" s="270" t="s">
        <v>230</v>
      </c>
      <c r="C321" s="270" t="s">
        <v>74</v>
      </c>
      <c r="D321" s="270"/>
      <c r="E321" s="269"/>
      <c r="F321" s="270"/>
      <c r="G321" s="270"/>
      <c r="H321" s="270"/>
      <c r="I321" s="540">
        <f t="shared" ca="1" si="91"/>
        <v>3.7469999999999999</v>
      </c>
      <c r="J321" s="270">
        <f t="shared" ca="1" si="91"/>
        <v>0</v>
      </c>
      <c r="K321" s="537">
        <f t="shared" ca="1" si="91"/>
        <v>3.9819999999999998</v>
      </c>
      <c r="L321" s="538">
        <f t="shared" ca="1" si="91"/>
        <v>4.0360000000000005</v>
      </c>
      <c r="M321" s="538">
        <f t="shared" ca="1" si="91"/>
        <v>4.032</v>
      </c>
      <c r="N321" s="538">
        <f t="shared" ca="1" si="91"/>
        <v>3.9939999999999993</v>
      </c>
      <c r="O321" s="538">
        <f t="shared" ca="1" si="91"/>
        <v>3.8920000000000008</v>
      </c>
      <c r="P321" s="270"/>
      <c r="Q321" s="270" t="s">
        <v>78</v>
      </c>
      <c r="R321" s="270" t="s">
        <v>97</v>
      </c>
      <c r="S321" s="270" t="s">
        <v>98</v>
      </c>
      <c r="T321" s="270" t="s">
        <v>79</v>
      </c>
      <c r="U321" s="270" t="s">
        <v>80</v>
      </c>
      <c r="V321" s="270" t="s">
        <v>81</v>
      </c>
    </row>
    <row r="322" spans="1:22">
      <c r="B322" s="270" t="s">
        <v>231</v>
      </c>
      <c r="C322" s="270" t="s">
        <v>74</v>
      </c>
      <c r="D322" s="270"/>
      <c r="E322" s="269"/>
      <c r="F322" s="270"/>
      <c r="G322" s="270"/>
      <c r="H322" s="270"/>
      <c r="I322" s="540">
        <f t="shared" ca="1" si="91"/>
        <v>16.191036574593696</v>
      </c>
      <c r="J322" s="270">
        <f t="shared" ca="1" si="91"/>
        <v>0</v>
      </c>
      <c r="K322" s="537">
        <f t="shared" ca="1" si="91"/>
        <v>15.129447398381007</v>
      </c>
      <c r="L322" s="538">
        <f t="shared" ca="1" si="91"/>
        <v>15.361679118254539</v>
      </c>
      <c r="M322" s="538">
        <f t="shared" ca="1" si="91"/>
        <v>15.209332412423962</v>
      </c>
      <c r="N322" s="538">
        <f t="shared" ca="1" si="91"/>
        <v>15.223184854907309</v>
      </c>
      <c r="O322" s="538">
        <f t="shared" ca="1" si="91"/>
        <v>15.431833479495584</v>
      </c>
      <c r="P322" s="270"/>
      <c r="Q322" s="270" t="s">
        <v>78</v>
      </c>
      <c r="R322" s="270" t="s">
        <v>97</v>
      </c>
      <c r="S322" s="270" t="s">
        <v>98</v>
      </c>
      <c r="T322" s="270" t="s">
        <v>79</v>
      </c>
      <c r="U322" s="270" t="s">
        <v>80</v>
      </c>
      <c r="V322" s="270" t="s">
        <v>81</v>
      </c>
    </row>
    <row r="323" spans="1:22">
      <c r="B323" s="270" t="s">
        <v>232</v>
      </c>
      <c r="C323" s="270" t="s">
        <v>74</v>
      </c>
      <c r="D323" s="270"/>
      <c r="E323" s="269"/>
      <c r="F323" s="270"/>
      <c r="G323" s="270"/>
      <c r="H323" s="270"/>
      <c r="I323" s="540">
        <f t="shared" ca="1" si="91"/>
        <v>13.816548310676279</v>
      </c>
      <c r="J323" s="270">
        <f t="shared" ca="1" si="91"/>
        <v>0</v>
      </c>
      <c r="K323" s="537">
        <f t="shared" ca="1" si="91"/>
        <v>14.707363335708328</v>
      </c>
      <c r="L323" s="538">
        <f t="shared" ca="1" si="91"/>
        <v>14.708078806727761</v>
      </c>
      <c r="M323" s="538">
        <f t="shared" ca="1" si="91"/>
        <v>14.486947096298147</v>
      </c>
      <c r="N323" s="538">
        <f t="shared" ca="1" si="91"/>
        <v>13.936658381389195</v>
      </c>
      <c r="O323" s="538">
        <f t="shared" ca="1" si="91"/>
        <v>13.615719152123088</v>
      </c>
      <c r="P323" s="270"/>
      <c r="Q323" s="270" t="s">
        <v>78</v>
      </c>
      <c r="R323" s="270" t="s">
        <v>97</v>
      </c>
      <c r="S323" s="270" t="s">
        <v>98</v>
      </c>
      <c r="T323" s="270" t="s">
        <v>79</v>
      </c>
      <c r="U323" s="270" t="s">
        <v>80</v>
      </c>
      <c r="V323" s="270" t="s">
        <v>81</v>
      </c>
    </row>
    <row r="324" spans="1:22">
      <c r="B324" s="270" t="s">
        <v>255</v>
      </c>
      <c r="C324" s="270" t="s">
        <v>74</v>
      </c>
      <c r="D324" s="270"/>
      <c r="E324" s="269"/>
      <c r="F324" s="270"/>
      <c r="G324" s="270"/>
      <c r="H324" s="270"/>
      <c r="I324" s="540">
        <f t="shared" ca="1" si="91"/>
        <v>4.988467477816739</v>
      </c>
      <c r="J324" s="270">
        <f t="shared" ca="1" si="91"/>
        <v>0</v>
      </c>
      <c r="K324" s="537">
        <f t="shared" ca="1" si="91"/>
        <v>4.5037142946557802</v>
      </c>
      <c r="L324" s="538">
        <f t="shared" ca="1" si="91"/>
        <v>4.4961405916974888</v>
      </c>
      <c r="M324" s="538">
        <f ca="1">VLOOKUP($Q324,INDIRECT($B324),COLUMN()-1,FALSE)+VLOOKUP($R324,INDIRECT($B324),COLUMN()-1,FALSE)+VLOOKUP($S324,INDIRECT($B324),COLUMN()-1,FALSE)-VLOOKUP($T324,INDIRECT($B324),COLUMN()-1,FALSE)-VLOOKUP($U324,INDIRECT($B324),COLUMN()-1,FALSE)-VLOOKUP($V324,INDIRECT($B324),COLUMN()-1,FALSE)</f>
        <v>4.6896881231659595</v>
      </c>
      <c r="N324" s="538">
        <f t="shared" ca="1" si="91"/>
        <v>4.6611382467699762</v>
      </c>
      <c r="O324" s="538">
        <f t="shared" ca="1" si="91"/>
        <v>4.573502442709696</v>
      </c>
      <c r="P324" s="270"/>
      <c r="Q324" s="270" t="s">
        <v>78</v>
      </c>
      <c r="R324" s="270" t="s">
        <v>97</v>
      </c>
      <c r="S324" s="270" t="s">
        <v>98</v>
      </c>
      <c r="T324" s="270" t="s">
        <v>79</v>
      </c>
      <c r="U324" s="270" t="s">
        <v>80</v>
      </c>
      <c r="V324" s="270" t="s">
        <v>81</v>
      </c>
    </row>
    <row r="325" spans="1:22">
      <c r="B325" s="270"/>
      <c r="C325" s="270"/>
      <c r="D325" s="270"/>
      <c r="E325" s="269"/>
      <c r="F325" s="270"/>
      <c r="G325" s="270"/>
      <c r="H325" s="270"/>
      <c r="I325" s="540"/>
      <c r="J325" s="270"/>
      <c r="K325" s="544"/>
      <c r="L325" s="540"/>
      <c r="M325" s="540"/>
      <c r="N325" s="540"/>
      <c r="O325" s="540"/>
      <c r="P325" s="270"/>
      <c r="Q325" s="270"/>
      <c r="R325" s="270"/>
      <c r="S325" s="270"/>
      <c r="T325" s="270"/>
      <c r="U325" s="270"/>
      <c r="V325" s="270"/>
    </row>
    <row r="326" spans="1:22" s="291" customFormat="1">
      <c r="A326" s="296" t="s">
        <v>439</v>
      </c>
      <c r="B326" s="294"/>
      <c r="C326" s="294"/>
      <c r="D326" s="294"/>
      <c r="E326" s="295"/>
      <c r="F326" s="294"/>
      <c r="G326" s="294"/>
      <c r="H326" s="294"/>
      <c r="I326" s="541"/>
      <c r="J326" s="294"/>
      <c r="K326" s="545"/>
      <c r="L326" s="541"/>
      <c r="M326" s="541"/>
      <c r="N326" s="541"/>
      <c r="O326" s="541"/>
      <c r="P326" s="294"/>
      <c r="Q326" s="294"/>
      <c r="R326" s="294"/>
      <c r="S326" s="294"/>
      <c r="T326" s="294"/>
      <c r="U326" s="294"/>
      <c r="V326" s="289"/>
    </row>
    <row r="327" spans="1:22">
      <c r="B327" s="270" t="s">
        <v>215</v>
      </c>
      <c r="C327" s="281" t="s">
        <v>183</v>
      </c>
      <c r="D327" s="270"/>
      <c r="E327" s="269"/>
      <c r="F327" s="270"/>
      <c r="G327" s="270"/>
      <c r="H327" s="270"/>
      <c r="I327" s="540">
        <f ca="1">VLOOKUP($Q327,INDIRECT($B327),COLUMN()-1,FALSE)+VLOOKUP($R327,INDIRECT($B327),COLUMN()-1,FALSE)+VLOOKUP($S327,INDIRECT($B327),COLUMN()-1,FALSE)+VLOOKUP($T327,INDIRECT($B327),COLUMN()-1,FALSE)+(VLOOKUP($U327,INDIRECT($B327),COLUMN()-1,FALSE)+VLOOKUP($V327,INDIRECT($B327),COLUMN()-1,FALSE))*'New cost and adjustments inputs'!$E$154</f>
        <v>3220.9803000000002</v>
      </c>
      <c r="J327" s="270">
        <f ca="1">VLOOKUP($Q327,INDIRECT($B327),COLUMN()-1,FALSE)+VLOOKUP($R327,INDIRECT($B327),COLUMN()-1,FALSE)+VLOOKUP($S327,INDIRECT($B327),COLUMN()-1,FALSE)+VLOOKUP($T327,INDIRECT($B327),COLUMN()-1,FALSE)+(VLOOKUP($U327,INDIRECT($B327),COLUMN()-1,FALSE)+VLOOKUP($V327,INDIRECT($B327),COLUMN()-1,FALSE))*'New cost and adjustments inputs'!$E$154</f>
        <v>0</v>
      </c>
      <c r="K327" s="537">
        <f ca="1">VLOOKUP($Q327,INDIRECT($B327),COLUMN()-1,FALSE)+VLOOKUP($R327,INDIRECT($B327),COLUMN()-1,FALSE)+VLOOKUP($S327,INDIRECT($B327),COLUMN()-1,FALSE)+VLOOKUP($T327,INDIRECT($B327),COLUMN()-1,FALSE)+(VLOOKUP($U327,INDIRECT($B327),COLUMN()-1,FALSE)+VLOOKUP($V327,INDIRECT($B327),COLUMN()-1,FALSE))*'New cost and adjustments inputs'!$E$154</f>
        <v>3273.4218000000001</v>
      </c>
      <c r="L327" s="538">
        <f ca="1">VLOOKUP($Q327,INDIRECT($B327),COLUMN()-1,FALSE)+VLOOKUP($R327,INDIRECT($B327),COLUMN()-1,FALSE)+VLOOKUP($S327,INDIRECT($B327),COLUMN()-1,FALSE)+VLOOKUP($T327,INDIRECT($B327),COLUMN()-1,FALSE)+(VLOOKUP($U327,INDIRECT($B327),COLUMN()-1,FALSE)+VLOOKUP($V327,INDIRECT($B327),COLUMN()-1,FALSE))*'New cost and adjustments inputs'!$E$154</f>
        <v>3299.0175999999997</v>
      </c>
      <c r="M327" s="538">
        <f ca="1">VLOOKUP($Q327,INDIRECT($B327),COLUMN()-1,FALSE)+VLOOKUP($R327,INDIRECT($B327),COLUMN()-1,FALSE)+VLOOKUP($S327,INDIRECT($B327),COLUMN()-1,FALSE)+VLOOKUP($T327,INDIRECT($B327),COLUMN()-1,FALSE)+(VLOOKUP($U327,INDIRECT($B327),COLUMN()-1,FALSE)+VLOOKUP($V327,INDIRECT($B327),COLUMN()-1,FALSE))*'New cost and adjustments inputs'!$E$154</f>
        <v>3326.4605999999999</v>
      </c>
      <c r="N327" s="538">
        <f ca="1">VLOOKUP($Q327,INDIRECT($B327),COLUMN()-1,FALSE)+VLOOKUP($R327,INDIRECT($B327),COLUMN()-1,FALSE)+VLOOKUP($S327,INDIRECT($B327),COLUMN()-1,FALSE)+VLOOKUP($T327,INDIRECT($B327),COLUMN()-1,FALSE)+(VLOOKUP($U327,INDIRECT($B327),COLUMN()-1,FALSE)+VLOOKUP($V327,INDIRECT($B327),COLUMN()-1,FALSE))*'New cost and adjustments inputs'!$E$154</f>
        <v>3356.2060000000001</v>
      </c>
      <c r="O327" s="538">
        <f ca="1">VLOOKUP($Q327,INDIRECT($B327),COLUMN()-1,FALSE)+VLOOKUP($R327,INDIRECT($B327),COLUMN()-1,FALSE)+VLOOKUP($S327,INDIRECT($B327),COLUMN()-1,FALSE)+VLOOKUP($T327,INDIRECT($B327),COLUMN()-1,FALSE)+(VLOOKUP($U327,INDIRECT($B327),COLUMN()-1,FALSE)+VLOOKUP($V327,INDIRECT($B327),COLUMN()-1,FALSE))*'New cost and adjustments inputs'!$E$154</f>
        <v>3388.3991000000001</v>
      </c>
      <c r="P327" s="270"/>
      <c r="Q327" s="270" t="s">
        <v>82</v>
      </c>
      <c r="R327" s="270" t="s">
        <v>87</v>
      </c>
      <c r="S327" s="270" t="s">
        <v>83</v>
      </c>
      <c r="T327" s="270" t="s">
        <v>84</v>
      </c>
      <c r="U327" s="270" t="s">
        <v>85</v>
      </c>
      <c r="V327" s="270" t="s">
        <v>86</v>
      </c>
    </row>
    <row r="328" spans="1:22">
      <c r="B328" s="270" t="s">
        <v>216</v>
      </c>
      <c r="C328" s="281" t="s">
        <v>183</v>
      </c>
      <c r="D328" s="270"/>
      <c r="E328" s="269"/>
      <c r="F328" s="270"/>
      <c r="G328" s="270"/>
      <c r="H328" s="270"/>
      <c r="I328" s="540">
        <f ca="1">VLOOKUP($Q328,INDIRECT($B328),COLUMN()-1,FALSE)+VLOOKUP($R328,INDIRECT($B328),COLUMN()-1,FALSE)+VLOOKUP($S328,INDIRECT($B328),COLUMN()-1,FALSE)+VLOOKUP($T328,INDIRECT($B328),COLUMN()-1,FALSE)+(VLOOKUP($U328,INDIRECT($B328),COLUMN()-1,FALSE)+VLOOKUP($V328,INDIRECT($B328),COLUMN()-1,FALSE))*'New cost and adjustments inputs'!$E$154</f>
        <v>1699.2993999999999</v>
      </c>
      <c r="J328" s="270">
        <f ca="1">VLOOKUP($Q328,INDIRECT($B328),COLUMN()-1,FALSE)+VLOOKUP($R328,INDIRECT($B328),COLUMN()-1,FALSE)+VLOOKUP($S328,INDIRECT($B328),COLUMN()-1,FALSE)+VLOOKUP($T328,INDIRECT($B328),COLUMN()-1,FALSE)+(VLOOKUP($U328,INDIRECT($B328),COLUMN()-1,FALSE)+VLOOKUP($V328,INDIRECT($B328),COLUMN()-1,FALSE))*'New cost and adjustments inputs'!$E$154</f>
        <v>0</v>
      </c>
      <c r="K328" s="537">
        <f ca="1">VLOOKUP($Q328,INDIRECT($B328),COLUMN()-1,FALSE)+VLOOKUP($R328,INDIRECT($B328),COLUMN()-1,FALSE)+VLOOKUP($S328,INDIRECT($B328),COLUMN()-1,FALSE)+VLOOKUP($T328,INDIRECT($B328),COLUMN()-1,FALSE)+(VLOOKUP($U328,INDIRECT($B328),COLUMN()-1,FALSE)+VLOOKUP($V328,INDIRECT($B328),COLUMN()-1,FALSE))*'New cost and adjustments inputs'!$E$154</f>
        <v>1714.7158000000004</v>
      </c>
      <c r="L328" s="538">
        <f ca="1">VLOOKUP($Q328,INDIRECT($B328),COLUMN()-1,FALSE)+VLOOKUP($R328,INDIRECT($B328),COLUMN()-1,FALSE)+VLOOKUP($S328,INDIRECT($B328),COLUMN()-1,FALSE)+VLOOKUP($T328,INDIRECT($B328),COLUMN()-1,FALSE)+(VLOOKUP($U328,INDIRECT($B328),COLUMN()-1,FALSE)+VLOOKUP($V328,INDIRECT($B328),COLUMN()-1,FALSE))*'New cost and adjustments inputs'!$E$154</f>
        <v>1722.9395</v>
      </c>
      <c r="M328" s="538">
        <f ca="1">VLOOKUP($Q328,INDIRECT($B328),COLUMN()-1,FALSE)+VLOOKUP($R328,INDIRECT($B328),COLUMN()-1,FALSE)+VLOOKUP($S328,INDIRECT($B328),COLUMN()-1,FALSE)+VLOOKUP($T328,INDIRECT($B328),COLUMN()-1,FALSE)+(VLOOKUP($U328,INDIRECT($B328),COLUMN()-1,FALSE)+VLOOKUP($V328,INDIRECT($B328),COLUMN()-1,FALSE))*'New cost and adjustments inputs'!$E$154</f>
        <v>1731.6780000000003</v>
      </c>
      <c r="N328" s="538">
        <f ca="1">VLOOKUP($Q328,INDIRECT($B328),COLUMN()-1,FALSE)+VLOOKUP($R328,INDIRECT($B328),COLUMN()-1,FALSE)+VLOOKUP($S328,INDIRECT($B328),COLUMN()-1,FALSE)+VLOOKUP($T328,INDIRECT($B328),COLUMN()-1,FALSE)+(VLOOKUP($U328,INDIRECT($B328),COLUMN()-1,FALSE)+VLOOKUP($V328,INDIRECT($B328),COLUMN()-1,FALSE))*'New cost and adjustments inputs'!$E$154</f>
        <v>1740.9294</v>
      </c>
      <c r="O328" s="538">
        <f ca="1">VLOOKUP($Q328,INDIRECT($B328),COLUMN()-1,FALSE)+VLOOKUP($R328,INDIRECT($B328),COLUMN()-1,FALSE)+VLOOKUP($S328,INDIRECT($B328),COLUMN()-1,FALSE)+VLOOKUP($T328,INDIRECT($B328),COLUMN()-1,FALSE)+(VLOOKUP($U328,INDIRECT($B328),COLUMN()-1,FALSE)+VLOOKUP($V328,INDIRECT($B328),COLUMN()-1,FALSE))*'New cost and adjustments inputs'!$E$154</f>
        <v>1750.6963000000001</v>
      </c>
      <c r="P328" s="270"/>
      <c r="Q328" s="270" t="s">
        <v>82</v>
      </c>
      <c r="R328" s="270" t="s">
        <v>87</v>
      </c>
      <c r="S328" s="270" t="s">
        <v>83</v>
      </c>
      <c r="T328" s="270" t="s">
        <v>84</v>
      </c>
      <c r="U328" s="270" t="s">
        <v>85</v>
      </c>
      <c r="V328" s="270" t="s">
        <v>86</v>
      </c>
    </row>
    <row r="329" spans="1:22">
      <c r="B329" s="270" t="s">
        <v>217</v>
      </c>
      <c r="C329" s="281" t="s">
        <v>183</v>
      </c>
      <c r="D329" s="270"/>
      <c r="E329" s="269"/>
      <c r="F329" s="270"/>
      <c r="G329" s="270"/>
      <c r="H329" s="270"/>
      <c r="I329" s="540">
        <f ca="1">VLOOKUP($Q329,INDIRECT($B329),COLUMN()-1,FALSE)+VLOOKUP($R329,INDIRECT($B329),COLUMN()-1,FALSE)+VLOOKUP($S329,INDIRECT($B329),COLUMN()-1,FALSE)+VLOOKUP($T329,INDIRECT($B329),COLUMN()-1,FALSE)+(VLOOKUP($U329,INDIRECT($B329),COLUMN()-1,FALSE)+VLOOKUP($V329,INDIRECT($B329),COLUMN()-1,FALSE))*'New cost and adjustments inputs'!$E$154</f>
        <v>2159.7798000000003</v>
      </c>
      <c r="J329" s="270">
        <f ca="1">VLOOKUP($Q329,INDIRECT($B329),COLUMN()-1,FALSE)+VLOOKUP($R329,INDIRECT($B329),COLUMN()-1,FALSE)+VLOOKUP($S329,INDIRECT($B329),COLUMN()-1,FALSE)+VLOOKUP($T329,INDIRECT($B329),COLUMN()-1,FALSE)+(VLOOKUP($U329,INDIRECT($B329),COLUMN()-1,FALSE)+VLOOKUP($V329,INDIRECT($B329),COLUMN()-1,FALSE))*'New cost and adjustments inputs'!$E$154</f>
        <v>0</v>
      </c>
      <c r="K329" s="537">
        <f ca="1">VLOOKUP($Q329,INDIRECT($B329),COLUMN()-1,FALSE)+VLOOKUP($R329,INDIRECT($B329),COLUMN()-1,FALSE)+VLOOKUP($S329,INDIRECT($B329),COLUMN()-1,FALSE)+VLOOKUP($T329,INDIRECT($B329),COLUMN()-1,FALSE)+(VLOOKUP($U329,INDIRECT($B329),COLUMN()-1,FALSE)+VLOOKUP($V329,INDIRECT($B329),COLUMN()-1,FALSE))*'New cost and adjustments inputs'!$E$154</f>
        <v>2182.3203000000003</v>
      </c>
      <c r="L329" s="538">
        <f ca="1">VLOOKUP($Q329,INDIRECT($B329),COLUMN()-1,FALSE)+VLOOKUP($R329,INDIRECT($B329),COLUMN()-1,FALSE)+VLOOKUP($S329,INDIRECT($B329),COLUMN()-1,FALSE)+VLOOKUP($T329,INDIRECT($B329),COLUMN()-1,FALSE)+(VLOOKUP($U329,INDIRECT($B329),COLUMN()-1,FALSE)+VLOOKUP($V329,INDIRECT($B329),COLUMN()-1,FALSE))*'New cost and adjustments inputs'!$E$154</f>
        <v>2194.4147000000003</v>
      </c>
      <c r="M329" s="538">
        <f ca="1">VLOOKUP($Q329,INDIRECT($B329),COLUMN()-1,FALSE)+VLOOKUP($R329,INDIRECT($B329),COLUMN()-1,FALSE)+VLOOKUP($S329,INDIRECT($B329),COLUMN()-1,FALSE)+VLOOKUP($T329,INDIRECT($B329),COLUMN()-1,FALSE)+(VLOOKUP($U329,INDIRECT($B329),COLUMN()-1,FALSE)+VLOOKUP($V329,INDIRECT($B329),COLUMN()-1,FALSE))*'New cost and adjustments inputs'!$E$154</f>
        <v>2206.7542000000003</v>
      </c>
      <c r="N329" s="538">
        <f ca="1">VLOOKUP($Q329,INDIRECT($B329),COLUMN()-1,FALSE)+VLOOKUP($R329,INDIRECT($B329),COLUMN()-1,FALSE)+VLOOKUP($S329,INDIRECT($B329),COLUMN()-1,FALSE)+VLOOKUP($T329,INDIRECT($B329),COLUMN()-1,FALSE)+(VLOOKUP($U329,INDIRECT($B329),COLUMN()-1,FALSE)+VLOOKUP($V329,INDIRECT($B329),COLUMN()-1,FALSE))*'New cost and adjustments inputs'!$E$154</f>
        <v>2219.3582000000001</v>
      </c>
      <c r="O329" s="538">
        <f ca="1">VLOOKUP($Q329,INDIRECT($B329),COLUMN()-1,FALSE)+VLOOKUP($R329,INDIRECT($B329),COLUMN()-1,FALSE)+VLOOKUP($S329,INDIRECT($B329),COLUMN()-1,FALSE)+VLOOKUP($T329,INDIRECT($B329),COLUMN()-1,FALSE)+(VLOOKUP($U329,INDIRECT($B329),COLUMN()-1,FALSE)+VLOOKUP($V329,INDIRECT($B329),COLUMN()-1,FALSE))*'New cost and adjustments inputs'!$E$154</f>
        <v>2232.3247999999999</v>
      </c>
      <c r="P329" s="270"/>
      <c r="Q329" s="270" t="s">
        <v>82</v>
      </c>
      <c r="R329" s="270" t="s">
        <v>87</v>
      </c>
      <c r="S329" s="270" t="s">
        <v>83</v>
      </c>
      <c r="T329" s="270" t="s">
        <v>84</v>
      </c>
      <c r="U329" s="270" t="s">
        <v>85</v>
      </c>
      <c r="V329" s="270" t="s">
        <v>86</v>
      </c>
    </row>
    <row r="330" spans="1:22">
      <c r="B330" s="270" t="s">
        <v>219</v>
      </c>
      <c r="C330" s="281" t="s">
        <v>183</v>
      </c>
      <c r="D330" s="270"/>
      <c r="E330" s="269"/>
      <c r="F330" s="270"/>
      <c r="G330" s="270"/>
      <c r="H330" s="270"/>
      <c r="I330" s="540">
        <f ca="1">VLOOKUP($Q330,INDIRECT($B330),COLUMN()-1,FALSE)+VLOOKUP($R330,INDIRECT($B330),COLUMN()-1,FALSE)+VLOOKUP($S330,INDIRECT($B330),COLUMN()-1,FALSE)+VLOOKUP($T330,INDIRECT($B330),COLUMN()-1,FALSE)+(VLOOKUP($U330,INDIRECT($B330),COLUMN()-1,FALSE)+VLOOKUP($V330,INDIRECT($B330),COLUMN()-1,FALSE))*'New cost and adjustments inputs'!$E$154</f>
        <v>4715.1535999999996</v>
      </c>
      <c r="J330" s="270">
        <f ca="1">VLOOKUP($Q330,INDIRECT($B330),COLUMN()-1,FALSE)+VLOOKUP($R330,INDIRECT($B330),COLUMN()-1,FALSE)+VLOOKUP($S330,INDIRECT($B330),COLUMN()-1,FALSE)+VLOOKUP($T330,INDIRECT($B330),COLUMN()-1,FALSE)+(VLOOKUP($U330,INDIRECT($B330),COLUMN()-1,FALSE)+VLOOKUP($V330,INDIRECT($B330),COLUMN()-1,FALSE))*'New cost and adjustments inputs'!$E$154</f>
        <v>0</v>
      </c>
      <c r="K330" s="537">
        <f ca="1">VLOOKUP($Q330,INDIRECT($B330),COLUMN()-1,FALSE)+VLOOKUP($R330,INDIRECT($B330),COLUMN()-1,FALSE)+VLOOKUP($S330,INDIRECT($B330),COLUMN()-1,FALSE)+VLOOKUP($T330,INDIRECT($B330),COLUMN()-1,FALSE)+(VLOOKUP($U330,INDIRECT($B330),COLUMN()-1,FALSE)+VLOOKUP($V330,INDIRECT($B330),COLUMN()-1,FALSE))*'New cost and adjustments inputs'!$E$154</f>
        <v>4745.9883</v>
      </c>
      <c r="L330" s="538">
        <f ca="1">VLOOKUP($Q330,INDIRECT($B330),COLUMN()-1,FALSE)+VLOOKUP($R330,INDIRECT($B330),COLUMN()-1,FALSE)+VLOOKUP($S330,INDIRECT($B330),COLUMN()-1,FALSE)+VLOOKUP($T330,INDIRECT($B330),COLUMN()-1,FALSE)+(VLOOKUP($U330,INDIRECT($B330),COLUMN()-1,FALSE)+VLOOKUP($V330,INDIRECT($B330),COLUMN()-1,FALSE))*'New cost and adjustments inputs'!$E$154</f>
        <v>4766.4673000000003</v>
      </c>
      <c r="M330" s="538">
        <f ca="1">VLOOKUP($Q330,INDIRECT($B330),COLUMN()-1,FALSE)+VLOOKUP($R330,INDIRECT($B330),COLUMN()-1,FALSE)+VLOOKUP($S330,INDIRECT($B330),COLUMN()-1,FALSE)+VLOOKUP($T330,INDIRECT($B330),COLUMN()-1,FALSE)+(VLOOKUP($U330,INDIRECT($B330),COLUMN()-1,FALSE)+VLOOKUP($V330,INDIRECT($B330),COLUMN()-1,FALSE))*'New cost and adjustments inputs'!$E$154</f>
        <v>4789.5665000000008</v>
      </c>
      <c r="N330" s="538">
        <f ca="1">VLOOKUP($Q330,INDIRECT($B330),COLUMN()-1,FALSE)+VLOOKUP($R330,INDIRECT($B330),COLUMN()-1,FALSE)+VLOOKUP($S330,INDIRECT($B330),COLUMN()-1,FALSE)+VLOOKUP($T330,INDIRECT($B330),COLUMN()-1,FALSE)+(VLOOKUP($U330,INDIRECT($B330),COLUMN()-1,FALSE)+VLOOKUP($V330,INDIRECT($B330),COLUMN()-1,FALSE))*'New cost and adjustments inputs'!$E$154</f>
        <v>4815.2846</v>
      </c>
      <c r="O330" s="538">
        <f ca="1">VLOOKUP($Q330,INDIRECT($B330),COLUMN()-1,FALSE)+VLOOKUP($R330,INDIRECT($B330),COLUMN()-1,FALSE)+VLOOKUP($S330,INDIRECT($B330),COLUMN()-1,FALSE)+VLOOKUP($T330,INDIRECT($B330),COLUMN()-1,FALSE)+(VLOOKUP($U330,INDIRECT($B330),COLUMN()-1,FALSE)+VLOOKUP($V330,INDIRECT($B330),COLUMN()-1,FALSE))*'New cost and adjustments inputs'!$E$154</f>
        <v>4843.5639000000001</v>
      </c>
      <c r="P330" s="270"/>
      <c r="Q330" s="270" t="s">
        <v>82</v>
      </c>
      <c r="R330" s="270" t="s">
        <v>87</v>
      </c>
      <c r="S330" s="270" t="s">
        <v>83</v>
      </c>
      <c r="T330" s="270" t="s">
        <v>84</v>
      </c>
      <c r="U330" s="270" t="s">
        <v>85</v>
      </c>
      <c r="V330" s="270" t="s">
        <v>86</v>
      </c>
    </row>
    <row r="331" spans="1:22">
      <c r="B331" s="270" t="s">
        <v>220</v>
      </c>
      <c r="C331" s="281" t="s">
        <v>183</v>
      </c>
      <c r="D331" s="270"/>
      <c r="E331" s="269"/>
      <c r="F331" s="270"/>
      <c r="G331" s="270"/>
      <c r="H331" s="270"/>
      <c r="I331" s="540">
        <f ca="1">VLOOKUP($Q331,INDIRECT($B331),COLUMN()-1,FALSE)+VLOOKUP($R331,INDIRECT($B331),COLUMN()-1,FALSE)+VLOOKUP($S331,INDIRECT($B331),COLUMN()-1,FALSE)+VLOOKUP($T331,INDIRECT($B331),COLUMN()-1,FALSE)+(VLOOKUP($U331,INDIRECT($B331),COLUMN()-1,FALSE)+VLOOKUP($V331,INDIRECT($B331),COLUMN()-1,FALSE))*'New cost and adjustments inputs'!$E$154</f>
        <v>911.09420000000023</v>
      </c>
      <c r="J331" s="270">
        <f ca="1">VLOOKUP($Q331,INDIRECT($B331),COLUMN()-1,FALSE)+VLOOKUP($R331,INDIRECT($B331),COLUMN()-1,FALSE)+VLOOKUP($S331,INDIRECT($B331),COLUMN()-1,FALSE)+VLOOKUP($T331,INDIRECT($B331),COLUMN()-1,FALSE)+(VLOOKUP($U331,INDIRECT($B331),COLUMN()-1,FALSE)+VLOOKUP($V331,INDIRECT($B331),COLUMN()-1,FALSE))*'New cost and adjustments inputs'!$E$154</f>
        <v>0</v>
      </c>
      <c r="K331" s="537">
        <f ca="1">VLOOKUP($Q331,INDIRECT($B331),COLUMN()-1,FALSE)+VLOOKUP($R331,INDIRECT($B331),COLUMN()-1,FALSE)+VLOOKUP($S331,INDIRECT($B331),COLUMN()-1,FALSE)+VLOOKUP($T331,INDIRECT($B331),COLUMN()-1,FALSE)+(VLOOKUP($U331,INDIRECT($B331),COLUMN()-1,FALSE)+VLOOKUP($V331,INDIRECT($B331),COLUMN()-1,FALSE))*'New cost and adjustments inputs'!$E$154</f>
        <v>925.87099999999998</v>
      </c>
      <c r="L331" s="538">
        <f ca="1">VLOOKUP($Q331,INDIRECT($B331),COLUMN()-1,FALSE)+VLOOKUP($R331,INDIRECT($B331),COLUMN()-1,FALSE)+VLOOKUP($S331,INDIRECT($B331),COLUMN()-1,FALSE)+VLOOKUP($T331,INDIRECT($B331),COLUMN()-1,FALSE)+(VLOOKUP($U331,INDIRECT($B331),COLUMN()-1,FALSE)+VLOOKUP($V331,INDIRECT($B331),COLUMN()-1,FALSE))*'New cost and adjustments inputs'!$E$154</f>
        <v>934.13270000000011</v>
      </c>
      <c r="M331" s="538">
        <f ca="1">VLOOKUP($Q331,INDIRECT($B331),COLUMN()-1,FALSE)+VLOOKUP($R331,INDIRECT($B331),COLUMN()-1,FALSE)+VLOOKUP($S331,INDIRECT($B331),COLUMN()-1,FALSE)+VLOOKUP($T331,INDIRECT($B331),COLUMN()-1,FALSE)+(VLOOKUP($U331,INDIRECT($B331),COLUMN()-1,FALSE)+VLOOKUP($V331,INDIRECT($B331),COLUMN()-1,FALSE))*'New cost and adjustments inputs'!$E$154</f>
        <v>942.33979999999997</v>
      </c>
      <c r="N331" s="538">
        <f ca="1">VLOOKUP($Q331,INDIRECT($B331),COLUMN()-1,FALSE)+VLOOKUP($R331,INDIRECT($B331),COLUMN()-1,FALSE)+VLOOKUP($S331,INDIRECT($B331),COLUMN()-1,FALSE)+VLOOKUP($T331,INDIRECT($B331),COLUMN()-1,FALSE)+(VLOOKUP($U331,INDIRECT($B331),COLUMN()-1,FALSE)+VLOOKUP($V331,INDIRECT($B331),COLUMN()-1,FALSE))*'New cost and adjustments inputs'!$E$154</f>
        <v>950.32170000000019</v>
      </c>
      <c r="O331" s="538">
        <f ca="1">VLOOKUP($Q331,INDIRECT($B331),COLUMN()-1,FALSE)+VLOOKUP($R331,INDIRECT($B331),COLUMN()-1,FALSE)+VLOOKUP($S331,INDIRECT($B331),COLUMN()-1,FALSE)+VLOOKUP($T331,INDIRECT($B331),COLUMN()-1,FALSE)+(VLOOKUP($U331,INDIRECT($B331),COLUMN()-1,FALSE)+VLOOKUP($V331,INDIRECT($B331),COLUMN()-1,FALSE))*'New cost and adjustments inputs'!$E$154</f>
        <v>958.40260000000012</v>
      </c>
      <c r="P331" s="270"/>
      <c r="Q331" s="270" t="s">
        <v>82</v>
      </c>
      <c r="R331" s="270" t="s">
        <v>87</v>
      </c>
      <c r="S331" s="270" t="s">
        <v>83</v>
      </c>
      <c r="T331" s="270" t="s">
        <v>84</v>
      </c>
      <c r="U331" s="270" t="s">
        <v>85</v>
      </c>
      <c r="V331" s="270" t="s">
        <v>86</v>
      </c>
    </row>
    <row r="332" spans="1:22">
      <c r="B332" s="270" t="s">
        <v>221</v>
      </c>
      <c r="C332" s="281" t="s">
        <v>183</v>
      </c>
      <c r="D332" s="270"/>
      <c r="E332" s="269"/>
      <c r="F332" s="270"/>
      <c r="G332" s="270"/>
      <c r="H332" s="270"/>
      <c r="I332" s="540">
        <f ca="1">VLOOKUP($Q332,INDIRECT($B332),COLUMN()-1,FALSE)+VLOOKUP($R332,INDIRECT($B332),COLUMN()-1,FALSE)+VLOOKUP($S332,INDIRECT($B332),COLUMN()-1,FALSE)+VLOOKUP($T332,INDIRECT($B332),COLUMN()-1,FALSE)+(VLOOKUP($U332,INDIRECT($B332),COLUMN()-1,FALSE)+VLOOKUP($V332,INDIRECT($B332),COLUMN()-1,FALSE))*'New cost and adjustments inputs'!$E$154</f>
        <v>2133.1657000000005</v>
      </c>
      <c r="J332" s="270">
        <f ca="1">VLOOKUP($Q332,INDIRECT($B332),COLUMN()-1,FALSE)+VLOOKUP($R332,INDIRECT($B332),COLUMN()-1,FALSE)+VLOOKUP($S332,INDIRECT($B332),COLUMN()-1,FALSE)+VLOOKUP($T332,INDIRECT($B332),COLUMN()-1,FALSE)+(VLOOKUP($U332,INDIRECT($B332),COLUMN()-1,FALSE)+VLOOKUP($V332,INDIRECT($B332),COLUMN()-1,FALSE))*'New cost and adjustments inputs'!$E$154</f>
        <v>0</v>
      </c>
      <c r="K332" s="537">
        <f ca="1">VLOOKUP($Q332,INDIRECT($B332),COLUMN()-1,FALSE)+VLOOKUP($R332,INDIRECT($B332),COLUMN()-1,FALSE)+VLOOKUP($S332,INDIRECT($B332),COLUMN()-1,FALSE)+VLOOKUP($T332,INDIRECT($B332),COLUMN()-1,FALSE)+(VLOOKUP($U332,INDIRECT($B332),COLUMN()-1,FALSE)+VLOOKUP($V332,INDIRECT($B332),COLUMN()-1,FALSE))*'New cost and adjustments inputs'!$E$154</f>
        <v>2164.8079915433536</v>
      </c>
      <c r="L332" s="538">
        <f ca="1">VLOOKUP($Q332,INDIRECT($B332),COLUMN()-1,FALSE)+VLOOKUP($R332,INDIRECT($B332),COLUMN()-1,FALSE)+VLOOKUP($S332,INDIRECT($B332),COLUMN()-1,FALSE)+VLOOKUP($T332,INDIRECT($B332),COLUMN()-1,FALSE)+(VLOOKUP($U332,INDIRECT($B332),COLUMN()-1,FALSE)+VLOOKUP($V332,INDIRECT($B332),COLUMN()-1,FALSE))*'New cost and adjustments inputs'!$E$154</f>
        <v>2182.0708267959744</v>
      </c>
      <c r="M332" s="538">
        <f ca="1">VLOOKUP($Q332,INDIRECT($B332),COLUMN()-1,FALSE)+VLOOKUP($R332,INDIRECT($B332),COLUMN()-1,FALSE)+VLOOKUP($S332,INDIRECT($B332),COLUMN()-1,FALSE)+VLOOKUP($T332,INDIRECT($B332),COLUMN()-1,FALSE)+(VLOOKUP($U332,INDIRECT($B332),COLUMN()-1,FALSE)+VLOOKUP($V332,INDIRECT($B332),COLUMN()-1,FALSE))*'New cost and adjustments inputs'!$E$154</f>
        <v>2200.3815447884335</v>
      </c>
      <c r="N332" s="538">
        <f ca="1">VLOOKUP($Q332,INDIRECT($B332),COLUMN()-1,FALSE)+VLOOKUP($R332,INDIRECT($B332),COLUMN()-1,FALSE)+VLOOKUP($S332,INDIRECT($B332),COLUMN()-1,FALSE)+VLOOKUP($T332,INDIRECT($B332),COLUMN()-1,FALSE)+(VLOOKUP($U332,INDIRECT($B332),COLUMN()-1,FALSE)+VLOOKUP($V332,INDIRECT($B332),COLUMN()-1,FALSE))*'New cost and adjustments inputs'!$E$154</f>
        <v>2218.4770301475201</v>
      </c>
      <c r="O332" s="538">
        <f ca="1">VLOOKUP($Q332,INDIRECT($B332),COLUMN()-1,FALSE)+VLOOKUP($R332,INDIRECT($B332),COLUMN()-1,FALSE)+VLOOKUP($S332,INDIRECT($B332),COLUMN()-1,FALSE)+VLOOKUP($T332,INDIRECT($B332),COLUMN()-1,FALSE)+(VLOOKUP($U332,INDIRECT($B332),COLUMN()-1,FALSE)+VLOOKUP($V332,INDIRECT($B332),COLUMN()-1,FALSE))*'New cost and adjustments inputs'!$E$154</f>
        <v>2235.5858219995316</v>
      </c>
      <c r="P332" s="270"/>
      <c r="Q332" s="270" t="s">
        <v>82</v>
      </c>
      <c r="R332" s="270" t="s">
        <v>87</v>
      </c>
      <c r="S332" s="270" t="s">
        <v>83</v>
      </c>
      <c r="T332" s="270" t="s">
        <v>84</v>
      </c>
      <c r="U332" s="270" t="s">
        <v>85</v>
      </c>
      <c r="V332" s="270" t="s">
        <v>86</v>
      </c>
    </row>
    <row r="333" spans="1:22">
      <c r="B333" s="270" t="s">
        <v>222</v>
      </c>
      <c r="C333" s="281" t="s">
        <v>183</v>
      </c>
      <c r="D333" s="270"/>
      <c r="E333" s="269"/>
      <c r="F333" s="270"/>
      <c r="G333" s="270"/>
      <c r="H333" s="270"/>
      <c r="I333" s="540">
        <f ca="1">VLOOKUP($Q333,INDIRECT($B333),COLUMN()-1,FALSE)+VLOOKUP($R333,INDIRECT($B333),COLUMN()-1,FALSE)+VLOOKUP($S333,INDIRECT($B333),COLUMN()-1,FALSE)+VLOOKUP($T333,INDIRECT($B333),COLUMN()-1,FALSE)+(VLOOKUP($U333,INDIRECT($B333),COLUMN()-1,FALSE)+VLOOKUP($V333,INDIRECT($B333),COLUMN()-1,FALSE))*'New cost and adjustments inputs'!$E$154</f>
        <v>6268.4588000000012</v>
      </c>
      <c r="J333" s="270">
        <f ca="1">VLOOKUP($Q333,INDIRECT($B333),COLUMN()-1,FALSE)+VLOOKUP($R333,INDIRECT($B333),COLUMN()-1,FALSE)+VLOOKUP($S333,INDIRECT($B333),COLUMN()-1,FALSE)+VLOOKUP($T333,INDIRECT($B333),COLUMN()-1,FALSE)+(VLOOKUP($U333,INDIRECT($B333),COLUMN()-1,FALSE)+VLOOKUP($V333,INDIRECT($B333),COLUMN()-1,FALSE))*'New cost and adjustments inputs'!$E$154</f>
        <v>0</v>
      </c>
      <c r="K333" s="537">
        <f ca="1">VLOOKUP($Q333,INDIRECT($B333),COLUMN()-1,FALSE)+VLOOKUP($R333,INDIRECT($B333),COLUMN()-1,FALSE)+VLOOKUP($S333,INDIRECT($B333),COLUMN()-1,FALSE)+VLOOKUP($T333,INDIRECT($B333),COLUMN()-1,FALSE)+(VLOOKUP($U333,INDIRECT($B333),COLUMN()-1,FALSE)+VLOOKUP($V333,INDIRECT($B333),COLUMN()-1,FALSE))*'New cost and adjustments inputs'!$E$154</f>
        <v>6398.3248000000003</v>
      </c>
      <c r="L333" s="538">
        <f ca="1">VLOOKUP($Q333,INDIRECT($B333),COLUMN()-1,FALSE)+VLOOKUP($R333,INDIRECT($B333),COLUMN()-1,FALSE)+VLOOKUP($S333,INDIRECT($B333),COLUMN()-1,FALSE)+VLOOKUP($T333,INDIRECT($B333),COLUMN()-1,FALSE)+(VLOOKUP($U333,INDIRECT($B333),COLUMN()-1,FALSE)+VLOOKUP($V333,INDIRECT($B333),COLUMN()-1,FALSE))*'New cost and adjustments inputs'!$E$154</f>
        <v>6459.9888000000001</v>
      </c>
      <c r="M333" s="538">
        <f ca="1">VLOOKUP($Q333,INDIRECT($B333),COLUMN()-1,FALSE)+VLOOKUP($R333,INDIRECT($B333),COLUMN()-1,FALSE)+VLOOKUP($S333,INDIRECT($B333),COLUMN()-1,FALSE)+VLOOKUP($T333,INDIRECT($B333),COLUMN()-1,FALSE)+(VLOOKUP($U333,INDIRECT($B333),COLUMN()-1,FALSE)+VLOOKUP($V333,INDIRECT($B333),COLUMN()-1,FALSE))*'New cost and adjustments inputs'!$E$154</f>
        <v>6524.2566000000006</v>
      </c>
      <c r="N333" s="538">
        <f ca="1">VLOOKUP($Q333,INDIRECT($B333),COLUMN()-1,FALSE)+VLOOKUP($R333,INDIRECT($B333),COLUMN()-1,FALSE)+VLOOKUP($S333,INDIRECT($B333),COLUMN()-1,FALSE)+VLOOKUP($T333,INDIRECT($B333),COLUMN()-1,FALSE)+(VLOOKUP($U333,INDIRECT($B333),COLUMN()-1,FALSE)+VLOOKUP($V333,INDIRECT($B333),COLUMN()-1,FALSE))*'New cost and adjustments inputs'!$E$154</f>
        <v>6588.647100000001</v>
      </c>
      <c r="O333" s="538">
        <f ca="1">VLOOKUP($Q333,INDIRECT($B333),COLUMN()-1,FALSE)+VLOOKUP($R333,INDIRECT($B333),COLUMN()-1,FALSE)+VLOOKUP($S333,INDIRECT($B333),COLUMN()-1,FALSE)+VLOOKUP($T333,INDIRECT($B333),COLUMN()-1,FALSE)+(VLOOKUP($U333,INDIRECT($B333),COLUMN()-1,FALSE)+VLOOKUP($V333,INDIRECT($B333),COLUMN()-1,FALSE))*'New cost and adjustments inputs'!$E$154</f>
        <v>6652.2039000000004</v>
      </c>
      <c r="P333" s="270"/>
      <c r="Q333" s="270" t="s">
        <v>82</v>
      </c>
      <c r="R333" s="270" t="s">
        <v>87</v>
      </c>
      <c r="S333" s="270" t="s">
        <v>83</v>
      </c>
      <c r="T333" s="270" t="s">
        <v>84</v>
      </c>
      <c r="U333" s="270" t="s">
        <v>85</v>
      </c>
      <c r="V333" s="270" t="s">
        <v>86</v>
      </c>
    </row>
    <row r="334" spans="1:22">
      <c r="B334" s="270" t="s">
        <v>223</v>
      </c>
      <c r="C334" s="281" t="s">
        <v>183</v>
      </c>
      <c r="D334" s="270"/>
      <c r="E334" s="269"/>
      <c r="F334" s="270"/>
      <c r="G334" s="270"/>
      <c r="H334" s="270"/>
      <c r="I334" s="540">
        <f ca="1">VLOOKUP($Q334,INDIRECT($B334),COLUMN()-1,FALSE)+VLOOKUP($R334,INDIRECT($B334),COLUMN()-1,FALSE)+VLOOKUP($S334,INDIRECT($B334),COLUMN()-1,FALSE)+VLOOKUP($T334,INDIRECT($B334),COLUMN()-1,FALSE)+(VLOOKUP($U334,INDIRECT($B334),COLUMN()-1,FALSE)+VLOOKUP($V334,INDIRECT($B334),COLUMN()-1,FALSE))*'New cost and adjustments inputs'!$E$154</f>
        <v>3752.3028000000004</v>
      </c>
      <c r="J334" s="270">
        <f ca="1">VLOOKUP($Q334,INDIRECT($B334),COLUMN()-1,FALSE)+VLOOKUP($R334,INDIRECT($B334),COLUMN()-1,FALSE)+VLOOKUP($S334,INDIRECT($B334),COLUMN()-1,FALSE)+VLOOKUP($T334,INDIRECT($B334),COLUMN()-1,FALSE)+(VLOOKUP($U334,INDIRECT($B334),COLUMN()-1,FALSE)+VLOOKUP($V334,INDIRECT($B334),COLUMN()-1,FALSE))*'New cost and adjustments inputs'!$E$154</f>
        <v>0</v>
      </c>
      <c r="K334" s="537">
        <f ca="1">VLOOKUP($Q334,INDIRECT($B334),COLUMN()-1,FALSE)+VLOOKUP($R334,INDIRECT($B334),COLUMN()-1,FALSE)+VLOOKUP($S334,INDIRECT($B334),COLUMN()-1,FALSE)+VLOOKUP($T334,INDIRECT($B334),COLUMN()-1,FALSE)+(VLOOKUP($U334,INDIRECT($B334),COLUMN()-1,FALSE)+VLOOKUP($V334,INDIRECT($B334),COLUMN()-1,FALSE))*'New cost and adjustments inputs'!$E$154</f>
        <v>3779.8290999999999</v>
      </c>
      <c r="L334" s="538">
        <f ca="1">VLOOKUP($Q334,INDIRECT($B334),COLUMN()-1,FALSE)+VLOOKUP($R334,INDIRECT($B334),COLUMN()-1,FALSE)+VLOOKUP($S334,INDIRECT($B334),COLUMN()-1,FALSE)+VLOOKUP($T334,INDIRECT($B334),COLUMN()-1,FALSE)+(VLOOKUP($U334,INDIRECT($B334),COLUMN()-1,FALSE)+VLOOKUP($V334,INDIRECT($B334),COLUMN()-1,FALSE))*'New cost and adjustments inputs'!$E$154</f>
        <v>3795.9950000000003</v>
      </c>
      <c r="M334" s="538">
        <f ca="1">VLOOKUP($Q334,INDIRECT($B334),COLUMN()-1,FALSE)+VLOOKUP($R334,INDIRECT($B334),COLUMN()-1,FALSE)+VLOOKUP($S334,INDIRECT($B334),COLUMN()-1,FALSE)+VLOOKUP($T334,INDIRECT($B334),COLUMN()-1,FALSE)+(VLOOKUP($U334,INDIRECT($B334),COLUMN()-1,FALSE)+VLOOKUP($V334,INDIRECT($B334),COLUMN()-1,FALSE))*'New cost and adjustments inputs'!$E$154</f>
        <v>3813.9827</v>
      </c>
      <c r="N334" s="538">
        <f ca="1">VLOOKUP($Q334,INDIRECT($B334),COLUMN()-1,FALSE)+VLOOKUP($R334,INDIRECT($B334),COLUMN()-1,FALSE)+VLOOKUP($S334,INDIRECT($B334),COLUMN()-1,FALSE)+VLOOKUP($T334,INDIRECT($B334),COLUMN()-1,FALSE)+(VLOOKUP($U334,INDIRECT($B334),COLUMN()-1,FALSE)+VLOOKUP($V334,INDIRECT($B334),COLUMN()-1,FALSE))*'New cost and adjustments inputs'!$E$154</f>
        <v>3834.0009000000005</v>
      </c>
      <c r="O334" s="538">
        <f ca="1">VLOOKUP($Q334,INDIRECT($B334),COLUMN()-1,FALSE)+VLOOKUP($R334,INDIRECT($B334),COLUMN()-1,FALSE)+VLOOKUP($S334,INDIRECT($B334),COLUMN()-1,FALSE)+VLOOKUP($T334,INDIRECT($B334),COLUMN()-1,FALSE)+(VLOOKUP($U334,INDIRECT($B334),COLUMN()-1,FALSE)+VLOOKUP($V334,INDIRECT($B334),COLUMN()-1,FALSE))*'New cost and adjustments inputs'!$E$154</f>
        <v>3855.4785999999999</v>
      </c>
      <c r="P334" s="270"/>
      <c r="Q334" s="270" t="s">
        <v>82</v>
      </c>
      <c r="R334" s="270" t="s">
        <v>87</v>
      </c>
      <c r="S334" s="270" t="s">
        <v>83</v>
      </c>
      <c r="T334" s="270" t="s">
        <v>84</v>
      </c>
      <c r="U334" s="270" t="s">
        <v>85</v>
      </c>
      <c r="V334" s="270" t="s">
        <v>86</v>
      </c>
    </row>
    <row r="335" spans="1:22">
      <c r="B335" s="270" t="s">
        <v>224</v>
      </c>
      <c r="C335" s="281" t="s">
        <v>183</v>
      </c>
      <c r="D335" s="270"/>
      <c r="E335" s="269"/>
      <c r="F335" s="270"/>
      <c r="G335" s="270"/>
      <c r="H335" s="270"/>
      <c r="I335" s="540">
        <f ca="1">VLOOKUP($Q335,INDIRECT($B335),COLUMN()-1,FALSE)+VLOOKUP($R335,INDIRECT($B335),COLUMN()-1,FALSE)+VLOOKUP($S335,INDIRECT($B335),COLUMN()-1,FALSE)+VLOOKUP($T335,INDIRECT($B335),COLUMN()-1,FALSE)+(VLOOKUP($U335,INDIRECT($B335),COLUMN()-1,FALSE)+VLOOKUP($V335,INDIRECT($B335),COLUMN()-1,FALSE))*'New cost and adjustments inputs'!$E$154</f>
        <v>1278.4773</v>
      </c>
      <c r="J335" s="270">
        <f ca="1">VLOOKUP($Q335,INDIRECT($B335),COLUMN()-1,FALSE)+VLOOKUP($R335,INDIRECT($B335),COLUMN()-1,FALSE)+VLOOKUP($S335,INDIRECT($B335),COLUMN()-1,FALSE)+VLOOKUP($T335,INDIRECT($B335),COLUMN()-1,FALSE)+(VLOOKUP($U335,INDIRECT($B335),COLUMN()-1,FALSE)+VLOOKUP($V335,INDIRECT($B335),COLUMN()-1,FALSE))*'New cost and adjustments inputs'!$E$154</f>
        <v>0</v>
      </c>
      <c r="K335" s="537">
        <f ca="1">VLOOKUP($Q335,INDIRECT($B335),COLUMN()-1,FALSE)+VLOOKUP($R335,INDIRECT($B335),COLUMN()-1,FALSE)+VLOOKUP($S335,INDIRECT($B335),COLUMN()-1,FALSE)+VLOOKUP($T335,INDIRECT($B335),COLUMN()-1,FALSE)+(VLOOKUP($U335,INDIRECT($B335),COLUMN()-1,FALSE)+VLOOKUP($V335,INDIRECT($B335),COLUMN()-1,FALSE))*'New cost and adjustments inputs'!$E$154</f>
        <v>1303.2471</v>
      </c>
      <c r="L335" s="538">
        <f ca="1">VLOOKUP($Q335,INDIRECT($B335),COLUMN()-1,FALSE)+VLOOKUP($R335,INDIRECT($B335),COLUMN()-1,FALSE)+VLOOKUP($S335,INDIRECT($B335),COLUMN()-1,FALSE)+VLOOKUP($T335,INDIRECT($B335),COLUMN()-1,FALSE)+(VLOOKUP($U335,INDIRECT($B335),COLUMN()-1,FALSE)+VLOOKUP($V335,INDIRECT($B335),COLUMN()-1,FALSE))*'New cost and adjustments inputs'!$E$154</f>
        <v>1315.8821</v>
      </c>
      <c r="M335" s="538">
        <f ca="1">VLOOKUP($Q335,INDIRECT($B335),COLUMN()-1,FALSE)+VLOOKUP($R335,INDIRECT($B335),COLUMN()-1,FALSE)+VLOOKUP($S335,INDIRECT($B335),COLUMN()-1,FALSE)+VLOOKUP($T335,INDIRECT($B335),COLUMN()-1,FALSE)+(VLOOKUP($U335,INDIRECT($B335),COLUMN()-1,FALSE)+VLOOKUP($V335,INDIRECT($B335),COLUMN()-1,FALSE))*'New cost and adjustments inputs'!$E$154</f>
        <v>1328.6300999999999</v>
      </c>
      <c r="N335" s="538">
        <f ca="1">VLOOKUP($Q335,INDIRECT($B335),COLUMN()-1,FALSE)+VLOOKUP($R335,INDIRECT($B335),COLUMN()-1,FALSE)+VLOOKUP($S335,INDIRECT($B335),COLUMN()-1,FALSE)+VLOOKUP($T335,INDIRECT($B335),COLUMN()-1,FALSE)+(VLOOKUP($U335,INDIRECT($B335),COLUMN()-1,FALSE)+VLOOKUP($V335,INDIRECT($B335),COLUMN()-1,FALSE))*'New cost and adjustments inputs'!$E$154</f>
        <v>1341.3031000000001</v>
      </c>
      <c r="O335" s="538">
        <f ca="1">VLOOKUP($Q335,INDIRECT($B335),COLUMN()-1,FALSE)+VLOOKUP($R335,INDIRECT($B335),COLUMN()-1,FALSE)+VLOOKUP($S335,INDIRECT($B335),COLUMN()-1,FALSE)+VLOOKUP($T335,INDIRECT($B335),COLUMN()-1,FALSE)+(VLOOKUP($U335,INDIRECT($B335),COLUMN()-1,FALSE)+VLOOKUP($V335,INDIRECT($B335),COLUMN()-1,FALSE))*'New cost and adjustments inputs'!$E$154</f>
        <v>1353.8371</v>
      </c>
      <c r="P335" s="270"/>
      <c r="Q335" s="270" t="s">
        <v>82</v>
      </c>
      <c r="R335" s="270" t="s">
        <v>87</v>
      </c>
      <c r="S335" s="270" t="s">
        <v>83</v>
      </c>
      <c r="T335" s="270" t="s">
        <v>84</v>
      </c>
      <c r="U335" s="270" t="s">
        <v>85</v>
      </c>
      <c r="V335" s="270" t="s">
        <v>86</v>
      </c>
    </row>
    <row r="336" spans="1:22">
      <c r="B336" s="270" t="s">
        <v>225</v>
      </c>
      <c r="C336" s="281" t="s">
        <v>183</v>
      </c>
      <c r="D336" s="270"/>
      <c r="E336" s="269"/>
      <c r="F336" s="270"/>
      <c r="G336" s="270"/>
      <c r="H336" s="270"/>
      <c r="I336" s="540">
        <f ca="1">VLOOKUP($Q336,INDIRECT($B336),COLUMN()-1,FALSE)+VLOOKUP($R336,INDIRECT($B336),COLUMN()-1,FALSE)+VLOOKUP($S336,INDIRECT($B336),COLUMN()-1,FALSE)+VLOOKUP($T336,INDIRECT($B336),COLUMN()-1,FALSE)+(VLOOKUP($U336,INDIRECT($B336),COLUMN()-1,FALSE)+VLOOKUP($V336,INDIRECT($B336),COLUMN()-1,FALSE))*'New cost and adjustments inputs'!$E$154</f>
        <v>2675.0282999999999</v>
      </c>
      <c r="J336" s="270">
        <f ca="1">VLOOKUP($Q336,INDIRECT($B336),COLUMN()-1,FALSE)+VLOOKUP($R336,INDIRECT($B336),COLUMN()-1,FALSE)+VLOOKUP($S336,INDIRECT($B336),COLUMN()-1,FALSE)+VLOOKUP($T336,INDIRECT($B336),COLUMN()-1,FALSE)+(VLOOKUP($U336,INDIRECT($B336),COLUMN()-1,FALSE)+VLOOKUP($V336,INDIRECT($B336),COLUMN()-1,FALSE))*'New cost and adjustments inputs'!$E$154</f>
        <v>0</v>
      </c>
      <c r="K336" s="537">
        <f ca="1">VLOOKUP($Q336,INDIRECT($B336),COLUMN()-1,FALSE)+VLOOKUP($R336,INDIRECT($B336),COLUMN()-1,FALSE)+VLOOKUP($S336,INDIRECT($B336),COLUMN()-1,FALSE)+VLOOKUP($T336,INDIRECT($B336),COLUMN()-1,FALSE)+(VLOOKUP($U336,INDIRECT($B336),COLUMN()-1,FALSE)+VLOOKUP($V336,INDIRECT($B336),COLUMN()-1,FALSE))*'New cost and adjustments inputs'!$E$154</f>
        <v>2703.6638000000003</v>
      </c>
      <c r="L336" s="538">
        <f ca="1">VLOOKUP($Q336,INDIRECT($B336),COLUMN()-1,FALSE)+VLOOKUP($R336,INDIRECT($B336),COLUMN()-1,FALSE)+VLOOKUP($S336,INDIRECT($B336),COLUMN()-1,FALSE)+VLOOKUP($T336,INDIRECT($B336),COLUMN()-1,FALSE)+(VLOOKUP($U336,INDIRECT($B336),COLUMN()-1,FALSE)+VLOOKUP($V336,INDIRECT($B336),COLUMN()-1,FALSE))*'New cost and adjustments inputs'!$E$154</f>
        <v>2723.8883000000001</v>
      </c>
      <c r="M336" s="538">
        <f ca="1">VLOOKUP($Q336,INDIRECT($B336),COLUMN()-1,FALSE)+VLOOKUP($R336,INDIRECT($B336),COLUMN()-1,FALSE)+VLOOKUP($S336,INDIRECT($B336),COLUMN()-1,FALSE)+VLOOKUP($T336,INDIRECT($B336),COLUMN()-1,FALSE)+(VLOOKUP($U336,INDIRECT($B336),COLUMN()-1,FALSE)+VLOOKUP($V336,INDIRECT($B336),COLUMN()-1,FALSE))*'New cost and adjustments inputs'!$E$154</f>
        <v>2750.0434</v>
      </c>
      <c r="N336" s="538">
        <f ca="1">VLOOKUP($Q336,INDIRECT($B336),COLUMN()-1,FALSE)+VLOOKUP($R336,INDIRECT($B336),COLUMN()-1,FALSE)+VLOOKUP($S336,INDIRECT($B336),COLUMN()-1,FALSE)+VLOOKUP($T336,INDIRECT($B336),COLUMN()-1,FALSE)+(VLOOKUP($U336,INDIRECT($B336),COLUMN()-1,FALSE)+VLOOKUP($V336,INDIRECT($B336),COLUMN()-1,FALSE))*'New cost and adjustments inputs'!$E$154</f>
        <v>2779.5898999999999</v>
      </c>
      <c r="O336" s="538">
        <f ca="1">VLOOKUP($Q336,INDIRECT($B336),COLUMN()-1,FALSE)+VLOOKUP($R336,INDIRECT($B336),COLUMN()-1,FALSE)+VLOOKUP($S336,INDIRECT($B336),COLUMN()-1,FALSE)+VLOOKUP($T336,INDIRECT($B336),COLUMN()-1,FALSE)+(VLOOKUP($U336,INDIRECT($B336),COLUMN()-1,FALSE)+VLOOKUP($V336,INDIRECT($B336),COLUMN()-1,FALSE))*'New cost and adjustments inputs'!$E$154</f>
        <v>2811.7741999999998</v>
      </c>
      <c r="P336" s="270"/>
      <c r="Q336" s="270" t="s">
        <v>82</v>
      </c>
      <c r="R336" s="270" t="s">
        <v>87</v>
      </c>
      <c r="S336" s="270" t="s">
        <v>83</v>
      </c>
      <c r="T336" s="270" t="s">
        <v>84</v>
      </c>
      <c r="U336" s="270" t="s">
        <v>85</v>
      </c>
      <c r="V336" s="270" t="s">
        <v>86</v>
      </c>
    </row>
    <row r="337" spans="1:22">
      <c r="B337" s="270" t="s">
        <v>226</v>
      </c>
      <c r="C337" s="281" t="s">
        <v>183</v>
      </c>
      <c r="D337" s="270"/>
      <c r="E337" s="269"/>
      <c r="F337" s="270"/>
      <c r="G337" s="270"/>
      <c r="H337" s="270"/>
      <c r="I337" s="540">
        <f ca="1">VLOOKUP($Q337,INDIRECT($B337),COLUMN()-1,FALSE)+VLOOKUP($R337,INDIRECT($B337),COLUMN()-1,FALSE)+VLOOKUP($S337,INDIRECT($B337),COLUMN()-1,FALSE)+VLOOKUP($T337,INDIRECT($B337),COLUMN()-1,FALSE)+(VLOOKUP($U337,INDIRECT($B337),COLUMN()-1,FALSE)+VLOOKUP($V337,INDIRECT($B337),COLUMN()-1,FALSE))*'New cost and adjustments inputs'!$E$154</f>
        <v>1373.0219999999999</v>
      </c>
      <c r="J337" s="270">
        <f ca="1">VLOOKUP($Q337,INDIRECT($B337),COLUMN()-1,FALSE)+VLOOKUP($R337,INDIRECT($B337),COLUMN()-1,FALSE)+VLOOKUP($S337,INDIRECT($B337),COLUMN()-1,FALSE)+VLOOKUP($T337,INDIRECT($B337),COLUMN()-1,FALSE)+(VLOOKUP($U337,INDIRECT($B337),COLUMN()-1,FALSE)+VLOOKUP($V337,INDIRECT($B337),COLUMN()-1,FALSE))*'New cost and adjustments inputs'!$E$154</f>
        <v>0</v>
      </c>
      <c r="K337" s="537">
        <f ca="1">VLOOKUP($Q337,INDIRECT($B337),COLUMN()-1,FALSE)+VLOOKUP($R337,INDIRECT($B337),COLUMN()-1,FALSE)+VLOOKUP($S337,INDIRECT($B337),COLUMN()-1,FALSE)+VLOOKUP($T337,INDIRECT($B337),COLUMN()-1,FALSE)+(VLOOKUP($U337,INDIRECT($B337),COLUMN()-1,FALSE)+VLOOKUP($V337,INDIRECT($B337),COLUMN()-1,FALSE))*'New cost and adjustments inputs'!$E$154</f>
        <v>1360.6869999999999</v>
      </c>
      <c r="L337" s="538">
        <f ca="1">VLOOKUP($Q337,INDIRECT($B337),COLUMN()-1,FALSE)+VLOOKUP($R337,INDIRECT($B337),COLUMN()-1,FALSE)+VLOOKUP($S337,INDIRECT($B337),COLUMN()-1,FALSE)+VLOOKUP($T337,INDIRECT($B337),COLUMN()-1,FALSE)+(VLOOKUP($U337,INDIRECT($B337),COLUMN()-1,FALSE)+VLOOKUP($V337,INDIRECT($B337),COLUMN()-1,FALSE))*'New cost and adjustments inputs'!$E$154</f>
        <v>1369.2550000000001</v>
      </c>
      <c r="M337" s="538">
        <f ca="1">VLOOKUP($Q337,INDIRECT($B337),COLUMN()-1,FALSE)+VLOOKUP($R337,INDIRECT($B337),COLUMN()-1,FALSE)+VLOOKUP($S337,INDIRECT($B337),COLUMN()-1,FALSE)+VLOOKUP($T337,INDIRECT($B337),COLUMN()-1,FALSE)+(VLOOKUP($U337,INDIRECT($B337),COLUMN()-1,FALSE)+VLOOKUP($V337,INDIRECT($B337),COLUMN()-1,FALSE))*'New cost and adjustments inputs'!$E$154</f>
        <v>1377.627</v>
      </c>
      <c r="N337" s="538">
        <f ca="1">VLOOKUP($Q337,INDIRECT($B337),COLUMN()-1,FALSE)+VLOOKUP($R337,INDIRECT($B337),COLUMN()-1,FALSE)+VLOOKUP($S337,INDIRECT($B337),COLUMN()-1,FALSE)+VLOOKUP($T337,INDIRECT($B337),COLUMN()-1,FALSE)+(VLOOKUP($U337,INDIRECT($B337),COLUMN()-1,FALSE)+VLOOKUP($V337,INDIRECT($B337),COLUMN()-1,FALSE))*'New cost and adjustments inputs'!$E$154</f>
        <v>1385.7145</v>
      </c>
      <c r="O337" s="538">
        <f ca="1">VLOOKUP($Q337,INDIRECT($B337),COLUMN()-1,FALSE)+VLOOKUP($R337,INDIRECT($B337),COLUMN()-1,FALSE)+VLOOKUP($S337,INDIRECT($B337),COLUMN()-1,FALSE)+VLOOKUP($T337,INDIRECT($B337),COLUMN()-1,FALSE)+(VLOOKUP($U337,INDIRECT($B337),COLUMN()-1,FALSE)+VLOOKUP($V337,INDIRECT($B337),COLUMN()-1,FALSE))*'New cost and adjustments inputs'!$E$154</f>
        <v>1393.839999999999</v>
      </c>
      <c r="P337" s="270"/>
      <c r="Q337" s="270" t="s">
        <v>82</v>
      </c>
      <c r="R337" s="270" t="s">
        <v>87</v>
      </c>
      <c r="S337" s="270" t="s">
        <v>83</v>
      </c>
      <c r="T337" s="270" t="s">
        <v>84</v>
      </c>
      <c r="U337" s="270" t="s">
        <v>85</v>
      </c>
      <c r="V337" s="270" t="s">
        <v>86</v>
      </c>
    </row>
    <row r="338" spans="1:22">
      <c r="B338" s="270" t="s">
        <v>227</v>
      </c>
      <c r="C338" s="281" t="s">
        <v>183</v>
      </c>
      <c r="D338" s="270"/>
      <c r="E338" s="269"/>
      <c r="F338" s="270"/>
      <c r="G338" s="270"/>
      <c r="H338" s="270"/>
      <c r="I338" s="540">
        <f ca="1">VLOOKUP($Q338,INDIRECT($B338),COLUMN()-1,FALSE)+VLOOKUP($R338,INDIRECT($B338),COLUMN()-1,FALSE)+VLOOKUP($S338,INDIRECT($B338),COLUMN()-1,FALSE)+VLOOKUP($T338,INDIRECT($B338),COLUMN()-1,FALSE)+(VLOOKUP($U338,INDIRECT($B338),COLUMN()-1,FALSE)+VLOOKUP($V338,INDIRECT($B338),COLUMN()-1,FALSE))*'New cost and adjustments inputs'!$E$154</f>
        <v>473.15</v>
      </c>
      <c r="J338" s="270">
        <f ca="1">VLOOKUP($Q338,INDIRECT($B338),COLUMN()-1,FALSE)+VLOOKUP($R338,INDIRECT($B338),COLUMN()-1,FALSE)+VLOOKUP($S338,INDIRECT($B338),COLUMN()-1,FALSE)+VLOOKUP($T338,INDIRECT($B338),COLUMN()-1,FALSE)+(VLOOKUP($U338,INDIRECT($B338),COLUMN()-1,FALSE)+VLOOKUP($V338,INDIRECT($B338),COLUMN()-1,FALSE))*'New cost and adjustments inputs'!$E$154</f>
        <v>0</v>
      </c>
      <c r="K338" s="537">
        <f ca="1">VLOOKUP($Q338,INDIRECT($B338),COLUMN()-1,FALSE)+VLOOKUP($R338,INDIRECT($B338),COLUMN()-1,FALSE)+VLOOKUP($S338,INDIRECT($B338),COLUMN()-1,FALSE)+VLOOKUP($T338,INDIRECT($B338),COLUMN()-1,FALSE)+(VLOOKUP($U338,INDIRECT($B338),COLUMN()-1,FALSE)+VLOOKUP($V338,INDIRECT($B338),COLUMN()-1,FALSE))*'New cost and adjustments inputs'!$E$154</f>
        <v>482.69900000000001</v>
      </c>
      <c r="L338" s="538">
        <f ca="1">VLOOKUP($Q338,INDIRECT($B338),COLUMN()-1,FALSE)+VLOOKUP($R338,INDIRECT($B338),COLUMN()-1,FALSE)+VLOOKUP($S338,INDIRECT($B338),COLUMN()-1,FALSE)+VLOOKUP($T338,INDIRECT($B338),COLUMN()-1,FALSE)+(VLOOKUP($U338,INDIRECT($B338),COLUMN()-1,FALSE)+VLOOKUP($V338,INDIRECT($B338),COLUMN()-1,FALSE))*'New cost and adjustments inputs'!$E$154</f>
        <v>488.13900000000001</v>
      </c>
      <c r="M338" s="538">
        <f ca="1">VLOOKUP($Q338,INDIRECT($B338),COLUMN()-1,FALSE)+VLOOKUP($R338,INDIRECT($B338),COLUMN()-1,FALSE)+VLOOKUP($S338,INDIRECT($B338),COLUMN()-1,FALSE)+VLOOKUP($T338,INDIRECT($B338),COLUMN()-1,FALSE)+(VLOOKUP($U338,INDIRECT($B338),COLUMN()-1,FALSE)+VLOOKUP($V338,INDIRECT($B338),COLUMN()-1,FALSE))*'New cost and adjustments inputs'!$E$154</f>
        <v>493.57399999999996</v>
      </c>
      <c r="N338" s="538">
        <f ca="1">VLOOKUP($Q338,INDIRECT($B338),COLUMN()-1,FALSE)+VLOOKUP($R338,INDIRECT($B338),COLUMN()-1,FALSE)+VLOOKUP($S338,INDIRECT($B338),COLUMN()-1,FALSE)+VLOOKUP($T338,INDIRECT($B338),COLUMN()-1,FALSE)+(VLOOKUP($U338,INDIRECT($B338),COLUMN()-1,FALSE)+VLOOKUP($V338,INDIRECT($B338),COLUMN()-1,FALSE))*'New cost and adjustments inputs'!$E$154</f>
        <v>498.93400000000003</v>
      </c>
      <c r="O338" s="538">
        <f ca="1">VLOOKUP($Q338,INDIRECT($B338),COLUMN()-1,FALSE)+VLOOKUP($R338,INDIRECT($B338),COLUMN()-1,FALSE)+VLOOKUP($S338,INDIRECT($B338),COLUMN()-1,FALSE)+VLOOKUP($T338,INDIRECT($B338),COLUMN()-1,FALSE)+(VLOOKUP($U338,INDIRECT($B338),COLUMN()-1,FALSE)+VLOOKUP($V338,INDIRECT($B338),COLUMN()-1,FALSE))*'New cost and adjustments inputs'!$E$154</f>
        <v>504.21400000000006</v>
      </c>
      <c r="P338" s="270"/>
      <c r="Q338" s="270" t="s">
        <v>82</v>
      </c>
      <c r="R338" s="270" t="s">
        <v>87</v>
      </c>
      <c r="S338" s="270" t="s">
        <v>83</v>
      </c>
      <c r="T338" s="270" t="s">
        <v>84</v>
      </c>
      <c r="U338" s="270" t="s">
        <v>85</v>
      </c>
      <c r="V338" s="270" t="s">
        <v>86</v>
      </c>
    </row>
    <row r="339" spans="1:22">
      <c r="B339" s="270" t="s">
        <v>228</v>
      </c>
      <c r="C339" s="281" t="s">
        <v>183</v>
      </c>
      <c r="D339" s="270"/>
      <c r="E339" s="269"/>
      <c r="F339" s="270"/>
      <c r="G339" s="270"/>
      <c r="H339" s="270"/>
      <c r="I339" s="540">
        <f ca="1">VLOOKUP($Q339,INDIRECT($B339),COLUMN()-1,FALSE)+VLOOKUP($R339,INDIRECT($B339),COLUMN()-1,FALSE)+VLOOKUP($S339,INDIRECT($B339),COLUMN()-1,FALSE)+VLOOKUP($T339,INDIRECT($B339),COLUMN()-1,FALSE)+(VLOOKUP($U339,INDIRECT($B339),COLUMN()-1,FALSE)+VLOOKUP($V339,INDIRECT($B339),COLUMN()-1,FALSE))*'New cost and adjustments inputs'!$E$154</f>
        <v>113.51900000000001</v>
      </c>
      <c r="J339" s="270">
        <f ca="1">VLOOKUP($Q339,INDIRECT($B339),COLUMN()-1,FALSE)+VLOOKUP($R339,INDIRECT($B339),COLUMN()-1,FALSE)+VLOOKUP($S339,INDIRECT($B339),COLUMN()-1,FALSE)+VLOOKUP($T339,INDIRECT($B339),COLUMN()-1,FALSE)+(VLOOKUP($U339,INDIRECT($B339),COLUMN()-1,FALSE)+VLOOKUP($V339,INDIRECT($B339),COLUMN()-1,FALSE))*'New cost and adjustments inputs'!$E$154</f>
        <v>0</v>
      </c>
      <c r="K339" s="537">
        <f ca="1">VLOOKUP($Q339,INDIRECT($B339),COLUMN()-1,FALSE)+VLOOKUP($R339,INDIRECT($B339),COLUMN()-1,FALSE)+VLOOKUP($S339,INDIRECT($B339),COLUMN()-1,FALSE)+VLOOKUP($T339,INDIRECT($B339),COLUMN()-1,FALSE)+(VLOOKUP($U339,INDIRECT($B339),COLUMN()-1,FALSE)+VLOOKUP($V339,INDIRECT($B339),COLUMN()-1,FALSE))*'New cost and adjustments inputs'!$E$154</f>
        <v>117.28699999999999</v>
      </c>
      <c r="L339" s="538">
        <f ca="1">VLOOKUP($Q339,INDIRECT($B339),COLUMN()-1,FALSE)+VLOOKUP($R339,INDIRECT($B339),COLUMN()-1,FALSE)+VLOOKUP($S339,INDIRECT($B339),COLUMN()-1,FALSE)+VLOOKUP($T339,INDIRECT($B339),COLUMN()-1,FALSE)+(VLOOKUP($U339,INDIRECT($B339),COLUMN()-1,FALSE)+VLOOKUP($V339,INDIRECT($B339),COLUMN()-1,FALSE))*'New cost and adjustments inputs'!$E$154</f>
        <v>118.229</v>
      </c>
      <c r="M339" s="538">
        <f ca="1">VLOOKUP($Q339,INDIRECT($B339),COLUMN()-1,FALSE)+VLOOKUP($R339,INDIRECT($B339),COLUMN()-1,FALSE)+VLOOKUP($S339,INDIRECT($B339),COLUMN()-1,FALSE)+VLOOKUP($T339,INDIRECT($B339),COLUMN()-1,FALSE)+(VLOOKUP($U339,INDIRECT($B339),COLUMN()-1,FALSE)+VLOOKUP($V339,INDIRECT($B339),COLUMN()-1,FALSE))*'New cost and adjustments inputs'!$E$154</f>
        <v>119.17100000000001</v>
      </c>
      <c r="N339" s="538">
        <f ca="1">VLOOKUP($Q339,INDIRECT($B339),COLUMN()-1,FALSE)+VLOOKUP($R339,INDIRECT($B339),COLUMN()-1,FALSE)+VLOOKUP($S339,INDIRECT($B339),COLUMN()-1,FALSE)+VLOOKUP($T339,INDIRECT($B339),COLUMN()-1,FALSE)+(VLOOKUP($U339,INDIRECT($B339),COLUMN()-1,FALSE)+VLOOKUP($V339,INDIRECT($B339),COLUMN()-1,FALSE))*'New cost and adjustments inputs'!$E$154</f>
        <v>120.113</v>
      </c>
      <c r="O339" s="538">
        <f ca="1">VLOOKUP($Q339,INDIRECT($B339),COLUMN()-1,FALSE)+VLOOKUP($R339,INDIRECT($B339),COLUMN()-1,FALSE)+VLOOKUP($S339,INDIRECT($B339),COLUMN()-1,FALSE)+VLOOKUP($T339,INDIRECT($B339),COLUMN()-1,FALSE)+(VLOOKUP($U339,INDIRECT($B339),COLUMN()-1,FALSE)+VLOOKUP($V339,INDIRECT($B339),COLUMN()-1,FALSE))*'New cost and adjustments inputs'!$E$154</f>
        <v>121.05600000000001</v>
      </c>
      <c r="P339" s="270"/>
      <c r="Q339" s="270" t="s">
        <v>82</v>
      </c>
      <c r="R339" s="270" t="s">
        <v>87</v>
      </c>
      <c r="S339" s="270" t="s">
        <v>83</v>
      </c>
      <c r="T339" s="270" t="s">
        <v>84</v>
      </c>
      <c r="U339" s="270" t="s">
        <v>85</v>
      </c>
      <c r="V339" s="270" t="s">
        <v>86</v>
      </c>
    </row>
    <row r="340" spans="1:22">
      <c r="B340" s="270" t="s">
        <v>229</v>
      </c>
      <c r="C340" s="281" t="s">
        <v>183</v>
      </c>
      <c r="D340" s="270"/>
      <c r="E340" s="269"/>
      <c r="F340" s="270"/>
      <c r="G340" s="270"/>
      <c r="H340" s="270"/>
      <c r="I340" s="540">
        <f ca="1">VLOOKUP($Q340,INDIRECT($B340),COLUMN()-1,FALSE)+VLOOKUP($R340,INDIRECT($B340),COLUMN()-1,FALSE)+VLOOKUP($S340,INDIRECT($B340),COLUMN()-1,FALSE)+VLOOKUP($T340,INDIRECT($B340),COLUMN()-1,FALSE)+(VLOOKUP($U340,INDIRECT($B340),COLUMN()-1,FALSE)+VLOOKUP($V340,INDIRECT($B340),COLUMN()-1,FALSE))*'New cost and adjustments inputs'!$E$154</f>
        <v>284.161</v>
      </c>
      <c r="J340" s="270">
        <f ca="1">VLOOKUP($Q340,INDIRECT($B340),COLUMN()-1,FALSE)+VLOOKUP($R340,INDIRECT($B340),COLUMN()-1,FALSE)+VLOOKUP($S340,INDIRECT($B340),COLUMN()-1,FALSE)+VLOOKUP($T340,INDIRECT($B340),COLUMN()-1,FALSE)+(VLOOKUP($U340,INDIRECT($B340),COLUMN()-1,FALSE)+VLOOKUP($V340,INDIRECT($B340),COLUMN()-1,FALSE))*'New cost and adjustments inputs'!$E$154</f>
        <v>0</v>
      </c>
      <c r="K340" s="537">
        <f ca="1">VLOOKUP($Q340,INDIRECT($B340),COLUMN()-1,FALSE)+VLOOKUP($R340,INDIRECT($B340),COLUMN()-1,FALSE)+VLOOKUP($S340,INDIRECT($B340),COLUMN()-1,FALSE)+VLOOKUP($T340,INDIRECT($B340),COLUMN()-1,FALSE)+(VLOOKUP($U340,INDIRECT($B340),COLUMN()-1,FALSE)+VLOOKUP($V340,INDIRECT($B340),COLUMN()-1,FALSE))*'New cost and adjustments inputs'!$E$154</f>
        <v>288.15000000000003</v>
      </c>
      <c r="L340" s="538">
        <f ca="1">VLOOKUP($Q340,INDIRECT($B340),COLUMN()-1,FALSE)+VLOOKUP($R340,INDIRECT($B340),COLUMN()-1,FALSE)+VLOOKUP($S340,INDIRECT($B340),COLUMN()-1,FALSE)+VLOOKUP($T340,INDIRECT($B340),COLUMN()-1,FALSE)+(VLOOKUP($U340,INDIRECT($B340),COLUMN()-1,FALSE)+VLOOKUP($V340,INDIRECT($B340),COLUMN()-1,FALSE))*'New cost and adjustments inputs'!$E$154</f>
        <v>290.31</v>
      </c>
      <c r="M340" s="538">
        <f ca="1">VLOOKUP($Q340,INDIRECT($B340),COLUMN()-1,FALSE)+VLOOKUP($R340,INDIRECT($B340),COLUMN()-1,FALSE)+VLOOKUP($S340,INDIRECT($B340),COLUMN()-1,FALSE)+VLOOKUP($T340,INDIRECT($B340),COLUMN()-1,FALSE)+(VLOOKUP($U340,INDIRECT($B340),COLUMN()-1,FALSE)+VLOOKUP($V340,INDIRECT($B340),COLUMN()-1,FALSE))*'New cost and adjustments inputs'!$E$154</f>
        <v>292.82299999999998</v>
      </c>
      <c r="N340" s="538">
        <f ca="1">VLOOKUP($Q340,INDIRECT($B340),COLUMN()-1,FALSE)+VLOOKUP($R340,INDIRECT($B340),COLUMN()-1,FALSE)+VLOOKUP($S340,INDIRECT($B340),COLUMN()-1,FALSE)+VLOOKUP($T340,INDIRECT($B340),COLUMN()-1,FALSE)+(VLOOKUP($U340,INDIRECT($B340),COLUMN()-1,FALSE)+VLOOKUP($V340,INDIRECT($B340),COLUMN()-1,FALSE))*'New cost and adjustments inputs'!$E$154</f>
        <v>295.82600000000002</v>
      </c>
      <c r="O340" s="538">
        <f ca="1">VLOOKUP($Q340,INDIRECT($B340),COLUMN()-1,FALSE)+VLOOKUP($R340,INDIRECT($B340),COLUMN()-1,FALSE)+VLOOKUP($S340,INDIRECT($B340),COLUMN()-1,FALSE)+VLOOKUP($T340,INDIRECT($B340),COLUMN()-1,FALSE)+(VLOOKUP($U340,INDIRECT($B340),COLUMN()-1,FALSE)+VLOOKUP($V340,INDIRECT($B340),COLUMN()-1,FALSE))*'New cost and adjustments inputs'!$E$154</f>
        <v>298.76400000000001</v>
      </c>
      <c r="P340" s="270"/>
      <c r="Q340" s="270" t="s">
        <v>82</v>
      </c>
      <c r="R340" s="270" t="s">
        <v>87</v>
      </c>
      <c r="S340" s="270" t="s">
        <v>83</v>
      </c>
      <c r="T340" s="270" t="s">
        <v>84</v>
      </c>
      <c r="U340" s="270" t="s">
        <v>85</v>
      </c>
      <c r="V340" s="270" t="s">
        <v>86</v>
      </c>
    </row>
    <row r="341" spans="1:22">
      <c r="B341" s="270" t="s">
        <v>230</v>
      </c>
      <c r="C341" s="281" t="s">
        <v>183</v>
      </c>
      <c r="D341" s="270"/>
      <c r="E341" s="269"/>
      <c r="F341" s="270"/>
      <c r="G341" s="270"/>
      <c r="H341" s="270"/>
      <c r="I341" s="540">
        <f ca="1">VLOOKUP($Q341,INDIRECT($B341),COLUMN()-1,FALSE)+VLOOKUP($R341,INDIRECT($B341),COLUMN()-1,FALSE)+VLOOKUP($S341,INDIRECT($B341),COLUMN()-1,FALSE)+VLOOKUP($T341,INDIRECT($B341),COLUMN()-1,FALSE)+(VLOOKUP($U341,INDIRECT($B341),COLUMN()-1,FALSE)+VLOOKUP($V341,INDIRECT($B341),COLUMN()-1,FALSE))*'New cost and adjustments inputs'!$E$154</f>
        <v>185.911</v>
      </c>
      <c r="J341" s="270">
        <f ca="1">VLOOKUP($Q341,INDIRECT($B341),COLUMN()-1,FALSE)+VLOOKUP($R341,INDIRECT($B341),COLUMN()-1,FALSE)+VLOOKUP($S341,INDIRECT($B341),COLUMN()-1,FALSE)+VLOOKUP($T341,INDIRECT($B341),COLUMN()-1,FALSE)+(VLOOKUP($U341,INDIRECT($B341),COLUMN()-1,FALSE)+VLOOKUP($V341,INDIRECT($B341),COLUMN()-1,FALSE))*'New cost and adjustments inputs'!$E$154</f>
        <v>0</v>
      </c>
      <c r="K341" s="537">
        <f ca="1">VLOOKUP($Q341,INDIRECT($B341),COLUMN()-1,FALSE)+VLOOKUP($R341,INDIRECT($B341),COLUMN()-1,FALSE)+VLOOKUP($S341,INDIRECT($B341),COLUMN()-1,FALSE)+VLOOKUP($T341,INDIRECT($B341),COLUMN()-1,FALSE)+(VLOOKUP($U341,INDIRECT($B341),COLUMN()-1,FALSE)+VLOOKUP($V341,INDIRECT($B341),COLUMN()-1,FALSE))*'New cost and adjustments inputs'!$E$154</f>
        <v>187.76300000000001</v>
      </c>
      <c r="L341" s="538">
        <f ca="1">VLOOKUP($Q341,INDIRECT($B341),COLUMN()-1,FALSE)+VLOOKUP($R341,INDIRECT($B341),COLUMN()-1,FALSE)+VLOOKUP($S341,INDIRECT($B341),COLUMN()-1,FALSE)+VLOOKUP($T341,INDIRECT($B341),COLUMN()-1,FALSE)+(VLOOKUP($U341,INDIRECT($B341),COLUMN()-1,FALSE)+VLOOKUP($V341,INDIRECT($B341),COLUMN()-1,FALSE))*'New cost and adjustments inputs'!$E$154</f>
        <v>188.84800000000001</v>
      </c>
      <c r="M341" s="538">
        <f ca="1">VLOOKUP($Q341,INDIRECT($B341),COLUMN()-1,FALSE)+VLOOKUP($R341,INDIRECT($B341),COLUMN()-1,FALSE)+VLOOKUP($S341,INDIRECT($B341),COLUMN()-1,FALSE)+VLOOKUP($T341,INDIRECT($B341),COLUMN()-1,FALSE)+(VLOOKUP($U341,INDIRECT($B341),COLUMN()-1,FALSE)+VLOOKUP($V341,INDIRECT($B341),COLUMN()-1,FALSE))*'New cost and adjustments inputs'!$E$154</f>
        <v>190.066</v>
      </c>
      <c r="N341" s="538">
        <f ca="1">VLOOKUP($Q341,INDIRECT($B341),COLUMN()-1,FALSE)+VLOOKUP($R341,INDIRECT($B341),COLUMN()-1,FALSE)+VLOOKUP($S341,INDIRECT($B341),COLUMN()-1,FALSE)+VLOOKUP($T341,INDIRECT($B341),COLUMN()-1,FALSE)+(VLOOKUP($U341,INDIRECT($B341),COLUMN()-1,FALSE)+VLOOKUP($V341,INDIRECT($B341),COLUMN()-1,FALSE))*'New cost and adjustments inputs'!$E$154</f>
        <v>191.18600000000001</v>
      </c>
      <c r="O341" s="538">
        <f ca="1">VLOOKUP($Q341,INDIRECT($B341),COLUMN()-1,FALSE)+VLOOKUP($R341,INDIRECT($B341),COLUMN()-1,FALSE)+VLOOKUP($S341,INDIRECT($B341),COLUMN()-1,FALSE)+VLOOKUP($T341,INDIRECT($B341),COLUMN()-1,FALSE)+(VLOOKUP($U341,INDIRECT($B341),COLUMN()-1,FALSE)+VLOOKUP($V341,INDIRECT($B341),COLUMN()-1,FALSE))*'New cost and adjustments inputs'!$E$154</f>
        <v>192.249</v>
      </c>
      <c r="P341" s="270"/>
      <c r="Q341" s="270" t="s">
        <v>82</v>
      </c>
      <c r="R341" s="270" t="s">
        <v>87</v>
      </c>
      <c r="S341" s="270" t="s">
        <v>83</v>
      </c>
      <c r="T341" s="270" t="s">
        <v>84</v>
      </c>
      <c r="U341" s="270" t="s">
        <v>85</v>
      </c>
      <c r="V341" s="270" t="s">
        <v>86</v>
      </c>
    </row>
    <row r="342" spans="1:22">
      <c r="B342" s="270" t="s">
        <v>231</v>
      </c>
      <c r="C342" s="281" t="s">
        <v>183</v>
      </c>
      <c r="D342" s="270"/>
      <c r="E342" s="269"/>
      <c r="F342" s="270"/>
      <c r="G342" s="270"/>
      <c r="H342" s="270"/>
      <c r="I342" s="540">
        <f ca="1">VLOOKUP($Q342,INDIRECT($B342),COLUMN()-1,FALSE)+VLOOKUP($R342,INDIRECT($B342),COLUMN()-1,FALSE)+VLOOKUP($S342,INDIRECT($B342),COLUMN()-1,FALSE)+VLOOKUP($T342,INDIRECT($B342),COLUMN()-1,FALSE)+(VLOOKUP($U342,INDIRECT($B342),COLUMN()-1,FALSE)+VLOOKUP($V342,INDIRECT($B342),COLUMN()-1,FALSE))*'New cost and adjustments inputs'!$E$154</f>
        <v>819.99700000000007</v>
      </c>
      <c r="J342" s="270">
        <f ca="1">VLOOKUP($Q342,INDIRECT($B342),COLUMN()-1,FALSE)+VLOOKUP($R342,INDIRECT($B342),COLUMN()-1,FALSE)+VLOOKUP($S342,INDIRECT($B342),COLUMN()-1,FALSE)+VLOOKUP($T342,INDIRECT($B342),COLUMN()-1,FALSE)+(VLOOKUP($U342,INDIRECT($B342),COLUMN()-1,FALSE)+VLOOKUP($V342,INDIRECT($B342),COLUMN()-1,FALSE))*'New cost and adjustments inputs'!$E$154</f>
        <v>0</v>
      </c>
      <c r="K342" s="537">
        <f ca="1">VLOOKUP($Q342,INDIRECT($B342),COLUMN()-1,FALSE)+VLOOKUP($R342,INDIRECT($B342),COLUMN()-1,FALSE)+VLOOKUP($S342,INDIRECT($B342),COLUMN()-1,FALSE)+VLOOKUP($T342,INDIRECT($B342),COLUMN()-1,FALSE)+(VLOOKUP($U342,INDIRECT($B342),COLUMN()-1,FALSE)+VLOOKUP($V342,INDIRECT($B342),COLUMN()-1,FALSE))*'New cost and adjustments inputs'!$E$154</f>
        <v>835.79664727418503</v>
      </c>
      <c r="L342" s="538">
        <f ca="1">VLOOKUP($Q342,INDIRECT($B342),COLUMN()-1,FALSE)+VLOOKUP($R342,INDIRECT($B342),COLUMN()-1,FALSE)+VLOOKUP($S342,INDIRECT($B342),COLUMN()-1,FALSE)+VLOOKUP($T342,INDIRECT($B342),COLUMN()-1,FALSE)+(VLOOKUP($U342,INDIRECT($B342),COLUMN()-1,FALSE)+VLOOKUP($V342,INDIRECT($B342),COLUMN()-1,FALSE))*'New cost and adjustments inputs'!$E$154</f>
        <v>843.87273058722496</v>
      </c>
      <c r="M342" s="538">
        <f ca="1">VLOOKUP($Q342,INDIRECT($B342),COLUMN()-1,FALSE)+VLOOKUP($R342,INDIRECT($B342),COLUMN()-1,FALSE)+VLOOKUP($S342,INDIRECT($B342),COLUMN()-1,FALSE)+VLOOKUP($T342,INDIRECT($B342),COLUMN()-1,FALSE)+(VLOOKUP($U342,INDIRECT($B342),COLUMN()-1,FALSE)+VLOOKUP($V342,INDIRECT($B342),COLUMN()-1,FALSE))*'New cost and adjustments inputs'!$E$154</f>
        <v>852.25371496736398</v>
      </c>
      <c r="N342" s="538">
        <f ca="1">VLOOKUP($Q342,INDIRECT($B342),COLUMN()-1,FALSE)+VLOOKUP($R342,INDIRECT($B342),COLUMN()-1,FALSE)+VLOOKUP($S342,INDIRECT($B342),COLUMN()-1,FALSE)+VLOOKUP($T342,INDIRECT($B342),COLUMN()-1,FALSE)+(VLOOKUP($U342,INDIRECT($B342),COLUMN()-1,FALSE)+VLOOKUP($V342,INDIRECT($B342),COLUMN()-1,FALSE))*'New cost and adjustments inputs'!$E$154</f>
        <v>860.04017741974405</v>
      </c>
      <c r="O342" s="538">
        <f ca="1">VLOOKUP($Q342,INDIRECT($B342),COLUMN()-1,FALSE)+VLOOKUP($R342,INDIRECT($B342),COLUMN()-1,FALSE)+VLOOKUP($S342,INDIRECT($B342),COLUMN()-1,FALSE)+VLOOKUP($T342,INDIRECT($B342),COLUMN()-1,FALSE)+(VLOOKUP($U342,INDIRECT($B342),COLUMN()-1,FALSE)+VLOOKUP($V342,INDIRECT($B342),COLUMN()-1,FALSE))*'New cost and adjustments inputs'!$E$154</f>
        <v>867.78085139023312</v>
      </c>
      <c r="P342" s="270"/>
      <c r="Q342" s="270" t="s">
        <v>82</v>
      </c>
      <c r="R342" s="270" t="s">
        <v>87</v>
      </c>
      <c r="S342" s="270" t="s">
        <v>83</v>
      </c>
      <c r="T342" s="270" t="s">
        <v>84</v>
      </c>
      <c r="U342" s="270" t="s">
        <v>85</v>
      </c>
      <c r="V342" s="270" t="s">
        <v>86</v>
      </c>
    </row>
    <row r="343" spans="1:22">
      <c r="B343" s="270" t="s">
        <v>232</v>
      </c>
      <c r="C343" s="281" t="s">
        <v>183</v>
      </c>
      <c r="D343" s="270"/>
      <c r="E343" s="269"/>
      <c r="F343" s="270"/>
      <c r="G343" s="270"/>
      <c r="H343" s="270"/>
      <c r="I343" s="540">
        <f ca="1">VLOOKUP($Q343,INDIRECT($B343),COLUMN()-1,FALSE)+VLOOKUP($R343,INDIRECT($B343),COLUMN()-1,FALSE)+VLOOKUP($S343,INDIRECT($B343),COLUMN()-1,FALSE)+VLOOKUP($T343,INDIRECT($B343),COLUMN()-1,FALSE)+(VLOOKUP($U343,INDIRECT($B343),COLUMN()-1,FALSE)+VLOOKUP($V343,INDIRECT($B343),COLUMN()-1,FALSE))*'New cost and adjustments inputs'!$E$154</f>
        <v>648.31650000000002</v>
      </c>
      <c r="J343" s="270">
        <f ca="1">VLOOKUP($Q343,INDIRECT($B343),COLUMN()-1,FALSE)+VLOOKUP($R343,INDIRECT($B343),COLUMN()-1,FALSE)+VLOOKUP($S343,INDIRECT($B343),COLUMN()-1,FALSE)+VLOOKUP($T343,INDIRECT($B343),COLUMN()-1,FALSE)+(VLOOKUP($U343,INDIRECT($B343),COLUMN()-1,FALSE)+VLOOKUP($V343,INDIRECT($B343),COLUMN()-1,FALSE))*'New cost and adjustments inputs'!$E$154</f>
        <v>0</v>
      </c>
      <c r="K343" s="537">
        <f ca="1">VLOOKUP($Q343,INDIRECT($B343),COLUMN()-1,FALSE)+VLOOKUP($R343,INDIRECT($B343),COLUMN()-1,FALSE)+VLOOKUP($S343,INDIRECT($B343),COLUMN()-1,FALSE)+VLOOKUP($T343,INDIRECT($B343),COLUMN()-1,FALSE)+(VLOOKUP($U343,INDIRECT($B343),COLUMN()-1,FALSE)+VLOOKUP($V343,INDIRECT($B343),COLUMN()-1,FALSE))*'New cost and adjustments inputs'!$E$154</f>
        <v>654.35287174999894</v>
      </c>
      <c r="L343" s="538">
        <f ca="1">VLOOKUP($Q343,INDIRECT($B343),COLUMN()-1,FALSE)+VLOOKUP($R343,INDIRECT($B343),COLUMN()-1,FALSE)+VLOOKUP($S343,INDIRECT($B343),COLUMN()-1,FALSE)+VLOOKUP($T343,INDIRECT($B343),COLUMN()-1,FALSE)+(VLOOKUP($U343,INDIRECT($B343),COLUMN()-1,FALSE)+VLOOKUP($V343,INDIRECT($B343),COLUMN()-1,FALSE))*'New cost and adjustments inputs'!$E$154</f>
        <v>658.06547320833306</v>
      </c>
      <c r="M343" s="538">
        <f ca="1">VLOOKUP($Q343,INDIRECT($B343),COLUMN()-1,FALSE)+VLOOKUP($R343,INDIRECT($B343),COLUMN()-1,FALSE)+VLOOKUP($S343,INDIRECT($B343),COLUMN()-1,FALSE)+VLOOKUP($T343,INDIRECT($B343),COLUMN()-1,FALSE)+(VLOOKUP($U343,INDIRECT($B343),COLUMN()-1,FALSE)+VLOOKUP($V343,INDIRECT($B343),COLUMN()-1,FALSE))*'New cost and adjustments inputs'!$E$154</f>
        <v>661.95175810416595</v>
      </c>
      <c r="N343" s="538">
        <f ca="1">VLOOKUP($Q343,INDIRECT($B343),COLUMN()-1,FALSE)+VLOOKUP($R343,INDIRECT($B343),COLUMN()-1,FALSE)+VLOOKUP($S343,INDIRECT($B343),COLUMN()-1,FALSE)+VLOOKUP($T343,INDIRECT($B343),COLUMN()-1,FALSE)+(VLOOKUP($U343,INDIRECT($B343),COLUMN()-1,FALSE)+VLOOKUP($V343,INDIRECT($B343),COLUMN()-1,FALSE))*'New cost and adjustments inputs'!$E$154</f>
        <v>665.99236221875003</v>
      </c>
      <c r="O343" s="538">
        <f ca="1">VLOOKUP($Q343,INDIRECT($B343),COLUMN()-1,FALSE)+VLOOKUP($R343,INDIRECT($B343),COLUMN()-1,FALSE)+VLOOKUP($S343,INDIRECT($B343),COLUMN()-1,FALSE)+VLOOKUP($T343,INDIRECT($B343),COLUMN()-1,FALSE)+(VLOOKUP($U343,INDIRECT($B343),COLUMN()-1,FALSE)+VLOOKUP($V343,INDIRECT($B343),COLUMN()-1,FALSE))*'New cost and adjustments inputs'!$E$154</f>
        <v>670.12983594270895</v>
      </c>
      <c r="P343" s="270"/>
      <c r="Q343" s="270" t="s">
        <v>82</v>
      </c>
      <c r="R343" s="270" t="s">
        <v>87</v>
      </c>
      <c r="S343" s="270" t="s">
        <v>83</v>
      </c>
      <c r="T343" s="270" t="s">
        <v>84</v>
      </c>
      <c r="U343" s="270" t="s">
        <v>85</v>
      </c>
      <c r="V343" s="270" t="s">
        <v>86</v>
      </c>
    </row>
    <row r="344" spans="1:22">
      <c r="B344" s="270" t="s">
        <v>255</v>
      </c>
      <c r="C344" s="281" t="s">
        <v>183</v>
      </c>
      <c r="D344" s="270"/>
      <c r="E344" s="269"/>
      <c r="F344" s="270"/>
      <c r="G344" s="270"/>
      <c r="H344" s="270"/>
      <c r="I344" s="540">
        <f ca="1">VLOOKUP($Q344,INDIRECT($B344),COLUMN()-1,FALSE)+VLOOKUP($R344,INDIRECT($B344),COLUMN()-1,FALSE)+VLOOKUP($S344,INDIRECT($B344),COLUMN()-1,FALSE)+VLOOKUP($T344,INDIRECT($B344),COLUMN()-1,FALSE)+(VLOOKUP($U344,INDIRECT($B344),COLUMN()-1,FALSE)+VLOOKUP($V344,INDIRECT($B344),COLUMN()-1,FALSE))*'New cost and adjustments inputs'!$E$154</f>
        <v>260.93899999999996</v>
      </c>
      <c r="J344" s="270">
        <f ca="1">VLOOKUP($Q344,INDIRECT($B344),COLUMN()-1,FALSE)+VLOOKUP($R344,INDIRECT($B344),COLUMN()-1,FALSE)+VLOOKUP($S344,INDIRECT($B344),COLUMN()-1,FALSE)+VLOOKUP($T344,INDIRECT($B344),COLUMN()-1,FALSE)+(VLOOKUP($U344,INDIRECT($B344),COLUMN()-1,FALSE)+VLOOKUP($V344,INDIRECT($B344),COLUMN()-1,FALSE))*'New cost and adjustments inputs'!$E$154</f>
        <v>0</v>
      </c>
      <c r="K344" s="537">
        <f ca="1">VLOOKUP($Q344,INDIRECT($B344),COLUMN()-1,FALSE)+VLOOKUP($R344,INDIRECT($B344),COLUMN()-1,FALSE)+VLOOKUP($S344,INDIRECT($B344),COLUMN()-1,FALSE)+VLOOKUP($T344,INDIRECT($B344),COLUMN()-1,FALSE)+(VLOOKUP($U344,INDIRECT($B344),COLUMN()-1,FALSE)+VLOOKUP($V344,INDIRECT($B344),COLUMN()-1,FALSE))*'New cost and adjustments inputs'!$E$154</f>
        <v>265.98207972472903</v>
      </c>
      <c r="L344" s="538">
        <f ca="1">VLOOKUP($Q344,INDIRECT($B344),COLUMN()-1,FALSE)+VLOOKUP($R344,INDIRECT($B344),COLUMN()-1,FALSE)+VLOOKUP($S344,INDIRECT($B344),COLUMN()-1,FALSE)+VLOOKUP($T344,INDIRECT($B344),COLUMN()-1,FALSE)+(VLOOKUP($U344,INDIRECT($B344),COLUMN()-1,FALSE)+VLOOKUP($V344,INDIRECT($B344),COLUMN()-1,FALSE))*'New cost and adjustments inputs'!$E$154</f>
        <v>268.38619911261401</v>
      </c>
      <c r="M344" s="538">
        <f ca="1">VLOOKUP($Q344,INDIRECT($B344),COLUMN()-1,FALSE)+VLOOKUP($R344,INDIRECT($B344),COLUMN()-1,FALSE)+VLOOKUP($S344,INDIRECT($B344),COLUMN()-1,FALSE)+VLOOKUP($T344,INDIRECT($B344),COLUMN()-1,FALSE)+(VLOOKUP($U344,INDIRECT($B344),COLUMN()-1,FALSE)+VLOOKUP($V344,INDIRECT($B344),COLUMN()-1,FALSE))*'New cost and adjustments inputs'!$E$154</f>
        <v>270.766179431019</v>
      </c>
      <c r="N344" s="538">
        <f ca="1">VLOOKUP($Q344,INDIRECT($B344),COLUMN()-1,FALSE)+VLOOKUP($R344,INDIRECT($B344),COLUMN()-1,FALSE)+VLOOKUP($S344,INDIRECT($B344),COLUMN()-1,FALSE)+VLOOKUP($T344,INDIRECT($B344),COLUMN()-1,FALSE)+(VLOOKUP($U344,INDIRECT($B344),COLUMN()-1,FALSE)+VLOOKUP($V344,INDIRECT($B344),COLUMN()-1,FALSE))*'New cost and adjustments inputs'!$E$154</f>
        <v>273.22354606129704</v>
      </c>
      <c r="O344" s="538">
        <f ca="1">VLOOKUP($Q344,INDIRECT($B344),COLUMN()-1,FALSE)+VLOOKUP($R344,INDIRECT($B344),COLUMN()-1,FALSE)+VLOOKUP($S344,INDIRECT($B344),COLUMN()-1,FALSE)+VLOOKUP($T344,INDIRECT($B344),COLUMN()-1,FALSE)+(VLOOKUP($U344,INDIRECT($B344),COLUMN()-1,FALSE)+VLOOKUP($V344,INDIRECT($B344),COLUMN()-1,FALSE))*'New cost and adjustments inputs'!$E$154</f>
        <v>275.68538030428397</v>
      </c>
      <c r="P344" s="270"/>
      <c r="Q344" s="270" t="s">
        <v>82</v>
      </c>
      <c r="R344" s="270" t="s">
        <v>87</v>
      </c>
      <c r="S344" s="270" t="s">
        <v>83</v>
      </c>
      <c r="T344" s="270" t="s">
        <v>84</v>
      </c>
      <c r="U344" s="270" t="s">
        <v>85</v>
      </c>
      <c r="V344" s="270" t="s">
        <v>86</v>
      </c>
    </row>
    <row r="345" spans="1:22">
      <c r="B345" s="270"/>
      <c r="C345" s="270"/>
      <c r="D345" s="270"/>
      <c r="E345" s="269"/>
      <c r="F345" s="270"/>
      <c r="G345" s="270"/>
      <c r="H345" s="270"/>
      <c r="I345" s="270"/>
      <c r="J345" s="270"/>
      <c r="K345" s="544"/>
      <c r="L345" s="540"/>
      <c r="M345" s="540"/>
      <c r="N345" s="540"/>
      <c r="O345" s="540"/>
      <c r="P345" s="270"/>
      <c r="Q345" s="270"/>
      <c r="R345" s="270"/>
      <c r="S345" s="270"/>
      <c r="T345" s="270"/>
      <c r="U345" s="270"/>
      <c r="V345" s="270"/>
    </row>
    <row r="346" spans="1:22" s="291" customFormat="1">
      <c r="A346" s="296" t="s">
        <v>440</v>
      </c>
      <c r="B346" s="294"/>
      <c r="C346" s="294"/>
      <c r="D346" s="294"/>
      <c r="E346" s="295"/>
      <c r="F346" s="294"/>
      <c r="G346" s="294"/>
      <c r="H346" s="294"/>
      <c r="I346" s="294"/>
      <c r="J346" s="294"/>
      <c r="K346" s="545"/>
      <c r="L346" s="541"/>
      <c r="M346" s="541"/>
      <c r="N346" s="541"/>
      <c r="O346" s="541"/>
      <c r="P346" s="294"/>
      <c r="Q346" s="294"/>
      <c r="R346" s="294"/>
      <c r="S346" s="294"/>
      <c r="T346" s="294"/>
      <c r="U346" s="294"/>
      <c r="V346" s="289"/>
    </row>
    <row r="347" spans="1:22">
      <c r="B347" s="270" t="s">
        <v>215</v>
      </c>
      <c r="C347" s="270" t="s">
        <v>74</v>
      </c>
      <c r="D347" s="270"/>
      <c r="E347" s="269"/>
      <c r="F347" s="270"/>
      <c r="G347" s="270"/>
      <c r="H347" s="270"/>
      <c r="I347" s="270">
        <f t="shared" ref="I347:I364" ca="1" si="92">I307-$I307</f>
        <v>0</v>
      </c>
      <c r="J347" s="270"/>
      <c r="K347" s="537">
        <f ca="1">K307-$I307</f>
        <v>1.0013957213888247</v>
      </c>
      <c r="L347" s="538">
        <f t="shared" ref="K347:O356" ca="1" si="93">L307-$I307</f>
        <v>2.5718421897004831</v>
      </c>
      <c r="M347" s="538">
        <f t="shared" ca="1" si="93"/>
        <v>3.6636558678722295</v>
      </c>
      <c r="N347" s="538">
        <f t="shared" ca="1" si="93"/>
        <v>4.1032994068269133</v>
      </c>
      <c r="O347" s="538">
        <f t="shared" ca="1" si="93"/>
        <v>4.3546762354597277</v>
      </c>
      <c r="P347" s="270"/>
      <c r="Q347" s="270"/>
      <c r="R347" s="270"/>
      <c r="S347" s="270"/>
      <c r="T347" s="270"/>
      <c r="U347" s="270"/>
      <c r="V347" s="270"/>
    </row>
    <row r="348" spans="1:22">
      <c r="B348" s="270" t="s">
        <v>216</v>
      </c>
      <c r="C348" s="270" t="s">
        <v>74</v>
      </c>
      <c r="D348" s="270"/>
      <c r="E348" s="269"/>
      <c r="F348" s="270"/>
      <c r="G348" s="270"/>
      <c r="H348" s="270"/>
      <c r="I348" s="270">
        <f t="shared" ca="1" si="92"/>
        <v>0</v>
      </c>
      <c r="J348" s="270"/>
      <c r="K348" s="537">
        <f t="shared" ca="1" si="93"/>
        <v>2.6643504722987572</v>
      </c>
      <c r="L348" s="538">
        <f t="shared" ca="1" si="93"/>
        <v>1.7803949479492047</v>
      </c>
      <c r="M348" s="538">
        <f t="shared" ca="1" si="93"/>
        <v>0.91173583581935702</v>
      </c>
      <c r="N348" s="538">
        <f t="shared" ca="1" si="93"/>
        <v>0.12878965769179729</v>
      </c>
      <c r="O348" s="538">
        <f t="shared" ca="1" si="93"/>
        <v>0.28835443038348529</v>
      </c>
      <c r="P348" s="270"/>
      <c r="Q348" s="270"/>
      <c r="R348" s="270"/>
      <c r="S348" s="270"/>
      <c r="T348" s="270"/>
      <c r="U348" s="270"/>
      <c r="V348" s="270"/>
    </row>
    <row r="349" spans="1:22">
      <c r="B349" s="270" t="s">
        <v>217</v>
      </c>
      <c r="C349" s="270" t="s">
        <v>74</v>
      </c>
      <c r="D349" s="270"/>
      <c r="E349" s="269"/>
      <c r="F349" s="270"/>
      <c r="G349" s="270"/>
      <c r="H349" s="270"/>
      <c r="I349" s="270">
        <f t="shared" ca="1" si="92"/>
        <v>0</v>
      </c>
      <c r="J349" s="270"/>
      <c r="K349" s="537">
        <f t="shared" ca="1" si="93"/>
        <v>1.6511523380283819</v>
      </c>
      <c r="L349" s="538">
        <f t="shared" ca="1" si="93"/>
        <v>2.1702779492383115</v>
      </c>
      <c r="M349" s="538">
        <f t="shared" ca="1" si="93"/>
        <v>2.7080654760250553</v>
      </c>
      <c r="N349" s="538">
        <f t="shared" ca="1" si="93"/>
        <v>3.1420198570144677</v>
      </c>
      <c r="O349" s="538">
        <f t="shared" ca="1" si="93"/>
        <v>3.8764496282952479</v>
      </c>
      <c r="P349" s="270"/>
      <c r="Q349" s="270"/>
      <c r="R349" s="270"/>
      <c r="S349" s="270"/>
      <c r="T349" s="270"/>
      <c r="U349" s="270"/>
      <c r="V349" s="270"/>
    </row>
    <row r="350" spans="1:22">
      <c r="B350" s="270" t="s">
        <v>219</v>
      </c>
      <c r="C350" s="270" t="s">
        <v>74</v>
      </c>
      <c r="D350" s="270"/>
      <c r="E350" s="269"/>
      <c r="F350" s="270"/>
      <c r="G350" s="270"/>
      <c r="H350" s="270"/>
      <c r="I350" s="270">
        <f t="shared" ca="1" si="92"/>
        <v>0</v>
      </c>
      <c r="J350" s="270"/>
      <c r="K350" s="537">
        <f t="shared" ca="1" si="93"/>
        <v>0.88195499702086977</v>
      </c>
      <c r="L350" s="538">
        <f t="shared" ca="1" si="93"/>
        <v>1.1665972841674801</v>
      </c>
      <c r="M350" s="538">
        <f t="shared" ca="1" si="93"/>
        <v>3.6814048046066716</v>
      </c>
      <c r="N350" s="538">
        <f t="shared" ca="1" si="93"/>
        <v>6.875090601219199</v>
      </c>
      <c r="O350" s="538">
        <f t="shared" ca="1" si="93"/>
        <v>9.9608683976416756</v>
      </c>
      <c r="P350" s="270"/>
      <c r="Q350" s="270"/>
      <c r="R350" s="270"/>
      <c r="S350" s="270"/>
      <c r="T350" s="270"/>
      <c r="U350" s="270"/>
      <c r="V350" s="270"/>
    </row>
    <row r="351" spans="1:22">
      <c r="B351" s="270" t="s">
        <v>220</v>
      </c>
      <c r="C351" s="270" t="s">
        <v>74</v>
      </c>
      <c r="D351" s="270"/>
      <c r="E351" s="269"/>
      <c r="F351" s="270"/>
      <c r="G351" s="270"/>
      <c r="H351" s="270"/>
      <c r="I351" s="270">
        <f t="shared" ca="1" si="92"/>
        <v>0</v>
      </c>
      <c r="J351" s="270"/>
      <c r="K351" s="537">
        <f t="shared" ca="1" si="93"/>
        <v>-2.9786387380826689</v>
      </c>
      <c r="L351" s="538">
        <f t="shared" ca="1" si="93"/>
        <v>-3.2216290055614358</v>
      </c>
      <c r="M351" s="538">
        <f t="shared" ca="1" si="93"/>
        <v>-3.1429001588983105</v>
      </c>
      <c r="N351" s="538">
        <f t="shared" ca="1" si="93"/>
        <v>-3.1526197695974503</v>
      </c>
      <c r="O351" s="538">
        <f t="shared" ca="1" si="93"/>
        <v>-3.3625633606992054</v>
      </c>
      <c r="P351" s="270"/>
      <c r="Q351" s="270"/>
      <c r="R351" s="270"/>
      <c r="S351" s="270"/>
      <c r="T351" s="270"/>
      <c r="U351" s="270"/>
      <c r="V351" s="270"/>
    </row>
    <row r="352" spans="1:22">
      <c r="B352" s="270" t="s">
        <v>221</v>
      </c>
      <c r="C352" s="270" t="s">
        <v>74</v>
      </c>
      <c r="D352" s="270"/>
      <c r="E352" s="269"/>
      <c r="F352" s="270"/>
      <c r="G352" s="270"/>
      <c r="H352" s="270"/>
      <c r="I352" s="270">
        <f t="shared" ca="1" si="92"/>
        <v>0</v>
      </c>
      <c r="J352" s="270"/>
      <c r="K352" s="537">
        <f t="shared" ca="1" si="93"/>
        <v>-6.8985469409935192</v>
      </c>
      <c r="L352" s="538">
        <f t="shared" ca="1" si="93"/>
        <v>-6.0000189784927684</v>
      </c>
      <c r="M352" s="538">
        <f t="shared" ca="1" si="93"/>
        <v>-6.7238361057254465</v>
      </c>
      <c r="N352" s="538">
        <f t="shared" ca="1" si="93"/>
        <v>-11.232141882592614</v>
      </c>
      <c r="O352" s="538">
        <f t="shared" ca="1" si="93"/>
        <v>-11.456225089908145</v>
      </c>
      <c r="P352" s="270"/>
      <c r="Q352" s="270"/>
      <c r="R352" s="270"/>
      <c r="S352" s="270"/>
      <c r="T352" s="270"/>
      <c r="U352" s="270"/>
      <c r="V352" s="270"/>
    </row>
    <row r="353" spans="1:22">
      <c r="B353" s="270" t="s">
        <v>222</v>
      </c>
      <c r="C353" s="270" t="s">
        <v>74</v>
      </c>
      <c r="D353" s="270"/>
      <c r="E353" s="269"/>
      <c r="F353" s="270"/>
      <c r="G353" s="270"/>
      <c r="H353" s="270"/>
      <c r="I353" s="270">
        <f t="shared" ca="1" si="92"/>
        <v>0</v>
      </c>
      <c r="J353" s="270"/>
      <c r="K353" s="537">
        <f t="shared" ca="1" si="93"/>
        <v>5.2354548910712992</v>
      </c>
      <c r="L353" s="538">
        <f t="shared" ca="1" si="93"/>
        <v>10.909556077460849</v>
      </c>
      <c r="M353" s="538">
        <f t="shared" ca="1" si="93"/>
        <v>10.900615312327233</v>
      </c>
      <c r="N353" s="538">
        <f t="shared" ca="1" si="93"/>
        <v>13.714698396486426</v>
      </c>
      <c r="O353" s="538">
        <f t="shared" ca="1" si="93"/>
        <v>8.9982124293627521</v>
      </c>
      <c r="P353" s="270"/>
      <c r="Q353" s="270"/>
      <c r="R353" s="270"/>
      <c r="S353" s="270"/>
      <c r="T353" s="270"/>
      <c r="U353" s="270"/>
      <c r="V353" s="270"/>
    </row>
    <row r="354" spans="1:22">
      <c r="B354" s="270" t="s">
        <v>223</v>
      </c>
      <c r="C354" s="270" t="s">
        <v>74</v>
      </c>
      <c r="D354" s="270"/>
      <c r="E354" s="269"/>
      <c r="F354" s="270"/>
      <c r="G354" s="270"/>
      <c r="H354" s="270"/>
      <c r="I354" s="270">
        <f t="shared" ca="1" si="92"/>
        <v>0</v>
      </c>
      <c r="J354" s="270"/>
      <c r="K354" s="537">
        <f t="shared" ca="1" si="93"/>
        <v>-1.3858520862169712</v>
      </c>
      <c r="L354" s="538">
        <f t="shared" ca="1" si="93"/>
        <v>1.5303090433356914</v>
      </c>
      <c r="M354" s="538">
        <f t="shared" ca="1" si="93"/>
        <v>4.2068525809902582</v>
      </c>
      <c r="N354" s="538">
        <f t="shared" ca="1" si="93"/>
        <v>4.3111116768327662</v>
      </c>
      <c r="O354" s="538">
        <f t="shared" ca="1" si="93"/>
        <v>6.9350757621956518</v>
      </c>
      <c r="P354" s="270"/>
      <c r="Q354" s="270"/>
      <c r="R354" s="270"/>
      <c r="S354" s="270"/>
      <c r="T354" s="270"/>
      <c r="U354" s="270"/>
      <c r="V354" s="270"/>
    </row>
    <row r="355" spans="1:22">
      <c r="B355" s="270" t="s">
        <v>224</v>
      </c>
      <c r="C355" s="270" t="s">
        <v>74</v>
      </c>
      <c r="D355" s="270"/>
      <c r="E355" s="269"/>
      <c r="F355" s="270"/>
      <c r="G355" s="270"/>
      <c r="H355" s="270"/>
      <c r="I355" s="270">
        <f t="shared" ca="1" si="92"/>
        <v>0</v>
      </c>
      <c r="J355" s="270"/>
      <c r="K355" s="537">
        <f t="shared" ca="1" si="93"/>
        <v>1.0280438475269271</v>
      </c>
      <c r="L355" s="538">
        <f t="shared" ca="1" si="93"/>
        <v>1.233127212616175</v>
      </c>
      <c r="M355" s="538">
        <f t="shared" ca="1" si="93"/>
        <v>1.5896649643953644</v>
      </c>
      <c r="N355" s="538">
        <f t="shared" ca="1" si="93"/>
        <v>1.8014587848804631</v>
      </c>
      <c r="O355" s="538">
        <f t="shared" ca="1" si="93"/>
        <v>1.9845893277644713</v>
      </c>
      <c r="P355" s="270"/>
      <c r="Q355" s="270"/>
      <c r="R355" s="270"/>
      <c r="S355" s="270"/>
      <c r="T355" s="270"/>
      <c r="U355" s="270"/>
      <c r="V355" s="270"/>
    </row>
    <row r="356" spans="1:22">
      <c r="B356" s="270" t="s">
        <v>225</v>
      </c>
      <c r="C356" s="270" t="s">
        <v>74</v>
      </c>
      <c r="D356" s="270"/>
      <c r="E356" s="269"/>
      <c r="F356" s="270"/>
      <c r="G356" s="270"/>
      <c r="H356" s="270"/>
      <c r="I356" s="270">
        <f t="shared" ca="1" si="92"/>
        <v>0</v>
      </c>
      <c r="J356" s="270"/>
      <c r="K356" s="537">
        <f t="shared" ca="1" si="93"/>
        <v>-0.9062869612364679</v>
      </c>
      <c r="L356" s="538">
        <f t="shared" ca="1" si="93"/>
        <v>-1.1384385529888874</v>
      </c>
      <c r="M356" s="538">
        <f t="shared" ca="1" si="93"/>
        <v>-1.5145824236561367</v>
      </c>
      <c r="N356" s="538">
        <f t="shared" ca="1" si="93"/>
        <v>-2.9999364911016286</v>
      </c>
      <c r="O356" s="538">
        <f t="shared" ca="1" si="93"/>
        <v>-2.7233998131336676</v>
      </c>
      <c r="P356" s="270"/>
      <c r="Q356" s="270"/>
      <c r="R356" s="270"/>
      <c r="S356" s="270"/>
      <c r="T356" s="270"/>
      <c r="U356" s="270"/>
      <c r="V356" s="270"/>
    </row>
    <row r="357" spans="1:22">
      <c r="B357" s="270" t="s">
        <v>226</v>
      </c>
      <c r="C357" s="270" t="s">
        <v>74</v>
      </c>
      <c r="D357" s="270"/>
      <c r="E357" s="269"/>
      <c r="F357" s="270"/>
      <c r="G357" s="270"/>
      <c r="H357" s="270"/>
      <c r="I357" s="270">
        <f t="shared" ca="1" si="92"/>
        <v>0</v>
      </c>
      <c r="J357" s="270"/>
      <c r="K357" s="537">
        <f t="shared" ref="K357:O364" ca="1" si="94">K317-$I317</f>
        <v>0.81663194439094866</v>
      </c>
      <c r="L357" s="538">
        <f t="shared" ca="1" si="94"/>
        <v>0.5910507534337448</v>
      </c>
      <c r="M357" s="538">
        <f t="shared" ca="1" si="94"/>
        <v>0.35736019306278166</v>
      </c>
      <c r="N357" s="538">
        <f t="shared" ca="1" si="94"/>
        <v>-0.26340681497052643</v>
      </c>
      <c r="O357" s="538">
        <f t="shared" ca="1" si="94"/>
        <v>-1.3044253169220568</v>
      </c>
      <c r="P357" s="270"/>
      <c r="Q357" s="270"/>
      <c r="R357" s="270"/>
      <c r="S357" s="270"/>
      <c r="T357" s="270"/>
      <c r="U357" s="270"/>
      <c r="V357" s="270"/>
    </row>
    <row r="358" spans="1:22">
      <c r="B358" s="270" t="s">
        <v>227</v>
      </c>
      <c r="C358" s="270" t="s">
        <v>74</v>
      </c>
      <c r="D358" s="270"/>
      <c r="E358" s="269"/>
      <c r="F358" s="270"/>
      <c r="G358" s="270"/>
      <c r="H358" s="270"/>
      <c r="I358" s="270">
        <f t="shared" ca="1" si="92"/>
        <v>0</v>
      </c>
      <c r="J358" s="270"/>
      <c r="K358" s="537">
        <f t="shared" ca="1" si="94"/>
        <v>0.27553081058414541</v>
      </c>
      <c r="L358" s="538">
        <f t="shared" ca="1" si="94"/>
        <v>0.43428040800168155</v>
      </c>
      <c r="M358" s="538">
        <f t="shared" ca="1" si="94"/>
        <v>0.5225694920598265</v>
      </c>
      <c r="N358" s="538">
        <f t="shared" ca="1" si="94"/>
        <v>0.58523736862682263</v>
      </c>
      <c r="O358" s="538">
        <f t="shared" ca="1" si="94"/>
        <v>0.66067683438481595</v>
      </c>
      <c r="P358" s="270"/>
      <c r="Q358" s="270"/>
      <c r="R358" s="270"/>
      <c r="S358" s="270"/>
      <c r="T358" s="270"/>
      <c r="U358" s="270"/>
      <c r="V358" s="270"/>
    </row>
    <row r="359" spans="1:22">
      <c r="B359" s="270" t="s">
        <v>228</v>
      </c>
      <c r="C359" s="270" t="s">
        <v>74</v>
      </c>
      <c r="D359" s="270"/>
      <c r="E359" s="269"/>
      <c r="F359" s="270"/>
      <c r="G359" s="270"/>
      <c r="H359" s="270"/>
      <c r="I359" s="270">
        <f t="shared" ca="1" si="92"/>
        <v>0</v>
      </c>
      <c r="J359" s="270"/>
      <c r="K359" s="537">
        <f t="shared" ca="1" si="94"/>
        <v>8.5369000000000472E-2</v>
      </c>
      <c r="L359" s="538">
        <f t="shared" ca="1" si="94"/>
        <v>0.10624600000000095</v>
      </c>
      <c r="M359" s="538">
        <f t="shared" ca="1" si="94"/>
        <v>0.14825200000000072</v>
      </c>
      <c r="N359" s="538">
        <f t="shared" ca="1" si="94"/>
        <v>0.15725700000000042</v>
      </c>
      <c r="O359" s="538">
        <f t="shared" ca="1" si="94"/>
        <v>0.16926300000000039</v>
      </c>
      <c r="P359" s="270"/>
      <c r="Q359" s="270"/>
      <c r="R359" s="270"/>
      <c r="S359" s="270"/>
      <c r="T359" s="270"/>
      <c r="U359" s="270"/>
      <c r="V359" s="270"/>
    </row>
    <row r="360" spans="1:22">
      <c r="B360" s="270" t="s">
        <v>229</v>
      </c>
      <c r="C360" s="270" t="s">
        <v>74</v>
      </c>
      <c r="D360" s="270"/>
      <c r="E360" s="269"/>
      <c r="F360" s="270"/>
      <c r="G360" s="270"/>
      <c r="H360" s="270"/>
      <c r="I360" s="270">
        <f t="shared" ca="1" si="92"/>
        <v>0</v>
      </c>
      <c r="J360" s="270"/>
      <c r="K360" s="537">
        <f t="shared" ca="1" si="94"/>
        <v>4.4999999999999485E-2</v>
      </c>
      <c r="L360" s="538">
        <f t="shared" ca="1" si="94"/>
        <v>4.9000000000000821E-2</v>
      </c>
      <c r="M360" s="538">
        <f t="shared" ca="1" si="94"/>
        <v>2.0999999999999908E-2</v>
      </c>
      <c r="N360" s="538">
        <f t="shared" ca="1" si="94"/>
        <v>1.0000000000000675E-2</v>
      </c>
      <c r="O360" s="538">
        <f t="shared" ca="1" si="94"/>
        <v>6.9999999999996732E-3</v>
      </c>
      <c r="P360" s="270"/>
      <c r="Q360" s="270"/>
      <c r="R360" s="270"/>
      <c r="S360" s="270"/>
      <c r="T360" s="270"/>
      <c r="U360" s="270"/>
      <c r="V360" s="270"/>
    </row>
    <row r="361" spans="1:22">
      <c r="B361" s="270" t="s">
        <v>230</v>
      </c>
      <c r="C361" s="270" t="s">
        <v>74</v>
      </c>
      <c r="D361" s="270"/>
      <c r="E361" s="269"/>
      <c r="F361" s="270"/>
      <c r="G361" s="270"/>
      <c r="H361" s="270"/>
      <c r="I361" s="270">
        <f t="shared" ca="1" si="92"/>
        <v>0</v>
      </c>
      <c r="J361" s="270"/>
      <c r="K361" s="537">
        <f t="shared" ca="1" si="94"/>
        <v>0.23499999999999988</v>
      </c>
      <c r="L361" s="538">
        <f t="shared" ca="1" si="94"/>
        <v>0.28900000000000059</v>
      </c>
      <c r="M361" s="538">
        <f t="shared" ca="1" si="94"/>
        <v>0.28500000000000014</v>
      </c>
      <c r="N361" s="538">
        <f t="shared" ca="1" si="94"/>
        <v>0.24699999999999944</v>
      </c>
      <c r="O361" s="538">
        <f t="shared" ca="1" si="94"/>
        <v>0.14500000000000091</v>
      </c>
      <c r="P361" s="270"/>
      <c r="Q361" s="270"/>
      <c r="R361" s="270"/>
      <c r="S361" s="270"/>
      <c r="T361" s="270"/>
      <c r="U361" s="270"/>
      <c r="V361" s="270"/>
    </row>
    <row r="362" spans="1:22">
      <c r="B362" s="270" t="s">
        <v>231</v>
      </c>
      <c r="C362" s="270" t="s">
        <v>74</v>
      </c>
      <c r="D362" s="270"/>
      <c r="E362" s="269"/>
      <c r="F362" s="270"/>
      <c r="G362" s="270"/>
      <c r="H362" s="270"/>
      <c r="I362" s="270">
        <f t="shared" ca="1" si="92"/>
        <v>0</v>
      </c>
      <c r="J362" s="270"/>
      <c r="K362" s="537">
        <f t="shared" ca="1" si="94"/>
        <v>-1.0615891762126886</v>
      </c>
      <c r="L362" s="538">
        <f t="shared" ca="1" si="94"/>
        <v>-0.82935745633915658</v>
      </c>
      <c r="M362" s="538">
        <f t="shared" ca="1" si="94"/>
        <v>-0.98170416216973422</v>
      </c>
      <c r="N362" s="538">
        <f t="shared" ca="1" si="94"/>
        <v>-0.9678517196863865</v>
      </c>
      <c r="O362" s="538">
        <f t="shared" ca="1" si="94"/>
        <v>-0.7592030950981119</v>
      </c>
      <c r="P362" s="270"/>
      <c r="Q362" s="270"/>
      <c r="R362" s="270"/>
      <c r="S362" s="270"/>
      <c r="T362" s="270"/>
      <c r="U362" s="270"/>
      <c r="V362" s="270"/>
    </row>
    <row r="363" spans="1:22">
      <c r="B363" s="270" t="s">
        <v>232</v>
      </c>
      <c r="C363" s="270" t="s">
        <v>74</v>
      </c>
      <c r="D363" s="270"/>
      <c r="E363" s="269"/>
      <c r="F363" s="270"/>
      <c r="G363" s="270"/>
      <c r="H363" s="270"/>
      <c r="I363" s="270">
        <f t="shared" ca="1" si="92"/>
        <v>0</v>
      </c>
      <c r="J363" s="270"/>
      <c r="K363" s="537">
        <f t="shared" ca="1" si="94"/>
        <v>0.89081502503204923</v>
      </c>
      <c r="L363" s="538">
        <f t="shared" ca="1" si="94"/>
        <v>0.89153049605148205</v>
      </c>
      <c r="M363" s="538">
        <f t="shared" ca="1" si="94"/>
        <v>0.6703987856218685</v>
      </c>
      <c r="N363" s="538">
        <f t="shared" ca="1" si="94"/>
        <v>0.12011007071291679</v>
      </c>
      <c r="O363" s="538">
        <f t="shared" ca="1" si="94"/>
        <v>-0.20082915855319072</v>
      </c>
      <c r="P363" s="270"/>
      <c r="Q363" s="270"/>
      <c r="R363" s="270"/>
      <c r="S363" s="270"/>
      <c r="T363" s="270"/>
      <c r="U363" s="270"/>
      <c r="V363" s="270"/>
    </row>
    <row r="364" spans="1:22">
      <c r="B364" s="270" t="s">
        <v>255</v>
      </c>
      <c r="C364" s="270" t="s">
        <v>74</v>
      </c>
      <c r="D364" s="270"/>
      <c r="E364" s="269"/>
      <c r="F364" s="270"/>
      <c r="G364" s="270"/>
      <c r="H364" s="270"/>
      <c r="I364" s="270">
        <f t="shared" ca="1" si="92"/>
        <v>0</v>
      </c>
      <c r="J364" s="270"/>
      <c r="K364" s="537">
        <f t="shared" ca="1" si="94"/>
        <v>-0.48475318316095883</v>
      </c>
      <c r="L364" s="538">
        <f t="shared" ca="1" si="94"/>
        <v>-0.49232688611925024</v>
      </c>
      <c r="M364" s="538">
        <f t="shared" ca="1" si="94"/>
        <v>-0.29877935465077954</v>
      </c>
      <c r="N364" s="538">
        <f t="shared" ca="1" si="94"/>
        <v>-0.32732923104676281</v>
      </c>
      <c r="O364" s="538">
        <f t="shared" ca="1" si="94"/>
        <v>-0.41496503510704308</v>
      </c>
      <c r="P364" s="270"/>
      <c r="Q364" s="270"/>
      <c r="R364" s="270"/>
      <c r="S364" s="270"/>
      <c r="T364" s="270"/>
      <c r="U364" s="270"/>
      <c r="V364" s="270"/>
    </row>
    <row r="365" spans="1:22">
      <c r="B365" s="270"/>
      <c r="C365" s="270"/>
      <c r="D365" s="270"/>
      <c r="E365" s="269"/>
      <c r="F365" s="270"/>
      <c r="G365" s="270"/>
      <c r="H365" s="270"/>
      <c r="I365" s="270"/>
      <c r="J365" s="270"/>
      <c r="K365" s="463"/>
      <c r="L365" s="270"/>
      <c r="M365" s="270"/>
      <c r="N365" s="270"/>
      <c r="O365" s="270"/>
      <c r="P365" s="270"/>
      <c r="Q365" s="270"/>
      <c r="R365" s="270"/>
      <c r="S365" s="270"/>
      <c r="T365" s="270"/>
      <c r="U365" s="270"/>
      <c r="V365" s="270"/>
    </row>
    <row r="366" spans="1:22" s="291" customFormat="1">
      <c r="A366" s="296" t="s">
        <v>441</v>
      </c>
      <c r="B366" s="294"/>
      <c r="C366" s="294"/>
      <c r="D366" s="294"/>
      <c r="E366" s="295"/>
      <c r="F366" s="294"/>
      <c r="G366" s="294"/>
      <c r="H366" s="294"/>
      <c r="I366" s="294"/>
      <c r="J366" s="294"/>
      <c r="K366" s="465"/>
      <c r="L366" s="294"/>
      <c r="M366" s="294"/>
      <c r="N366" s="294"/>
      <c r="O366" s="294"/>
      <c r="P366" s="294"/>
      <c r="Q366" s="294"/>
      <c r="R366" s="294"/>
      <c r="S366" s="294"/>
      <c r="T366" s="294"/>
      <c r="U366" s="294"/>
      <c r="V366" s="289"/>
    </row>
    <row r="367" spans="1:22">
      <c r="B367" s="270" t="s">
        <v>215</v>
      </c>
      <c r="C367" s="270" t="s">
        <v>74</v>
      </c>
      <c r="D367" s="270"/>
      <c r="E367" s="269"/>
      <c r="F367" s="270"/>
      <c r="G367" s="270"/>
      <c r="H367" s="270"/>
      <c r="I367" s="270">
        <f ca="1">(I327-$I327)/$I327*$I307</f>
        <v>0</v>
      </c>
      <c r="J367" s="270"/>
      <c r="K367" s="537">
        <f ca="1">(K327-$I327)/$I327*$I307</f>
        <v>1.0257995684076375</v>
      </c>
      <c r="L367" s="538">
        <f ca="1">(L327-$I327)/$I327*$I307</f>
        <v>1.5264748083044337</v>
      </c>
      <c r="M367" s="538">
        <f ca="1">(M327-$I327)/$I327*$I307</f>
        <v>2.0632828240135774</v>
      </c>
      <c r="N367" s="538">
        <f ca="1">(N327-$I327)/$I327*$I307</f>
        <v>2.6451277079721374</v>
      </c>
      <c r="O367" s="538">
        <f ca="1">(O327-$I327)/$I327*$I307</f>
        <v>3.274851649615758</v>
      </c>
      <c r="P367" s="270"/>
      <c r="Q367" s="270"/>
      <c r="R367" s="270"/>
      <c r="S367" s="270"/>
      <c r="T367" s="270"/>
      <c r="U367" s="270"/>
      <c r="V367" s="270"/>
    </row>
    <row r="368" spans="1:22">
      <c r="B368" s="270" t="s">
        <v>216</v>
      </c>
      <c r="C368" s="270" t="s">
        <v>74</v>
      </c>
      <c r="D368" s="270"/>
      <c r="E368" s="269"/>
      <c r="F368" s="270"/>
      <c r="G368" s="270"/>
      <c r="H368" s="270"/>
      <c r="I368" s="270">
        <f t="shared" ref="I368:O368" ca="1" si="95">(I328-$I328)/$I328*$I308</f>
        <v>0</v>
      </c>
      <c r="J368" s="270"/>
      <c r="K368" s="537">
        <f t="shared" ca="1" si="95"/>
        <v>0.36618455044064585</v>
      </c>
      <c r="L368" s="538">
        <f t="shared" ca="1" si="95"/>
        <v>0.56152145707633738</v>
      </c>
      <c r="M368" s="538">
        <f t="shared" ca="1" si="95"/>
        <v>0.76908636808186492</v>
      </c>
      <c r="N368" s="538">
        <f t="shared" ca="1" si="95"/>
        <v>0.98883415290493304</v>
      </c>
      <c r="O368" s="538">
        <f t="shared" ca="1" si="95"/>
        <v>1.2208265691433968</v>
      </c>
      <c r="P368" s="270"/>
      <c r="Q368" s="270"/>
      <c r="R368" s="270"/>
      <c r="S368" s="270"/>
      <c r="T368" s="270"/>
      <c r="U368" s="270"/>
      <c r="V368" s="270"/>
    </row>
    <row r="369" spans="2:22">
      <c r="B369" s="270" t="s">
        <v>217</v>
      </c>
      <c r="C369" s="270" t="s">
        <v>74</v>
      </c>
      <c r="D369" s="270"/>
      <c r="E369" s="269"/>
      <c r="F369" s="270"/>
      <c r="G369" s="270"/>
      <c r="H369" s="270"/>
      <c r="I369" s="270">
        <f t="shared" ref="I369:O369" ca="1" si="96">(I329-$I329)/$I329*$I309</f>
        <v>0</v>
      </c>
      <c r="J369" s="270"/>
      <c r="K369" s="537">
        <f ca="1">(K329-$I329)/$I329*$I309</f>
        <v>0.46150469704531472</v>
      </c>
      <c r="L369" s="538">
        <f t="shared" ca="1" si="96"/>
        <v>0.70913107658191843</v>
      </c>
      <c r="M369" s="538">
        <f t="shared" ca="1" si="96"/>
        <v>0.9617757476935026</v>
      </c>
      <c r="N369" s="538">
        <f t="shared" ca="1" si="96"/>
        <v>1.2198359150171665</v>
      </c>
      <c r="O369" s="538">
        <f t="shared" ca="1" si="96"/>
        <v>1.4853201236508542</v>
      </c>
      <c r="P369" s="270"/>
      <c r="Q369" s="270"/>
      <c r="R369" s="270"/>
      <c r="S369" s="270"/>
      <c r="T369" s="270"/>
      <c r="U369" s="270"/>
      <c r="V369" s="270"/>
    </row>
    <row r="370" spans="2:22">
      <c r="B370" s="270" t="s">
        <v>219</v>
      </c>
      <c r="C370" s="270" t="s">
        <v>74</v>
      </c>
      <c r="D370" s="270"/>
      <c r="E370" s="269"/>
      <c r="F370" s="270"/>
      <c r="G370" s="270"/>
      <c r="H370" s="270"/>
      <c r="I370" s="270">
        <f t="shared" ref="I370:O370" ca="1" si="97">(I330-$I330)/$I330*$I310</f>
        <v>0</v>
      </c>
      <c r="J370" s="270"/>
      <c r="K370" s="537">
        <f ca="1">(K330-$I330)/$I330*$I310</f>
        <v>0.63140399643122924</v>
      </c>
      <c r="L370" s="538">
        <f ca="1">(L330-$I330)/$I330*$I310</f>
        <v>1.0507537044846618</v>
      </c>
      <c r="M370" s="538">
        <f t="shared" ca="1" si="97"/>
        <v>1.5237574046784188</v>
      </c>
      <c r="N370" s="538">
        <f t="shared" ca="1" si="97"/>
        <v>2.0503884768347</v>
      </c>
      <c r="O370" s="538">
        <f t="shared" ca="1" si="97"/>
        <v>2.6294653946019411</v>
      </c>
      <c r="P370" s="270"/>
      <c r="Q370" s="270"/>
      <c r="R370" s="270"/>
      <c r="S370" s="270"/>
      <c r="T370" s="270"/>
      <c r="U370" s="270"/>
      <c r="V370" s="270"/>
    </row>
    <row r="371" spans="2:22">
      <c r="B371" s="270" t="s">
        <v>220</v>
      </c>
      <c r="C371" s="270" t="s">
        <v>74</v>
      </c>
      <c r="D371" s="270"/>
      <c r="E371" s="269"/>
      <c r="F371" s="270"/>
      <c r="G371" s="270"/>
      <c r="H371" s="270"/>
      <c r="I371" s="270">
        <f t="shared" ref="I371:O371" ca="1" si="98">(I331-$I331)/$I331*$I311</f>
        <v>0</v>
      </c>
      <c r="J371" s="270"/>
      <c r="K371" s="537">
        <f t="shared" ca="1" si="98"/>
        <v>0.3759011177124017</v>
      </c>
      <c r="L371" s="538">
        <f t="shared" ca="1" si="98"/>
        <v>0.5860672067306365</v>
      </c>
      <c r="M371" s="538">
        <f t="shared" ca="1" si="98"/>
        <v>0.79484434813997062</v>
      </c>
      <c r="N371" s="538">
        <f t="shared" ca="1" si="98"/>
        <v>0.99789271662765078</v>
      </c>
      <c r="O371" s="538">
        <f t="shared" ca="1" si="98"/>
        <v>1.2034595066039766</v>
      </c>
      <c r="P371" s="270"/>
      <c r="Q371" s="270"/>
      <c r="R371" s="270"/>
      <c r="S371" s="270"/>
      <c r="T371" s="270"/>
      <c r="U371" s="270"/>
      <c r="V371" s="270"/>
    </row>
    <row r="372" spans="2:22">
      <c r="B372" s="270" t="s">
        <v>221</v>
      </c>
      <c r="C372" s="270" t="s">
        <v>74</v>
      </c>
      <c r="D372" s="270"/>
      <c r="E372" s="269"/>
      <c r="F372" s="270"/>
      <c r="G372" s="270"/>
      <c r="H372" s="270"/>
      <c r="I372" s="270">
        <f t="shared" ref="I372:O372" ca="1" si="99">(I332-$I332)/$I332*$I312</f>
        <v>0</v>
      </c>
      <c r="J372" s="270"/>
      <c r="K372" s="537">
        <f t="shared" ca="1" si="99"/>
        <v>0.95780802711908619</v>
      </c>
      <c r="L372" s="538">
        <f t="shared" ca="1" si="99"/>
        <v>1.4803517927354481</v>
      </c>
      <c r="M372" s="538">
        <f ca="1">(M332-$I332)/$I332*$I312</f>
        <v>2.0346148318539061</v>
      </c>
      <c r="N372" s="538">
        <f t="shared" ca="1" si="99"/>
        <v>2.5823628073063909</v>
      </c>
      <c r="O372" s="538">
        <f t="shared" ca="1" si="99"/>
        <v>3.1002436993307412</v>
      </c>
      <c r="P372" s="270"/>
      <c r="Q372" s="270"/>
      <c r="R372" s="270"/>
      <c r="S372" s="270"/>
      <c r="T372" s="270"/>
      <c r="U372" s="270"/>
      <c r="V372" s="270"/>
    </row>
    <row r="373" spans="2:22">
      <c r="B373" s="270" t="s">
        <v>222</v>
      </c>
      <c r="C373" s="270" t="s">
        <v>74</v>
      </c>
      <c r="D373" s="270"/>
      <c r="E373" s="269"/>
      <c r="F373" s="270"/>
      <c r="G373" s="270"/>
      <c r="H373" s="270"/>
      <c r="I373" s="270">
        <f t="shared" ref="I373:O373" ca="1" si="100">(I333-$I333)/$I333*$I313</f>
        <v>0</v>
      </c>
      <c r="J373" s="270"/>
      <c r="K373" s="537">
        <f t="shared" ca="1" si="100"/>
        <v>2.7087870012674999</v>
      </c>
      <c r="L373" s="538">
        <f t="shared" ca="1" si="100"/>
        <v>3.9949946433459473</v>
      </c>
      <c r="M373" s="538">
        <f t="shared" ca="1" si="100"/>
        <v>5.3355131873841266</v>
      </c>
      <c r="N373" s="538">
        <f t="shared" ca="1" si="100"/>
        <v>6.6785910476794879</v>
      </c>
      <c r="O373" s="538">
        <f t="shared" ca="1" si="100"/>
        <v>8.0042793239192864</v>
      </c>
      <c r="P373" s="270"/>
      <c r="Q373" s="270"/>
      <c r="R373" s="270"/>
      <c r="S373" s="270"/>
      <c r="T373" s="270"/>
      <c r="U373" s="270"/>
      <c r="V373" s="270"/>
    </row>
    <row r="374" spans="2:22">
      <c r="B374" s="270" t="s">
        <v>223</v>
      </c>
      <c r="C374" s="270" t="s">
        <v>74</v>
      </c>
      <c r="D374" s="270"/>
      <c r="E374" s="269"/>
      <c r="F374" s="270"/>
      <c r="G374" s="270"/>
      <c r="H374" s="270"/>
      <c r="I374" s="270">
        <f t="shared" ref="I374:O374" ca="1" si="101">(I334-$I334)/$I334*$I314</f>
        <v>0</v>
      </c>
      <c r="J374" s="270"/>
      <c r="K374" s="537">
        <f t="shared" ca="1" si="101"/>
        <v>0.76078821546491526</v>
      </c>
      <c r="L374" s="538">
        <f t="shared" ca="1" si="101"/>
        <v>1.2075909536601976</v>
      </c>
      <c r="M374" s="538">
        <f t="shared" ca="1" si="101"/>
        <v>1.7047456814412014</v>
      </c>
      <c r="N374" s="538">
        <f t="shared" ca="1" si="101"/>
        <v>2.2580205732653966</v>
      </c>
      <c r="O374" s="538">
        <f t="shared" ca="1" si="101"/>
        <v>2.8516339922607092</v>
      </c>
      <c r="P374" s="270"/>
      <c r="Q374" s="270"/>
      <c r="R374" s="270"/>
      <c r="S374" s="270"/>
      <c r="T374" s="270"/>
      <c r="U374" s="270"/>
      <c r="V374" s="270"/>
    </row>
    <row r="375" spans="2:22">
      <c r="B375" s="270" t="s">
        <v>224</v>
      </c>
      <c r="C375" s="270" t="s">
        <v>74</v>
      </c>
      <c r="D375" s="270"/>
      <c r="E375" s="269"/>
      <c r="F375" s="270"/>
      <c r="G375" s="270"/>
      <c r="H375" s="270"/>
      <c r="I375" s="270">
        <f t="shared" ref="I375:O375" ca="1" si="102">(I335-$I335)/$I335*$I315</f>
        <v>0</v>
      </c>
      <c r="J375" s="270"/>
      <c r="K375" s="537">
        <f t="shared" ca="1" si="102"/>
        <v>0.4473549433511782</v>
      </c>
      <c r="L375" s="538">
        <f t="shared" ca="1" si="102"/>
        <v>0.67554934577841319</v>
      </c>
      <c r="M375" s="538">
        <f t="shared" ca="1" si="102"/>
        <v>0.90578458457084321</v>
      </c>
      <c r="N375" s="538">
        <f t="shared" ca="1" si="102"/>
        <v>1.1346652859527508</v>
      </c>
      <c r="O375" s="538">
        <f t="shared" ca="1" si="102"/>
        <v>1.3610355780004704</v>
      </c>
      <c r="P375" s="270"/>
      <c r="Q375" s="270"/>
      <c r="R375" s="270"/>
      <c r="S375" s="270"/>
      <c r="T375" s="270"/>
      <c r="U375" s="270"/>
      <c r="V375" s="270"/>
    </row>
    <row r="376" spans="2:22">
      <c r="B376" s="270" t="s">
        <v>225</v>
      </c>
      <c r="C376" s="270" t="s">
        <v>74</v>
      </c>
      <c r="D376" s="270"/>
      <c r="E376" s="269"/>
      <c r="F376" s="270"/>
      <c r="G376" s="270"/>
      <c r="H376" s="270"/>
      <c r="I376" s="270">
        <f t="shared" ref="I376:O376" ca="1" si="103">(I336-$I336)/$I336*$I316</f>
        <v>0</v>
      </c>
      <c r="J376" s="270"/>
      <c r="K376" s="537">
        <f t="shared" ca="1" si="103"/>
        <v>0.50676386584537958</v>
      </c>
      <c r="L376" s="538">
        <f t="shared" ca="1" si="103"/>
        <v>0.86467784691047944</v>
      </c>
      <c r="M376" s="538">
        <f t="shared" ca="1" si="103"/>
        <v>1.3275459507526444</v>
      </c>
      <c r="N376" s="538">
        <f t="shared" ca="1" si="103"/>
        <v>1.8504318288480259</v>
      </c>
      <c r="O376" s="538">
        <f t="shared" ca="1" si="103"/>
        <v>2.4199989845647836</v>
      </c>
      <c r="P376" s="270"/>
      <c r="Q376" s="270"/>
      <c r="R376" s="270"/>
      <c r="S376" s="270"/>
      <c r="T376" s="270"/>
      <c r="U376" s="270"/>
      <c r="V376" s="270"/>
    </row>
    <row r="377" spans="2:22">
      <c r="B377" s="270" t="s">
        <v>226</v>
      </c>
      <c r="C377" s="270" t="s">
        <v>74</v>
      </c>
      <c r="D377" s="270"/>
      <c r="E377" s="269"/>
      <c r="F377" s="270"/>
      <c r="G377" s="270"/>
      <c r="H377" s="270"/>
      <c r="I377" s="270">
        <f t="shared" ref="I377:O377" ca="1" si="104">(I337-$I337)/$I337*$I317</f>
        <v>0</v>
      </c>
      <c r="J377" s="270"/>
      <c r="K377" s="537">
        <f t="shared" ca="1" si="104"/>
        <v>-0.19161326793952538</v>
      </c>
      <c r="L377" s="538">
        <f t="shared" ca="1" si="104"/>
        <v>-5.85169988105518E-2</v>
      </c>
      <c r="M377" s="538">
        <f t="shared" ca="1" si="104"/>
        <v>7.1534584423308886E-2</v>
      </c>
      <c r="N377" s="538">
        <f t="shared" ca="1" si="104"/>
        <v>0.19716671287575513</v>
      </c>
      <c r="O377" s="538">
        <f t="shared" ca="1" si="104"/>
        <v>0.32338913757315363</v>
      </c>
      <c r="P377" s="270"/>
      <c r="Q377" s="270"/>
      <c r="R377" s="270"/>
      <c r="S377" s="270"/>
      <c r="T377" s="270"/>
      <c r="U377" s="270"/>
      <c r="V377" s="270"/>
    </row>
    <row r="378" spans="2:22">
      <c r="B378" s="270" t="s">
        <v>227</v>
      </c>
      <c r="C378" s="270" t="s">
        <v>74</v>
      </c>
      <c r="D378" s="270"/>
      <c r="E378" s="269"/>
      <c r="F378" s="270"/>
      <c r="G378" s="270"/>
      <c r="H378" s="270"/>
      <c r="I378" s="270">
        <f t="shared" ref="I378:O378" ca="1" si="105">(I338-$I338)/$I338*$I318</f>
        <v>0</v>
      </c>
      <c r="J378" s="270"/>
      <c r="K378" s="537">
        <f t="shared" ca="1" si="105"/>
        <v>0.14961189088337393</v>
      </c>
      <c r="L378" s="538">
        <f t="shared" ca="1" si="105"/>
        <v>0.23484476201182206</v>
      </c>
      <c r="M378" s="538">
        <f t="shared" ca="1" si="105"/>
        <v>0.31999929410430566</v>
      </c>
      <c r="N378" s="538">
        <f t="shared" ca="1" si="105"/>
        <v>0.40397874065733652</v>
      </c>
      <c r="O378" s="538">
        <f t="shared" ca="1" si="105"/>
        <v>0.48670476263494844</v>
      </c>
      <c r="P378" s="270"/>
      <c r="Q378" s="270"/>
      <c r="R378" s="270"/>
      <c r="S378" s="270"/>
      <c r="T378" s="270"/>
      <c r="U378" s="270"/>
      <c r="V378" s="270"/>
    </row>
    <row r="379" spans="2:22">
      <c r="B379" s="270" t="s">
        <v>228</v>
      </c>
      <c r="C379" s="270" t="s">
        <v>74</v>
      </c>
      <c r="D379" s="270"/>
      <c r="E379" s="269"/>
      <c r="F379" s="270"/>
      <c r="G379" s="270"/>
      <c r="H379" s="270"/>
      <c r="I379" s="270">
        <f t="shared" ref="I379:O379" ca="1" si="106">(I339-$I339)/$I339*$I319</f>
        <v>0</v>
      </c>
      <c r="J379" s="270"/>
      <c r="K379" s="537">
        <f t="shared" ca="1" si="106"/>
        <v>7.8596751134171083E-2</v>
      </c>
      <c r="L379" s="538">
        <f t="shared" ca="1" si="106"/>
        <v>9.8245938917714076E-2</v>
      </c>
      <c r="M379" s="538">
        <f t="shared" ca="1" si="106"/>
        <v>0.11789512670125706</v>
      </c>
      <c r="N379" s="538">
        <f t="shared" ca="1" si="106"/>
        <v>0.13754431448479976</v>
      </c>
      <c r="O379" s="538">
        <f t="shared" ca="1" si="106"/>
        <v>0.15721436127872879</v>
      </c>
      <c r="P379" s="270"/>
      <c r="Q379" s="270"/>
      <c r="R379" s="270"/>
      <c r="S379" s="270"/>
      <c r="T379" s="270"/>
      <c r="U379" s="270"/>
      <c r="V379" s="270"/>
    </row>
    <row r="380" spans="2:22">
      <c r="B380" s="270" t="s">
        <v>229</v>
      </c>
      <c r="C380" s="270" t="s">
        <v>74</v>
      </c>
      <c r="D380" s="270"/>
      <c r="E380" s="269"/>
      <c r="F380" s="270"/>
      <c r="G380" s="270"/>
      <c r="H380" s="270"/>
      <c r="I380" s="270">
        <f t="shared" ref="I380:O380" ca="1" si="107">(I340-$I340)/$I340*$I320</f>
        <v>0</v>
      </c>
      <c r="J380" s="270"/>
      <c r="K380" s="537">
        <f t="shared" ca="1" si="107"/>
        <v>5.4129820770619917E-2</v>
      </c>
      <c r="L380" s="538">
        <f t="shared" ca="1" si="107"/>
        <v>8.3440528432825067E-2</v>
      </c>
      <c r="M380" s="538">
        <f t="shared" ca="1" si="107"/>
        <v>0.11754136563427041</v>
      </c>
      <c r="N380" s="538">
        <f t="shared" ca="1" si="107"/>
        <v>0.15829139114797625</v>
      </c>
      <c r="O380" s="538">
        <f t="shared" ca="1" si="107"/>
        <v>0.198159381477402</v>
      </c>
      <c r="P380" s="270"/>
      <c r="Q380" s="270"/>
      <c r="R380" s="270"/>
      <c r="S380" s="270"/>
      <c r="T380" s="270"/>
      <c r="U380" s="270"/>
      <c r="V380" s="270"/>
    </row>
    <row r="381" spans="2:22">
      <c r="B381" s="270" t="s">
        <v>230</v>
      </c>
      <c r="C381" s="270" t="s">
        <v>74</v>
      </c>
      <c r="D381" s="270"/>
      <c r="E381" s="269"/>
      <c r="F381" s="270"/>
      <c r="G381" s="270"/>
      <c r="H381" s="270"/>
      <c r="I381" s="270">
        <f t="shared" ref="I381:O381" ca="1" si="108">(I341-$I341)/$I341*$I321</f>
        <v>0</v>
      </c>
      <c r="J381" s="270"/>
      <c r="K381" s="537">
        <f t="shared" ca="1" si="108"/>
        <v>3.7326699334627941E-2</v>
      </c>
      <c r="L381" s="538">
        <f t="shared" ca="1" si="108"/>
        <v>5.9194663037690311E-2</v>
      </c>
      <c r="M381" s="538">
        <f t="shared" ca="1" si="108"/>
        <v>8.3743215839837362E-2</v>
      </c>
      <c r="N381" s="538">
        <f t="shared" ca="1" si="108"/>
        <v>0.10631659772686941</v>
      </c>
      <c r="O381" s="538">
        <f t="shared" ca="1" si="108"/>
        <v>0.12774115571429326</v>
      </c>
      <c r="P381" s="270"/>
      <c r="Q381" s="270"/>
      <c r="R381" s="270"/>
      <c r="S381" s="270"/>
      <c r="T381" s="270"/>
      <c r="U381" s="270"/>
      <c r="V381" s="270"/>
    </row>
    <row r="382" spans="2:22">
      <c r="B382" s="270" t="s">
        <v>231</v>
      </c>
      <c r="C382" s="270" t="s">
        <v>74</v>
      </c>
      <c r="D382" s="270"/>
      <c r="E382" s="269"/>
      <c r="F382" s="270"/>
      <c r="G382" s="270"/>
      <c r="H382" s="270"/>
      <c r="I382" s="270">
        <f t="shared" ref="I382:O382" ca="1" si="109">(I342-$I342)/$I342*$I322</f>
        <v>0</v>
      </c>
      <c r="J382" s="270"/>
      <c r="K382" s="537">
        <f t="shared" ca="1" si="109"/>
        <v>0.31196780827491849</v>
      </c>
      <c r="L382" s="538">
        <f t="shared" ca="1" si="109"/>
        <v>0.47143200180354766</v>
      </c>
      <c r="M382" s="538">
        <f t="shared" ca="1" si="109"/>
        <v>0.63691653971030726</v>
      </c>
      <c r="N382" s="538">
        <f t="shared" ca="1" si="109"/>
        <v>0.79066210018575578</v>
      </c>
      <c r="O382" s="538">
        <f t="shared" ca="1" si="109"/>
        <v>0.94350355615229464</v>
      </c>
      <c r="P382" s="270"/>
      <c r="Q382" s="270"/>
      <c r="R382" s="270"/>
      <c r="S382" s="270"/>
      <c r="T382" s="270"/>
      <c r="U382" s="270"/>
      <c r="V382" s="270"/>
    </row>
    <row r="383" spans="2:22">
      <c r="B383" s="270" t="s">
        <v>232</v>
      </c>
      <c r="C383" s="270" t="s">
        <v>74</v>
      </c>
      <c r="D383" s="270"/>
      <c r="E383" s="269"/>
      <c r="F383" s="270"/>
      <c r="G383" s="270"/>
      <c r="H383" s="270"/>
      <c r="I383" s="270">
        <f t="shared" ref="I383:O383" ca="1" si="110">(I343-$I343)/$I343*$I323</f>
        <v>0</v>
      </c>
      <c r="J383" s="270"/>
      <c r="K383" s="537">
        <f t="shared" ca="1" si="110"/>
        <v>0.1286436823759099</v>
      </c>
      <c r="L383" s="538">
        <f t="shared" ca="1" si="110"/>
        <v>0.20776450902055119</v>
      </c>
      <c r="M383" s="538">
        <f t="shared" ca="1" si="110"/>
        <v>0.29058677717557518</v>
      </c>
      <c r="N383" s="538">
        <f t="shared" ca="1" si="110"/>
        <v>0.37669780775009915</v>
      </c>
      <c r="O383" s="538">
        <f t="shared" ca="1" si="110"/>
        <v>0.46487326771638421</v>
      </c>
      <c r="P383" s="270"/>
      <c r="Q383" s="270"/>
      <c r="R383" s="270"/>
      <c r="S383" s="270"/>
      <c r="T383" s="270"/>
      <c r="U383" s="270"/>
      <c r="V383" s="270"/>
    </row>
    <row r="384" spans="2:22">
      <c r="B384" s="270" t="s">
        <v>255</v>
      </c>
      <c r="C384" s="270" t="s">
        <v>74</v>
      </c>
      <c r="D384" s="270"/>
      <c r="E384" s="269"/>
      <c r="F384" s="270"/>
      <c r="G384" s="270"/>
      <c r="H384" s="270"/>
      <c r="I384" s="270">
        <f t="shared" ref="I384:N384" ca="1" si="111">(I344-$I344)/$I344*$I324</f>
        <v>0</v>
      </c>
      <c r="J384" s="270"/>
      <c r="K384" s="537">
        <f t="shared" ca="1" si="111"/>
        <v>9.6410422339504462E-2</v>
      </c>
      <c r="L384" s="538">
        <f t="shared" ca="1" si="111"/>
        <v>0.14237086282273193</v>
      </c>
      <c r="M384" s="538">
        <f t="shared" ca="1" si="111"/>
        <v>0.18786982777702088</v>
      </c>
      <c r="N384" s="538">
        <f t="shared" ca="1" si="111"/>
        <v>0.23484821550830731</v>
      </c>
      <c r="O384" s="538">
        <f ca="1">(O344-$I344)/$I344*$I324</f>
        <v>0.28191201224591983</v>
      </c>
      <c r="P384" s="270"/>
      <c r="Q384" s="270"/>
      <c r="R384" s="270"/>
      <c r="S384" s="270"/>
      <c r="T384" s="270"/>
      <c r="U384" s="270"/>
      <c r="V384" s="270"/>
    </row>
    <row r="385" spans="1:22">
      <c r="B385" s="270"/>
      <c r="C385" s="270"/>
      <c r="D385" s="270"/>
      <c r="E385" s="269"/>
      <c r="F385" s="270"/>
      <c r="G385" s="270"/>
      <c r="H385" s="270"/>
      <c r="I385" s="270"/>
      <c r="J385" s="270"/>
      <c r="K385" s="463"/>
      <c r="L385" s="270"/>
      <c r="M385" s="270"/>
      <c r="N385" s="270"/>
      <c r="O385" s="270"/>
      <c r="P385" s="270"/>
      <c r="Q385" s="270"/>
      <c r="R385" s="270"/>
      <c r="S385" s="270"/>
      <c r="T385" s="270"/>
      <c r="U385" s="270"/>
      <c r="V385" s="270"/>
    </row>
    <row r="386" spans="1:22" s="298" customFormat="1">
      <c r="A386" s="296" t="s">
        <v>442</v>
      </c>
      <c r="B386" s="296"/>
      <c r="C386" s="296"/>
      <c r="D386" s="296"/>
      <c r="E386" s="297"/>
      <c r="F386" s="296"/>
      <c r="G386" s="296"/>
      <c r="H386" s="296"/>
      <c r="I386" s="296"/>
      <c r="J386" s="296"/>
      <c r="K386" s="464"/>
      <c r="L386" s="296"/>
      <c r="M386" s="296"/>
      <c r="N386" s="296"/>
      <c r="O386" s="296"/>
      <c r="P386" s="296"/>
      <c r="Q386" s="296"/>
      <c r="R386" s="296"/>
      <c r="S386" s="296"/>
      <c r="T386" s="296"/>
      <c r="U386" s="296"/>
      <c r="V386" s="293"/>
    </row>
    <row r="387" spans="1:22">
      <c r="A387" s="283"/>
      <c r="B387" s="282" t="s">
        <v>215</v>
      </c>
      <c r="C387" s="282" t="s">
        <v>74</v>
      </c>
      <c r="D387" s="282"/>
      <c r="E387" s="271"/>
      <c r="F387" s="282"/>
      <c r="G387" s="282"/>
      <c r="H387" s="282"/>
      <c r="I387" s="282">
        <f t="shared" ref="I387:I404" ca="1" si="112">(VLOOKUP($R387,INDIRECT($B387),COLUMN()-1,FALSE)-VLOOKUP($R387,INDIRECT($B387),8,FALSE))/VLOOKUP($R387,INDIRECT($B387),8,FALSE)*VLOOKUP($Q387,INDIRECT($B387),8,FALSE)</f>
        <v>0</v>
      </c>
      <c r="J387" s="282"/>
      <c r="K387" s="535">
        <f ca="1">(VLOOKUP($R387,INDIRECT($B387),COLUMN()-1,FALSE)-VLOOKUP($R387,INDIRECT($B387),8,FALSE))/VLOOKUP($R387,INDIRECT($B387),8,FALSE)*VLOOKUP($Q387,INDIRECT($B387),8,FALSE)</f>
        <v>5.0738151167866237E-2</v>
      </c>
      <c r="L387" s="536">
        <f t="shared" ref="K387:O402" ca="1" si="113">(VLOOKUP($R387,INDIRECT($B387),COLUMN()-1,FALSE)-VLOOKUP($R387,INDIRECT($B387),8,FALSE))/VLOOKUP($R387,INDIRECT($B387),8,FALSE)*VLOOKUP($Q387,INDIRECT($B387),8,FALSE)</f>
        <v>7.3061757839049293E-2</v>
      </c>
      <c r="M387" s="536">
        <f t="shared" ca="1" si="113"/>
        <v>9.5508264789197272E-2</v>
      </c>
      <c r="N387" s="536">
        <f t="shared" ca="1" si="113"/>
        <v>0.11771142918699472</v>
      </c>
      <c r="O387" s="536">
        <f t="shared" ca="1" si="113"/>
        <v>0.13877162099041873</v>
      </c>
      <c r="P387" s="270"/>
      <c r="Q387" s="270" t="s">
        <v>79</v>
      </c>
      <c r="R387" s="270" t="s">
        <v>87</v>
      </c>
      <c r="S387" s="270"/>
      <c r="T387" s="270"/>
      <c r="U387" s="270"/>
      <c r="V387" s="270"/>
    </row>
    <row r="388" spans="1:22">
      <c r="A388" s="283"/>
      <c r="B388" s="282" t="s">
        <v>216</v>
      </c>
      <c r="C388" s="282" t="s">
        <v>74</v>
      </c>
      <c r="D388" s="282"/>
      <c r="E388" s="271"/>
      <c r="F388" s="282"/>
      <c r="G388" s="282"/>
      <c r="H388" s="282"/>
      <c r="I388" s="282">
        <f t="shared" ca="1" si="112"/>
        <v>0</v>
      </c>
      <c r="J388" s="282"/>
      <c r="K388" s="535">
        <f t="shared" ca="1" si="113"/>
        <v>1.3357011326164328E-2</v>
      </c>
      <c r="L388" s="536">
        <f t="shared" ca="1" si="113"/>
        <v>2.0193468305717183E-2</v>
      </c>
      <c r="M388" s="536">
        <f t="shared" ca="1" si="113"/>
        <v>2.7143326230428522E-2</v>
      </c>
      <c r="N388" s="536">
        <f t="shared" ca="1" si="113"/>
        <v>3.422278523532097E-2</v>
      </c>
      <c r="O388" s="536">
        <f t="shared" ca="1" si="113"/>
        <v>4.1448045455417123E-2</v>
      </c>
      <c r="P388" s="270"/>
      <c r="Q388" s="270" t="s">
        <v>79</v>
      </c>
      <c r="R388" s="270" t="s">
        <v>87</v>
      </c>
      <c r="S388" s="270"/>
      <c r="T388" s="270"/>
      <c r="U388" s="270"/>
      <c r="V388" s="270"/>
    </row>
    <row r="389" spans="1:22">
      <c r="A389" s="283"/>
      <c r="B389" s="282" t="s">
        <v>217</v>
      </c>
      <c r="C389" s="282" t="s">
        <v>74</v>
      </c>
      <c r="D389" s="282"/>
      <c r="E389" s="271"/>
      <c r="F389" s="282"/>
      <c r="G389" s="282"/>
      <c r="H389" s="282"/>
      <c r="I389" s="282">
        <f t="shared" ca="1" si="112"/>
        <v>0</v>
      </c>
      <c r="J389" s="282"/>
      <c r="K389" s="535">
        <f ca="1">(VLOOKUP($R389,INDIRECT($B389),COLUMN()-1,FALSE)-VLOOKUP($R389,INDIRECT($B389),8,FALSE))/VLOOKUP($R389,INDIRECT($B389),8,FALSE)*VLOOKUP($Q389,INDIRECT($B389),8,FALSE)</f>
        <v>8.3048249475869237E-2</v>
      </c>
      <c r="L389" s="536">
        <f t="shared" ca="1" si="113"/>
        <v>0.12581630617829354</v>
      </c>
      <c r="M389" s="536">
        <f t="shared" ca="1" si="113"/>
        <v>0.16994817637131895</v>
      </c>
      <c r="N389" s="536">
        <f t="shared" ca="1" si="113"/>
        <v>0.21461629081017614</v>
      </c>
      <c r="O389" s="536">
        <f t="shared" ca="1" si="113"/>
        <v>0.25840527405754954</v>
      </c>
      <c r="P389" s="270"/>
      <c r="Q389" s="270" t="s">
        <v>79</v>
      </c>
      <c r="R389" s="270" t="s">
        <v>87</v>
      </c>
      <c r="S389" s="270"/>
      <c r="T389" s="270"/>
      <c r="U389" s="270"/>
      <c r="V389" s="270"/>
    </row>
    <row r="390" spans="1:22">
      <c r="A390" s="283"/>
      <c r="B390" s="282" t="s">
        <v>219</v>
      </c>
      <c r="C390" s="282" t="s">
        <v>74</v>
      </c>
      <c r="D390" s="282"/>
      <c r="E390" s="271"/>
      <c r="F390" s="282"/>
      <c r="G390" s="282"/>
      <c r="H390" s="282"/>
      <c r="I390" s="282">
        <f t="shared" ca="1" si="112"/>
        <v>0</v>
      </c>
      <c r="J390" s="282"/>
      <c r="K390" s="535">
        <f t="shared" ca="1" si="113"/>
        <v>6.9836895661772314E-2</v>
      </c>
      <c r="L390" s="536">
        <f t="shared" ca="1" si="113"/>
        <v>0.10520243299396538</v>
      </c>
      <c r="M390" s="536">
        <f t="shared" ca="1" si="113"/>
        <v>0.14137879365903711</v>
      </c>
      <c r="N390" s="536">
        <f t="shared" ca="1" si="113"/>
        <v>0.17838871102146056</v>
      </c>
      <c r="O390" s="536">
        <f t="shared" ca="1" si="113"/>
        <v>0.21622460729307824</v>
      </c>
      <c r="P390" s="270"/>
      <c r="Q390" s="270" t="s">
        <v>79</v>
      </c>
      <c r="R390" s="270" t="s">
        <v>87</v>
      </c>
      <c r="S390" s="270"/>
      <c r="T390" s="270"/>
      <c r="U390" s="270"/>
      <c r="V390" s="270"/>
    </row>
    <row r="391" spans="1:22">
      <c r="A391" s="283"/>
      <c r="B391" s="282" t="s">
        <v>220</v>
      </c>
      <c r="C391" s="282" t="s">
        <v>74</v>
      </c>
      <c r="D391" s="282"/>
      <c r="E391" s="271"/>
      <c r="F391" s="282"/>
      <c r="G391" s="282"/>
      <c r="H391" s="282"/>
      <c r="I391" s="282">
        <f t="shared" ca="1" si="112"/>
        <v>0</v>
      </c>
      <c r="J391" s="282"/>
      <c r="K391" s="535">
        <f t="shared" ca="1" si="113"/>
        <v>8.6364831790848463E-3</v>
      </c>
      <c r="L391" s="536">
        <f t="shared" ca="1" si="113"/>
        <v>1.2816725037403533E-2</v>
      </c>
      <c r="M391" s="536">
        <f t="shared" ca="1" si="113"/>
        <v>1.7057341778132614E-2</v>
      </c>
      <c r="N391" s="536">
        <f t="shared" ca="1" si="113"/>
        <v>2.1286458541259698E-2</v>
      </c>
      <c r="O391" s="536">
        <f t="shared" ca="1" si="113"/>
        <v>2.5518450298787299E-2</v>
      </c>
      <c r="P391" s="270"/>
      <c r="Q391" s="270" t="s">
        <v>79</v>
      </c>
      <c r="R391" s="270" t="s">
        <v>87</v>
      </c>
      <c r="S391" s="270"/>
      <c r="T391" s="270"/>
      <c r="U391" s="270"/>
      <c r="V391" s="270"/>
    </row>
    <row r="392" spans="1:22">
      <c r="A392" s="283"/>
      <c r="B392" s="282" t="s">
        <v>221</v>
      </c>
      <c r="C392" s="282" t="s">
        <v>74</v>
      </c>
      <c r="D392" s="282"/>
      <c r="E392" s="271"/>
      <c r="F392" s="282"/>
      <c r="G392" s="282"/>
      <c r="H392" s="282"/>
      <c r="I392" s="282">
        <f t="shared" ca="1" si="112"/>
        <v>0</v>
      </c>
      <c r="J392" s="282"/>
      <c r="K392" s="535">
        <f t="shared" ca="1" si="113"/>
        <v>0.1875350093958843</v>
      </c>
      <c r="L392" s="536">
        <f t="shared" ca="1" si="113"/>
        <v>0.19211861785709453</v>
      </c>
      <c r="M392" s="536">
        <f t="shared" ca="1" si="113"/>
        <v>0.19695567719000848</v>
      </c>
      <c r="N392" s="536">
        <f t="shared" ca="1" si="113"/>
        <v>0.20153103400149636</v>
      </c>
      <c r="O392" s="536">
        <f t="shared" ca="1" si="113"/>
        <v>0.20593931974956733</v>
      </c>
      <c r="P392" s="270"/>
      <c r="Q392" s="270" t="s">
        <v>79</v>
      </c>
      <c r="R392" s="270" t="s">
        <v>87</v>
      </c>
      <c r="S392" s="270"/>
      <c r="T392" s="270"/>
      <c r="U392" s="270"/>
      <c r="V392" s="270"/>
    </row>
    <row r="393" spans="1:22">
      <c r="A393" s="283"/>
      <c r="B393" s="282" t="s">
        <v>222</v>
      </c>
      <c r="C393" s="282" t="s">
        <v>74</v>
      </c>
      <c r="D393" s="282"/>
      <c r="E393" s="271"/>
      <c r="F393" s="282"/>
      <c r="G393" s="282"/>
      <c r="H393" s="282"/>
      <c r="I393" s="282">
        <f t="shared" ca="1" si="112"/>
        <v>0</v>
      </c>
      <c r="J393" s="282"/>
      <c r="K393" s="535">
        <f t="shared" ca="1" si="113"/>
        <v>0</v>
      </c>
      <c r="L393" s="536">
        <f t="shared" ca="1" si="113"/>
        <v>0</v>
      </c>
      <c r="M393" s="536">
        <f t="shared" ca="1" si="113"/>
        <v>0</v>
      </c>
      <c r="N393" s="536">
        <f t="shared" ca="1" si="113"/>
        <v>0</v>
      </c>
      <c r="O393" s="536">
        <f t="shared" ca="1" si="113"/>
        <v>0</v>
      </c>
      <c r="P393" s="270"/>
      <c r="Q393" s="270" t="s">
        <v>79</v>
      </c>
      <c r="R393" s="270" t="s">
        <v>87</v>
      </c>
      <c r="S393" s="270"/>
      <c r="T393" s="270"/>
      <c r="U393" s="270"/>
      <c r="V393" s="270"/>
    </row>
    <row r="394" spans="1:22">
      <c r="A394" s="283"/>
      <c r="B394" s="282" t="s">
        <v>223</v>
      </c>
      <c r="C394" s="282" t="s">
        <v>74</v>
      </c>
      <c r="D394" s="282"/>
      <c r="E394" s="271"/>
      <c r="F394" s="282"/>
      <c r="G394" s="282"/>
      <c r="H394" s="282"/>
      <c r="I394" s="282">
        <f t="shared" ca="1" si="112"/>
        <v>0</v>
      </c>
      <c r="J394" s="282"/>
      <c r="K394" s="535">
        <f t="shared" ca="1" si="113"/>
        <v>5.7371613060764348E-5</v>
      </c>
      <c r="L394" s="536">
        <f t="shared" ca="1" si="113"/>
        <v>1.5633764559057775E-3</v>
      </c>
      <c r="M394" s="536">
        <f t="shared" ca="1" si="113"/>
        <v>3.1650006538520587E-3</v>
      </c>
      <c r="N394" s="536">
        <f t="shared" ca="1" si="113"/>
        <v>4.8718061424097301E-3</v>
      </c>
      <c r="O394" s="536">
        <f t="shared" ca="1" si="113"/>
        <v>6.6885738893338606E-3</v>
      </c>
      <c r="P394" s="270"/>
      <c r="Q394" s="270" t="s">
        <v>79</v>
      </c>
      <c r="R394" s="270" t="s">
        <v>87</v>
      </c>
      <c r="S394" s="270"/>
      <c r="T394" s="270"/>
      <c r="U394" s="270"/>
      <c r="V394" s="270"/>
    </row>
    <row r="395" spans="1:22">
      <c r="A395" s="283"/>
      <c r="B395" s="282" t="s">
        <v>224</v>
      </c>
      <c r="C395" s="282" t="s">
        <v>74</v>
      </c>
      <c r="D395" s="282"/>
      <c r="E395" s="271"/>
      <c r="F395" s="282"/>
      <c r="G395" s="282"/>
      <c r="H395" s="282"/>
      <c r="I395" s="282">
        <f t="shared" ca="1" si="112"/>
        <v>0</v>
      </c>
      <c r="J395" s="282"/>
      <c r="K395" s="535">
        <f t="shared" ca="1" si="113"/>
        <v>0</v>
      </c>
      <c r="L395" s="536">
        <f t="shared" ca="1" si="113"/>
        <v>0</v>
      </c>
      <c r="M395" s="536">
        <f t="shared" ca="1" si="113"/>
        <v>0</v>
      </c>
      <c r="N395" s="536">
        <f t="shared" ca="1" si="113"/>
        <v>0</v>
      </c>
      <c r="O395" s="536">
        <f t="shared" ca="1" si="113"/>
        <v>0</v>
      </c>
      <c r="P395" s="270"/>
      <c r="Q395" s="270" t="s">
        <v>79</v>
      </c>
      <c r="R395" s="270" t="s">
        <v>87</v>
      </c>
      <c r="S395" s="270"/>
      <c r="T395" s="270"/>
      <c r="U395" s="270"/>
      <c r="V395" s="270"/>
    </row>
    <row r="396" spans="1:22">
      <c r="A396" s="283"/>
      <c r="B396" s="282" t="s">
        <v>225</v>
      </c>
      <c r="C396" s="282" t="s">
        <v>74</v>
      </c>
      <c r="D396" s="282"/>
      <c r="E396" s="271"/>
      <c r="F396" s="282"/>
      <c r="G396" s="282"/>
      <c r="H396" s="282"/>
      <c r="I396" s="282">
        <f t="shared" ca="1" si="112"/>
        <v>0</v>
      </c>
      <c r="J396" s="282"/>
      <c r="K396" s="535">
        <f t="shared" ca="1" si="113"/>
        <v>3.1210674399901276E-2</v>
      </c>
      <c r="L396" s="536">
        <f t="shared" ca="1" si="113"/>
        <v>4.4911134758543393E-2</v>
      </c>
      <c r="M396" s="536">
        <f t="shared" ca="1" si="113"/>
        <v>6.0699633193235215E-2</v>
      </c>
      <c r="N396" s="536">
        <f t="shared" ca="1" si="113"/>
        <v>7.6618961081313636E-2</v>
      </c>
      <c r="O396" s="536">
        <f t="shared" ca="1" si="113"/>
        <v>9.2030670690252156E-2</v>
      </c>
      <c r="P396" s="270"/>
      <c r="Q396" s="270" t="s">
        <v>79</v>
      </c>
      <c r="R396" s="270" t="s">
        <v>87</v>
      </c>
      <c r="S396" s="270"/>
      <c r="T396" s="270"/>
      <c r="U396" s="270"/>
      <c r="V396" s="270"/>
    </row>
    <row r="397" spans="1:22">
      <c r="A397" s="283"/>
      <c r="B397" s="282" t="s">
        <v>226</v>
      </c>
      <c r="C397" s="282" t="s">
        <v>74</v>
      </c>
      <c r="D397" s="282"/>
      <c r="E397" s="271"/>
      <c r="F397" s="282"/>
      <c r="G397" s="282"/>
      <c r="H397" s="282"/>
      <c r="I397" s="282">
        <f t="shared" ca="1" si="112"/>
        <v>0</v>
      </c>
      <c r="J397" s="282"/>
      <c r="K397" s="535">
        <f t="shared" ca="1" si="113"/>
        <v>0.37174864380506661</v>
      </c>
      <c r="L397" s="536">
        <f t="shared" ca="1" si="113"/>
        <v>0.95842677740368487</v>
      </c>
      <c r="M397" s="536">
        <f t="shared" ca="1" si="113"/>
        <v>1.6039262591788581</v>
      </c>
      <c r="N397" s="536">
        <f t="shared" ca="1" si="113"/>
        <v>2.2344954519723959</v>
      </c>
      <c r="O397" s="536">
        <f t="shared" ca="1" si="113"/>
        <v>2.7669491194370606</v>
      </c>
      <c r="P397" s="270"/>
      <c r="Q397" s="270" t="s">
        <v>79</v>
      </c>
      <c r="R397" s="270" t="s">
        <v>87</v>
      </c>
      <c r="S397" s="270"/>
      <c r="T397" s="270"/>
      <c r="U397" s="270"/>
      <c r="V397" s="270"/>
    </row>
    <row r="398" spans="1:22">
      <c r="A398" s="283"/>
      <c r="B398" s="282" t="s">
        <v>227</v>
      </c>
      <c r="C398" s="282" t="s">
        <v>74</v>
      </c>
      <c r="D398" s="282"/>
      <c r="E398" s="271"/>
      <c r="F398" s="282"/>
      <c r="G398" s="282"/>
      <c r="H398" s="282"/>
      <c r="I398" s="282">
        <f t="shared" ca="1" si="112"/>
        <v>0</v>
      </c>
      <c r="J398" s="282"/>
      <c r="K398" s="535">
        <f t="shared" ca="1" si="113"/>
        <v>0.27385568532503246</v>
      </c>
      <c r="L398" s="536">
        <f t="shared" ca="1" si="113"/>
        <v>0.45623245040974941</v>
      </c>
      <c r="M398" s="536">
        <f t="shared" ca="1" si="113"/>
        <v>0.62890010761336801</v>
      </c>
      <c r="N398" s="536">
        <f t="shared" ca="1" si="113"/>
        <v>0.79193221078347309</v>
      </c>
      <c r="O398" s="536">
        <f t="shared" ca="1" si="113"/>
        <v>0.94588041377694443</v>
      </c>
      <c r="P398" s="270"/>
      <c r="Q398" s="270" t="s">
        <v>79</v>
      </c>
      <c r="R398" s="270" t="s">
        <v>87</v>
      </c>
      <c r="S398" s="270"/>
      <c r="T398" s="270"/>
      <c r="U398" s="270"/>
      <c r="V398" s="270"/>
    </row>
    <row r="399" spans="1:22">
      <c r="A399" s="283"/>
      <c r="B399" s="282" t="s">
        <v>228</v>
      </c>
      <c r="C399" s="282" t="s">
        <v>74</v>
      </c>
      <c r="D399" s="282"/>
      <c r="E399" s="271"/>
      <c r="F399" s="282"/>
      <c r="G399" s="282"/>
      <c r="H399" s="282"/>
      <c r="I399" s="282">
        <f t="shared" ca="1" si="112"/>
        <v>0</v>
      </c>
      <c r="J399" s="282"/>
      <c r="K399" s="535">
        <f t="shared" ca="1" si="113"/>
        <v>1.7044527942401692E-2</v>
      </c>
      <c r="L399" s="536">
        <f t="shared" ca="1" si="113"/>
        <v>2.429415723201233E-2</v>
      </c>
      <c r="M399" s="536">
        <f t="shared" ca="1" si="113"/>
        <v>3.140043227013347E-2</v>
      </c>
      <c r="N399" s="536">
        <f t="shared" ca="1" si="113"/>
        <v>3.8366278653734313E-2</v>
      </c>
      <c r="O399" s="536">
        <f t="shared" ca="1" si="113"/>
        <v>4.5200473173722361E-2</v>
      </c>
      <c r="P399" s="270"/>
      <c r="Q399" s="270" t="s">
        <v>79</v>
      </c>
      <c r="R399" s="270" t="s">
        <v>87</v>
      </c>
      <c r="S399" s="270"/>
      <c r="T399" s="270"/>
      <c r="U399" s="270"/>
      <c r="V399" s="270"/>
    </row>
    <row r="400" spans="1:22">
      <c r="A400" s="283"/>
      <c r="B400" s="282" t="s">
        <v>229</v>
      </c>
      <c r="C400" s="282" t="s">
        <v>74</v>
      </c>
      <c r="D400" s="282"/>
      <c r="E400" s="271"/>
      <c r="F400" s="282"/>
      <c r="G400" s="282"/>
      <c r="H400" s="282"/>
      <c r="I400" s="282">
        <f t="shared" ca="1" si="112"/>
        <v>0</v>
      </c>
      <c r="J400" s="282"/>
      <c r="K400" s="535">
        <f t="shared" ca="1" si="113"/>
        <v>5.8486396245995588E-2</v>
      </c>
      <c r="L400" s="536">
        <f t="shared" ca="1" si="113"/>
        <v>8.8531065288995167E-2</v>
      </c>
      <c r="M400" s="536">
        <f t="shared" ca="1" si="113"/>
        <v>0.12005698687000854</v>
      </c>
      <c r="N400" s="536">
        <f t="shared" ca="1" si="113"/>
        <v>0.15363903803636686</v>
      </c>
      <c r="O400" s="536">
        <f t="shared" ca="1" si="113"/>
        <v>0.18694833731895499</v>
      </c>
      <c r="P400" s="270"/>
      <c r="Q400" s="270" t="s">
        <v>79</v>
      </c>
      <c r="R400" s="270" t="s">
        <v>87</v>
      </c>
      <c r="S400" s="270"/>
      <c r="T400" s="270"/>
      <c r="U400" s="270"/>
      <c r="V400" s="270"/>
    </row>
    <row r="401" spans="1:22">
      <c r="A401" s="283"/>
      <c r="B401" s="282" t="s">
        <v>230</v>
      </c>
      <c r="C401" s="282" t="s">
        <v>74</v>
      </c>
      <c r="D401" s="282"/>
      <c r="E401" s="271"/>
      <c r="F401" s="282"/>
      <c r="G401" s="282"/>
      <c r="H401" s="282"/>
      <c r="I401" s="282">
        <f t="shared" ca="1" si="112"/>
        <v>0</v>
      </c>
      <c r="J401" s="282"/>
      <c r="K401" s="535">
        <f t="shared" ca="1" si="113"/>
        <v>4.5955574006977973E-2</v>
      </c>
      <c r="L401" s="536">
        <f t="shared" ca="1" si="113"/>
        <v>7.0461369431025267E-2</v>
      </c>
      <c r="M401" s="536">
        <f t="shared" ca="1" si="113"/>
        <v>9.5664335077831467E-2</v>
      </c>
      <c r="N401" s="536">
        <f t="shared" ca="1" si="113"/>
        <v>0.12035359634997321</v>
      </c>
      <c r="O401" s="536">
        <f t="shared" ca="1" si="113"/>
        <v>0.14474407038378959</v>
      </c>
      <c r="P401" s="270"/>
      <c r="Q401" s="270" t="s">
        <v>79</v>
      </c>
      <c r="R401" s="270" t="s">
        <v>87</v>
      </c>
      <c r="S401" s="270"/>
      <c r="T401" s="270"/>
      <c r="U401" s="270"/>
      <c r="V401" s="270"/>
    </row>
    <row r="402" spans="1:22">
      <c r="A402" s="283"/>
      <c r="B402" s="282" t="s">
        <v>231</v>
      </c>
      <c r="C402" s="282" t="s">
        <v>74</v>
      </c>
      <c r="D402" s="282"/>
      <c r="E402" s="271"/>
      <c r="F402" s="282"/>
      <c r="G402" s="282"/>
      <c r="H402" s="282"/>
      <c r="I402" s="282">
        <f t="shared" ca="1" si="112"/>
        <v>0</v>
      </c>
      <c r="J402" s="282"/>
      <c r="K402" s="535">
        <f t="shared" ca="1" si="113"/>
        <v>0.70802609975962183</v>
      </c>
      <c r="L402" s="536">
        <f t="shared" ca="1" si="113"/>
        <v>1.0264339868105079</v>
      </c>
      <c r="M402" s="536">
        <f t="shared" ca="1" si="113"/>
        <v>1.3402280363108521</v>
      </c>
      <c r="N402" s="536">
        <f t="shared" ca="1" si="113"/>
        <v>1.6465902700989274</v>
      </c>
      <c r="O402" s="536">
        <f t="shared" ca="1" si="113"/>
        <v>1.9492854887552502</v>
      </c>
      <c r="P402" s="270"/>
      <c r="Q402" s="270" t="s">
        <v>79</v>
      </c>
      <c r="R402" s="270" t="s">
        <v>87</v>
      </c>
      <c r="S402" s="270"/>
      <c r="T402" s="270"/>
      <c r="U402" s="270"/>
      <c r="V402" s="270"/>
    </row>
    <row r="403" spans="1:22">
      <c r="A403" s="283"/>
      <c r="B403" s="282" t="s">
        <v>232</v>
      </c>
      <c r="C403" s="282" t="s">
        <v>74</v>
      </c>
      <c r="D403" s="282"/>
      <c r="E403" s="271"/>
      <c r="F403" s="282"/>
      <c r="G403" s="282"/>
      <c r="H403" s="282"/>
      <c r="I403" s="282">
        <f t="shared" ca="1" si="112"/>
        <v>0</v>
      </c>
      <c r="J403" s="282"/>
      <c r="K403" s="535">
        <f t="shared" ref="K403:O404" ca="1" si="114">(VLOOKUP($R403,INDIRECT($B403),COLUMN()-1,FALSE)-VLOOKUP($R403,INDIRECT($B403),8,FALSE))/VLOOKUP($R403,INDIRECT($B403),8,FALSE)*VLOOKUP($Q403,INDIRECT($B403),8,FALSE)</f>
        <v>0.1149750035919998</v>
      </c>
      <c r="L403" s="536">
        <f t="shared" ca="1" si="114"/>
        <v>0.17472639086492606</v>
      </c>
      <c r="M403" s="536">
        <f t="shared" ca="1" si="114"/>
        <v>0.23526793852254704</v>
      </c>
      <c r="N403" s="536">
        <f t="shared" ca="1" si="114"/>
        <v>0.29654607853975834</v>
      </c>
      <c r="O403" s="536">
        <f t="shared" ca="1" si="114"/>
        <v>0.35826822746062553</v>
      </c>
      <c r="P403" s="270"/>
      <c r="Q403" s="270" t="s">
        <v>79</v>
      </c>
      <c r="R403" s="270" t="s">
        <v>87</v>
      </c>
      <c r="S403" s="270"/>
      <c r="T403" s="270"/>
      <c r="U403" s="270"/>
      <c r="V403" s="270"/>
    </row>
    <row r="404" spans="1:22">
      <c r="A404" s="283"/>
      <c r="B404" s="270" t="s">
        <v>255</v>
      </c>
      <c r="C404" s="282" t="s">
        <v>74</v>
      </c>
      <c r="D404" s="282"/>
      <c r="E404" s="271"/>
      <c r="F404" s="282"/>
      <c r="G404" s="282"/>
      <c r="H404" s="282"/>
      <c r="I404" s="282">
        <f t="shared" ca="1" si="112"/>
        <v>0</v>
      </c>
      <c r="J404" s="282"/>
      <c r="K404" s="535">
        <f t="shared" ca="1" si="114"/>
        <v>0.14363355851286494</v>
      </c>
      <c r="L404" s="536">
        <f t="shared" ca="1" si="114"/>
        <v>0.21195100873392708</v>
      </c>
      <c r="M404" s="536">
        <f t="shared" ca="1" si="114"/>
        <v>0.27958452965473635</v>
      </c>
      <c r="N404" s="536">
        <f t="shared" ca="1" si="114"/>
        <v>0.34732204346275941</v>
      </c>
      <c r="O404" s="536">
        <f t="shared" ca="1" si="114"/>
        <v>0.41460614295929915</v>
      </c>
      <c r="P404" s="270"/>
      <c r="Q404" s="270" t="s">
        <v>79</v>
      </c>
      <c r="R404" s="270" t="s">
        <v>87</v>
      </c>
      <c r="S404" s="270"/>
      <c r="T404" s="270"/>
      <c r="U404" s="270"/>
      <c r="V404" s="270"/>
    </row>
    <row r="405" spans="1:22">
      <c r="A405" s="283"/>
      <c r="B405" s="282"/>
      <c r="C405" s="282"/>
      <c r="D405" s="282"/>
      <c r="E405" s="271"/>
      <c r="F405" s="282"/>
      <c r="G405" s="282"/>
      <c r="H405" s="282"/>
      <c r="I405" s="282"/>
      <c r="J405" s="282"/>
      <c r="K405" s="466"/>
      <c r="L405" s="282"/>
      <c r="M405" s="282"/>
      <c r="N405" s="282"/>
      <c r="O405" s="282"/>
      <c r="P405" s="270"/>
      <c r="Q405" s="270"/>
      <c r="R405" s="270"/>
      <c r="S405" s="270"/>
      <c r="T405" s="270"/>
      <c r="U405" s="270"/>
      <c r="V405" s="270"/>
    </row>
    <row r="406" spans="1:22" s="298" customFormat="1">
      <c r="A406" s="296" t="s">
        <v>443</v>
      </c>
      <c r="B406" s="296"/>
      <c r="C406" s="296"/>
      <c r="D406" s="296"/>
      <c r="E406" s="297"/>
      <c r="F406" s="296"/>
      <c r="G406" s="296"/>
      <c r="H406" s="296"/>
      <c r="I406" s="296"/>
      <c r="J406" s="296"/>
      <c r="K406" s="464"/>
      <c r="L406" s="296"/>
      <c r="M406" s="296"/>
      <c r="N406" s="296"/>
      <c r="O406" s="296"/>
      <c r="P406" s="296"/>
      <c r="Q406" s="296"/>
      <c r="R406" s="296"/>
      <c r="S406" s="296"/>
      <c r="T406" s="296"/>
      <c r="U406" s="296"/>
      <c r="V406" s="293"/>
    </row>
    <row r="407" spans="1:22">
      <c r="B407" s="270" t="s">
        <v>215</v>
      </c>
      <c r="C407" s="270" t="s">
        <v>74</v>
      </c>
      <c r="D407" s="270"/>
      <c r="E407" s="269"/>
      <c r="F407" s="270"/>
      <c r="G407" s="270"/>
      <c r="H407" s="270"/>
      <c r="I407" s="270">
        <f ca="1">(VLOOKUP($R407,INDIRECT($B407),COLUMN()-1,FALSE)-VLOOKUP($R407,INDIRECT($B407),8,FALSE))/VLOOKUP($R407,INDIRECT($B407),8,FALSE)*VLOOKUP($Q407,INDIRECT($B407),8,FALSE)</f>
        <v>0</v>
      </c>
      <c r="J407" s="270"/>
      <c r="K407" s="537">
        <f t="shared" ref="K407:O416" ca="1" si="115">(VLOOKUP($R407,INDIRECT($B407),COLUMN()-1,FALSE)-VLOOKUP($R407,INDIRECT($B407),8,FALSE))/VLOOKUP($R407,INDIRECT($B407),8,FALSE)*VLOOKUP($Q407,INDIRECT($B407),8,FALSE)</f>
        <v>9.800120335260161E-2</v>
      </c>
      <c r="L407" s="538">
        <f t="shared" ca="1" si="115"/>
        <v>0.14457284635315745</v>
      </c>
      <c r="M407" s="538">
        <f t="shared" ca="1" si="115"/>
        <v>0.19228157915649127</v>
      </c>
      <c r="N407" s="538">
        <f t="shared" ca="1" si="115"/>
        <v>0.2425709847736762</v>
      </c>
      <c r="O407" s="538">
        <f t="shared" ca="1" si="115"/>
        <v>0.29613680278754373</v>
      </c>
      <c r="P407" s="270"/>
      <c r="Q407" s="270" t="s">
        <v>80</v>
      </c>
      <c r="R407" s="270" t="s">
        <v>84</v>
      </c>
      <c r="S407" s="270"/>
      <c r="T407" s="270"/>
      <c r="U407" s="270"/>
      <c r="V407" s="270"/>
    </row>
    <row r="408" spans="1:22">
      <c r="B408" s="270" t="s">
        <v>216</v>
      </c>
      <c r="C408" s="270" t="s">
        <v>74</v>
      </c>
      <c r="D408" s="270"/>
      <c r="E408" s="269"/>
      <c r="F408" s="270"/>
      <c r="G408" s="270"/>
      <c r="H408" s="270"/>
      <c r="I408" s="270">
        <f t="shared" ref="I408:I416" ca="1" si="116">(VLOOKUP($R408,INDIRECT($B408),COLUMN()-1,FALSE)-VLOOKUP($R408,INDIRECT($B408),8,FALSE))/VLOOKUP($R408,INDIRECT($B408),8,FALSE)*VLOOKUP($Q408,INDIRECT($B408),8,FALSE)</f>
        <v>0</v>
      </c>
      <c r="J408" s="270"/>
      <c r="K408" s="537">
        <f t="shared" ca="1" si="115"/>
        <v>1.3339096968585155E-2</v>
      </c>
      <c r="L408" s="538">
        <f t="shared" ca="1" si="115"/>
        <v>2.0166384925823354E-2</v>
      </c>
      <c r="M408" s="538">
        <f t="shared" ca="1" si="115"/>
        <v>2.7106921735432884E-2</v>
      </c>
      <c r="N408" s="538">
        <f t="shared" ca="1" si="115"/>
        <v>3.4176885804895196E-2</v>
      </c>
      <c r="O408" s="538">
        <f t="shared" ca="1" si="115"/>
        <v>4.1392455541692096E-2</v>
      </c>
      <c r="P408" s="270"/>
      <c r="Q408" s="270" t="s">
        <v>80</v>
      </c>
      <c r="R408" s="270" t="s">
        <v>84</v>
      </c>
      <c r="S408" s="270"/>
      <c r="T408" s="270"/>
      <c r="U408" s="270"/>
      <c r="V408" s="270"/>
    </row>
    <row r="409" spans="1:22">
      <c r="B409" s="270" t="s">
        <v>217</v>
      </c>
      <c r="C409" s="270" t="s">
        <v>74</v>
      </c>
      <c r="D409" s="270"/>
      <c r="E409" s="269"/>
      <c r="F409" s="270"/>
      <c r="G409" s="270"/>
      <c r="H409" s="270"/>
      <c r="I409" s="270">
        <f t="shared" ca="1" si="116"/>
        <v>0</v>
      </c>
      <c r="J409" s="270"/>
      <c r="K409" s="537">
        <f t="shared" ca="1" si="115"/>
        <v>1.0492540443686933E-2</v>
      </c>
      <c r="L409" s="538">
        <f t="shared" ca="1" si="115"/>
        <v>1.5812483344181557E-2</v>
      </c>
      <c r="M409" s="538">
        <f t="shared" ca="1" si="115"/>
        <v>2.1166031326166183E-2</v>
      </c>
      <c r="N409" s="538">
        <f t="shared" ca="1" si="115"/>
        <v>2.6529919333224648E-2</v>
      </c>
      <c r="O409" s="538">
        <f t="shared" ca="1" si="115"/>
        <v>3.1922242409236225E-2</v>
      </c>
      <c r="P409" s="270"/>
      <c r="Q409" s="270" t="s">
        <v>80</v>
      </c>
      <c r="R409" s="270" t="s">
        <v>84</v>
      </c>
      <c r="S409" s="270"/>
      <c r="T409" s="270"/>
      <c r="U409" s="270"/>
      <c r="V409" s="270"/>
    </row>
    <row r="410" spans="1:22">
      <c r="B410" s="270" t="s">
        <v>219</v>
      </c>
      <c r="C410" s="270" t="s">
        <v>74</v>
      </c>
      <c r="D410" s="270"/>
      <c r="E410" s="269"/>
      <c r="F410" s="270"/>
      <c r="G410" s="270"/>
      <c r="H410" s="270"/>
      <c r="I410" s="270">
        <f t="shared" ca="1" si="116"/>
        <v>0</v>
      </c>
      <c r="J410" s="270"/>
      <c r="K410" s="537">
        <f t="shared" ca="1" si="115"/>
        <v>1.0471115993136564E-2</v>
      </c>
      <c r="L410" s="538">
        <f t="shared" ca="1" si="115"/>
        <v>1.6002042594417377E-2</v>
      </c>
      <c r="M410" s="538">
        <f t="shared" ca="1" si="115"/>
        <v>2.1690818004694336E-2</v>
      </c>
      <c r="N410" s="538">
        <f t="shared" ca="1" si="115"/>
        <v>2.7489130921820173E-2</v>
      </c>
      <c r="O410" s="538">
        <f t="shared" ca="1" si="115"/>
        <v>3.3305620368466779E-2</v>
      </c>
      <c r="P410" s="270"/>
      <c r="Q410" s="270" t="s">
        <v>80</v>
      </c>
      <c r="R410" s="270" t="s">
        <v>84</v>
      </c>
      <c r="S410" s="270"/>
      <c r="T410" s="270"/>
      <c r="U410" s="270"/>
      <c r="V410" s="270"/>
    </row>
    <row r="411" spans="1:22">
      <c r="B411" s="270" t="s">
        <v>220</v>
      </c>
      <c r="C411" s="270" t="s">
        <v>74</v>
      </c>
      <c r="D411" s="270"/>
      <c r="E411" s="269"/>
      <c r="F411" s="270"/>
      <c r="G411" s="270"/>
      <c r="H411" s="270"/>
      <c r="I411" s="270">
        <f t="shared" ca="1" si="116"/>
        <v>0</v>
      </c>
      <c r="J411" s="270"/>
      <c r="K411" s="537">
        <f t="shared" ca="1" si="115"/>
        <v>0</v>
      </c>
      <c r="L411" s="538">
        <f t="shared" ca="1" si="115"/>
        <v>0</v>
      </c>
      <c r="M411" s="538">
        <f t="shared" ca="1" si="115"/>
        <v>0</v>
      </c>
      <c r="N411" s="538">
        <f t="shared" ca="1" si="115"/>
        <v>0</v>
      </c>
      <c r="O411" s="538">
        <f t="shared" ca="1" si="115"/>
        <v>0</v>
      </c>
      <c r="P411" s="270"/>
      <c r="Q411" s="270" t="s">
        <v>80</v>
      </c>
      <c r="R411" s="270" t="s">
        <v>84</v>
      </c>
      <c r="S411" s="270"/>
      <c r="T411" s="270"/>
      <c r="U411" s="270"/>
      <c r="V411" s="270"/>
    </row>
    <row r="412" spans="1:22">
      <c r="B412" s="270" t="s">
        <v>221</v>
      </c>
      <c r="C412" s="270" t="s">
        <v>74</v>
      </c>
      <c r="D412" s="270"/>
      <c r="E412" s="269"/>
      <c r="F412" s="270"/>
      <c r="G412" s="270"/>
      <c r="H412" s="270"/>
      <c r="I412" s="270">
        <f t="shared" ca="1" si="116"/>
        <v>0</v>
      </c>
      <c r="J412" s="270"/>
      <c r="K412" s="537">
        <f t="shared" ca="1" si="115"/>
        <v>0.39076703327407269</v>
      </c>
      <c r="L412" s="538">
        <f t="shared" ca="1" si="115"/>
        <v>0.59114726124282679</v>
      </c>
      <c r="M412" s="538">
        <f t="shared" ca="1" si="115"/>
        <v>0.79374913285618598</v>
      </c>
      <c r="N412" s="538">
        <f t="shared" ca="1" si="115"/>
        <v>0.99816005379268136</v>
      </c>
      <c r="O412" s="538">
        <f t="shared" ca="1" si="115"/>
        <v>1.1997055824777008</v>
      </c>
      <c r="P412" s="270"/>
      <c r="Q412" s="270" t="s">
        <v>80</v>
      </c>
      <c r="R412" s="270" t="s">
        <v>84</v>
      </c>
      <c r="S412" s="270"/>
      <c r="T412" s="270"/>
      <c r="U412" s="270"/>
      <c r="V412" s="270"/>
    </row>
    <row r="413" spans="1:22">
      <c r="B413" s="270" t="s">
        <v>222</v>
      </c>
      <c r="C413" s="270" t="s">
        <v>74</v>
      </c>
      <c r="D413" s="270"/>
      <c r="E413" s="269"/>
      <c r="F413" s="270"/>
      <c r="G413" s="270"/>
      <c r="H413" s="270"/>
      <c r="I413" s="270">
        <f t="shared" ca="1" si="116"/>
        <v>0</v>
      </c>
      <c r="J413" s="270"/>
      <c r="K413" s="537">
        <f t="shared" ca="1" si="115"/>
        <v>0.96818726215156603</v>
      </c>
      <c r="L413" s="538">
        <f t="shared" ca="1" si="115"/>
        <v>1.6402365227303861</v>
      </c>
      <c r="M413" s="538">
        <f t="shared" ca="1" si="115"/>
        <v>2.3266755024546355</v>
      </c>
      <c r="N413" s="538">
        <f t="shared" ca="1" si="115"/>
        <v>3.0198861147179104</v>
      </c>
      <c r="O413" s="538">
        <f t="shared" ca="1" si="115"/>
        <v>3.6773239658003205</v>
      </c>
      <c r="P413" s="270"/>
      <c r="Q413" s="270" t="s">
        <v>80</v>
      </c>
      <c r="R413" s="270" t="s">
        <v>84</v>
      </c>
      <c r="S413" s="270"/>
      <c r="T413" s="270"/>
      <c r="U413" s="270"/>
      <c r="V413" s="270"/>
    </row>
    <row r="414" spans="1:22">
      <c r="B414" s="270" t="s">
        <v>223</v>
      </c>
      <c r="C414" s="270" t="s">
        <v>74</v>
      </c>
      <c r="D414" s="270"/>
      <c r="E414" s="269"/>
      <c r="F414" s="270"/>
      <c r="G414" s="270"/>
      <c r="H414" s="270"/>
      <c r="I414" s="270">
        <f t="shared" ca="1" si="116"/>
        <v>0</v>
      </c>
      <c r="J414" s="270"/>
      <c r="K414" s="537">
        <f t="shared" ca="1" si="115"/>
        <v>-6.7695470091419312E-4</v>
      </c>
      <c r="L414" s="538">
        <f t="shared" ca="1" si="115"/>
        <v>-6.7695470091419312E-4</v>
      </c>
      <c r="M414" s="538">
        <f t="shared" ca="1" si="115"/>
        <v>-6.7695470091419312E-4</v>
      </c>
      <c r="N414" s="538">
        <f t="shared" ca="1" si="115"/>
        <v>-6.7695470091419312E-4</v>
      </c>
      <c r="O414" s="538">
        <f t="shared" ca="1" si="115"/>
        <v>-6.7695470091419312E-4</v>
      </c>
      <c r="P414" s="270"/>
      <c r="Q414" s="270" t="s">
        <v>80</v>
      </c>
      <c r="R414" s="270" t="s">
        <v>84</v>
      </c>
      <c r="S414" s="270"/>
      <c r="T414" s="270"/>
      <c r="U414" s="270"/>
      <c r="V414" s="270"/>
    </row>
    <row r="415" spans="1:22">
      <c r="B415" s="270" t="s">
        <v>224</v>
      </c>
      <c r="C415" s="270" t="s">
        <v>74</v>
      </c>
      <c r="D415" s="270"/>
      <c r="E415" s="269"/>
      <c r="F415" s="270"/>
      <c r="G415" s="270"/>
      <c r="H415" s="270"/>
      <c r="I415" s="270">
        <f t="shared" ca="1" si="116"/>
        <v>0</v>
      </c>
      <c r="J415" s="270"/>
      <c r="K415" s="537">
        <f t="shared" ca="1" si="115"/>
        <v>0.20751805783058469</v>
      </c>
      <c r="L415" s="538">
        <f t="shared" ca="1" si="115"/>
        <v>0.34914977188120616</v>
      </c>
      <c r="M415" s="538">
        <f t="shared" ca="1" si="115"/>
        <v>0.49595024994016446</v>
      </c>
      <c r="N415" s="538">
        <f t="shared" ca="1" si="115"/>
        <v>0.63698975913190259</v>
      </c>
      <c r="O415" s="538">
        <f t="shared" ca="1" si="115"/>
        <v>0.77222566070658027</v>
      </c>
      <c r="P415" s="270"/>
      <c r="Q415" s="270" t="s">
        <v>80</v>
      </c>
      <c r="R415" s="270" t="s">
        <v>84</v>
      </c>
      <c r="S415" s="270"/>
      <c r="T415" s="270"/>
      <c r="U415" s="270"/>
      <c r="V415" s="270"/>
    </row>
    <row r="416" spans="1:22">
      <c r="B416" s="270" t="s">
        <v>225</v>
      </c>
      <c r="C416" s="270" t="s">
        <v>74</v>
      </c>
      <c r="D416" s="270"/>
      <c r="E416" s="269"/>
      <c r="F416" s="270"/>
      <c r="G416" s="270"/>
      <c r="H416" s="270"/>
      <c r="I416" s="270">
        <f t="shared" ca="1" si="116"/>
        <v>0</v>
      </c>
      <c r="J416" s="270"/>
      <c r="K416" s="537">
        <f t="shared" ca="1" si="115"/>
        <v>3.8709240322143963E-2</v>
      </c>
      <c r="L416" s="538">
        <f t="shared" ca="1" si="115"/>
        <v>5.3932486442663921E-2</v>
      </c>
      <c r="M416" s="538">
        <f t="shared" ca="1" si="115"/>
        <v>7.149295862053677E-2</v>
      </c>
      <c r="N416" s="538">
        <f t="shared" ca="1" si="115"/>
        <v>8.9161477745099901E-2</v>
      </c>
      <c r="O416" s="538">
        <f t="shared" ca="1" si="115"/>
        <v>0.10628407545480691</v>
      </c>
      <c r="P416" s="270"/>
      <c r="Q416" s="270" t="s">
        <v>80</v>
      </c>
      <c r="R416" s="270" t="s">
        <v>84</v>
      </c>
      <c r="S416" s="270"/>
      <c r="T416" s="270"/>
      <c r="U416" s="270"/>
      <c r="V416" s="270"/>
    </row>
    <row r="417" spans="1:22">
      <c r="B417" s="270" t="s">
        <v>226</v>
      </c>
      <c r="C417" s="270" t="s">
        <v>74</v>
      </c>
      <c r="D417" s="270"/>
      <c r="E417" s="269"/>
      <c r="F417" s="270"/>
      <c r="G417" s="270"/>
      <c r="H417" s="270"/>
      <c r="I417" s="270"/>
      <c r="J417" s="270"/>
      <c r="K417" s="463"/>
      <c r="L417" s="270"/>
      <c r="M417" s="270"/>
      <c r="N417" s="270"/>
      <c r="O417" s="270"/>
      <c r="P417" s="270"/>
      <c r="Q417" s="270" t="s">
        <v>80</v>
      </c>
      <c r="R417" s="270" t="s">
        <v>84</v>
      </c>
      <c r="S417" s="270"/>
      <c r="T417" s="270"/>
      <c r="U417" s="270"/>
      <c r="V417" s="270"/>
    </row>
    <row r="418" spans="1:22">
      <c r="B418" s="270" t="s">
        <v>227</v>
      </c>
      <c r="C418" s="270" t="s">
        <v>74</v>
      </c>
      <c r="D418" s="270"/>
      <c r="E418" s="269"/>
      <c r="F418" s="270"/>
      <c r="G418" s="270"/>
      <c r="H418" s="270"/>
      <c r="I418" s="270"/>
      <c r="J418" s="270"/>
      <c r="K418" s="463"/>
      <c r="L418" s="270"/>
      <c r="M418" s="270"/>
      <c r="N418" s="270"/>
      <c r="O418" s="270"/>
      <c r="P418" s="270"/>
      <c r="Q418" s="270" t="s">
        <v>80</v>
      </c>
      <c r="R418" s="270" t="s">
        <v>84</v>
      </c>
      <c r="S418" s="270"/>
      <c r="T418" s="270"/>
      <c r="U418" s="270"/>
      <c r="V418" s="270"/>
    </row>
    <row r="419" spans="1:22">
      <c r="B419" s="270" t="s">
        <v>228</v>
      </c>
      <c r="C419" s="270" t="s">
        <v>74</v>
      </c>
      <c r="D419" s="270"/>
      <c r="E419" s="269"/>
      <c r="F419" s="270"/>
      <c r="G419" s="270"/>
      <c r="H419" s="270"/>
      <c r="I419" s="270"/>
      <c r="J419" s="270"/>
      <c r="K419" s="463"/>
      <c r="L419" s="270"/>
      <c r="M419" s="270"/>
      <c r="N419" s="270"/>
      <c r="O419" s="270"/>
      <c r="P419" s="270"/>
      <c r="Q419" s="270" t="s">
        <v>80</v>
      </c>
      <c r="R419" s="270" t="s">
        <v>84</v>
      </c>
      <c r="S419" s="270"/>
      <c r="T419" s="270"/>
      <c r="U419" s="270"/>
      <c r="V419" s="270"/>
    </row>
    <row r="420" spans="1:22">
      <c r="B420" s="270" t="s">
        <v>229</v>
      </c>
      <c r="C420" s="270" t="s">
        <v>74</v>
      </c>
      <c r="D420" s="270"/>
      <c r="E420" s="269"/>
      <c r="F420" s="270"/>
      <c r="G420" s="270"/>
      <c r="H420" s="270"/>
      <c r="I420" s="270"/>
      <c r="J420" s="270"/>
      <c r="K420" s="463"/>
      <c r="L420" s="270"/>
      <c r="M420" s="270"/>
      <c r="N420" s="270"/>
      <c r="O420" s="270"/>
      <c r="P420" s="270"/>
      <c r="Q420" s="270" t="s">
        <v>80</v>
      </c>
      <c r="R420" s="270" t="s">
        <v>84</v>
      </c>
      <c r="S420" s="270"/>
      <c r="T420" s="270"/>
      <c r="U420" s="270"/>
      <c r="V420" s="270"/>
    </row>
    <row r="421" spans="1:22">
      <c r="B421" s="270" t="s">
        <v>230</v>
      </c>
      <c r="C421" s="270" t="s">
        <v>74</v>
      </c>
      <c r="D421" s="270"/>
      <c r="E421" s="269"/>
      <c r="F421" s="270"/>
      <c r="G421" s="270"/>
      <c r="H421" s="270"/>
      <c r="I421" s="270"/>
      <c r="J421" s="270"/>
      <c r="K421" s="463"/>
      <c r="L421" s="270"/>
      <c r="M421" s="270"/>
      <c r="N421" s="270"/>
      <c r="O421" s="270"/>
      <c r="P421" s="270"/>
      <c r="Q421" s="270" t="s">
        <v>80</v>
      </c>
      <c r="R421" s="270" t="s">
        <v>84</v>
      </c>
      <c r="S421" s="270"/>
      <c r="T421" s="270"/>
      <c r="U421" s="270"/>
      <c r="V421" s="270"/>
    </row>
    <row r="422" spans="1:22">
      <c r="B422" s="270" t="s">
        <v>231</v>
      </c>
      <c r="C422" s="270" t="s">
        <v>74</v>
      </c>
      <c r="D422" s="270"/>
      <c r="E422" s="269"/>
      <c r="F422" s="270"/>
      <c r="G422" s="270"/>
      <c r="H422" s="270"/>
      <c r="I422" s="270"/>
      <c r="J422" s="270"/>
      <c r="K422" s="463"/>
      <c r="L422" s="270"/>
      <c r="M422" s="270"/>
      <c r="N422" s="270"/>
      <c r="O422" s="270"/>
      <c r="P422" s="270"/>
      <c r="Q422" s="270" t="s">
        <v>80</v>
      </c>
      <c r="R422" s="270" t="s">
        <v>84</v>
      </c>
      <c r="S422" s="270"/>
      <c r="T422" s="270"/>
      <c r="U422" s="270"/>
      <c r="V422" s="270"/>
    </row>
    <row r="423" spans="1:22">
      <c r="B423" s="270" t="s">
        <v>232</v>
      </c>
      <c r="C423" s="270" t="s">
        <v>74</v>
      </c>
      <c r="D423" s="270"/>
      <c r="E423" s="269"/>
      <c r="F423" s="270"/>
      <c r="G423" s="270"/>
      <c r="H423" s="270"/>
      <c r="I423" s="270"/>
      <c r="J423" s="270"/>
      <c r="K423" s="463"/>
      <c r="L423" s="270"/>
      <c r="M423" s="270"/>
      <c r="N423" s="270"/>
      <c r="O423" s="270"/>
      <c r="P423" s="270"/>
      <c r="Q423" s="270" t="s">
        <v>80</v>
      </c>
      <c r="R423" s="270" t="s">
        <v>84</v>
      </c>
      <c r="S423" s="270"/>
      <c r="T423" s="270"/>
      <c r="U423" s="270"/>
      <c r="V423" s="270"/>
    </row>
    <row r="424" spans="1:22">
      <c r="B424" s="270" t="s">
        <v>255</v>
      </c>
      <c r="C424" s="270" t="s">
        <v>74</v>
      </c>
      <c r="D424" s="270"/>
      <c r="E424" s="269"/>
      <c r="F424" s="270"/>
      <c r="G424" s="270"/>
      <c r="H424" s="270"/>
      <c r="I424" s="270"/>
      <c r="J424" s="270"/>
      <c r="K424" s="463"/>
      <c r="L424" s="270"/>
      <c r="M424" s="270"/>
      <c r="N424" s="270"/>
      <c r="O424" s="270"/>
      <c r="P424" s="270"/>
      <c r="Q424" s="270" t="s">
        <v>80</v>
      </c>
      <c r="R424" s="270" t="s">
        <v>84</v>
      </c>
      <c r="S424" s="270"/>
      <c r="T424" s="270"/>
      <c r="U424" s="270"/>
      <c r="V424" s="270"/>
    </row>
    <row r="425" spans="1:22">
      <c r="B425" s="270"/>
      <c r="C425" s="270"/>
      <c r="D425" s="270"/>
      <c r="E425" s="269"/>
      <c r="F425" s="270"/>
      <c r="G425" s="270"/>
      <c r="H425" s="270"/>
      <c r="I425" s="270"/>
      <c r="J425" s="270"/>
      <c r="K425" s="463"/>
      <c r="L425" s="270"/>
      <c r="M425" s="270"/>
      <c r="N425" s="270"/>
      <c r="O425" s="270"/>
      <c r="P425" s="270"/>
      <c r="Q425" s="270"/>
      <c r="R425" s="270"/>
      <c r="S425" s="270"/>
      <c r="T425" s="270"/>
      <c r="U425" s="270"/>
      <c r="V425" s="270"/>
    </row>
    <row r="426" spans="1:22" s="298" customFormat="1">
      <c r="A426" s="296" t="s">
        <v>444</v>
      </c>
      <c r="B426" s="296"/>
      <c r="C426" s="296"/>
      <c r="D426" s="296"/>
      <c r="E426" s="297"/>
      <c r="F426" s="296"/>
      <c r="G426" s="296"/>
      <c r="H426" s="296"/>
      <c r="I426" s="296"/>
      <c r="J426" s="296"/>
      <c r="K426" s="464"/>
      <c r="L426" s="296"/>
      <c r="M426" s="296"/>
      <c r="N426" s="296"/>
      <c r="O426" s="296"/>
      <c r="P426" s="296"/>
      <c r="Q426" s="296"/>
      <c r="R426" s="296"/>
      <c r="S426" s="296"/>
      <c r="T426" s="296"/>
      <c r="U426" s="296"/>
      <c r="V426" s="293"/>
    </row>
    <row r="427" spans="1:22">
      <c r="B427" s="270" t="s">
        <v>215</v>
      </c>
      <c r="C427" s="270" t="s">
        <v>74</v>
      </c>
      <c r="D427" s="270"/>
      <c r="E427" s="269"/>
      <c r="F427" s="270"/>
      <c r="G427" s="270"/>
      <c r="H427" s="270"/>
      <c r="I427" s="270">
        <f ca="1">(VLOOKUP($R427,INDIRECT($B427),COLUMN()-1,FALSE)-VLOOKUP($R427,INDIRECT($B427),8,FALSE))/VLOOKUP($R427,INDIRECT($B427),8,FALSE)*VLOOKUP($Q427,INDIRECT($B427),8,FALSE)</f>
        <v>0</v>
      </c>
      <c r="J427" s="270"/>
      <c r="K427" s="537">
        <f t="shared" ref="K427:O436" ca="1" si="117">(VLOOKUP($R427,INDIRECT($B427),COLUMN()-1,FALSE)-VLOOKUP($R427,INDIRECT($B427),8,FALSE))/VLOOKUP($R427,INDIRECT($B427),8,FALSE)*VLOOKUP($Q427,INDIRECT($B427),8,FALSE)</f>
        <v>0.34998206147858052</v>
      </c>
      <c r="L427" s="538">
        <f t="shared" ca="1" si="117"/>
        <v>0.51125311417762032</v>
      </c>
      <c r="M427" s="538">
        <f t="shared" ca="1" si="117"/>
        <v>0.67259228990565834</v>
      </c>
      <c r="N427" s="538">
        <f t="shared" ca="1" si="117"/>
        <v>0.83420395774968925</v>
      </c>
      <c r="O427" s="538">
        <f t="shared" ca="1" si="117"/>
        <v>0.9886627075489034</v>
      </c>
      <c r="P427" s="270"/>
      <c r="Q427" s="270" t="s">
        <v>81</v>
      </c>
      <c r="R427" s="270" t="s">
        <v>86</v>
      </c>
      <c r="S427" s="270"/>
      <c r="T427" s="270"/>
      <c r="U427" s="270"/>
      <c r="V427" s="270"/>
    </row>
    <row r="428" spans="1:22">
      <c r="B428" s="270" t="s">
        <v>216</v>
      </c>
      <c r="C428" s="270" t="s">
        <v>74</v>
      </c>
      <c r="D428" s="270"/>
      <c r="E428" s="269"/>
      <c r="F428" s="270"/>
      <c r="G428" s="270"/>
      <c r="H428" s="270"/>
      <c r="I428" s="270">
        <f t="shared" ref="I428:I436" ca="1" si="118">(VLOOKUP($R428,INDIRECT($B428),COLUMN()-1,FALSE)-VLOOKUP($R428,INDIRECT($B428),8,FALSE))/VLOOKUP($R428,INDIRECT($B428),8,FALSE)*VLOOKUP($Q428,INDIRECT($B428),8,FALSE)</f>
        <v>0</v>
      </c>
      <c r="J428" s="270"/>
      <c r="K428" s="537">
        <f t="shared" ca="1" si="117"/>
        <v>0.36746082636656369</v>
      </c>
      <c r="L428" s="538">
        <f t="shared" ca="1" si="117"/>
        <v>0.55163172376928826</v>
      </c>
      <c r="M428" s="538">
        <f t="shared" ca="1" si="117"/>
        <v>0.73509946287675565</v>
      </c>
      <c r="N428" s="538">
        <f t="shared" ca="1" si="117"/>
        <v>0.91794486648152296</v>
      </c>
      <c r="O428" s="538">
        <f t="shared" ca="1" si="117"/>
        <v>1.1002730042139168</v>
      </c>
      <c r="P428" s="270"/>
      <c r="Q428" s="270" t="s">
        <v>81</v>
      </c>
      <c r="R428" s="270" t="s">
        <v>86</v>
      </c>
      <c r="S428" s="270"/>
      <c r="T428" s="270"/>
      <c r="U428" s="270"/>
      <c r="V428" s="270"/>
    </row>
    <row r="429" spans="1:22">
      <c r="B429" s="270" t="s">
        <v>217</v>
      </c>
      <c r="C429" s="270" t="s">
        <v>74</v>
      </c>
      <c r="D429" s="270"/>
      <c r="E429" s="269"/>
      <c r="F429" s="270"/>
      <c r="G429" s="270"/>
      <c r="H429" s="270"/>
      <c r="I429" s="270">
        <f t="shared" ca="1" si="118"/>
        <v>0</v>
      </c>
      <c r="J429" s="270"/>
      <c r="K429" s="537">
        <f t="shared" ca="1" si="117"/>
        <v>0.20816571819712815</v>
      </c>
      <c r="L429" s="538">
        <f t="shared" ca="1" si="117"/>
        <v>0.31378781450448717</v>
      </c>
      <c r="M429" s="538">
        <f t="shared" ca="1" si="117"/>
        <v>0.42011636139008696</v>
      </c>
      <c r="N429" s="538">
        <f t="shared" ca="1" si="117"/>
        <v>0.52662538835041972</v>
      </c>
      <c r="O429" s="538">
        <f t="shared" ca="1" si="117"/>
        <v>0.63376867385910052</v>
      </c>
      <c r="P429" s="270"/>
      <c r="Q429" s="270" t="s">
        <v>81</v>
      </c>
      <c r="R429" s="270" t="s">
        <v>86</v>
      </c>
      <c r="S429" s="270"/>
      <c r="T429" s="270"/>
      <c r="U429" s="270"/>
      <c r="V429" s="270"/>
    </row>
    <row r="430" spans="1:22">
      <c r="B430" s="270" t="s">
        <v>219</v>
      </c>
      <c r="C430" s="270" t="s">
        <v>74</v>
      </c>
      <c r="D430" s="270"/>
      <c r="E430" s="269"/>
      <c r="F430" s="270"/>
      <c r="G430" s="270"/>
      <c r="H430" s="270"/>
      <c r="I430" s="270">
        <f t="shared" ca="1" si="118"/>
        <v>0</v>
      </c>
      <c r="J430" s="270"/>
      <c r="K430" s="537">
        <f t="shared" ca="1" si="117"/>
        <v>0.74471172362953919</v>
      </c>
      <c r="L430" s="538">
        <f t="shared" ca="1" si="117"/>
        <v>1.1230295821738059</v>
      </c>
      <c r="M430" s="538">
        <f t="shared" ca="1" si="117"/>
        <v>1.5100972580275607</v>
      </c>
      <c r="N430" s="538">
        <f t="shared" ca="1" si="117"/>
        <v>1.9059980827842307</v>
      </c>
      <c r="O430" s="538">
        <f t="shared" ca="1" si="117"/>
        <v>2.3108153880372391</v>
      </c>
      <c r="P430" s="270"/>
      <c r="Q430" s="270" t="s">
        <v>81</v>
      </c>
      <c r="R430" s="270" t="s">
        <v>86</v>
      </c>
      <c r="S430" s="270"/>
      <c r="T430" s="270"/>
      <c r="U430" s="270"/>
      <c r="V430" s="270"/>
    </row>
    <row r="431" spans="1:22">
      <c r="B431" s="270" t="s">
        <v>220</v>
      </c>
      <c r="C431" s="270" t="s">
        <v>74</v>
      </c>
      <c r="D431" s="270"/>
      <c r="E431" s="269"/>
      <c r="F431" s="270"/>
      <c r="G431" s="270"/>
      <c r="H431" s="270"/>
      <c r="I431" s="270">
        <f t="shared" ca="1" si="118"/>
        <v>0</v>
      </c>
      <c r="J431" s="270"/>
      <c r="K431" s="537">
        <f t="shared" ca="1" si="117"/>
        <v>8.1547432453789648E-2</v>
      </c>
      <c r="L431" s="538">
        <f t="shared" ca="1" si="117"/>
        <v>0.12218131908107391</v>
      </c>
      <c r="M431" s="538">
        <f t="shared" ca="1" si="117"/>
        <v>0.16005133979264938</v>
      </c>
      <c r="N431" s="538">
        <f t="shared" ca="1" si="117"/>
        <v>0.19510096772909968</v>
      </c>
      <c r="O431" s="538">
        <f t="shared" ca="1" si="117"/>
        <v>0.22828818440265028</v>
      </c>
      <c r="P431" s="270"/>
      <c r="Q431" s="270" t="s">
        <v>81</v>
      </c>
      <c r="R431" s="270" t="s">
        <v>86</v>
      </c>
      <c r="S431" s="270"/>
      <c r="T431" s="270"/>
      <c r="U431" s="270"/>
      <c r="V431" s="270"/>
    </row>
    <row r="432" spans="1:22">
      <c r="B432" s="270" t="s">
        <v>221</v>
      </c>
      <c r="C432" s="270" t="s">
        <v>74</v>
      </c>
      <c r="D432" s="270"/>
      <c r="E432" s="269"/>
      <c r="F432" s="270"/>
      <c r="G432" s="270"/>
      <c r="H432" s="270"/>
      <c r="I432" s="270">
        <f t="shared" ca="1" si="118"/>
        <v>0</v>
      </c>
      <c r="J432" s="270"/>
      <c r="K432" s="537">
        <f t="shared" ca="1" si="117"/>
        <v>1.1002179885622521</v>
      </c>
      <c r="L432" s="538">
        <f t="shared" ca="1" si="117"/>
        <v>1.1414536549615695</v>
      </c>
      <c r="M432" s="538">
        <f t="shared" ca="1" si="117"/>
        <v>1.1849836103991154</v>
      </c>
      <c r="N432" s="538">
        <f t="shared" ca="1" si="117"/>
        <v>1.2261445811803959</v>
      </c>
      <c r="O432" s="538">
        <f t="shared" ca="1" si="117"/>
        <v>1.2657931905843891</v>
      </c>
      <c r="P432" s="270"/>
      <c r="Q432" s="270" t="s">
        <v>81</v>
      </c>
      <c r="R432" s="270" t="s">
        <v>86</v>
      </c>
      <c r="S432" s="270"/>
      <c r="T432" s="270"/>
      <c r="U432" s="270"/>
      <c r="V432" s="270"/>
    </row>
    <row r="433" spans="1:22">
      <c r="B433" s="270" t="s">
        <v>222</v>
      </c>
      <c r="C433" s="270" t="s">
        <v>74</v>
      </c>
      <c r="D433" s="270"/>
      <c r="E433" s="269"/>
      <c r="F433" s="270"/>
      <c r="G433" s="270"/>
      <c r="H433" s="270"/>
      <c r="I433" s="270">
        <f t="shared" ca="1" si="118"/>
        <v>0</v>
      </c>
      <c r="J433" s="270"/>
      <c r="K433" s="537">
        <f t="shared" ca="1" si="117"/>
        <v>1.798616413831718</v>
      </c>
      <c r="L433" s="538">
        <f t="shared" ca="1" si="117"/>
        <v>3.092010447151305</v>
      </c>
      <c r="M433" s="538">
        <f t="shared" ca="1" si="117"/>
        <v>4.7205990549904753</v>
      </c>
      <c r="N433" s="538">
        <f t="shared" ca="1" si="117"/>
        <v>6.5328328840436756</v>
      </c>
      <c r="O433" s="538">
        <f t="shared" ca="1" si="117"/>
        <v>8.3719977286982505</v>
      </c>
      <c r="P433" s="270"/>
      <c r="Q433" s="270" t="s">
        <v>81</v>
      </c>
      <c r="R433" s="270" t="s">
        <v>86</v>
      </c>
      <c r="S433" s="270"/>
      <c r="T433" s="270"/>
      <c r="U433" s="270"/>
      <c r="V433" s="270"/>
    </row>
    <row r="434" spans="1:22">
      <c r="B434" s="270" t="s">
        <v>223</v>
      </c>
      <c r="C434" s="270" t="s">
        <v>74</v>
      </c>
      <c r="D434" s="270"/>
      <c r="E434" s="269"/>
      <c r="F434" s="270"/>
      <c r="G434" s="270"/>
      <c r="H434" s="270"/>
      <c r="I434" s="270">
        <f t="shared" ca="1" si="118"/>
        <v>0</v>
      </c>
      <c r="J434" s="270"/>
      <c r="K434" s="537">
        <f t="shared" ca="1" si="117"/>
        <v>0.69762696570283733</v>
      </c>
      <c r="L434" s="538">
        <f t="shared" ca="1" si="117"/>
        <v>1.0768994184621523</v>
      </c>
      <c r="M434" s="538">
        <f t="shared" ca="1" si="117"/>
        <v>1.449838715947694</v>
      </c>
      <c r="N434" s="538">
        <f t="shared" ca="1" si="117"/>
        <v>1.7975279090192424</v>
      </c>
      <c r="O434" s="538">
        <f t="shared" ca="1" si="117"/>
        <v>2.1217359490276939</v>
      </c>
      <c r="P434" s="270"/>
      <c r="Q434" s="270" t="s">
        <v>81</v>
      </c>
      <c r="R434" s="270" t="s">
        <v>86</v>
      </c>
      <c r="S434" s="270"/>
      <c r="T434" s="270"/>
      <c r="U434" s="270"/>
      <c r="V434" s="270"/>
    </row>
    <row r="435" spans="1:22">
      <c r="B435" s="270" t="s">
        <v>224</v>
      </c>
      <c r="C435" s="270" t="s">
        <v>74</v>
      </c>
      <c r="D435" s="270"/>
      <c r="E435" s="269"/>
      <c r="F435" s="270"/>
      <c r="G435" s="270"/>
      <c r="H435" s="270"/>
      <c r="I435" s="270">
        <f t="shared" ca="1" si="118"/>
        <v>0</v>
      </c>
      <c r="J435" s="270"/>
      <c r="K435" s="537">
        <f t="shared" ca="1" si="117"/>
        <v>0.33628230124108055</v>
      </c>
      <c r="L435" s="538">
        <f t="shared" ca="1" si="117"/>
        <v>0.54175441660066259</v>
      </c>
      <c r="M435" s="538">
        <f t="shared" ca="1" si="117"/>
        <v>0.7242080063220232</v>
      </c>
      <c r="N435" s="538">
        <f t="shared" ca="1" si="117"/>
        <v>0.88684165694323447</v>
      </c>
      <c r="O435" s="538">
        <f t="shared" ca="1" si="117"/>
        <v>1.032402057566526</v>
      </c>
      <c r="P435" s="270"/>
      <c r="Q435" s="270" t="s">
        <v>81</v>
      </c>
      <c r="R435" s="270" t="s">
        <v>86</v>
      </c>
      <c r="S435" s="270"/>
      <c r="T435" s="270"/>
      <c r="U435" s="270"/>
      <c r="V435" s="270"/>
    </row>
    <row r="436" spans="1:22">
      <c r="B436" s="270" t="s">
        <v>225</v>
      </c>
      <c r="C436" s="270" t="s">
        <v>74</v>
      </c>
      <c r="D436" s="270"/>
      <c r="E436" s="269"/>
      <c r="F436" s="270"/>
      <c r="G436" s="270"/>
      <c r="H436" s="270"/>
      <c r="I436" s="270">
        <f t="shared" ca="1" si="118"/>
        <v>0</v>
      </c>
      <c r="J436" s="270"/>
      <c r="K436" s="537">
        <f t="shared" ca="1" si="117"/>
        <v>0.57435077485719399</v>
      </c>
      <c r="L436" s="538">
        <f t="shared" ca="1" si="117"/>
        <v>0.89134574872734784</v>
      </c>
      <c r="M436" s="538">
        <f t="shared" ca="1" si="117"/>
        <v>1.2567351211329829</v>
      </c>
      <c r="N436" s="538">
        <f t="shared" ca="1" si="117"/>
        <v>1.6251031624881507</v>
      </c>
      <c r="O436" s="538">
        <f t="shared" ca="1" si="117"/>
        <v>1.9816701720412546</v>
      </c>
      <c r="P436" s="270"/>
      <c r="Q436" s="270" t="s">
        <v>81</v>
      </c>
      <c r="R436" s="270" t="s">
        <v>86</v>
      </c>
      <c r="S436" s="270"/>
      <c r="T436" s="270"/>
      <c r="U436" s="270"/>
      <c r="V436" s="270"/>
    </row>
    <row r="437" spans="1:22">
      <c r="B437" s="270" t="s">
        <v>226</v>
      </c>
      <c r="C437" s="270" t="s">
        <v>74</v>
      </c>
      <c r="D437" s="270"/>
      <c r="E437" s="269"/>
      <c r="F437" s="270"/>
      <c r="G437" s="270"/>
      <c r="H437" s="270"/>
      <c r="I437" s="270"/>
      <c r="J437" s="270"/>
      <c r="K437" s="463"/>
      <c r="L437" s="270"/>
      <c r="M437" s="270"/>
      <c r="N437" s="270"/>
      <c r="O437" s="270"/>
      <c r="P437" s="270"/>
      <c r="Q437" s="270" t="s">
        <v>81</v>
      </c>
      <c r="R437" s="270" t="s">
        <v>86</v>
      </c>
      <c r="S437" s="270"/>
      <c r="T437" s="270"/>
      <c r="U437" s="270"/>
      <c r="V437" s="270"/>
    </row>
    <row r="438" spans="1:22">
      <c r="B438" s="270" t="s">
        <v>227</v>
      </c>
      <c r="C438" s="270" t="s">
        <v>74</v>
      </c>
      <c r="D438" s="270"/>
      <c r="E438" s="269"/>
      <c r="F438" s="270"/>
      <c r="G438" s="270"/>
      <c r="H438" s="270"/>
      <c r="I438" s="270"/>
      <c r="J438" s="270"/>
      <c r="K438" s="463"/>
      <c r="L438" s="270"/>
      <c r="M438" s="270"/>
      <c r="N438" s="270"/>
      <c r="O438" s="270"/>
      <c r="P438" s="270"/>
      <c r="Q438" s="270" t="s">
        <v>81</v>
      </c>
      <c r="R438" s="270" t="s">
        <v>86</v>
      </c>
      <c r="S438" s="270"/>
      <c r="T438" s="270"/>
      <c r="U438" s="270"/>
      <c r="V438" s="270"/>
    </row>
    <row r="439" spans="1:22">
      <c r="B439" s="270" t="s">
        <v>228</v>
      </c>
      <c r="C439" s="270" t="s">
        <v>74</v>
      </c>
      <c r="D439" s="270"/>
      <c r="E439" s="269"/>
      <c r="F439" s="270"/>
      <c r="G439" s="270"/>
      <c r="H439" s="270"/>
      <c r="I439" s="270"/>
      <c r="J439" s="270"/>
      <c r="K439" s="463"/>
      <c r="L439" s="270"/>
      <c r="M439" s="270"/>
      <c r="N439" s="270"/>
      <c r="O439" s="270"/>
      <c r="P439" s="270"/>
      <c r="Q439" s="270" t="s">
        <v>81</v>
      </c>
      <c r="R439" s="270" t="s">
        <v>86</v>
      </c>
      <c r="S439" s="270"/>
      <c r="T439" s="270"/>
      <c r="U439" s="270"/>
      <c r="V439" s="270"/>
    </row>
    <row r="440" spans="1:22">
      <c r="B440" s="270" t="s">
        <v>229</v>
      </c>
      <c r="C440" s="270" t="s">
        <v>74</v>
      </c>
      <c r="D440" s="270"/>
      <c r="E440" s="269"/>
      <c r="F440" s="270"/>
      <c r="G440" s="270"/>
      <c r="H440" s="270"/>
      <c r="I440" s="270"/>
      <c r="J440" s="270"/>
      <c r="K440" s="463"/>
      <c r="L440" s="270"/>
      <c r="M440" s="270"/>
      <c r="N440" s="270"/>
      <c r="O440" s="270"/>
      <c r="P440" s="270"/>
      <c r="Q440" s="270" t="s">
        <v>81</v>
      </c>
      <c r="R440" s="270" t="s">
        <v>86</v>
      </c>
      <c r="S440" s="270"/>
      <c r="T440" s="270"/>
      <c r="U440" s="270"/>
      <c r="V440" s="270"/>
    </row>
    <row r="441" spans="1:22">
      <c r="B441" s="270" t="s">
        <v>230</v>
      </c>
      <c r="C441" s="270" t="s">
        <v>74</v>
      </c>
      <c r="D441" s="270"/>
      <c r="E441" s="269"/>
      <c r="F441" s="270"/>
      <c r="G441" s="270"/>
      <c r="H441" s="270"/>
      <c r="I441" s="270"/>
      <c r="J441" s="270"/>
      <c r="K441" s="463"/>
      <c r="L441" s="270"/>
      <c r="M441" s="270"/>
      <c r="N441" s="270"/>
      <c r="O441" s="270"/>
      <c r="P441" s="270"/>
      <c r="Q441" s="270" t="s">
        <v>81</v>
      </c>
      <c r="R441" s="270" t="s">
        <v>86</v>
      </c>
      <c r="S441" s="270"/>
      <c r="T441" s="270"/>
      <c r="U441" s="270"/>
      <c r="V441" s="270"/>
    </row>
    <row r="442" spans="1:22">
      <c r="B442" s="270" t="s">
        <v>231</v>
      </c>
      <c r="C442" s="270" t="s">
        <v>74</v>
      </c>
      <c r="D442" s="270"/>
      <c r="E442" s="269"/>
      <c r="F442" s="270"/>
      <c r="G442" s="270"/>
      <c r="H442" s="270"/>
      <c r="I442" s="270"/>
      <c r="J442" s="270"/>
      <c r="K442" s="463"/>
      <c r="L442" s="270"/>
      <c r="M442" s="270"/>
      <c r="N442" s="270"/>
      <c r="O442" s="270"/>
      <c r="P442" s="270"/>
      <c r="Q442" s="270" t="s">
        <v>81</v>
      </c>
      <c r="R442" s="270" t="s">
        <v>86</v>
      </c>
      <c r="S442" s="270"/>
      <c r="T442" s="270"/>
      <c r="U442" s="270"/>
      <c r="V442" s="270"/>
    </row>
    <row r="443" spans="1:22">
      <c r="B443" s="270" t="s">
        <v>232</v>
      </c>
      <c r="C443" s="270" t="s">
        <v>74</v>
      </c>
      <c r="D443" s="270"/>
      <c r="E443" s="269"/>
      <c r="F443" s="270"/>
      <c r="G443" s="270"/>
      <c r="H443" s="270"/>
      <c r="I443" s="270"/>
      <c r="J443" s="270"/>
      <c r="K443" s="463"/>
      <c r="L443" s="270"/>
      <c r="M443" s="270"/>
      <c r="N443" s="270"/>
      <c r="O443" s="270"/>
      <c r="P443" s="270"/>
      <c r="Q443" s="270" t="s">
        <v>81</v>
      </c>
      <c r="R443" s="270" t="s">
        <v>86</v>
      </c>
      <c r="S443" s="270"/>
      <c r="T443" s="270"/>
      <c r="U443" s="270"/>
      <c r="V443" s="270"/>
    </row>
    <row r="444" spans="1:22">
      <c r="B444" s="270" t="s">
        <v>255</v>
      </c>
      <c r="C444" s="270" t="s">
        <v>74</v>
      </c>
      <c r="D444" s="270"/>
      <c r="E444" s="269"/>
      <c r="F444" s="270"/>
      <c r="G444" s="270"/>
      <c r="H444" s="270"/>
      <c r="I444" s="270"/>
      <c r="J444" s="270"/>
      <c r="K444" s="463"/>
      <c r="L444" s="270"/>
      <c r="M444" s="270"/>
      <c r="N444" s="270"/>
      <c r="O444" s="270"/>
      <c r="P444" s="270"/>
      <c r="Q444" s="270" t="s">
        <v>81</v>
      </c>
      <c r="R444" s="270" t="s">
        <v>86</v>
      </c>
      <c r="S444" s="270"/>
      <c r="T444" s="270"/>
      <c r="U444" s="270"/>
      <c r="V444" s="270"/>
    </row>
    <row r="445" spans="1:22">
      <c r="B445" s="270"/>
      <c r="C445" s="270"/>
      <c r="D445" s="270"/>
      <c r="E445" s="269"/>
      <c r="F445" s="270"/>
      <c r="G445" s="270"/>
      <c r="H445" s="270"/>
      <c r="I445" s="270"/>
      <c r="J445" s="270"/>
      <c r="K445" s="463"/>
      <c r="L445" s="270"/>
      <c r="M445" s="270"/>
      <c r="N445" s="270"/>
      <c r="O445" s="270"/>
      <c r="P445" s="270"/>
      <c r="Q445" s="270"/>
      <c r="R445" s="270"/>
      <c r="S445" s="270"/>
      <c r="T445" s="270"/>
      <c r="U445" s="270"/>
      <c r="V445" s="270"/>
    </row>
    <row r="446" spans="1:22" s="298" customFormat="1">
      <c r="A446" s="296" t="s">
        <v>445</v>
      </c>
      <c r="B446" s="296"/>
      <c r="C446" s="296"/>
      <c r="D446" s="296"/>
      <c r="E446" s="297"/>
      <c r="F446" s="296"/>
      <c r="G446" s="296"/>
      <c r="H446" s="296"/>
      <c r="I446" s="296"/>
      <c r="J446" s="296"/>
      <c r="K446" s="464"/>
      <c r="L446" s="296"/>
      <c r="M446" s="296"/>
      <c r="N446" s="296"/>
      <c r="O446" s="296"/>
      <c r="P446" s="296"/>
      <c r="Q446" s="296"/>
      <c r="R446" s="296"/>
      <c r="S446" s="296"/>
      <c r="T446" s="296"/>
      <c r="U446" s="296"/>
      <c r="V446" s="293"/>
    </row>
    <row r="447" spans="1:22">
      <c r="B447" s="270" t="s">
        <v>215</v>
      </c>
      <c r="C447" s="270" t="s">
        <v>74</v>
      </c>
      <c r="D447" s="270"/>
      <c r="E447" s="269"/>
      <c r="F447" s="270"/>
      <c r="G447" s="270"/>
      <c r="H447" s="270"/>
      <c r="I447" s="540">
        <f t="shared" ref="I447:O456" ca="1" si="119">I307+VLOOKUP($Q447,INDIRECT($B447),COLUMN()-1,FALSE)+VLOOKUP($R447,INDIRECT($B447),COLUMN()-1,FALSE)+VLOOKUP($S447,INDIRECT($B447),COLUMN()-1,FALSE)</f>
        <v>69.323938287530069</v>
      </c>
      <c r="J447" s="270">
        <f t="shared" ca="1" si="119"/>
        <v>0</v>
      </c>
      <c r="K447" s="537">
        <f ca="1">K307+VLOOKUP($Q447,INDIRECT($B447),COLUMN()-1,FALSE)+VLOOKUP($R447,INDIRECT($B447),COLUMN()-1,FALSE)+VLOOKUP($S447,INDIRECT($B447),COLUMN()-1,FALSE)</f>
        <v>70.790632505016944</v>
      </c>
      <c r="L447" s="538">
        <f t="shared" ca="1" si="119"/>
        <v>72.589953148881108</v>
      </c>
      <c r="M447" s="538">
        <f t="shared" ca="1" si="119"/>
        <v>73.911961644989503</v>
      </c>
      <c r="N447" s="538">
        <f t="shared" ca="1" si="119"/>
        <v>74.584402485963182</v>
      </c>
      <c r="O447" s="538">
        <f t="shared" ca="1" si="119"/>
        <v>75.06359479127272</v>
      </c>
      <c r="P447" s="270"/>
      <c r="Q447" s="270" t="s">
        <v>79</v>
      </c>
      <c r="R447" s="270" t="s">
        <v>80</v>
      </c>
      <c r="S447" s="270" t="s">
        <v>81</v>
      </c>
      <c r="T447" s="270"/>
      <c r="U447" s="270"/>
      <c r="V447" s="270"/>
    </row>
    <row r="448" spans="1:22">
      <c r="B448" s="270" t="s">
        <v>216</v>
      </c>
      <c r="C448" s="270" t="s">
        <v>74</v>
      </c>
      <c r="D448" s="270"/>
      <c r="E448" s="269"/>
      <c r="F448" s="270"/>
      <c r="G448" s="270"/>
      <c r="H448" s="270"/>
      <c r="I448" s="540">
        <f t="shared" ca="1" si="119"/>
        <v>44.543780733358147</v>
      </c>
      <c r="J448" s="270">
        <f t="shared" ca="1" si="119"/>
        <v>0</v>
      </c>
      <c r="K448" s="537">
        <f t="shared" ca="1" si="119"/>
        <v>47.251180195978648</v>
      </c>
      <c r="L448" s="538">
        <f t="shared" ca="1" si="119"/>
        <v>46.318406072456995</v>
      </c>
      <c r="M448" s="538">
        <f t="shared" ca="1" si="119"/>
        <v>45.388862648057518</v>
      </c>
      <c r="N448" s="538">
        <f t="shared" ca="1" si="119"/>
        <v>44.508681291848298</v>
      </c>
      <c r="O448" s="538">
        <f t="shared" ca="1" si="119"/>
        <v>44.680968350484449</v>
      </c>
      <c r="P448" s="270"/>
      <c r="Q448" s="270" t="s">
        <v>79</v>
      </c>
      <c r="R448" s="270" t="s">
        <v>80</v>
      </c>
      <c r="S448" s="270" t="s">
        <v>81</v>
      </c>
      <c r="T448" s="270"/>
      <c r="U448" s="270"/>
      <c r="V448" s="270"/>
    </row>
    <row r="449" spans="2:22">
      <c r="B449" s="270" t="s">
        <v>217</v>
      </c>
      <c r="C449" s="270" t="s">
        <v>74</v>
      </c>
      <c r="D449" s="270"/>
      <c r="E449" s="269"/>
      <c r="F449" s="270"/>
      <c r="G449" s="270"/>
      <c r="H449" s="270"/>
      <c r="I449" s="540">
        <f t="shared" ca="1" si="119"/>
        <v>46.869907100849531</v>
      </c>
      <c r="J449" s="270">
        <f t="shared" ca="1" si="119"/>
        <v>0</v>
      </c>
      <c r="K449" s="537">
        <f t="shared" ca="1" si="119"/>
        <v>48.822367769529848</v>
      </c>
      <c r="L449" s="538">
        <f t="shared" ca="1" si="119"/>
        <v>49.494091470779622</v>
      </c>
      <c r="M449" s="538">
        <f t="shared" ca="1" si="119"/>
        <v>50.188364937033967</v>
      </c>
      <c r="N449" s="538">
        <f t="shared" ca="1" si="119"/>
        <v>50.778805257490994</v>
      </c>
      <c r="O449" s="538">
        <f t="shared" ca="1" si="119"/>
        <v>51.669720968239375</v>
      </c>
      <c r="P449" s="270"/>
      <c r="Q449" s="270" t="s">
        <v>79</v>
      </c>
      <c r="R449" s="270" t="s">
        <v>80</v>
      </c>
      <c r="S449" s="270" t="s">
        <v>81</v>
      </c>
      <c r="T449" s="270"/>
      <c r="U449" s="270"/>
      <c r="V449" s="270"/>
    </row>
    <row r="450" spans="2:22">
      <c r="B450" s="270" t="s">
        <v>219</v>
      </c>
      <c r="C450" s="270" t="s">
        <v>74</v>
      </c>
      <c r="D450" s="270"/>
      <c r="E450" s="269"/>
      <c r="F450" s="270"/>
      <c r="G450" s="270"/>
      <c r="H450" s="270"/>
      <c r="I450" s="540">
        <f t="shared" ca="1" si="119"/>
        <v>105.92603575777667</v>
      </c>
      <c r="J450" s="270">
        <f t="shared" ca="1" si="119"/>
        <v>0</v>
      </c>
      <c r="K450" s="537">
        <f t="shared" ca="1" si="119"/>
        <v>106.89352323034237</v>
      </c>
      <c r="L450" s="538">
        <f t="shared" ca="1" si="119"/>
        <v>107.33698582995859</v>
      </c>
      <c r="M450" s="538">
        <f t="shared" ca="1" si="119"/>
        <v>110.02211610981155</v>
      </c>
      <c r="N450" s="538">
        <f t="shared" ca="1" si="119"/>
        <v>113.76384668201233</v>
      </c>
      <c r="O450" s="538">
        <f t="shared" ca="1" si="119"/>
        <v>117.47993025354717</v>
      </c>
      <c r="P450" s="270"/>
      <c r="Q450" s="270" t="s">
        <v>79</v>
      </c>
      <c r="R450" s="270" t="s">
        <v>80</v>
      </c>
      <c r="S450" s="270" t="s">
        <v>81</v>
      </c>
      <c r="T450" s="270"/>
      <c r="U450" s="270"/>
      <c r="V450" s="270"/>
    </row>
    <row r="451" spans="2:22">
      <c r="B451" s="270" t="s">
        <v>220</v>
      </c>
      <c r="C451" s="270" t="s">
        <v>74</v>
      </c>
      <c r="D451" s="270"/>
      <c r="E451" s="269"/>
      <c r="F451" s="270"/>
      <c r="G451" s="270"/>
      <c r="H451" s="270"/>
      <c r="I451" s="540">
        <f t="shared" ca="1" si="119"/>
        <v>24.785557302701264</v>
      </c>
      <c r="J451" s="270">
        <f t="shared" ca="1" si="119"/>
        <v>0</v>
      </c>
      <c r="K451" s="537">
        <f t="shared" ca="1" si="119"/>
        <v>21.824413863877069</v>
      </c>
      <c r="L451" s="538">
        <f t="shared" ca="1" si="119"/>
        <v>21.626133805614405</v>
      </c>
      <c r="M451" s="538">
        <f t="shared" ca="1" si="119"/>
        <v>21.747628939353799</v>
      </c>
      <c r="N451" s="538">
        <f t="shared" ca="1" si="119"/>
        <v>21.77775973252119</v>
      </c>
      <c r="O451" s="538">
        <f t="shared" ca="1" si="119"/>
        <v>21.567816141419435</v>
      </c>
      <c r="P451" s="270"/>
      <c r="Q451" s="270" t="s">
        <v>79</v>
      </c>
      <c r="R451" s="270" t="s">
        <v>80</v>
      </c>
      <c r="S451" s="270" t="s">
        <v>81</v>
      </c>
      <c r="T451" s="270"/>
      <c r="U451" s="270"/>
      <c r="V451" s="270"/>
    </row>
    <row r="452" spans="2:22">
      <c r="B452" s="270" t="s">
        <v>221</v>
      </c>
      <c r="C452" s="270" t="s">
        <v>74</v>
      </c>
      <c r="D452" s="270"/>
      <c r="E452" s="269"/>
      <c r="F452" s="270"/>
      <c r="G452" s="270"/>
      <c r="H452" s="270"/>
      <c r="I452" s="540">
        <f t="shared" ca="1" si="119"/>
        <v>70.631948647130002</v>
      </c>
      <c r="J452" s="270">
        <f t="shared" ca="1" si="119"/>
        <v>0</v>
      </c>
      <c r="K452" s="537">
        <f t="shared" ca="1" si="119"/>
        <v>63.479212807242519</v>
      </c>
      <c r="L452" s="538">
        <f t="shared" ca="1" si="119"/>
        <v>64.401147651370636</v>
      </c>
      <c r="M452" s="538">
        <f t="shared" ca="1" si="119"/>
        <v>63.398831417381395</v>
      </c>
      <c r="N452" s="538">
        <f t="shared" ca="1" si="119"/>
        <v>58.869205038623519</v>
      </c>
      <c r="O452" s="538">
        <f t="shared" ca="1" si="119"/>
        <v>58.606751366524797</v>
      </c>
      <c r="P452" s="270"/>
      <c r="Q452" s="270" t="s">
        <v>79</v>
      </c>
      <c r="R452" s="270" t="s">
        <v>80</v>
      </c>
      <c r="S452" s="270" t="s">
        <v>81</v>
      </c>
      <c r="T452" s="270"/>
      <c r="U452" s="270"/>
      <c r="V452" s="270"/>
    </row>
    <row r="453" spans="2:22">
      <c r="B453" s="270" t="s">
        <v>222</v>
      </c>
      <c r="C453" s="270" t="s">
        <v>74</v>
      </c>
      <c r="D453" s="270"/>
      <c r="E453" s="269"/>
      <c r="F453" s="270"/>
      <c r="G453" s="270"/>
      <c r="H453" s="270"/>
      <c r="I453" s="540">
        <f t="shared" ca="1" si="119"/>
        <v>145.81670867546143</v>
      </c>
      <c r="J453" s="270">
        <f t="shared" ca="1" si="119"/>
        <v>0</v>
      </c>
      <c r="K453" s="537">
        <f t="shared" ca="1" si="119"/>
        <v>154.36608956712058</v>
      </c>
      <c r="L453" s="538">
        <f t="shared" ca="1" si="119"/>
        <v>160.93072332590489</v>
      </c>
      <c r="M453" s="538">
        <f t="shared" ca="1" si="119"/>
        <v>161.4215643161599</v>
      </c>
      <c r="N453" s="538">
        <f t="shared" ca="1" si="119"/>
        <v>164.17902152280411</v>
      </c>
      <c r="O453" s="538">
        <f t="shared" ca="1" si="119"/>
        <v>159.57969564975565</v>
      </c>
      <c r="P453" s="270"/>
      <c r="Q453" s="270" t="s">
        <v>79</v>
      </c>
      <c r="R453" s="270" t="s">
        <v>80</v>
      </c>
      <c r="S453" s="270" t="s">
        <v>81</v>
      </c>
      <c r="T453" s="270"/>
      <c r="U453" s="270"/>
      <c r="V453" s="270"/>
    </row>
    <row r="454" spans="2:22">
      <c r="B454" s="270" t="s">
        <v>223</v>
      </c>
      <c r="C454" s="270" t="s">
        <v>74</v>
      </c>
      <c r="D454" s="270"/>
      <c r="E454" s="269"/>
      <c r="F454" s="270"/>
      <c r="G454" s="270"/>
      <c r="H454" s="270"/>
      <c r="I454" s="540">
        <f t="shared" ca="1" si="119"/>
        <v>109.03039831449223</v>
      </c>
      <c r="J454" s="270">
        <f t="shared" ca="1" si="119"/>
        <v>0</v>
      </c>
      <c r="K454" s="537">
        <f t="shared" ca="1" si="119"/>
        <v>110.11214984576547</v>
      </c>
      <c r="L454" s="538">
        <f t="shared" ca="1" si="119"/>
        <v>112.97871962525676</v>
      </c>
      <c r="M454" s="538">
        <f t="shared" ca="1" si="119"/>
        <v>115.27283500175778</v>
      </c>
      <c r="N454" s="538">
        <f t="shared" ca="1" si="119"/>
        <v>114.92552124069705</v>
      </c>
      <c r="O454" s="538">
        <f t="shared" ca="1" si="119"/>
        <v>117.29110715220838</v>
      </c>
      <c r="P454" s="270"/>
      <c r="Q454" s="270" t="s">
        <v>79</v>
      </c>
      <c r="R454" s="270" t="s">
        <v>80</v>
      </c>
      <c r="S454" s="270" t="s">
        <v>81</v>
      </c>
      <c r="T454" s="270"/>
      <c r="U454" s="270"/>
      <c r="V454" s="270"/>
    </row>
    <row r="455" spans="2:22">
      <c r="B455" s="270" t="s">
        <v>224</v>
      </c>
      <c r="C455" s="270" t="s">
        <v>74</v>
      </c>
      <c r="D455" s="270"/>
      <c r="E455" s="269"/>
      <c r="F455" s="270"/>
      <c r="G455" s="270"/>
      <c r="H455" s="270"/>
      <c r="I455" s="540">
        <f t="shared" ca="1" si="119"/>
        <v>26.461675167737219</v>
      </c>
      <c r="J455" s="270">
        <f t="shared" ca="1" si="119"/>
        <v>0</v>
      </c>
      <c r="K455" s="537">
        <f t="shared" ca="1" si="119"/>
        <v>28.033045972794543</v>
      </c>
      <c r="L455" s="538">
        <f t="shared" ca="1" si="119"/>
        <v>28.586091861668923</v>
      </c>
      <c r="M455" s="538">
        <f t="shared" ca="1" si="119"/>
        <v>29.271152890094392</v>
      </c>
      <c r="N455" s="538">
        <f t="shared" ca="1" si="119"/>
        <v>29.787170928302238</v>
      </c>
      <c r="O455" s="538">
        <f t="shared" ca="1" si="119"/>
        <v>30.251198592342401</v>
      </c>
      <c r="P455" s="270"/>
      <c r="Q455" s="270" t="s">
        <v>79</v>
      </c>
      <c r="R455" s="270" t="s">
        <v>80</v>
      </c>
      <c r="S455" s="270" t="s">
        <v>81</v>
      </c>
      <c r="T455" s="270"/>
      <c r="U455" s="270"/>
      <c r="V455" s="270"/>
    </row>
    <row r="456" spans="2:22">
      <c r="B456" s="270" t="s">
        <v>225</v>
      </c>
      <c r="C456" s="270" t="s">
        <v>74</v>
      </c>
      <c r="D456" s="270"/>
      <c r="E456" s="269"/>
      <c r="F456" s="270"/>
      <c r="G456" s="270"/>
      <c r="H456" s="270"/>
      <c r="I456" s="540">
        <f t="shared" ca="1" si="119"/>
        <v>53.002281780512376</v>
      </c>
      <c r="J456" s="270">
        <f t="shared" ca="1" si="119"/>
        <v>0</v>
      </c>
      <c r="K456" s="537">
        <f t="shared" ca="1" si="119"/>
        <v>52.291261146394234</v>
      </c>
      <c r="L456" s="538">
        <f t="shared" ca="1" si="119"/>
        <v>52.397431366322394</v>
      </c>
      <c r="M456" s="538">
        <f t="shared" ca="1" si="119"/>
        <v>52.425718167089386</v>
      </c>
      <c r="N456" s="538">
        <f t="shared" ca="1" si="119"/>
        <v>51.393404226779381</v>
      </c>
      <c r="O456" s="538">
        <f t="shared" ca="1" si="119"/>
        <v>52.14242481416332</v>
      </c>
      <c r="P456" s="270"/>
      <c r="Q456" s="270" t="s">
        <v>79</v>
      </c>
      <c r="R456" s="270" t="s">
        <v>80</v>
      </c>
      <c r="S456" s="270" t="s">
        <v>81</v>
      </c>
      <c r="T456" s="270"/>
      <c r="U456" s="270"/>
      <c r="V456" s="270"/>
    </row>
    <row r="457" spans="2:22">
      <c r="B457" s="270" t="s">
        <v>226</v>
      </c>
      <c r="C457" s="270" t="s">
        <v>74</v>
      </c>
      <c r="D457" s="270"/>
      <c r="E457" s="269"/>
      <c r="F457" s="270"/>
      <c r="G457" s="270"/>
      <c r="H457" s="270"/>
      <c r="I457" s="540">
        <f t="shared" ref="I457:O464" ca="1" si="120">I317+VLOOKUP($Q457,INDIRECT($B457),COLUMN()-1,FALSE)+VLOOKUP($R457,INDIRECT($B457),COLUMN()-1,FALSE)+VLOOKUP($S457,INDIRECT($B457),COLUMN()-1,FALSE)</f>
        <v>26.568989177349636</v>
      </c>
      <c r="J457" s="270">
        <f t="shared" ca="1" si="120"/>
        <v>0</v>
      </c>
      <c r="K457" s="537">
        <f t="shared" ca="1" si="120"/>
        <v>27.641024894424348</v>
      </c>
      <c r="L457" s="538">
        <f t="shared" ca="1" si="120"/>
        <v>27.731242279484782</v>
      </c>
      <c r="M457" s="538">
        <f t="shared" ca="1" si="120"/>
        <v>27.81706973098683</v>
      </c>
      <c r="N457" s="538">
        <f t="shared" ca="1" si="120"/>
        <v>27.44918693317647</v>
      </c>
      <c r="O457" s="538">
        <f t="shared" ca="1" si="120"/>
        <v>26.528715194911342</v>
      </c>
      <c r="P457" s="270"/>
      <c r="Q457" s="270" t="s">
        <v>79</v>
      </c>
      <c r="R457" s="270" t="s">
        <v>80</v>
      </c>
      <c r="S457" s="270" t="s">
        <v>81</v>
      </c>
      <c r="T457" s="270"/>
      <c r="U457" s="270"/>
      <c r="V457" s="270"/>
    </row>
    <row r="458" spans="2:22">
      <c r="B458" s="270" t="s">
        <v>227</v>
      </c>
      <c r="C458" s="270" t="s">
        <v>74</v>
      </c>
      <c r="D458" s="270"/>
      <c r="E458" s="269"/>
      <c r="F458" s="270"/>
      <c r="G458" s="270"/>
      <c r="H458" s="270"/>
      <c r="I458" s="540">
        <f t="shared" ca="1" si="120"/>
        <v>8.8826081864270225</v>
      </c>
      <c r="J458" s="270">
        <f t="shared" ca="1" si="120"/>
        <v>0</v>
      </c>
      <c r="K458" s="537">
        <f t="shared" ca="1" si="120"/>
        <v>9.4319946823361978</v>
      </c>
      <c r="L458" s="538">
        <f t="shared" ca="1" si="120"/>
        <v>9.7731210448384438</v>
      </c>
      <c r="M458" s="538">
        <f t="shared" ca="1" si="120"/>
        <v>10.034077786100209</v>
      </c>
      <c r="N458" s="538">
        <f t="shared" ca="1" si="120"/>
        <v>10.259777765837315</v>
      </c>
      <c r="O458" s="538">
        <f t="shared" ca="1" si="120"/>
        <v>10.489165434588777</v>
      </c>
      <c r="P458" s="270"/>
      <c r="Q458" s="270" t="s">
        <v>79</v>
      </c>
      <c r="R458" s="270" t="s">
        <v>80</v>
      </c>
      <c r="S458" s="270" t="s">
        <v>81</v>
      </c>
      <c r="T458" s="270"/>
      <c r="U458" s="270"/>
      <c r="V458" s="270"/>
    </row>
    <row r="459" spans="2:22">
      <c r="B459" s="270" t="s">
        <v>228</v>
      </c>
      <c r="C459" s="270" t="s">
        <v>74</v>
      </c>
      <c r="D459" s="270"/>
      <c r="E459" s="269"/>
      <c r="F459" s="270"/>
      <c r="G459" s="270"/>
      <c r="H459" s="270"/>
      <c r="I459" s="540">
        <f t="shared" ca="1" si="120"/>
        <v>2.5539999999999998</v>
      </c>
      <c r="J459" s="270">
        <f t="shared" ca="1" si="120"/>
        <v>0</v>
      </c>
      <c r="K459" s="537">
        <f t="shared" ca="1" si="120"/>
        <v>2.6560000000000001</v>
      </c>
      <c r="L459" s="538">
        <f t="shared" ca="1" si="120"/>
        <v>2.6850000000000005</v>
      </c>
      <c r="M459" s="538">
        <f t="shared" ca="1" si="120"/>
        <v>2.7350000000000003</v>
      </c>
      <c r="N459" s="538">
        <f t="shared" ca="1" si="120"/>
        <v>2.7520000000000002</v>
      </c>
      <c r="O459" s="538">
        <f t="shared" ca="1" si="120"/>
        <v>2.7720000000000002</v>
      </c>
      <c r="P459" s="270"/>
      <c r="Q459" s="270" t="s">
        <v>79</v>
      </c>
      <c r="R459" s="270" t="s">
        <v>80</v>
      </c>
      <c r="S459" s="270" t="s">
        <v>81</v>
      </c>
      <c r="T459" s="270"/>
      <c r="U459" s="270"/>
      <c r="V459" s="270"/>
    </row>
    <row r="460" spans="2:22">
      <c r="B460" s="270" t="s">
        <v>229</v>
      </c>
      <c r="C460" s="270" t="s">
        <v>74</v>
      </c>
      <c r="D460" s="270"/>
      <c r="E460" s="269"/>
      <c r="F460" s="270"/>
      <c r="G460" s="270"/>
      <c r="H460" s="270"/>
      <c r="I460" s="540">
        <f t="shared" ca="1" si="120"/>
        <v>4.1349999999999998</v>
      </c>
      <c r="J460" s="270">
        <f t="shared" ca="1" si="120"/>
        <v>0</v>
      </c>
      <c r="K460" s="537">
        <f t="shared" ca="1" si="120"/>
        <v>4.2379999999999995</v>
      </c>
      <c r="L460" s="538">
        <f t="shared" ca="1" si="120"/>
        <v>4.2730000000000006</v>
      </c>
      <c r="M460" s="538">
        <f t="shared" ca="1" si="120"/>
        <v>4.2759999999999998</v>
      </c>
      <c r="N460" s="538">
        <f t="shared" ca="1" si="120"/>
        <v>4.2990000000000004</v>
      </c>
      <c r="O460" s="538">
        <f t="shared" ca="1" si="120"/>
        <v>4.3289999999999997</v>
      </c>
      <c r="P460" s="270"/>
      <c r="Q460" s="270" t="s">
        <v>79</v>
      </c>
      <c r="R460" s="270" t="s">
        <v>80</v>
      </c>
      <c r="S460" s="270" t="s">
        <v>81</v>
      </c>
      <c r="T460" s="270"/>
      <c r="U460" s="270"/>
      <c r="V460" s="270"/>
    </row>
    <row r="461" spans="2:22">
      <c r="B461" s="270" t="s">
        <v>230</v>
      </c>
      <c r="C461" s="270" t="s">
        <v>74</v>
      </c>
      <c r="D461" s="270"/>
      <c r="E461" s="269"/>
      <c r="F461" s="270"/>
      <c r="G461" s="270"/>
      <c r="H461" s="270"/>
      <c r="I461" s="540">
        <f t="shared" ca="1" si="120"/>
        <v>4.3719999999999999</v>
      </c>
      <c r="J461" s="270">
        <f t="shared" ca="1" si="120"/>
        <v>0</v>
      </c>
      <c r="K461" s="537">
        <f t="shared" ca="1" si="120"/>
        <v>4.7359999999999998</v>
      </c>
      <c r="L461" s="538">
        <f t="shared" ca="1" si="120"/>
        <v>4.8490000000000002</v>
      </c>
      <c r="M461" s="538">
        <f t="shared" ca="1" si="120"/>
        <v>4.9089999999999998</v>
      </c>
      <c r="N461" s="538">
        <f t="shared" ca="1" si="120"/>
        <v>4.9369999999999994</v>
      </c>
      <c r="O461" s="538">
        <f t="shared" ca="1" si="120"/>
        <v>4.9010000000000007</v>
      </c>
      <c r="P461" s="270"/>
      <c r="Q461" s="270" t="s">
        <v>79</v>
      </c>
      <c r="R461" s="270" t="s">
        <v>80</v>
      </c>
      <c r="S461" s="270" t="s">
        <v>81</v>
      </c>
      <c r="T461" s="270"/>
      <c r="U461" s="270"/>
      <c r="V461" s="270"/>
    </row>
    <row r="462" spans="2:22">
      <c r="B462" s="270" t="s">
        <v>231</v>
      </c>
      <c r="C462" s="270" t="s">
        <v>74</v>
      </c>
      <c r="D462" s="270"/>
      <c r="E462" s="269"/>
      <c r="F462" s="270"/>
      <c r="G462" s="270"/>
      <c r="H462" s="270"/>
      <c r="I462" s="540">
        <f t="shared" ca="1" si="120"/>
        <v>19.586800469344254</v>
      </c>
      <c r="J462" s="270">
        <f t="shared" ca="1" si="120"/>
        <v>0</v>
      </c>
      <c r="K462" s="537">
        <f t="shared" ca="1" si="120"/>
        <v>19.233237392891187</v>
      </c>
      <c r="L462" s="538">
        <f t="shared" ca="1" si="120"/>
        <v>19.7838769998156</v>
      </c>
      <c r="M462" s="538">
        <f t="shared" ca="1" si="120"/>
        <v>19.945324343485371</v>
      </c>
      <c r="N462" s="538">
        <f t="shared" ca="1" si="120"/>
        <v>20.26553901975679</v>
      </c>
      <c r="O462" s="538">
        <f t="shared" ca="1" si="120"/>
        <v>20.776882863001394</v>
      </c>
      <c r="P462" s="270"/>
      <c r="Q462" s="270" t="s">
        <v>79</v>
      </c>
      <c r="R462" s="270" t="s">
        <v>80</v>
      </c>
      <c r="S462" s="270" t="s">
        <v>81</v>
      </c>
      <c r="T462" s="270"/>
      <c r="U462" s="270"/>
      <c r="V462" s="270"/>
    </row>
    <row r="463" spans="2:22">
      <c r="B463" s="270" t="s">
        <v>232</v>
      </c>
      <c r="C463" s="270" t="s">
        <v>74</v>
      </c>
      <c r="D463" s="270"/>
      <c r="E463" s="269"/>
      <c r="F463" s="270"/>
      <c r="G463" s="270"/>
      <c r="H463" s="270"/>
      <c r="I463" s="540">
        <f t="shared" ca="1" si="120"/>
        <v>15.038321697822628</v>
      </c>
      <c r="J463" s="270">
        <f t="shared" ca="1" si="120"/>
        <v>0</v>
      </c>
      <c r="K463" s="537">
        <f t="shared" ca="1" si="120"/>
        <v>16.187060741736818</v>
      </c>
      <c r="L463" s="538">
        <f t="shared" ca="1" si="120"/>
        <v>16.254315265412341</v>
      </c>
      <c r="M463" s="538">
        <f t="shared" ca="1" si="120"/>
        <v>16.100568875791257</v>
      </c>
      <c r="N463" s="538">
        <f t="shared" ca="1" si="120"/>
        <v>15.618412089554026</v>
      </c>
      <c r="O463" s="538">
        <f t="shared" ca="1" si="120"/>
        <v>15.366058855498299</v>
      </c>
      <c r="P463" s="270"/>
      <c r="Q463" s="270" t="s">
        <v>79</v>
      </c>
      <c r="R463" s="270" t="s">
        <v>80</v>
      </c>
      <c r="S463" s="270" t="s">
        <v>81</v>
      </c>
      <c r="T463" s="270"/>
      <c r="U463" s="270"/>
      <c r="V463" s="270"/>
    </row>
    <row r="464" spans="2:22">
      <c r="B464" s="270" t="s">
        <v>255</v>
      </c>
      <c r="C464" s="270" t="s">
        <v>74</v>
      </c>
      <c r="D464" s="270"/>
      <c r="E464" s="269"/>
      <c r="F464" s="270"/>
      <c r="G464" s="270"/>
      <c r="H464" s="270"/>
      <c r="I464" s="540">
        <f t="shared" ca="1" si="120"/>
        <v>5.8513264778167393</v>
      </c>
      <c r="J464" s="270">
        <f t="shared" ca="1" si="120"/>
        <v>0</v>
      </c>
      <c r="K464" s="537">
        <f t="shared" ca="1" si="120"/>
        <v>5.399931841637966</v>
      </c>
      <c r="L464" s="538">
        <f t="shared" ca="1" si="120"/>
        <v>5.4223581386796749</v>
      </c>
      <c r="M464" s="538">
        <f t="shared" ca="1" si="120"/>
        <v>5.6741888581832409</v>
      </c>
      <c r="N464" s="538">
        <f t="shared" ca="1" si="120"/>
        <v>5.6756389817872561</v>
      </c>
      <c r="O464" s="538">
        <f t="shared" ca="1" si="120"/>
        <v>5.6444077700505364</v>
      </c>
      <c r="P464" s="270"/>
      <c r="Q464" s="270" t="s">
        <v>79</v>
      </c>
      <c r="R464" s="270" t="s">
        <v>80</v>
      </c>
      <c r="S464" s="270" t="s">
        <v>81</v>
      </c>
      <c r="T464" s="270"/>
      <c r="U464" s="270"/>
      <c r="V464" s="270"/>
    </row>
    <row r="465" spans="1:22">
      <c r="B465" s="270"/>
      <c r="C465" s="270"/>
      <c r="D465" s="270"/>
      <c r="E465" s="269"/>
      <c r="F465" s="270"/>
      <c r="G465" s="270"/>
      <c r="H465" s="270"/>
      <c r="I465" s="270"/>
      <c r="J465" s="270"/>
      <c r="K465" s="463"/>
      <c r="L465" s="270"/>
      <c r="M465" s="270"/>
      <c r="N465" s="270"/>
      <c r="O465" s="270"/>
      <c r="P465" s="270"/>
      <c r="Q465" s="270"/>
      <c r="R465" s="270"/>
      <c r="S465" s="270"/>
      <c r="T465" s="270"/>
      <c r="U465" s="270"/>
      <c r="V465" s="270"/>
    </row>
    <row r="466" spans="1:22" s="298" customFormat="1">
      <c r="A466" s="296" t="s">
        <v>446</v>
      </c>
      <c r="B466" s="296"/>
      <c r="C466" s="296"/>
      <c r="D466" s="296"/>
      <c r="E466" s="297"/>
      <c r="F466" s="296"/>
      <c r="G466" s="296"/>
      <c r="H466" s="296"/>
      <c r="I466" s="296"/>
      <c r="J466" s="296"/>
      <c r="K466" s="464"/>
      <c r="L466" s="296"/>
      <c r="M466" s="296"/>
      <c r="N466" s="296"/>
      <c r="O466" s="296"/>
      <c r="P466" s="296"/>
      <c r="Q466" s="296"/>
      <c r="R466" s="296"/>
      <c r="S466" s="296"/>
      <c r="T466" s="296"/>
      <c r="U466" s="296"/>
      <c r="V466" s="293"/>
    </row>
    <row r="467" spans="1:22">
      <c r="B467" s="270" t="s">
        <v>215</v>
      </c>
      <c r="C467" s="270" t="s">
        <v>74</v>
      </c>
      <c r="D467" s="270"/>
      <c r="E467" s="269"/>
      <c r="F467" s="270"/>
      <c r="G467" s="270"/>
      <c r="H467" s="270"/>
      <c r="I467" s="270">
        <f t="shared" ref="I467:I484" ca="1" si="121">I447-$I447</f>
        <v>0</v>
      </c>
      <c r="J467" s="270"/>
      <c r="K467" s="537">
        <f t="shared" ref="K467:O476" ca="1" si="122">K447-$I447</f>
        <v>1.4666942174868751</v>
      </c>
      <c r="L467" s="538">
        <f t="shared" ca="1" si="122"/>
        <v>3.2660148613510387</v>
      </c>
      <c r="M467" s="538">
        <f t="shared" ca="1" si="122"/>
        <v>4.5880233574594342</v>
      </c>
      <c r="N467" s="538">
        <f t="shared" ca="1" si="122"/>
        <v>5.2604641984331124</v>
      </c>
      <c r="O467" s="538">
        <f t="shared" ca="1" si="122"/>
        <v>5.7396565037426512</v>
      </c>
      <c r="P467" s="270"/>
      <c r="Q467" s="270"/>
      <c r="R467" s="270"/>
      <c r="S467" s="270"/>
      <c r="T467" s="270"/>
      <c r="U467" s="270"/>
      <c r="V467" s="270"/>
    </row>
    <row r="468" spans="1:22">
      <c r="B468" s="270" t="s">
        <v>216</v>
      </c>
      <c r="C468" s="270" t="s">
        <v>74</v>
      </c>
      <c r="D468" s="270"/>
      <c r="E468" s="269"/>
      <c r="F468" s="270"/>
      <c r="G468" s="270"/>
      <c r="H468" s="270"/>
      <c r="I468" s="270">
        <f t="shared" ca="1" si="121"/>
        <v>0</v>
      </c>
      <c r="J468" s="270"/>
      <c r="K468" s="537">
        <f t="shared" ca="1" si="122"/>
        <v>2.7073994626205007</v>
      </c>
      <c r="L468" s="538">
        <f t="shared" ca="1" si="122"/>
        <v>1.7746253390988471</v>
      </c>
      <c r="M468" s="538">
        <f t="shared" ca="1" si="122"/>
        <v>0.84508191469937088</v>
      </c>
      <c r="N468" s="538">
        <f t="shared" ca="1" si="122"/>
        <v>-3.5099441509849783E-2</v>
      </c>
      <c r="O468" s="538">
        <f t="shared" ca="1" si="122"/>
        <v>0.13718761712630112</v>
      </c>
      <c r="P468" s="270"/>
      <c r="Q468" s="270"/>
      <c r="R468" s="270"/>
      <c r="S468" s="270"/>
      <c r="T468" s="270"/>
      <c r="U468" s="270"/>
      <c r="V468" s="270"/>
    </row>
    <row r="469" spans="1:22">
      <c r="B469" s="270" t="s">
        <v>217</v>
      </c>
      <c r="C469" s="270" t="s">
        <v>74</v>
      </c>
      <c r="D469" s="270"/>
      <c r="E469" s="269"/>
      <c r="F469" s="270"/>
      <c r="G469" s="270"/>
      <c r="H469" s="270"/>
      <c r="I469" s="270">
        <f t="shared" ca="1" si="121"/>
        <v>0</v>
      </c>
      <c r="J469" s="270"/>
      <c r="K469" s="537">
        <f t="shared" ca="1" si="122"/>
        <v>1.9524606686803168</v>
      </c>
      <c r="L469" s="538">
        <f t="shared" ca="1" si="122"/>
        <v>2.6241843699300915</v>
      </c>
      <c r="M469" s="538">
        <f t="shared" ca="1" si="122"/>
        <v>3.3184578361844359</v>
      </c>
      <c r="N469" s="538">
        <f t="shared" ca="1" si="122"/>
        <v>3.9088981566414631</v>
      </c>
      <c r="O469" s="538">
        <f t="shared" ca="1" si="122"/>
        <v>4.7998138673898438</v>
      </c>
      <c r="P469" s="270"/>
      <c r="Q469" s="270"/>
      <c r="R469" s="270"/>
      <c r="S469" s="270"/>
      <c r="T469" s="270"/>
      <c r="U469" s="270"/>
      <c r="V469" s="270"/>
    </row>
    <row r="470" spans="1:22">
      <c r="B470" s="270" t="s">
        <v>219</v>
      </c>
      <c r="C470" s="270" t="s">
        <v>74</v>
      </c>
      <c r="D470" s="270"/>
      <c r="E470" s="269"/>
      <c r="F470" s="270"/>
      <c r="G470" s="270"/>
      <c r="H470" s="270"/>
      <c r="I470" s="270">
        <f t="shared" ca="1" si="121"/>
        <v>0</v>
      </c>
      <c r="J470" s="270"/>
      <c r="K470" s="537">
        <f t="shared" ca="1" si="122"/>
        <v>0.96748747256569345</v>
      </c>
      <c r="L470" s="538">
        <f ca="1">L450-$I450</f>
        <v>1.4109500721819188</v>
      </c>
      <c r="M470" s="538">
        <f t="shared" ca="1" si="122"/>
        <v>4.0960803520348747</v>
      </c>
      <c r="N470" s="538">
        <f t="shared" ca="1" si="122"/>
        <v>7.8378109242356544</v>
      </c>
      <c r="O470" s="538">
        <f t="shared" ca="1" si="122"/>
        <v>11.553894495770493</v>
      </c>
      <c r="P470" s="270"/>
      <c r="Q470" s="270"/>
      <c r="R470" s="270"/>
      <c r="S470" s="270"/>
      <c r="T470" s="270"/>
      <c r="U470" s="270"/>
      <c r="V470" s="270"/>
    </row>
    <row r="471" spans="1:22">
      <c r="B471" s="270" t="s">
        <v>220</v>
      </c>
      <c r="C471" s="270" t="s">
        <v>74</v>
      </c>
      <c r="D471" s="270"/>
      <c r="E471" s="269"/>
      <c r="F471" s="270"/>
      <c r="G471" s="270"/>
      <c r="H471" s="270"/>
      <c r="I471" s="270">
        <f t="shared" ca="1" si="121"/>
        <v>0</v>
      </c>
      <c r="J471" s="270"/>
      <c r="K471" s="537">
        <f t="shared" ca="1" si="122"/>
        <v>-2.9611434388241946</v>
      </c>
      <c r="L471" s="538">
        <f t="shared" ca="1" si="122"/>
        <v>-3.1594234970868591</v>
      </c>
      <c r="M471" s="538">
        <f t="shared" ca="1" si="122"/>
        <v>-3.037928363347465</v>
      </c>
      <c r="N471" s="538">
        <f t="shared" ca="1" si="122"/>
        <v>-3.0077975701800739</v>
      </c>
      <c r="O471" s="538">
        <f t="shared" ca="1" si="122"/>
        <v>-3.217741161281829</v>
      </c>
      <c r="P471" s="270"/>
      <c r="Q471" s="270"/>
      <c r="R471" s="270"/>
      <c r="S471" s="270"/>
      <c r="T471" s="270"/>
      <c r="U471" s="270"/>
      <c r="V471" s="270"/>
    </row>
    <row r="472" spans="1:22">
      <c r="B472" s="270" t="s">
        <v>221</v>
      </c>
      <c r="C472" s="270" t="s">
        <v>74</v>
      </c>
      <c r="D472" s="270"/>
      <c r="E472" s="269"/>
      <c r="F472" s="270"/>
      <c r="G472" s="270"/>
      <c r="H472" s="270"/>
      <c r="I472" s="270">
        <f t="shared" ca="1" si="121"/>
        <v>0</v>
      </c>
      <c r="J472" s="270"/>
      <c r="K472" s="537">
        <f t="shared" ca="1" si="122"/>
        <v>-7.1527358398874838</v>
      </c>
      <c r="L472" s="538">
        <f t="shared" ca="1" si="122"/>
        <v>-6.2308009957593669</v>
      </c>
      <c r="M472" s="538">
        <f t="shared" ca="1" si="122"/>
        <v>-7.2331172297486077</v>
      </c>
      <c r="N472" s="538">
        <f t="shared" ca="1" si="122"/>
        <v>-11.762743608506483</v>
      </c>
      <c r="O472" s="538">
        <f t="shared" ca="1" si="122"/>
        <v>-12.025197280605205</v>
      </c>
      <c r="P472" s="270"/>
      <c r="Q472" s="270"/>
      <c r="R472" s="270"/>
      <c r="S472" s="270"/>
      <c r="T472" s="270"/>
      <c r="U472" s="270"/>
      <c r="V472" s="270"/>
    </row>
    <row r="473" spans="1:22">
      <c r="B473" s="270" t="s">
        <v>222</v>
      </c>
      <c r="C473" s="270" t="s">
        <v>74</v>
      </c>
      <c r="D473" s="270"/>
      <c r="E473" s="269"/>
      <c r="F473" s="270"/>
      <c r="G473" s="270"/>
      <c r="H473" s="270"/>
      <c r="I473" s="270">
        <f t="shared" ca="1" si="121"/>
        <v>0</v>
      </c>
      <c r="J473" s="270"/>
      <c r="K473" s="537">
        <f t="shared" ca="1" si="122"/>
        <v>8.5493808916591547</v>
      </c>
      <c r="L473" s="538">
        <f t="shared" ca="1" si="122"/>
        <v>15.114014650443465</v>
      </c>
      <c r="M473" s="538">
        <f t="shared" ca="1" si="122"/>
        <v>15.604855640698474</v>
      </c>
      <c r="N473" s="538">
        <f t="shared" ca="1" si="122"/>
        <v>18.362312847342679</v>
      </c>
      <c r="O473" s="538">
        <f t="shared" ca="1" si="122"/>
        <v>13.762986974294222</v>
      </c>
      <c r="P473" s="270"/>
      <c r="Q473" s="270"/>
      <c r="R473" s="270"/>
      <c r="S473" s="270"/>
      <c r="T473" s="270"/>
      <c r="U473" s="270"/>
      <c r="V473" s="270"/>
    </row>
    <row r="474" spans="1:22">
      <c r="B474" s="270" t="s">
        <v>223</v>
      </c>
      <c r="C474" s="270" t="s">
        <v>74</v>
      </c>
      <c r="D474" s="270"/>
      <c r="E474" s="269"/>
      <c r="F474" s="270"/>
      <c r="G474" s="270"/>
      <c r="H474" s="270"/>
      <c r="I474" s="270">
        <f t="shared" ca="1" si="121"/>
        <v>0</v>
      </c>
      <c r="J474" s="270"/>
      <c r="K474" s="537">
        <f t="shared" ca="1" si="122"/>
        <v>1.0817515312732411</v>
      </c>
      <c r="L474" s="538">
        <f t="shared" ca="1" si="122"/>
        <v>3.948321310764527</v>
      </c>
      <c r="M474" s="538">
        <f t="shared" ca="1" si="122"/>
        <v>6.2424366872655526</v>
      </c>
      <c r="N474" s="538">
        <f t="shared" ca="1" si="122"/>
        <v>5.8951229262048201</v>
      </c>
      <c r="O474" s="538">
        <f t="shared" ca="1" si="122"/>
        <v>8.2607088377161517</v>
      </c>
      <c r="P474" s="270"/>
      <c r="Q474" s="270"/>
      <c r="R474" s="270"/>
      <c r="S474" s="270"/>
      <c r="T474" s="270"/>
      <c r="U474" s="270"/>
      <c r="V474" s="270"/>
    </row>
    <row r="475" spans="1:22">
      <c r="B475" s="270" t="s">
        <v>224</v>
      </c>
      <c r="C475" s="270" t="s">
        <v>74</v>
      </c>
      <c r="D475" s="270"/>
      <c r="E475" s="269"/>
      <c r="F475" s="270"/>
      <c r="G475" s="270"/>
      <c r="H475" s="270"/>
      <c r="I475" s="270">
        <f t="shared" ca="1" si="121"/>
        <v>0</v>
      </c>
      <c r="J475" s="270"/>
      <c r="K475" s="537">
        <f t="shared" ca="1" si="122"/>
        <v>1.5713708050573238</v>
      </c>
      <c r="L475" s="538">
        <f t="shared" ca="1" si="122"/>
        <v>2.1244166939317033</v>
      </c>
      <c r="M475" s="538">
        <f t="shared" ca="1" si="122"/>
        <v>2.8094777223571725</v>
      </c>
      <c r="N475" s="538">
        <f ca="1">N455-$I455</f>
        <v>3.3254957605650191</v>
      </c>
      <c r="O475" s="538">
        <f t="shared" ca="1" si="122"/>
        <v>3.7895234246051821</v>
      </c>
      <c r="P475" s="270"/>
      <c r="Q475" s="270"/>
      <c r="R475" s="270"/>
      <c r="S475" s="270"/>
      <c r="T475" s="270"/>
      <c r="U475" s="270"/>
      <c r="V475" s="270"/>
    </row>
    <row r="476" spans="1:22">
      <c r="B476" s="270" t="s">
        <v>225</v>
      </c>
      <c r="C476" s="270" t="s">
        <v>74</v>
      </c>
      <c r="D476" s="270"/>
      <c r="E476" s="269"/>
      <c r="F476" s="270"/>
      <c r="G476" s="270"/>
      <c r="H476" s="270"/>
      <c r="I476" s="270">
        <f t="shared" ca="1" si="121"/>
        <v>0</v>
      </c>
      <c r="J476" s="270"/>
      <c r="K476" s="537">
        <f t="shared" ca="1" si="122"/>
        <v>-0.71102063411814242</v>
      </c>
      <c r="L476" s="538">
        <f t="shared" ca="1" si="122"/>
        <v>-0.60485041418998264</v>
      </c>
      <c r="M476" s="538">
        <f t="shared" ca="1" si="122"/>
        <v>-0.57656361342299078</v>
      </c>
      <c r="N476" s="538">
        <f t="shared" ca="1" si="122"/>
        <v>-1.6088775537329951</v>
      </c>
      <c r="O476" s="538">
        <f t="shared" ca="1" si="122"/>
        <v>-0.85985696634905651</v>
      </c>
      <c r="P476" s="270"/>
      <c r="Q476" s="270"/>
      <c r="R476" s="270"/>
      <c r="S476" s="270"/>
      <c r="T476" s="270"/>
      <c r="U476" s="270"/>
      <c r="V476" s="270"/>
    </row>
    <row r="477" spans="1:22">
      <c r="B477" s="270" t="s">
        <v>226</v>
      </c>
      <c r="C477" s="270" t="s">
        <v>74</v>
      </c>
      <c r="D477" s="270"/>
      <c r="E477" s="269"/>
      <c r="F477" s="270"/>
      <c r="G477" s="270"/>
      <c r="H477" s="270"/>
      <c r="I477" s="270">
        <f t="shared" ca="1" si="121"/>
        <v>0</v>
      </c>
      <c r="J477" s="270"/>
      <c r="K477" s="537">
        <f t="shared" ref="K477:O484" ca="1" si="123">K457-$I457</f>
        <v>1.0720357170747121</v>
      </c>
      <c r="L477" s="538">
        <f t="shared" ca="1" si="123"/>
        <v>1.1622531021351463</v>
      </c>
      <c r="M477" s="538">
        <f t="shared" ca="1" si="123"/>
        <v>1.2480805536371946</v>
      </c>
      <c r="N477" s="538">
        <f t="shared" ca="1" si="123"/>
        <v>0.88019775582683479</v>
      </c>
      <c r="O477" s="538">
        <f t="shared" ca="1" si="123"/>
        <v>-4.0273982438293388E-2</v>
      </c>
      <c r="P477" s="270"/>
      <c r="Q477" s="270"/>
      <c r="R477" s="270"/>
      <c r="S477" s="270"/>
      <c r="T477" s="270"/>
      <c r="U477" s="270"/>
      <c r="V477" s="270"/>
    </row>
    <row r="478" spans="1:22">
      <c r="B478" s="270" t="s">
        <v>227</v>
      </c>
      <c r="C478" s="270" t="s">
        <v>74</v>
      </c>
      <c r="D478" s="270"/>
      <c r="E478" s="269"/>
      <c r="F478" s="270"/>
      <c r="G478" s="270"/>
      <c r="H478" s="270"/>
      <c r="I478" s="270">
        <f t="shared" ca="1" si="121"/>
        <v>0</v>
      </c>
      <c r="J478" s="270"/>
      <c r="K478" s="537">
        <f t="shared" ca="1" si="123"/>
        <v>0.54938649590917521</v>
      </c>
      <c r="L478" s="538">
        <f t="shared" ca="1" si="123"/>
        <v>0.89051285841142125</v>
      </c>
      <c r="M478" s="538">
        <f t="shared" ca="1" si="123"/>
        <v>1.1514695996731863</v>
      </c>
      <c r="N478" s="538">
        <f t="shared" ca="1" si="123"/>
        <v>1.3771695794102925</v>
      </c>
      <c r="O478" s="538">
        <f t="shared" ca="1" si="123"/>
        <v>1.6065572481617547</v>
      </c>
      <c r="P478" s="270"/>
      <c r="Q478" s="270"/>
      <c r="R478" s="270"/>
      <c r="S478" s="270"/>
      <c r="T478" s="270"/>
      <c r="U478" s="270"/>
      <c r="V478" s="270"/>
    </row>
    <row r="479" spans="1:22">
      <c r="B479" s="270" t="s">
        <v>228</v>
      </c>
      <c r="C479" s="270" t="s">
        <v>74</v>
      </c>
      <c r="D479" s="270"/>
      <c r="E479" s="269"/>
      <c r="F479" s="270"/>
      <c r="G479" s="270"/>
      <c r="H479" s="270"/>
      <c r="I479" s="270">
        <f t="shared" ca="1" si="121"/>
        <v>0</v>
      </c>
      <c r="J479" s="270"/>
      <c r="K479" s="537">
        <f t="shared" ca="1" si="123"/>
        <v>0.10200000000000031</v>
      </c>
      <c r="L479" s="538">
        <f t="shared" ca="1" si="123"/>
        <v>0.13100000000000067</v>
      </c>
      <c r="M479" s="538">
        <f t="shared" ca="1" si="123"/>
        <v>0.18100000000000049</v>
      </c>
      <c r="N479" s="538">
        <f t="shared" ca="1" si="123"/>
        <v>0.1980000000000004</v>
      </c>
      <c r="O479" s="538">
        <f t="shared" ca="1" si="123"/>
        <v>0.21800000000000042</v>
      </c>
      <c r="P479" s="270"/>
      <c r="Q479" s="270"/>
      <c r="R479" s="270"/>
      <c r="S479" s="270"/>
      <c r="T479" s="270"/>
      <c r="U479" s="270"/>
      <c r="V479" s="270"/>
    </row>
    <row r="480" spans="1:22">
      <c r="B480" s="270" t="s">
        <v>229</v>
      </c>
      <c r="C480" s="270" t="s">
        <v>74</v>
      </c>
      <c r="D480" s="270"/>
      <c r="E480" s="269"/>
      <c r="F480" s="270"/>
      <c r="G480" s="270"/>
      <c r="H480" s="270"/>
      <c r="I480" s="270">
        <f t="shared" ca="1" si="121"/>
        <v>0</v>
      </c>
      <c r="J480" s="270"/>
      <c r="K480" s="537">
        <f t="shared" ca="1" si="123"/>
        <v>0.10299999999999976</v>
      </c>
      <c r="L480" s="538">
        <f t="shared" ca="1" si="123"/>
        <v>0.13800000000000079</v>
      </c>
      <c r="M480" s="538">
        <f t="shared" ca="1" si="123"/>
        <v>0.14100000000000001</v>
      </c>
      <c r="N480" s="538">
        <f t="shared" ca="1" si="123"/>
        <v>0.16400000000000059</v>
      </c>
      <c r="O480" s="538">
        <f t="shared" ca="1" si="123"/>
        <v>0.19399999999999995</v>
      </c>
      <c r="P480" s="270"/>
      <c r="Q480" s="270"/>
      <c r="R480" s="270"/>
      <c r="S480" s="270"/>
      <c r="T480" s="270"/>
      <c r="U480" s="270"/>
      <c r="V480" s="270"/>
    </row>
    <row r="481" spans="1:22">
      <c r="B481" s="270" t="s">
        <v>230</v>
      </c>
      <c r="C481" s="270" t="s">
        <v>74</v>
      </c>
      <c r="D481" s="270"/>
      <c r="E481" s="269"/>
      <c r="F481" s="270"/>
      <c r="G481" s="270"/>
      <c r="H481" s="270"/>
      <c r="I481" s="270">
        <f t="shared" ca="1" si="121"/>
        <v>0</v>
      </c>
      <c r="J481" s="270"/>
      <c r="K481" s="537">
        <f t="shared" ca="1" si="123"/>
        <v>0.36399999999999988</v>
      </c>
      <c r="L481" s="538">
        <f t="shared" ca="1" si="123"/>
        <v>0.47700000000000031</v>
      </c>
      <c r="M481" s="538">
        <f t="shared" ca="1" si="123"/>
        <v>0.53699999999999992</v>
      </c>
      <c r="N481" s="538">
        <f t="shared" ca="1" si="123"/>
        <v>0.5649999999999995</v>
      </c>
      <c r="O481" s="538">
        <f t="shared" ca="1" si="123"/>
        <v>0.5290000000000008</v>
      </c>
      <c r="P481" s="270"/>
      <c r="Q481" s="270"/>
      <c r="R481" s="270"/>
      <c r="S481" s="270"/>
      <c r="T481" s="270"/>
      <c r="U481" s="270"/>
      <c r="V481" s="270"/>
    </row>
    <row r="482" spans="1:22">
      <c r="B482" s="270" t="s">
        <v>231</v>
      </c>
      <c r="C482" s="270" t="s">
        <v>74</v>
      </c>
      <c r="D482" s="270"/>
      <c r="E482" s="269"/>
      <c r="F482" s="270"/>
      <c r="G482" s="270"/>
      <c r="H482" s="270"/>
      <c r="I482" s="270">
        <f t="shared" ca="1" si="121"/>
        <v>0</v>
      </c>
      <c r="J482" s="270"/>
      <c r="K482" s="537">
        <f t="shared" ca="1" si="123"/>
        <v>-0.35356307645306728</v>
      </c>
      <c r="L482" s="538">
        <f t="shared" ca="1" si="123"/>
        <v>0.19707653047134599</v>
      </c>
      <c r="M482" s="538">
        <f t="shared" ca="1" si="123"/>
        <v>0.35852387414111675</v>
      </c>
      <c r="N482" s="538">
        <f t="shared" ca="1" si="123"/>
        <v>0.67873855041253606</v>
      </c>
      <c r="O482" s="538">
        <f t="shared" ca="1" si="123"/>
        <v>1.1900823936571392</v>
      </c>
      <c r="P482" s="270"/>
      <c r="Q482" s="270"/>
      <c r="R482" s="270"/>
      <c r="S482" s="270"/>
      <c r="T482" s="270"/>
      <c r="U482" s="270"/>
      <c r="V482" s="270"/>
    </row>
    <row r="483" spans="1:22">
      <c r="B483" s="270" t="s">
        <v>232</v>
      </c>
      <c r="C483" s="270" t="s">
        <v>74</v>
      </c>
      <c r="D483" s="270"/>
      <c r="E483" s="269"/>
      <c r="F483" s="270"/>
      <c r="G483" s="270"/>
      <c r="H483" s="270"/>
      <c r="I483" s="270">
        <f t="shared" ca="1" si="121"/>
        <v>0</v>
      </c>
      <c r="J483" s="270"/>
      <c r="K483" s="537">
        <f t="shared" ca="1" si="123"/>
        <v>1.1487390439141905</v>
      </c>
      <c r="L483" s="538">
        <f t="shared" ca="1" si="123"/>
        <v>1.2159935675897131</v>
      </c>
      <c r="M483" s="538">
        <f t="shared" ca="1" si="123"/>
        <v>1.0622471779686293</v>
      </c>
      <c r="N483" s="538">
        <f t="shared" ca="1" si="123"/>
        <v>0.58009039173139776</v>
      </c>
      <c r="O483" s="538">
        <f t="shared" ca="1" si="123"/>
        <v>0.32773715767567069</v>
      </c>
      <c r="P483" s="270"/>
      <c r="Q483" s="270"/>
      <c r="R483" s="270"/>
      <c r="S483" s="270"/>
      <c r="T483" s="270"/>
      <c r="U483" s="270"/>
      <c r="V483" s="270"/>
    </row>
    <row r="484" spans="1:22">
      <c r="B484" s="270" t="s">
        <v>255</v>
      </c>
      <c r="C484" s="270" t="s">
        <v>74</v>
      </c>
      <c r="D484" s="270"/>
      <c r="E484" s="269"/>
      <c r="F484" s="270"/>
      <c r="G484" s="270"/>
      <c r="H484" s="270"/>
      <c r="I484" s="270">
        <f t="shared" ca="1" si="121"/>
        <v>0</v>
      </c>
      <c r="J484" s="270"/>
      <c r="K484" s="537">
        <f t="shared" ca="1" si="123"/>
        <v>-0.45139463617877329</v>
      </c>
      <c r="L484" s="538">
        <f t="shared" ca="1" si="123"/>
        <v>-0.42896833913706445</v>
      </c>
      <c r="M484" s="538">
        <f t="shared" ca="1" si="123"/>
        <v>-0.17713761963349839</v>
      </c>
      <c r="N484" s="538">
        <f t="shared" ca="1" si="123"/>
        <v>-0.17568749602948319</v>
      </c>
      <c r="O484" s="538">
        <f t="shared" ca="1" si="123"/>
        <v>-0.20691870776620291</v>
      </c>
      <c r="P484" s="270"/>
      <c r="Q484" s="270"/>
      <c r="R484" s="270"/>
      <c r="S484" s="270"/>
      <c r="T484" s="270"/>
      <c r="U484" s="270"/>
      <c r="V484" s="270"/>
    </row>
    <row r="485" spans="1:22">
      <c r="B485" s="270"/>
      <c r="C485" s="270"/>
      <c r="D485" s="270"/>
      <c r="E485" s="269"/>
      <c r="F485" s="270"/>
      <c r="G485" s="270"/>
      <c r="H485" s="270"/>
      <c r="I485" s="270"/>
      <c r="J485" s="270"/>
      <c r="K485" s="463"/>
      <c r="L485" s="270"/>
      <c r="M485" s="270"/>
      <c r="N485" s="270"/>
      <c r="O485" s="270"/>
      <c r="P485" s="270"/>
      <c r="Q485" s="270"/>
      <c r="R485" s="270"/>
      <c r="S485" s="270"/>
      <c r="T485" s="270"/>
      <c r="U485" s="270"/>
      <c r="V485" s="270"/>
    </row>
    <row r="486" spans="1:22" s="298" customFormat="1">
      <c r="A486" s="299" t="s">
        <v>447</v>
      </c>
      <c r="B486" s="296"/>
      <c r="C486" s="296"/>
      <c r="D486" s="296"/>
      <c r="E486" s="297"/>
      <c r="F486" s="296"/>
      <c r="G486" s="296"/>
      <c r="H486" s="296"/>
      <c r="I486" s="296"/>
      <c r="J486" s="296"/>
      <c r="K486" s="464"/>
      <c r="L486" s="296"/>
      <c r="M486" s="296"/>
      <c r="N486" s="296"/>
      <c r="O486" s="296"/>
      <c r="P486" s="296"/>
      <c r="Q486" s="296"/>
      <c r="R486" s="296"/>
      <c r="S486" s="296"/>
      <c r="T486" s="296"/>
      <c r="U486" s="296"/>
      <c r="V486" s="293"/>
    </row>
    <row r="487" spans="1:22">
      <c r="B487" s="270" t="s">
        <v>215</v>
      </c>
      <c r="C487" s="270" t="s">
        <v>74</v>
      </c>
      <c r="D487" s="270"/>
      <c r="E487" s="269"/>
      <c r="F487" s="270"/>
      <c r="G487" s="270"/>
      <c r="H487" s="270"/>
      <c r="I487" s="270">
        <f t="shared" ref="I487:I504" ca="1" si="124">I427+I407+I387+I367</f>
        <v>0</v>
      </c>
      <c r="J487" s="270"/>
      <c r="K487" s="537">
        <f t="shared" ref="K487:O496" ca="1" si="125">K427+K407+K387+K367</f>
        <v>1.5245209844066858</v>
      </c>
      <c r="L487" s="538">
        <f t="shared" ca="1" si="125"/>
        <v>2.255362526674261</v>
      </c>
      <c r="M487" s="538">
        <f t="shared" ca="1" si="125"/>
        <v>3.0236649578649244</v>
      </c>
      <c r="N487" s="538">
        <f t="shared" ca="1" si="125"/>
        <v>3.8396140796824976</v>
      </c>
      <c r="O487" s="538">
        <f t="shared" ca="1" si="125"/>
        <v>4.6984227809426233</v>
      </c>
      <c r="P487" s="270"/>
      <c r="Q487" s="270"/>
      <c r="R487" s="270"/>
      <c r="S487" s="270"/>
      <c r="T487" s="270"/>
      <c r="U487" s="270"/>
      <c r="V487" s="270"/>
    </row>
    <row r="488" spans="1:22">
      <c r="B488" s="270" t="s">
        <v>216</v>
      </c>
      <c r="C488" s="270" t="s">
        <v>74</v>
      </c>
      <c r="D488" s="270"/>
      <c r="E488" s="269"/>
      <c r="F488" s="270"/>
      <c r="G488" s="270"/>
      <c r="H488" s="270"/>
      <c r="I488" s="270">
        <f t="shared" ca="1" si="124"/>
        <v>0</v>
      </c>
      <c r="J488" s="270"/>
      <c r="K488" s="537">
        <f t="shared" ca="1" si="125"/>
        <v>0.76034148510195898</v>
      </c>
      <c r="L488" s="538">
        <f t="shared" ca="1" si="125"/>
        <v>1.1535130340771662</v>
      </c>
      <c r="M488" s="538">
        <f t="shared" ca="1" si="125"/>
        <v>1.558436078924482</v>
      </c>
      <c r="N488" s="538">
        <f t="shared" ca="1" si="125"/>
        <v>1.9751786904266722</v>
      </c>
      <c r="O488" s="538">
        <f t="shared" ca="1" si="125"/>
        <v>2.4039400743544226</v>
      </c>
      <c r="P488" s="270"/>
      <c r="Q488" s="270"/>
      <c r="R488" s="270"/>
      <c r="S488" s="270"/>
      <c r="T488" s="270"/>
      <c r="U488" s="270"/>
      <c r="V488" s="270"/>
    </row>
    <row r="489" spans="1:22">
      <c r="B489" s="270" t="s">
        <v>217</v>
      </c>
      <c r="C489" s="270" t="s">
        <v>74</v>
      </c>
      <c r="D489" s="270"/>
      <c r="E489" s="269"/>
      <c r="F489" s="270"/>
      <c r="G489" s="270"/>
      <c r="H489" s="270"/>
      <c r="I489" s="270">
        <f t="shared" ca="1" si="124"/>
        <v>0</v>
      </c>
      <c r="J489" s="270"/>
      <c r="K489" s="537">
        <f t="shared" ca="1" si="125"/>
        <v>0.76321120516199903</v>
      </c>
      <c r="L489" s="538">
        <f t="shared" ca="1" si="125"/>
        <v>1.1645476806088806</v>
      </c>
      <c r="M489" s="538">
        <f t="shared" ca="1" si="125"/>
        <v>1.5730063167810746</v>
      </c>
      <c r="N489" s="538">
        <f t="shared" ca="1" si="125"/>
        <v>1.987607513510987</v>
      </c>
      <c r="O489" s="538">
        <f t="shared" ca="1" si="125"/>
        <v>2.4094163139767404</v>
      </c>
      <c r="P489" s="270"/>
      <c r="Q489" s="270"/>
      <c r="R489" s="270"/>
      <c r="S489" s="270"/>
      <c r="T489" s="270"/>
      <c r="U489" s="270"/>
      <c r="V489" s="270"/>
    </row>
    <row r="490" spans="1:22">
      <c r="B490" s="270" t="s">
        <v>219</v>
      </c>
      <c r="C490" s="270" t="s">
        <v>74</v>
      </c>
      <c r="D490" s="270"/>
      <c r="E490" s="269"/>
      <c r="F490" s="270"/>
      <c r="G490" s="270"/>
      <c r="H490" s="270"/>
      <c r="I490" s="270">
        <f t="shared" ca="1" si="124"/>
        <v>0</v>
      </c>
      <c r="J490" s="270"/>
      <c r="K490" s="537">
        <f t="shared" ca="1" si="125"/>
        <v>1.4564237317156774</v>
      </c>
      <c r="L490" s="538">
        <f t="shared" ca="1" si="125"/>
        <v>2.2949877622468504</v>
      </c>
      <c r="M490" s="538">
        <f t="shared" ca="1" si="125"/>
        <v>3.196924274369711</v>
      </c>
      <c r="N490" s="538">
        <f t="shared" ca="1" si="125"/>
        <v>4.1622644015622114</v>
      </c>
      <c r="O490" s="538">
        <f t="shared" ca="1" si="125"/>
        <v>5.1898110103007253</v>
      </c>
      <c r="P490" s="270"/>
      <c r="Q490" s="270"/>
      <c r="R490" s="270"/>
      <c r="S490" s="270"/>
      <c r="T490" s="270"/>
      <c r="U490" s="270"/>
      <c r="V490" s="270"/>
    </row>
    <row r="491" spans="1:22">
      <c r="B491" s="270" t="s">
        <v>220</v>
      </c>
      <c r="C491" s="270" t="s">
        <v>74</v>
      </c>
      <c r="D491" s="270"/>
      <c r="E491" s="269"/>
      <c r="F491" s="270"/>
      <c r="G491" s="270"/>
      <c r="H491" s="270"/>
      <c r="I491" s="270">
        <f t="shared" ca="1" si="124"/>
        <v>0</v>
      </c>
      <c r="J491" s="270"/>
      <c r="K491" s="537">
        <f t="shared" ca="1" si="125"/>
        <v>0.46608503334527618</v>
      </c>
      <c r="L491" s="538">
        <f t="shared" ca="1" si="125"/>
        <v>0.72106525084911399</v>
      </c>
      <c r="M491" s="538">
        <f t="shared" ca="1" si="125"/>
        <v>0.97195302971075259</v>
      </c>
      <c r="N491" s="538">
        <f t="shared" ca="1" si="125"/>
        <v>1.2142801428980101</v>
      </c>
      <c r="O491" s="538">
        <f t="shared" ca="1" si="125"/>
        <v>1.4572661413054142</v>
      </c>
      <c r="P491" s="270"/>
      <c r="Q491" s="270"/>
      <c r="R491" s="270"/>
      <c r="S491" s="270"/>
      <c r="T491" s="270"/>
      <c r="U491" s="270"/>
      <c r="V491" s="270"/>
    </row>
    <row r="492" spans="1:22">
      <c r="B492" s="270" t="s">
        <v>221</v>
      </c>
      <c r="C492" s="270" t="s">
        <v>74</v>
      </c>
      <c r="D492" s="270"/>
      <c r="E492" s="269"/>
      <c r="F492" s="270"/>
      <c r="G492" s="270"/>
      <c r="H492" s="270"/>
      <c r="I492" s="270">
        <f t="shared" ca="1" si="124"/>
        <v>0</v>
      </c>
      <c r="J492" s="270"/>
      <c r="K492" s="537">
        <f t="shared" ca="1" si="125"/>
        <v>2.6363280583512951</v>
      </c>
      <c r="L492" s="538">
        <f t="shared" ca="1" si="125"/>
        <v>3.4050713267969392</v>
      </c>
      <c r="M492" s="538">
        <f t="shared" ca="1" si="125"/>
        <v>4.2103032522992159</v>
      </c>
      <c r="N492" s="538">
        <f t="shared" ca="1" si="125"/>
        <v>5.008198476280965</v>
      </c>
      <c r="O492" s="538">
        <f t="shared" ca="1" si="125"/>
        <v>5.7716817921423988</v>
      </c>
      <c r="P492" s="270"/>
      <c r="Q492" s="270"/>
      <c r="R492" s="270"/>
      <c r="S492" s="270"/>
      <c r="T492" s="270"/>
      <c r="U492" s="270"/>
      <c r="V492" s="270"/>
    </row>
    <row r="493" spans="1:22">
      <c r="B493" s="270" t="s">
        <v>222</v>
      </c>
      <c r="C493" s="270" t="s">
        <v>74</v>
      </c>
      <c r="D493" s="270"/>
      <c r="E493" s="269"/>
      <c r="F493" s="270"/>
      <c r="G493" s="270"/>
      <c r="H493" s="270"/>
      <c r="I493" s="270">
        <f t="shared" ca="1" si="124"/>
        <v>0</v>
      </c>
      <c r="J493" s="270"/>
      <c r="K493" s="537">
        <f t="shared" ca="1" si="125"/>
        <v>5.4755906772507839</v>
      </c>
      <c r="L493" s="538">
        <f t="shared" ca="1" si="125"/>
        <v>8.7272416132276387</v>
      </c>
      <c r="M493" s="538">
        <f t="shared" ca="1" si="125"/>
        <v>12.382787744829237</v>
      </c>
      <c r="N493" s="538">
        <f t="shared" ca="1" si="125"/>
        <v>16.231310046441074</v>
      </c>
      <c r="O493" s="538">
        <f t="shared" ca="1" si="125"/>
        <v>20.053601018417858</v>
      </c>
      <c r="P493" s="270"/>
      <c r="Q493" s="270"/>
      <c r="R493" s="270"/>
      <c r="S493" s="270"/>
      <c r="T493" s="270"/>
      <c r="U493" s="270"/>
      <c r="V493" s="270"/>
    </row>
    <row r="494" spans="1:22">
      <c r="B494" s="270" t="s">
        <v>223</v>
      </c>
      <c r="C494" s="270" t="s">
        <v>74</v>
      </c>
      <c r="D494" s="270"/>
      <c r="E494" s="269"/>
      <c r="F494" s="270"/>
      <c r="G494" s="270"/>
      <c r="H494" s="270"/>
      <c r="I494" s="270">
        <f t="shared" ca="1" si="124"/>
        <v>0</v>
      </c>
      <c r="J494" s="270"/>
      <c r="K494" s="537">
        <f t="shared" ca="1" si="125"/>
        <v>1.4577955980798991</v>
      </c>
      <c r="L494" s="538">
        <f t="shared" ca="1" si="125"/>
        <v>2.2853767938773415</v>
      </c>
      <c r="M494" s="538">
        <f t="shared" ca="1" si="125"/>
        <v>3.1570724433418333</v>
      </c>
      <c r="N494" s="538">
        <f t="shared" ca="1" si="125"/>
        <v>4.0597433337261348</v>
      </c>
      <c r="O494" s="538">
        <f t="shared" ca="1" si="125"/>
        <v>4.9793815604768223</v>
      </c>
      <c r="P494" s="270"/>
      <c r="Q494" s="270"/>
      <c r="R494" s="270"/>
      <c r="S494" s="270"/>
      <c r="T494" s="270"/>
      <c r="U494" s="270"/>
      <c r="V494" s="270"/>
    </row>
    <row r="495" spans="1:22">
      <c r="B495" s="270" t="s">
        <v>224</v>
      </c>
      <c r="C495" s="270" t="s">
        <v>74</v>
      </c>
      <c r="D495" s="270"/>
      <c r="E495" s="269"/>
      <c r="F495" s="270"/>
      <c r="G495" s="270"/>
      <c r="H495" s="270"/>
      <c r="I495" s="270">
        <f t="shared" ca="1" si="124"/>
        <v>0</v>
      </c>
      <c r="J495" s="270"/>
      <c r="K495" s="537">
        <f t="shared" ca="1" si="125"/>
        <v>0.99115530242284344</v>
      </c>
      <c r="L495" s="538">
        <f t="shared" ca="1" si="125"/>
        <v>1.5664535342602819</v>
      </c>
      <c r="M495" s="538">
        <f t="shared" ca="1" si="125"/>
        <v>2.125942840833031</v>
      </c>
      <c r="N495" s="538">
        <f t="shared" ca="1" si="125"/>
        <v>2.6584967020278878</v>
      </c>
      <c r="O495" s="538">
        <f t="shared" ca="1" si="125"/>
        <v>3.1656632962735767</v>
      </c>
      <c r="P495" s="270"/>
      <c r="Q495" s="270"/>
      <c r="R495" s="270"/>
      <c r="S495" s="270"/>
      <c r="T495" s="270"/>
      <c r="U495" s="270"/>
      <c r="V495" s="270"/>
    </row>
    <row r="496" spans="1:22">
      <c r="B496" s="270" t="s">
        <v>225</v>
      </c>
      <c r="C496" s="270" t="s">
        <v>74</v>
      </c>
      <c r="D496" s="270"/>
      <c r="E496" s="269"/>
      <c r="F496" s="270"/>
      <c r="G496" s="270"/>
      <c r="H496" s="270"/>
      <c r="I496" s="270">
        <f t="shared" ca="1" si="124"/>
        <v>0</v>
      </c>
      <c r="J496" s="270"/>
      <c r="K496" s="537">
        <f t="shared" ca="1" si="125"/>
        <v>1.1510345554246189</v>
      </c>
      <c r="L496" s="538">
        <f t="shared" ca="1" si="125"/>
        <v>1.8548672168390345</v>
      </c>
      <c r="M496" s="538">
        <f t="shared" ca="1" si="125"/>
        <v>2.7164736636993991</v>
      </c>
      <c r="N496" s="538">
        <f t="shared" ca="1" si="125"/>
        <v>3.6413154301625905</v>
      </c>
      <c r="O496" s="538">
        <f t="shared" ca="1" si="125"/>
        <v>4.5999839027510969</v>
      </c>
      <c r="P496" s="270"/>
      <c r="Q496" s="270"/>
      <c r="R496" s="270"/>
      <c r="S496" s="270"/>
      <c r="T496" s="270"/>
      <c r="U496" s="270"/>
      <c r="V496" s="270"/>
    </row>
    <row r="497" spans="1:22">
      <c r="B497" s="270" t="s">
        <v>226</v>
      </c>
      <c r="C497" s="270" t="s">
        <v>74</v>
      </c>
      <c r="D497" s="270"/>
      <c r="E497" s="269"/>
      <c r="F497" s="270"/>
      <c r="G497" s="270"/>
      <c r="H497" s="270"/>
      <c r="I497" s="270">
        <f t="shared" ca="1" si="124"/>
        <v>0</v>
      </c>
      <c r="J497" s="270"/>
      <c r="K497" s="537">
        <f t="shared" ref="K497:O504" ca="1" si="126">K437+K417+K397+K377</f>
        <v>0.18013537586554124</v>
      </c>
      <c r="L497" s="538">
        <f t="shared" ca="1" si="126"/>
        <v>0.89990977859313304</v>
      </c>
      <c r="M497" s="538">
        <f t="shared" ca="1" si="126"/>
        <v>1.675460843602167</v>
      </c>
      <c r="N497" s="538">
        <f t="shared" ca="1" si="126"/>
        <v>2.4316621648481509</v>
      </c>
      <c r="O497" s="538">
        <f t="shared" ca="1" si="126"/>
        <v>3.090338257010214</v>
      </c>
      <c r="P497" s="270"/>
      <c r="Q497" s="270"/>
      <c r="R497" s="270"/>
      <c r="S497" s="270"/>
      <c r="T497" s="270"/>
      <c r="U497" s="270"/>
      <c r="V497" s="270"/>
    </row>
    <row r="498" spans="1:22">
      <c r="B498" s="270" t="s">
        <v>227</v>
      </c>
      <c r="C498" s="270" t="s">
        <v>74</v>
      </c>
      <c r="D498" s="270"/>
      <c r="E498" s="269"/>
      <c r="F498" s="270"/>
      <c r="G498" s="270"/>
      <c r="H498" s="270"/>
      <c r="I498" s="270">
        <f t="shared" ca="1" si="124"/>
        <v>0</v>
      </c>
      <c r="J498" s="270"/>
      <c r="K498" s="537">
        <f t="shared" ca="1" si="126"/>
        <v>0.42346757620840636</v>
      </c>
      <c r="L498" s="538">
        <f t="shared" ca="1" si="126"/>
        <v>0.6910772124215715</v>
      </c>
      <c r="M498" s="538">
        <f t="shared" ca="1" si="126"/>
        <v>0.94889940171767373</v>
      </c>
      <c r="N498" s="538">
        <f t="shared" ca="1" si="126"/>
        <v>1.1959109514408097</v>
      </c>
      <c r="O498" s="538">
        <f t="shared" ca="1" si="126"/>
        <v>1.4325851764118929</v>
      </c>
      <c r="P498" s="270"/>
      <c r="Q498" s="270"/>
      <c r="R498" s="270"/>
      <c r="S498" s="270"/>
      <c r="T498" s="270"/>
      <c r="U498" s="270"/>
      <c r="V498" s="270"/>
    </row>
    <row r="499" spans="1:22">
      <c r="B499" s="270" t="s">
        <v>228</v>
      </c>
      <c r="C499" s="270" t="s">
        <v>74</v>
      </c>
      <c r="D499" s="270"/>
      <c r="E499" s="269"/>
      <c r="F499" s="270"/>
      <c r="G499" s="270"/>
      <c r="H499" s="270"/>
      <c r="I499" s="270">
        <f t="shared" ca="1" si="124"/>
        <v>0</v>
      </c>
      <c r="J499" s="270"/>
      <c r="K499" s="537">
        <f t="shared" ca="1" si="126"/>
        <v>9.5641279076572772E-2</v>
      </c>
      <c r="L499" s="538">
        <f t="shared" ca="1" si="126"/>
        <v>0.12254009614972641</v>
      </c>
      <c r="M499" s="538">
        <f t="shared" ca="1" si="126"/>
        <v>0.14929555897139052</v>
      </c>
      <c r="N499" s="538">
        <f t="shared" ca="1" si="126"/>
        <v>0.17591059313853408</v>
      </c>
      <c r="O499" s="538">
        <f t="shared" ca="1" si="126"/>
        <v>0.20241483445245115</v>
      </c>
      <c r="P499" s="270"/>
      <c r="Q499" s="270"/>
      <c r="R499" s="270"/>
      <c r="S499" s="270"/>
      <c r="T499" s="270"/>
      <c r="U499" s="270"/>
      <c r="V499" s="270"/>
    </row>
    <row r="500" spans="1:22">
      <c r="B500" s="270" t="s">
        <v>229</v>
      </c>
      <c r="C500" s="270" t="s">
        <v>74</v>
      </c>
      <c r="D500" s="270"/>
      <c r="E500" s="269"/>
      <c r="F500" s="270"/>
      <c r="G500" s="270"/>
      <c r="H500" s="270"/>
      <c r="I500" s="270">
        <f t="shared" ca="1" si="124"/>
        <v>0</v>
      </c>
      <c r="J500" s="270"/>
      <c r="K500" s="537">
        <f t="shared" ca="1" si="126"/>
        <v>0.11261621701661551</v>
      </c>
      <c r="L500" s="538">
        <f t="shared" ca="1" si="126"/>
        <v>0.17197159372182025</v>
      </c>
      <c r="M500" s="538">
        <f t="shared" ca="1" si="126"/>
        <v>0.23759835250427896</v>
      </c>
      <c r="N500" s="538">
        <f t="shared" ca="1" si="126"/>
        <v>0.31193042918434311</v>
      </c>
      <c r="O500" s="538">
        <f t="shared" ca="1" si="126"/>
        <v>0.38510771879635697</v>
      </c>
      <c r="P500" s="270"/>
      <c r="Q500" s="270"/>
      <c r="R500" s="270"/>
      <c r="S500" s="270"/>
      <c r="T500" s="270"/>
      <c r="U500" s="270"/>
      <c r="V500" s="270"/>
    </row>
    <row r="501" spans="1:22">
      <c r="B501" s="270" t="s">
        <v>230</v>
      </c>
      <c r="C501" s="270" t="s">
        <v>74</v>
      </c>
      <c r="D501" s="270"/>
      <c r="E501" s="269"/>
      <c r="F501" s="270"/>
      <c r="G501" s="270"/>
      <c r="H501" s="270"/>
      <c r="I501" s="270">
        <f t="shared" ca="1" si="124"/>
        <v>0</v>
      </c>
      <c r="J501" s="270"/>
      <c r="K501" s="537">
        <f t="shared" ca="1" si="126"/>
        <v>8.3282273341605914E-2</v>
      </c>
      <c r="L501" s="538">
        <f t="shared" ca="1" si="126"/>
        <v>0.12965603246871557</v>
      </c>
      <c r="M501" s="538">
        <f t="shared" ca="1" si="126"/>
        <v>0.17940755091766883</v>
      </c>
      <c r="N501" s="538">
        <f t="shared" ca="1" si="126"/>
        <v>0.22667019407684263</v>
      </c>
      <c r="O501" s="538">
        <f t="shared" ca="1" si="126"/>
        <v>0.27248522609808284</v>
      </c>
      <c r="P501" s="270"/>
      <c r="Q501" s="270"/>
      <c r="R501" s="270"/>
      <c r="S501" s="270"/>
      <c r="T501" s="270"/>
      <c r="U501" s="270"/>
      <c r="V501" s="270"/>
    </row>
    <row r="502" spans="1:22">
      <c r="B502" s="270" t="s">
        <v>231</v>
      </c>
      <c r="C502" s="270" t="s">
        <v>74</v>
      </c>
      <c r="D502" s="270"/>
      <c r="E502" s="269"/>
      <c r="F502" s="270"/>
      <c r="G502" s="270"/>
      <c r="H502" s="270"/>
      <c r="I502" s="270">
        <f t="shared" ca="1" si="124"/>
        <v>0</v>
      </c>
      <c r="J502" s="270"/>
      <c r="K502" s="537">
        <f t="shared" ca="1" si="126"/>
        <v>1.0199939080345404</v>
      </c>
      <c r="L502" s="538">
        <f t="shared" ca="1" si="126"/>
        <v>1.4978659886140555</v>
      </c>
      <c r="M502" s="538">
        <f t="shared" ca="1" si="126"/>
        <v>1.9771445760211592</v>
      </c>
      <c r="N502" s="538">
        <f t="shared" ca="1" si="126"/>
        <v>2.4372523702846833</v>
      </c>
      <c r="O502" s="538">
        <f t="shared" ca="1" si="126"/>
        <v>2.8927890449075448</v>
      </c>
      <c r="P502" s="270"/>
      <c r="Q502" s="270"/>
      <c r="R502" s="270"/>
      <c r="S502" s="270"/>
      <c r="T502" s="270"/>
      <c r="U502" s="270"/>
      <c r="V502" s="270"/>
    </row>
    <row r="503" spans="1:22">
      <c r="B503" s="270" t="s">
        <v>232</v>
      </c>
      <c r="C503" s="270" t="s">
        <v>74</v>
      </c>
      <c r="D503" s="270"/>
      <c r="E503" s="269"/>
      <c r="F503" s="270"/>
      <c r="G503" s="270"/>
      <c r="H503" s="270"/>
      <c r="I503" s="270">
        <f t="shared" ca="1" si="124"/>
        <v>0</v>
      </c>
      <c r="J503" s="270"/>
      <c r="K503" s="537">
        <f t="shared" ca="1" si="126"/>
        <v>0.2436186859679097</v>
      </c>
      <c r="L503" s="538">
        <f t="shared" ca="1" si="126"/>
        <v>0.38249089988547724</v>
      </c>
      <c r="M503" s="538">
        <f t="shared" ca="1" si="126"/>
        <v>0.52585471569812225</v>
      </c>
      <c r="N503" s="538">
        <f t="shared" ca="1" si="126"/>
        <v>0.67324388628985754</v>
      </c>
      <c r="O503" s="538">
        <f t="shared" ca="1" si="126"/>
        <v>0.82314149517700974</v>
      </c>
      <c r="P503" s="270"/>
      <c r="Q503" s="270"/>
      <c r="R503" s="270"/>
      <c r="S503" s="270"/>
      <c r="T503" s="270"/>
      <c r="U503" s="270"/>
      <c r="V503" s="270"/>
    </row>
    <row r="504" spans="1:22">
      <c r="B504" s="270" t="s">
        <v>255</v>
      </c>
      <c r="C504" s="270" t="s">
        <v>74</v>
      </c>
      <c r="D504" s="270"/>
      <c r="E504" s="269"/>
      <c r="F504" s="270"/>
      <c r="G504" s="270"/>
      <c r="H504" s="270"/>
      <c r="I504" s="270">
        <f t="shared" ca="1" si="124"/>
        <v>0</v>
      </c>
      <c r="J504" s="270"/>
      <c r="K504" s="537">
        <f t="shared" ca="1" si="126"/>
        <v>0.24004398085236939</v>
      </c>
      <c r="L504" s="538">
        <f t="shared" ca="1" si="126"/>
        <v>0.35432187155665901</v>
      </c>
      <c r="M504" s="538">
        <f t="shared" ca="1" si="126"/>
        <v>0.46745435743175723</v>
      </c>
      <c r="N504" s="538">
        <f t="shared" ca="1" si="126"/>
        <v>0.58217025897106667</v>
      </c>
      <c r="O504" s="538">
        <f t="shared" ca="1" si="126"/>
        <v>0.69651815520521898</v>
      </c>
      <c r="P504" s="270"/>
      <c r="Q504" s="270"/>
      <c r="R504" s="270"/>
      <c r="S504" s="270"/>
      <c r="T504" s="270"/>
      <c r="U504" s="270"/>
      <c r="V504" s="270"/>
    </row>
    <row r="505" spans="1:22">
      <c r="B505" s="270"/>
      <c r="C505" s="270"/>
      <c r="D505" s="270"/>
      <c r="E505" s="269"/>
      <c r="F505" s="270"/>
      <c r="G505" s="270"/>
      <c r="H505" s="270"/>
      <c r="I505" s="270"/>
      <c r="J505" s="270"/>
      <c r="K505" s="463"/>
      <c r="L505" s="270"/>
      <c r="M505" s="270"/>
      <c r="N505" s="270"/>
      <c r="O505" s="270"/>
      <c r="P505" s="270"/>
      <c r="Q505" s="270"/>
      <c r="R505" s="270"/>
      <c r="S505" s="270"/>
      <c r="T505" s="270"/>
      <c r="U505" s="270"/>
      <c r="V505" s="270"/>
    </row>
    <row r="506" spans="1:22" s="298" customFormat="1">
      <c r="A506" s="296" t="s">
        <v>448</v>
      </c>
      <c r="B506" s="296"/>
      <c r="C506" s="296"/>
      <c r="D506" s="296"/>
      <c r="E506" s="297"/>
      <c r="F506" s="296"/>
      <c r="G506" s="296"/>
      <c r="H506" s="296"/>
      <c r="I506" s="296"/>
      <c r="J506" s="296"/>
      <c r="K506" s="464"/>
      <c r="L506" s="296"/>
      <c r="M506" s="296"/>
      <c r="N506" s="296"/>
      <c r="O506" s="296"/>
      <c r="P506" s="296"/>
      <c r="Q506" s="296"/>
      <c r="R506" s="296"/>
      <c r="S506" s="296"/>
      <c r="T506" s="296"/>
      <c r="U506" s="296"/>
      <c r="V506" s="293"/>
    </row>
    <row r="507" spans="1:22">
      <c r="B507" s="270" t="s">
        <v>215</v>
      </c>
      <c r="C507" s="270" t="s">
        <v>74</v>
      </c>
      <c r="D507" s="270"/>
      <c r="E507" s="269"/>
      <c r="F507" s="270"/>
      <c r="G507" s="270"/>
      <c r="H507" s="270"/>
      <c r="I507" s="270">
        <f t="shared" ref="I507:O516" ca="1" si="127">I467-I487</f>
        <v>0</v>
      </c>
      <c r="J507" s="270">
        <f t="shared" si="127"/>
        <v>0</v>
      </c>
      <c r="K507" s="537">
        <f t="shared" ca="1" si="127"/>
        <v>-5.7826766919810701E-2</v>
      </c>
      <c r="L507" s="538">
        <f t="shared" ca="1" si="127"/>
        <v>1.0106523346767777</v>
      </c>
      <c r="M507" s="538">
        <f t="shared" ca="1" si="127"/>
        <v>1.5643583995945098</v>
      </c>
      <c r="N507" s="538">
        <f t="shared" ca="1" si="127"/>
        <v>1.4208501187506148</v>
      </c>
      <c r="O507" s="538">
        <f t="shared" ca="1" si="127"/>
        <v>1.0412337228000279</v>
      </c>
      <c r="P507" s="270"/>
      <c r="Q507" s="270"/>
      <c r="R507" s="270"/>
      <c r="S507" s="270"/>
      <c r="T507" s="270"/>
      <c r="U507" s="270"/>
      <c r="V507" s="270"/>
    </row>
    <row r="508" spans="1:22">
      <c r="B508" s="270" t="s">
        <v>216</v>
      </c>
      <c r="C508" s="270" t="s">
        <v>74</v>
      </c>
      <c r="D508" s="270"/>
      <c r="E508" s="269"/>
      <c r="F508" s="270"/>
      <c r="G508" s="270"/>
      <c r="H508" s="270"/>
      <c r="I508" s="270">
        <f t="shared" ca="1" si="127"/>
        <v>0</v>
      </c>
      <c r="J508" s="270">
        <f t="shared" si="127"/>
        <v>0</v>
      </c>
      <c r="K508" s="537">
        <f t="shared" ca="1" si="127"/>
        <v>1.9470579775185417</v>
      </c>
      <c r="L508" s="538">
        <f t="shared" ca="1" si="127"/>
        <v>0.62111230502168091</v>
      </c>
      <c r="M508" s="538">
        <f t="shared" ca="1" si="127"/>
        <v>-0.71335416422511111</v>
      </c>
      <c r="N508" s="538">
        <f t="shared" ca="1" si="127"/>
        <v>-2.0102781319365217</v>
      </c>
      <c r="O508" s="538">
        <f t="shared" ca="1" si="127"/>
        <v>-2.2667524572281215</v>
      </c>
      <c r="P508" s="270"/>
      <c r="Q508" s="270"/>
      <c r="R508" s="270"/>
      <c r="S508" s="270"/>
      <c r="T508" s="270"/>
      <c r="U508" s="270"/>
      <c r="V508" s="270"/>
    </row>
    <row r="509" spans="1:22">
      <c r="B509" s="270" t="s">
        <v>217</v>
      </c>
      <c r="C509" s="270" t="s">
        <v>74</v>
      </c>
      <c r="D509" s="270"/>
      <c r="E509" s="269"/>
      <c r="F509" s="270"/>
      <c r="G509" s="270"/>
      <c r="H509" s="270"/>
      <c r="I509" s="270">
        <f t="shared" ca="1" si="127"/>
        <v>0</v>
      </c>
      <c r="J509" s="270">
        <f t="shared" si="127"/>
        <v>0</v>
      </c>
      <c r="K509" s="537">
        <f t="shared" ca="1" si="127"/>
        <v>1.1892494635183177</v>
      </c>
      <c r="L509" s="538">
        <f t="shared" ca="1" si="127"/>
        <v>1.4596366893212109</v>
      </c>
      <c r="M509" s="538">
        <f t="shared" ca="1" si="127"/>
        <v>1.7454515194033613</v>
      </c>
      <c r="N509" s="538">
        <f t="shared" ca="1" si="127"/>
        <v>1.9212906431304762</v>
      </c>
      <c r="O509" s="538">
        <f t="shared" ca="1" si="127"/>
        <v>2.3903975534131034</v>
      </c>
      <c r="P509" s="270"/>
      <c r="Q509" s="270"/>
      <c r="R509" s="270"/>
      <c r="S509" s="270"/>
      <c r="T509" s="270"/>
      <c r="U509" s="270"/>
      <c r="V509" s="270"/>
    </row>
    <row r="510" spans="1:22">
      <c r="B510" s="270" t="s">
        <v>219</v>
      </c>
      <c r="C510" s="270" t="s">
        <v>74</v>
      </c>
      <c r="D510" s="270"/>
      <c r="E510" s="269"/>
      <c r="F510" s="270"/>
      <c r="G510" s="270"/>
      <c r="H510" s="270"/>
      <c r="I510" s="270">
        <f t="shared" ca="1" si="127"/>
        <v>0</v>
      </c>
      <c r="J510" s="270">
        <f t="shared" si="127"/>
        <v>0</v>
      </c>
      <c r="K510" s="537">
        <f t="shared" ca="1" si="127"/>
        <v>-0.48893625914998395</v>
      </c>
      <c r="L510" s="538">
        <f t="shared" ca="1" si="127"/>
        <v>-0.8840376900649316</v>
      </c>
      <c r="M510" s="538">
        <f t="shared" ca="1" si="127"/>
        <v>0.8991560776651637</v>
      </c>
      <c r="N510" s="538">
        <f t="shared" ca="1" si="127"/>
        <v>3.675546522673443</v>
      </c>
      <c r="O510" s="538">
        <f t="shared" ca="1" si="127"/>
        <v>6.3640834854697674</v>
      </c>
      <c r="P510" s="270"/>
      <c r="Q510" s="270"/>
      <c r="R510" s="270"/>
      <c r="S510" s="270"/>
      <c r="T510" s="270"/>
      <c r="U510" s="270"/>
      <c r="V510" s="270"/>
    </row>
    <row r="511" spans="1:22">
      <c r="B511" s="270" t="s">
        <v>220</v>
      </c>
      <c r="C511" s="270" t="s">
        <v>74</v>
      </c>
      <c r="D511" s="270"/>
      <c r="E511" s="269"/>
      <c r="F511" s="270"/>
      <c r="G511" s="270"/>
      <c r="H511" s="270"/>
      <c r="I511" s="270">
        <f t="shared" ca="1" si="127"/>
        <v>0</v>
      </c>
      <c r="J511" s="270">
        <f t="shared" si="127"/>
        <v>0</v>
      </c>
      <c r="K511" s="537">
        <f t="shared" ca="1" si="127"/>
        <v>-3.427228472169471</v>
      </c>
      <c r="L511" s="538">
        <f t="shared" ca="1" si="127"/>
        <v>-3.8804887479359733</v>
      </c>
      <c r="M511" s="538">
        <f t="shared" ca="1" si="127"/>
        <v>-4.0098813930582171</v>
      </c>
      <c r="N511" s="538">
        <f t="shared" ca="1" si="127"/>
        <v>-4.2220777130780842</v>
      </c>
      <c r="O511" s="538">
        <f t="shared" ca="1" si="127"/>
        <v>-4.6750073025872432</v>
      </c>
      <c r="P511" s="270"/>
      <c r="Q511" s="270"/>
      <c r="R511" s="270"/>
      <c r="S511" s="270"/>
      <c r="T511" s="270"/>
      <c r="U511" s="270"/>
      <c r="V511" s="270"/>
    </row>
    <row r="512" spans="1:22">
      <c r="B512" s="270" t="s">
        <v>221</v>
      </c>
      <c r="C512" s="270" t="s">
        <v>74</v>
      </c>
      <c r="D512" s="270"/>
      <c r="E512" s="269"/>
      <c r="F512" s="270"/>
      <c r="G512" s="270"/>
      <c r="H512" s="270"/>
      <c r="I512" s="270">
        <f t="shared" ca="1" si="127"/>
        <v>0</v>
      </c>
      <c r="J512" s="270">
        <f t="shared" si="127"/>
        <v>0</v>
      </c>
      <c r="K512" s="537">
        <f t="shared" ca="1" si="127"/>
        <v>-9.7890638982387799</v>
      </c>
      <c r="L512" s="538">
        <f t="shared" ca="1" si="127"/>
        <v>-9.6358723225563061</v>
      </c>
      <c r="M512" s="538">
        <f t="shared" ca="1" si="127"/>
        <v>-11.443420482047824</v>
      </c>
      <c r="N512" s="538">
        <f t="shared" ca="1" si="127"/>
        <v>-16.77094208478745</v>
      </c>
      <c r="O512" s="538">
        <f t="shared" ca="1" si="127"/>
        <v>-17.796879072747604</v>
      </c>
      <c r="P512" s="270"/>
      <c r="Q512" s="270"/>
      <c r="R512" s="270"/>
      <c r="S512" s="270"/>
      <c r="T512" s="270"/>
      <c r="U512" s="270"/>
      <c r="V512" s="270"/>
    </row>
    <row r="513" spans="1:22">
      <c r="B513" s="270" t="s">
        <v>222</v>
      </c>
      <c r="C513" s="270" t="s">
        <v>74</v>
      </c>
      <c r="D513" s="270"/>
      <c r="E513" s="269"/>
      <c r="F513" s="270"/>
      <c r="G513" s="270"/>
      <c r="H513" s="270"/>
      <c r="I513" s="270">
        <f t="shared" ca="1" si="127"/>
        <v>0</v>
      </c>
      <c r="J513" s="270">
        <f t="shared" si="127"/>
        <v>0</v>
      </c>
      <c r="K513" s="537">
        <f t="shared" ca="1" si="127"/>
        <v>3.0737902144083709</v>
      </c>
      <c r="L513" s="538">
        <f t="shared" ca="1" si="127"/>
        <v>6.3867730372158267</v>
      </c>
      <c r="M513" s="538">
        <f t="shared" ca="1" si="127"/>
        <v>3.2220678958692375</v>
      </c>
      <c r="N513" s="538">
        <f t="shared" ca="1" si="127"/>
        <v>2.1310028009016051</v>
      </c>
      <c r="O513" s="538">
        <f t="shared" ca="1" si="127"/>
        <v>-6.290614044123636</v>
      </c>
      <c r="P513" s="270"/>
      <c r="Q513" s="270"/>
      <c r="R513" s="270"/>
      <c r="S513" s="270"/>
      <c r="T513" s="270"/>
      <c r="U513" s="270"/>
      <c r="V513" s="270"/>
    </row>
    <row r="514" spans="1:22">
      <c r="B514" s="270" t="s">
        <v>223</v>
      </c>
      <c r="C514" s="270" t="s">
        <v>74</v>
      </c>
      <c r="D514" s="270"/>
      <c r="E514" s="269"/>
      <c r="F514" s="270"/>
      <c r="G514" s="270"/>
      <c r="H514" s="270"/>
      <c r="I514" s="270">
        <f t="shared" ca="1" si="127"/>
        <v>0</v>
      </c>
      <c r="J514" s="270">
        <f t="shared" si="127"/>
        <v>0</v>
      </c>
      <c r="K514" s="537">
        <f t="shared" ca="1" si="127"/>
        <v>-0.37604406680665803</v>
      </c>
      <c r="L514" s="538">
        <f t="shared" ca="1" si="127"/>
        <v>1.6629445168871855</v>
      </c>
      <c r="M514" s="538">
        <f t="shared" ca="1" si="127"/>
        <v>3.0853642439237192</v>
      </c>
      <c r="N514" s="538">
        <f t="shared" ca="1" si="127"/>
        <v>1.8353795924786853</v>
      </c>
      <c r="O514" s="538">
        <f t="shared" ca="1" si="127"/>
        <v>3.2813272772393294</v>
      </c>
      <c r="P514" s="270"/>
      <c r="Q514" s="270"/>
      <c r="R514" s="270"/>
      <c r="S514" s="270"/>
      <c r="T514" s="270"/>
      <c r="U514" s="270"/>
      <c r="V514" s="270"/>
    </row>
    <row r="515" spans="1:22">
      <c r="B515" s="270" t="s">
        <v>224</v>
      </c>
      <c r="C515" s="270" t="s">
        <v>74</v>
      </c>
      <c r="D515" s="270"/>
      <c r="E515" s="269"/>
      <c r="F515" s="270"/>
      <c r="G515" s="270"/>
      <c r="H515" s="270"/>
      <c r="I515" s="270">
        <f t="shared" ca="1" si="127"/>
        <v>0</v>
      </c>
      <c r="J515" s="270">
        <f t="shared" si="127"/>
        <v>0</v>
      </c>
      <c r="K515" s="537">
        <f t="shared" ca="1" si="127"/>
        <v>0.58021550263448041</v>
      </c>
      <c r="L515" s="538">
        <f t="shared" ca="1" si="127"/>
        <v>0.5579631596714214</v>
      </c>
      <c r="M515" s="538">
        <f t="shared" ca="1" si="127"/>
        <v>0.68353488152414155</v>
      </c>
      <c r="N515" s="538">
        <f t="shared" ca="1" si="127"/>
        <v>0.66699905853713126</v>
      </c>
      <c r="O515" s="538">
        <f t="shared" ca="1" si="127"/>
        <v>0.62386012833160542</v>
      </c>
      <c r="P515" s="270"/>
      <c r="Q515" s="270"/>
      <c r="R515" s="270"/>
      <c r="S515" s="270"/>
      <c r="T515" s="270"/>
      <c r="U515" s="270"/>
      <c r="V515" s="270"/>
    </row>
    <row r="516" spans="1:22">
      <c r="B516" s="270" t="s">
        <v>225</v>
      </c>
      <c r="C516" s="270" t="s">
        <v>74</v>
      </c>
      <c r="D516" s="270"/>
      <c r="E516" s="269"/>
      <c r="F516" s="270"/>
      <c r="G516" s="270"/>
      <c r="H516" s="270"/>
      <c r="I516" s="270">
        <f t="shared" ca="1" si="127"/>
        <v>0</v>
      </c>
      <c r="J516" s="270">
        <f t="shared" si="127"/>
        <v>0</v>
      </c>
      <c r="K516" s="537">
        <f t="shared" ca="1" si="127"/>
        <v>-1.8620551895427613</v>
      </c>
      <c r="L516" s="538">
        <f t="shared" ca="1" si="127"/>
        <v>-2.459717631029017</v>
      </c>
      <c r="M516" s="538">
        <f t="shared" ca="1" si="127"/>
        <v>-3.2930372771223899</v>
      </c>
      <c r="N516" s="538">
        <f t="shared" ca="1" si="127"/>
        <v>-5.2501929838955856</v>
      </c>
      <c r="O516" s="538">
        <f t="shared" ca="1" si="127"/>
        <v>-5.4598408691001534</v>
      </c>
      <c r="P516" s="270"/>
      <c r="Q516" s="270"/>
      <c r="R516" s="270"/>
      <c r="S516" s="270"/>
      <c r="T516" s="270"/>
      <c r="U516" s="270"/>
      <c r="V516" s="270"/>
    </row>
    <row r="517" spans="1:22">
      <c r="B517" s="270" t="s">
        <v>226</v>
      </c>
      <c r="C517" s="270" t="s">
        <v>74</v>
      </c>
      <c r="D517" s="270"/>
      <c r="E517" s="269"/>
      <c r="F517" s="270"/>
      <c r="G517" s="270"/>
      <c r="H517" s="270"/>
      <c r="I517" s="270">
        <f t="shared" ref="I517:O524" ca="1" si="128">I477-I497</f>
        <v>0</v>
      </c>
      <c r="J517" s="270">
        <f t="shared" si="128"/>
        <v>0</v>
      </c>
      <c r="K517" s="537">
        <f t="shared" ca="1" si="128"/>
        <v>0.89190034120917083</v>
      </c>
      <c r="L517" s="538">
        <f t="shared" ca="1" si="128"/>
        <v>0.26234332354201328</v>
      </c>
      <c r="M517" s="538">
        <f t="shared" ca="1" si="128"/>
        <v>-0.42738028996497235</v>
      </c>
      <c r="N517" s="538">
        <f t="shared" ca="1" si="128"/>
        <v>-1.5514644090213161</v>
      </c>
      <c r="O517" s="538">
        <f t="shared" ca="1" si="128"/>
        <v>-3.1306122394485074</v>
      </c>
      <c r="P517" s="270"/>
      <c r="Q517" s="270"/>
      <c r="R517" s="270"/>
      <c r="S517" s="270"/>
      <c r="T517" s="270"/>
      <c r="U517" s="270"/>
      <c r="V517" s="270"/>
    </row>
    <row r="518" spans="1:22">
      <c r="B518" s="270" t="s">
        <v>227</v>
      </c>
      <c r="C518" s="270" t="s">
        <v>74</v>
      </c>
      <c r="D518" s="270"/>
      <c r="E518" s="269"/>
      <c r="F518" s="270"/>
      <c r="G518" s="270"/>
      <c r="H518" s="270"/>
      <c r="I518" s="270">
        <f t="shared" ca="1" si="128"/>
        <v>0</v>
      </c>
      <c r="J518" s="270">
        <f t="shared" si="128"/>
        <v>0</v>
      </c>
      <c r="K518" s="537">
        <f t="shared" ca="1" si="128"/>
        <v>0.12591891970076885</v>
      </c>
      <c r="L518" s="538">
        <f t="shared" ca="1" si="128"/>
        <v>0.19943564598984975</v>
      </c>
      <c r="M518" s="538">
        <f t="shared" ca="1" si="128"/>
        <v>0.20257019795551257</v>
      </c>
      <c r="N518" s="538">
        <f t="shared" ca="1" si="128"/>
        <v>0.18125862796948278</v>
      </c>
      <c r="O518" s="538">
        <f t="shared" ca="1" si="128"/>
        <v>0.17397207174986185</v>
      </c>
      <c r="P518" s="270"/>
      <c r="Q518" s="270"/>
      <c r="R518" s="270"/>
      <c r="S518" s="270"/>
      <c r="T518" s="270"/>
      <c r="U518" s="270"/>
      <c r="V518" s="270"/>
    </row>
    <row r="519" spans="1:22">
      <c r="B519" s="270" t="s">
        <v>228</v>
      </c>
      <c r="C519" s="270" t="s">
        <v>74</v>
      </c>
      <c r="D519" s="270"/>
      <c r="E519" s="269"/>
      <c r="F519" s="270"/>
      <c r="G519" s="270"/>
      <c r="H519" s="270"/>
      <c r="I519" s="270">
        <f t="shared" ca="1" si="128"/>
        <v>0</v>
      </c>
      <c r="J519" s="270">
        <f t="shared" si="128"/>
        <v>0</v>
      </c>
      <c r="K519" s="537">
        <f t="shared" ca="1" si="128"/>
        <v>6.358720923427541E-3</v>
      </c>
      <c r="L519" s="538">
        <f t="shared" ca="1" si="128"/>
        <v>8.4599038502742585E-3</v>
      </c>
      <c r="M519" s="538">
        <f t="shared" ca="1" si="128"/>
        <v>3.1704441028609975E-2</v>
      </c>
      <c r="N519" s="538">
        <f t="shared" ca="1" si="128"/>
        <v>2.2089406861466321E-2</v>
      </c>
      <c r="O519" s="538">
        <f t="shared" ca="1" si="128"/>
        <v>1.5585165547549268E-2</v>
      </c>
      <c r="P519" s="270"/>
      <c r="Q519" s="270"/>
      <c r="R519" s="270"/>
      <c r="S519" s="270"/>
      <c r="T519" s="270"/>
      <c r="U519" s="270"/>
      <c r="V519" s="270"/>
    </row>
    <row r="520" spans="1:22">
      <c r="B520" s="270" t="s">
        <v>229</v>
      </c>
      <c r="C520" s="270" t="s">
        <v>74</v>
      </c>
      <c r="D520" s="270"/>
      <c r="E520" s="269"/>
      <c r="F520" s="270"/>
      <c r="G520" s="270"/>
      <c r="H520" s="270"/>
      <c r="I520" s="270">
        <f t="shared" ca="1" si="128"/>
        <v>0</v>
      </c>
      <c r="J520" s="270">
        <f t="shared" si="128"/>
        <v>0</v>
      </c>
      <c r="K520" s="537">
        <f t="shared" ca="1" si="128"/>
        <v>-9.6162170166157468E-3</v>
      </c>
      <c r="L520" s="538">
        <f t="shared" ca="1" si="128"/>
        <v>-3.397159372181946E-2</v>
      </c>
      <c r="M520" s="538">
        <f t="shared" ca="1" si="128"/>
        <v>-9.659835250427895E-2</v>
      </c>
      <c r="N520" s="538">
        <f t="shared" ca="1" si="128"/>
        <v>-0.14793042918434252</v>
      </c>
      <c r="O520" s="538">
        <f t="shared" ca="1" si="128"/>
        <v>-0.19110771879635702</v>
      </c>
      <c r="P520" s="270"/>
      <c r="Q520" s="270"/>
      <c r="R520" s="270"/>
      <c r="S520" s="270"/>
      <c r="T520" s="270"/>
      <c r="U520" s="270"/>
      <c r="V520" s="270"/>
    </row>
    <row r="521" spans="1:22">
      <c r="B521" s="270" t="s">
        <v>230</v>
      </c>
      <c r="C521" s="270" t="s">
        <v>74</v>
      </c>
      <c r="D521" s="270"/>
      <c r="E521" s="269"/>
      <c r="F521" s="270"/>
      <c r="G521" s="270"/>
      <c r="H521" s="270"/>
      <c r="I521" s="270">
        <f t="shared" ca="1" si="128"/>
        <v>0</v>
      </c>
      <c r="J521" s="270">
        <f t="shared" si="128"/>
        <v>0</v>
      </c>
      <c r="K521" s="537">
        <f t="shared" ca="1" si="128"/>
        <v>0.28071772665839395</v>
      </c>
      <c r="L521" s="538">
        <f t="shared" ca="1" si="128"/>
        <v>0.34734396753128471</v>
      </c>
      <c r="M521" s="538">
        <f t="shared" ca="1" si="128"/>
        <v>0.35759244908233112</v>
      </c>
      <c r="N521" s="538">
        <f t="shared" ca="1" si="128"/>
        <v>0.33832980592315687</v>
      </c>
      <c r="O521" s="538">
        <f t="shared" ca="1" si="128"/>
        <v>0.25651477390191796</v>
      </c>
      <c r="P521" s="270"/>
      <c r="Q521" s="270"/>
      <c r="R521" s="270"/>
      <c r="S521" s="270"/>
      <c r="T521" s="270"/>
      <c r="U521" s="270"/>
      <c r="V521" s="270"/>
    </row>
    <row r="522" spans="1:22">
      <c r="B522" s="270" t="s">
        <v>231</v>
      </c>
      <c r="C522" s="270" t="s">
        <v>74</v>
      </c>
      <c r="D522" s="270"/>
      <c r="E522" s="269"/>
      <c r="F522" s="270"/>
      <c r="G522" s="270"/>
      <c r="H522" s="270"/>
      <c r="I522" s="270">
        <f t="shared" ca="1" si="128"/>
        <v>0</v>
      </c>
      <c r="J522" s="270">
        <f t="shared" si="128"/>
        <v>0</v>
      </c>
      <c r="K522" s="537">
        <f t="shared" ca="1" si="128"/>
        <v>-1.3735569844876077</v>
      </c>
      <c r="L522" s="538">
        <f t="shared" ca="1" si="128"/>
        <v>-1.3007894581427095</v>
      </c>
      <c r="M522" s="538">
        <f t="shared" ca="1" si="128"/>
        <v>-1.6186207018800425</v>
      </c>
      <c r="N522" s="538">
        <f t="shared" ca="1" si="128"/>
        <v>-1.7585138198721473</v>
      </c>
      <c r="O522" s="538">
        <f t="shared" ca="1" si="128"/>
        <v>-1.7027066512504057</v>
      </c>
      <c r="P522" s="270"/>
      <c r="Q522" s="270"/>
      <c r="R522" s="270"/>
      <c r="S522" s="270"/>
      <c r="T522" s="270"/>
      <c r="U522" s="270"/>
      <c r="V522" s="270"/>
    </row>
    <row r="523" spans="1:22">
      <c r="B523" s="270" t="s">
        <v>232</v>
      </c>
      <c r="C523" s="270" t="s">
        <v>74</v>
      </c>
      <c r="D523" s="270"/>
      <c r="E523" s="269"/>
      <c r="F523" s="270"/>
      <c r="G523" s="270"/>
      <c r="H523" s="270"/>
      <c r="I523" s="270">
        <f t="shared" ca="1" si="128"/>
        <v>0</v>
      </c>
      <c r="J523" s="270">
        <f t="shared" si="128"/>
        <v>0</v>
      </c>
      <c r="K523" s="537">
        <f t="shared" ca="1" si="128"/>
        <v>0.90512035794628076</v>
      </c>
      <c r="L523" s="538">
        <f t="shared" ca="1" si="128"/>
        <v>0.83350266770423587</v>
      </c>
      <c r="M523" s="538">
        <f t="shared" ca="1" si="128"/>
        <v>0.53639246227050708</v>
      </c>
      <c r="N523" s="538">
        <f t="shared" ca="1" si="128"/>
        <v>-9.3153494558459782E-2</v>
      </c>
      <c r="O523" s="538">
        <f t="shared" ca="1" si="128"/>
        <v>-0.49540433750133905</v>
      </c>
      <c r="P523" s="270"/>
      <c r="Q523" s="270"/>
      <c r="R523" s="270"/>
      <c r="S523" s="270"/>
      <c r="T523" s="270"/>
      <c r="U523" s="270"/>
      <c r="V523" s="270"/>
    </row>
    <row r="524" spans="1:22">
      <c r="B524" s="270" t="s">
        <v>255</v>
      </c>
      <c r="C524" s="270" t="s">
        <v>74</v>
      </c>
      <c r="D524" s="270"/>
      <c r="E524" s="269"/>
      <c r="F524" s="270"/>
      <c r="G524" s="270"/>
      <c r="H524" s="270"/>
      <c r="I524" s="270">
        <f t="shared" ca="1" si="128"/>
        <v>0</v>
      </c>
      <c r="J524" s="270">
        <f t="shared" si="128"/>
        <v>0</v>
      </c>
      <c r="K524" s="537">
        <f t="shared" ca="1" si="128"/>
        <v>-0.69143861703114262</v>
      </c>
      <c r="L524" s="538">
        <f t="shared" ca="1" si="128"/>
        <v>-0.7832902106937234</v>
      </c>
      <c r="M524" s="538">
        <f t="shared" ca="1" si="128"/>
        <v>-0.64459197706525562</v>
      </c>
      <c r="N524" s="538">
        <f t="shared" ca="1" si="128"/>
        <v>-0.75785775500054986</v>
      </c>
      <c r="O524" s="538">
        <f t="shared" ca="1" si="128"/>
        <v>-0.90343686297142189</v>
      </c>
      <c r="P524" s="270"/>
      <c r="Q524" s="270"/>
      <c r="R524" s="270"/>
      <c r="S524" s="270"/>
      <c r="T524" s="270"/>
      <c r="U524" s="270"/>
      <c r="V524" s="270"/>
    </row>
    <row r="525" spans="1:22">
      <c r="B525" s="270"/>
      <c r="C525" s="270"/>
      <c r="D525" s="270"/>
      <c r="E525" s="269"/>
      <c r="F525" s="270"/>
      <c r="G525" s="270"/>
      <c r="H525" s="270"/>
      <c r="I525" s="270"/>
      <c r="J525" s="270"/>
      <c r="K525" s="463"/>
      <c r="L525" s="270"/>
      <c r="M525" s="270"/>
      <c r="N525" s="270"/>
      <c r="O525" s="270"/>
      <c r="P525" s="270"/>
      <c r="Q525" s="270"/>
      <c r="R525" s="270"/>
      <c r="S525" s="270"/>
      <c r="T525" s="270"/>
      <c r="U525" s="270"/>
      <c r="V525" s="270"/>
    </row>
    <row r="526" spans="1:22" s="298" customFormat="1">
      <c r="A526" s="299" t="s">
        <v>449</v>
      </c>
      <c r="B526" s="296"/>
      <c r="C526" s="296"/>
      <c r="D526" s="296"/>
      <c r="E526" s="297"/>
      <c r="F526" s="296"/>
      <c r="G526" s="296"/>
      <c r="H526" s="296"/>
      <c r="I526" s="296"/>
      <c r="J526" s="296"/>
      <c r="K526" s="464"/>
      <c r="L526" s="296"/>
      <c r="M526" s="296"/>
      <c r="N526" s="296"/>
      <c r="O526" s="296"/>
      <c r="P526" s="296"/>
      <c r="Q526" s="296"/>
      <c r="R526" s="296"/>
      <c r="S526" s="296"/>
      <c r="T526" s="296"/>
      <c r="U526" s="296"/>
      <c r="V526" s="293"/>
    </row>
    <row r="527" spans="1:22">
      <c r="B527" s="270" t="s">
        <v>215</v>
      </c>
      <c r="C527" s="270" t="s">
        <v>74</v>
      </c>
      <c r="D527" s="270"/>
      <c r="E527" s="269"/>
      <c r="F527" s="270"/>
      <c r="G527" s="270"/>
      <c r="H527" s="270"/>
      <c r="I527" s="540">
        <f t="shared" ref="I527:I544" ca="1" si="129">I447-I487</f>
        <v>69.323938287530069</v>
      </c>
      <c r="J527" s="270"/>
      <c r="K527" s="537">
        <f t="shared" ref="K527:O536" ca="1" si="130">K447-K487</f>
        <v>69.266111520610252</v>
      </c>
      <c r="L527" s="538">
        <f t="shared" ca="1" si="130"/>
        <v>70.334590622206846</v>
      </c>
      <c r="M527" s="538">
        <f t="shared" ca="1" si="130"/>
        <v>70.88829668712458</v>
      </c>
      <c r="N527" s="538">
        <f t="shared" ca="1" si="130"/>
        <v>70.744788406280691</v>
      </c>
      <c r="O527" s="538">
        <f t="shared" ca="1" si="130"/>
        <v>70.365172010330099</v>
      </c>
      <c r="P527" s="270"/>
      <c r="Q527" s="270"/>
      <c r="R527" s="270"/>
      <c r="S527" s="270"/>
      <c r="T527" s="270"/>
      <c r="U527" s="270"/>
      <c r="V527" s="270"/>
    </row>
    <row r="528" spans="1:22">
      <c r="B528" s="270" t="s">
        <v>216</v>
      </c>
      <c r="C528" s="270" t="s">
        <v>74</v>
      </c>
      <c r="D528" s="270"/>
      <c r="E528" s="269"/>
      <c r="F528" s="270"/>
      <c r="G528" s="270"/>
      <c r="H528" s="270"/>
      <c r="I528" s="540">
        <f t="shared" ca="1" si="129"/>
        <v>44.543780733358147</v>
      </c>
      <c r="J528" s="270"/>
      <c r="K528" s="537">
        <f t="shared" ca="1" si="130"/>
        <v>46.490838710876687</v>
      </c>
      <c r="L528" s="538">
        <f t="shared" ca="1" si="130"/>
        <v>45.16489303837983</v>
      </c>
      <c r="M528" s="538">
        <f t="shared" ca="1" si="130"/>
        <v>43.830426569133039</v>
      </c>
      <c r="N528" s="538">
        <f t="shared" ca="1" si="130"/>
        <v>42.533502601421624</v>
      </c>
      <c r="O528" s="538">
        <f t="shared" ca="1" si="130"/>
        <v>42.277028276130025</v>
      </c>
      <c r="P528" s="270"/>
      <c r="Q528" s="270"/>
      <c r="R528" s="270"/>
      <c r="S528" s="270"/>
      <c r="T528" s="270"/>
      <c r="U528" s="270"/>
      <c r="V528" s="270"/>
    </row>
    <row r="529" spans="2:22">
      <c r="B529" s="270" t="s">
        <v>217</v>
      </c>
      <c r="C529" s="270" t="s">
        <v>74</v>
      </c>
      <c r="D529" s="270"/>
      <c r="E529" s="269"/>
      <c r="F529" s="270"/>
      <c r="G529" s="270"/>
      <c r="H529" s="270"/>
      <c r="I529" s="540">
        <f t="shared" ca="1" si="129"/>
        <v>46.869907100849531</v>
      </c>
      <c r="J529" s="270"/>
      <c r="K529" s="537">
        <f t="shared" ca="1" si="130"/>
        <v>48.059156564367846</v>
      </c>
      <c r="L529" s="538">
        <f t="shared" ca="1" si="130"/>
        <v>48.329543790170739</v>
      </c>
      <c r="M529" s="538">
        <f t="shared" ca="1" si="130"/>
        <v>48.615358620252891</v>
      </c>
      <c r="N529" s="538">
        <f t="shared" ca="1" si="130"/>
        <v>48.791197743980007</v>
      </c>
      <c r="O529" s="538">
        <f t="shared" ca="1" si="130"/>
        <v>49.260304654262633</v>
      </c>
      <c r="P529" s="270"/>
      <c r="Q529" s="270"/>
      <c r="R529" s="270"/>
      <c r="S529" s="270"/>
      <c r="T529" s="270"/>
      <c r="U529" s="270"/>
      <c r="V529" s="270"/>
    </row>
    <row r="530" spans="2:22">
      <c r="B530" s="270" t="s">
        <v>219</v>
      </c>
      <c r="C530" s="270" t="s">
        <v>74</v>
      </c>
      <c r="D530" s="270"/>
      <c r="E530" s="269"/>
      <c r="F530" s="270"/>
      <c r="G530" s="270"/>
      <c r="H530" s="270"/>
      <c r="I530" s="540">
        <f t="shared" ca="1" si="129"/>
        <v>105.92603575777667</v>
      </c>
      <c r="J530" s="270"/>
      <c r="K530" s="537">
        <f t="shared" ca="1" si="130"/>
        <v>105.43709949862669</v>
      </c>
      <c r="L530" s="538">
        <f t="shared" ca="1" si="130"/>
        <v>105.04199806771175</v>
      </c>
      <c r="M530" s="538">
        <f t="shared" ca="1" si="130"/>
        <v>106.82519183544184</v>
      </c>
      <c r="N530" s="538">
        <f t="shared" ca="1" si="130"/>
        <v>109.60158228045012</v>
      </c>
      <c r="O530" s="538">
        <f t="shared" ca="1" si="130"/>
        <v>112.29011924324644</v>
      </c>
      <c r="P530" s="270"/>
      <c r="Q530" s="270"/>
      <c r="R530" s="270"/>
      <c r="S530" s="270"/>
      <c r="T530" s="270"/>
      <c r="U530" s="270"/>
      <c r="V530" s="270"/>
    </row>
    <row r="531" spans="2:22">
      <c r="B531" s="270" t="s">
        <v>220</v>
      </c>
      <c r="C531" s="270" t="s">
        <v>74</v>
      </c>
      <c r="D531" s="270"/>
      <c r="E531" s="269"/>
      <c r="F531" s="270"/>
      <c r="G531" s="270"/>
      <c r="H531" s="270"/>
      <c r="I531" s="540">
        <f t="shared" ca="1" si="129"/>
        <v>24.785557302701264</v>
      </c>
      <c r="J531" s="270"/>
      <c r="K531" s="537">
        <f t="shared" ca="1" si="130"/>
        <v>21.358328830531793</v>
      </c>
      <c r="L531" s="538">
        <f t="shared" ca="1" si="130"/>
        <v>20.90506855476529</v>
      </c>
      <c r="M531" s="538">
        <f t="shared" ca="1" si="130"/>
        <v>20.775675909643045</v>
      </c>
      <c r="N531" s="538">
        <f t="shared" ca="1" si="130"/>
        <v>20.563479589623181</v>
      </c>
      <c r="O531" s="538">
        <f t="shared" ca="1" si="130"/>
        <v>20.110550000114021</v>
      </c>
      <c r="P531" s="270"/>
      <c r="Q531" s="270"/>
      <c r="R531" s="270"/>
      <c r="S531" s="270"/>
      <c r="T531" s="270"/>
      <c r="U531" s="270"/>
      <c r="V531" s="270"/>
    </row>
    <row r="532" spans="2:22">
      <c r="B532" s="270" t="s">
        <v>221</v>
      </c>
      <c r="C532" s="270" t="s">
        <v>74</v>
      </c>
      <c r="D532" s="270"/>
      <c r="E532" s="269"/>
      <c r="F532" s="270"/>
      <c r="G532" s="270"/>
      <c r="H532" s="270"/>
      <c r="I532" s="540">
        <f t="shared" ca="1" si="129"/>
        <v>70.631948647130002</v>
      </c>
      <c r="J532" s="270"/>
      <c r="K532" s="537">
        <f t="shared" ca="1" si="130"/>
        <v>60.842884748891223</v>
      </c>
      <c r="L532" s="538">
        <f t="shared" ca="1" si="130"/>
        <v>60.996076324573693</v>
      </c>
      <c r="M532" s="538">
        <f t="shared" ca="1" si="130"/>
        <v>59.188528165082175</v>
      </c>
      <c r="N532" s="538">
        <f t="shared" ca="1" si="130"/>
        <v>53.861006562342553</v>
      </c>
      <c r="O532" s="538">
        <f t="shared" ca="1" si="130"/>
        <v>52.835069574382402</v>
      </c>
      <c r="P532" s="270"/>
      <c r="Q532" s="270"/>
      <c r="R532" s="270"/>
      <c r="S532" s="270"/>
      <c r="T532" s="270"/>
      <c r="U532" s="270"/>
      <c r="V532" s="270"/>
    </row>
    <row r="533" spans="2:22">
      <c r="B533" s="270" t="s">
        <v>222</v>
      </c>
      <c r="C533" s="270" t="s">
        <v>74</v>
      </c>
      <c r="D533" s="270"/>
      <c r="E533" s="269"/>
      <c r="F533" s="270"/>
      <c r="G533" s="270"/>
      <c r="H533" s="270"/>
      <c r="I533" s="540">
        <f t="shared" ca="1" si="129"/>
        <v>145.81670867546143</v>
      </c>
      <c r="J533" s="270"/>
      <c r="K533" s="537">
        <f t="shared" ca="1" si="130"/>
        <v>148.8904988898698</v>
      </c>
      <c r="L533" s="538">
        <f t="shared" ca="1" si="130"/>
        <v>152.20348171267725</v>
      </c>
      <c r="M533" s="538">
        <f t="shared" ca="1" si="130"/>
        <v>149.03877657133066</v>
      </c>
      <c r="N533" s="538">
        <f t="shared" ca="1" si="130"/>
        <v>147.94771147636303</v>
      </c>
      <c r="O533" s="538">
        <f t="shared" ca="1" si="130"/>
        <v>139.5260946313378</v>
      </c>
      <c r="P533" s="270"/>
      <c r="Q533" s="270"/>
      <c r="R533" s="270"/>
      <c r="S533" s="270"/>
      <c r="T533" s="270"/>
      <c r="U533" s="270"/>
      <c r="V533" s="270"/>
    </row>
    <row r="534" spans="2:22">
      <c r="B534" s="270" t="s">
        <v>223</v>
      </c>
      <c r="C534" s="270" t="s">
        <v>74</v>
      </c>
      <c r="D534" s="270"/>
      <c r="E534" s="269"/>
      <c r="F534" s="270"/>
      <c r="G534" s="270"/>
      <c r="H534" s="270"/>
      <c r="I534" s="540">
        <f t="shared" ca="1" si="129"/>
        <v>109.03039831449223</v>
      </c>
      <c r="J534" s="270"/>
      <c r="K534" s="537">
        <f t="shared" ca="1" si="130"/>
        <v>108.65435424768557</v>
      </c>
      <c r="L534" s="538">
        <f t="shared" ca="1" si="130"/>
        <v>110.69334283137941</v>
      </c>
      <c r="M534" s="538">
        <f t="shared" ca="1" si="130"/>
        <v>112.11576255841595</v>
      </c>
      <c r="N534" s="538">
        <f t="shared" ca="1" si="130"/>
        <v>110.86577790697092</v>
      </c>
      <c r="O534" s="538">
        <f t="shared" ca="1" si="130"/>
        <v>112.31172559173156</v>
      </c>
      <c r="P534" s="270"/>
      <c r="Q534" s="270"/>
      <c r="R534" s="270"/>
      <c r="S534" s="270"/>
      <c r="T534" s="270"/>
      <c r="U534" s="270"/>
      <c r="V534" s="270"/>
    </row>
    <row r="535" spans="2:22">
      <c r="B535" s="270" t="s">
        <v>224</v>
      </c>
      <c r="C535" s="270" t="s">
        <v>74</v>
      </c>
      <c r="D535" s="270"/>
      <c r="E535" s="269"/>
      <c r="F535" s="270"/>
      <c r="G535" s="270"/>
      <c r="H535" s="270"/>
      <c r="I535" s="540">
        <f t="shared" ca="1" si="129"/>
        <v>26.461675167737219</v>
      </c>
      <c r="J535" s="270"/>
      <c r="K535" s="537">
        <f t="shared" ca="1" si="130"/>
        <v>27.0418906703717</v>
      </c>
      <c r="L535" s="538">
        <f t="shared" ca="1" si="130"/>
        <v>27.019638327408639</v>
      </c>
      <c r="M535" s="538">
        <f t="shared" ca="1" si="130"/>
        <v>27.145210049261362</v>
      </c>
      <c r="N535" s="538">
        <f t="shared" ca="1" si="130"/>
        <v>27.128674226274349</v>
      </c>
      <c r="O535" s="538">
        <f t="shared" ca="1" si="130"/>
        <v>27.085535296068826</v>
      </c>
      <c r="P535" s="270"/>
      <c r="Q535" s="270"/>
      <c r="R535" s="270"/>
      <c r="S535" s="270"/>
      <c r="T535" s="270"/>
      <c r="U535" s="270"/>
      <c r="V535" s="270"/>
    </row>
    <row r="536" spans="2:22">
      <c r="B536" s="270" t="s">
        <v>225</v>
      </c>
      <c r="C536" s="270" t="s">
        <v>74</v>
      </c>
      <c r="D536" s="270"/>
      <c r="E536" s="269"/>
      <c r="F536" s="270"/>
      <c r="G536" s="270"/>
      <c r="H536" s="270"/>
      <c r="I536" s="540">
        <f t="shared" ca="1" si="129"/>
        <v>53.002281780512376</v>
      </c>
      <c r="J536" s="270"/>
      <c r="K536" s="537">
        <f t="shared" ca="1" si="130"/>
        <v>51.140226590969618</v>
      </c>
      <c r="L536" s="538">
        <f t="shared" ca="1" si="130"/>
        <v>50.542564149483361</v>
      </c>
      <c r="M536" s="538">
        <f t="shared" ca="1" si="130"/>
        <v>49.709244503389989</v>
      </c>
      <c r="N536" s="538">
        <f t="shared" ca="1" si="130"/>
        <v>47.752088796616789</v>
      </c>
      <c r="O536" s="538">
        <f t="shared" ca="1" si="130"/>
        <v>47.542440911412221</v>
      </c>
      <c r="P536" s="270"/>
      <c r="Q536" s="270"/>
      <c r="R536" s="270"/>
      <c r="S536" s="270"/>
      <c r="T536" s="270"/>
      <c r="U536" s="270"/>
      <c r="V536" s="270"/>
    </row>
    <row r="537" spans="2:22">
      <c r="B537" s="270" t="s">
        <v>226</v>
      </c>
      <c r="C537" s="270" t="s">
        <v>74</v>
      </c>
      <c r="D537" s="270"/>
      <c r="E537" s="269"/>
      <c r="F537" s="270"/>
      <c r="G537" s="270"/>
      <c r="H537" s="270"/>
      <c r="I537" s="540">
        <f t="shared" ca="1" si="129"/>
        <v>26.568989177349636</v>
      </c>
      <c r="J537" s="270"/>
      <c r="K537" s="537">
        <f t="shared" ref="K537:O544" ca="1" si="131">K457-K497</f>
        <v>27.460889518558808</v>
      </c>
      <c r="L537" s="538">
        <f t="shared" ca="1" si="131"/>
        <v>26.831332500891648</v>
      </c>
      <c r="M537" s="538">
        <f t="shared" ca="1" si="131"/>
        <v>26.141608887384663</v>
      </c>
      <c r="N537" s="538">
        <f t="shared" ca="1" si="131"/>
        <v>25.017524768328318</v>
      </c>
      <c r="O537" s="538">
        <f t="shared" ca="1" si="131"/>
        <v>23.438376937901129</v>
      </c>
      <c r="P537" s="270"/>
      <c r="Q537" s="270"/>
      <c r="R537" s="270"/>
      <c r="S537" s="270"/>
      <c r="T537" s="270"/>
      <c r="U537" s="270"/>
      <c r="V537" s="270"/>
    </row>
    <row r="538" spans="2:22">
      <c r="B538" s="270" t="s">
        <v>227</v>
      </c>
      <c r="C538" s="270" t="s">
        <v>74</v>
      </c>
      <c r="D538" s="270"/>
      <c r="E538" s="269"/>
      <c r="F538" s="270"/>
      <c r="G538" s="270"/>
      <c r="H538" s="270"/>
      <c r="I538" s="540">
        <f t="shared" ca="1" si="129"/>
        <v>8.8826081864270225</v>
      </c>
      <c r="J538" s="270"/>
      <c r="K538" s="537">
        <f t="shared" ca="1" si="131"/>
        <v>9.0085271061277918</v>
      </c>
      <c r="L538" s="538">
        <f t="shared" ca="1" si="131"/>
        <v>9.082043832416872</v>
      </c>
      <c r="M538" s="538">
        <f t="shared" ca="1" si="131"/>
        <v>9.0851783843825356</v>
      </c>
      <c r="N538" s="538">
        <f t="shared" ca="1" si="131"/>
        <v>9.0638668143965049</v>
      </c>
      <c r="O538" s="538">
        <f t="shared" ca="1" si="131"/>
        <v>9.0565802581768846</v>
      </c>
      <c r="P538" s="270"/>
      <c r="Q538" s="270"/>
      <c r="R538" s="270"/>
      <c r="S538" s="270"/>
      <c r="T538" s="270"/>
      <c r="U538" s="270"/>
      <c r="V538" s="270"/>
    </row>
    <row r="539" spans="2:22">
      <c r="B539" s="270" t="s">
        <v>228</v>
      </c>
      <c r="C539" s="270" t="s">
        <v>74</v>
      </c>
      <c r="D539" s="270"/>
      <c r="E539" s="269"/>
      <c r="F539" s="270"/>
      <c r="G539" s="270"/>
      <c r="H539" s="270"/>
      <c r="I539" s="540">
        <f t="shared" ca="1" si="129"/>
        <v>2.5539999999999998</v>
      </c>
      <c r="J539" s="270"/>
      <c r="K539" s="537">
        <f t="shared" ca="1" si="131"/>
        <v>2.5603587209234275</v>
      </c>
      <c r="L539" s="538">
        <f t="shared" ca="1" si="131"/>
        <v>2.5624599038502742</v>
      </c>
      <c r="M539" s="538">
        <f t="shared" ca="1" si="131"/>
        <v>2.5857044410286099</v>
      </c>
      <c r="N539" s="538">
        <f t="shared" ca="1" si="131"/>
        <v>2.5760894068614659</v>
      </c>
      <c r="O539" s="538">
        <f t="shared" ca="1" si="131"/>
        <v>2.569585165547549</v>
      </c>
      <c r="P539" s="270"/>
      <c r="Q539" s="270"/>
      <c r="R539" s="270"/>
      <c r="S539" s="270"/>
      <c r="T539" s="270"/>
      <c r="U539" s="270"/>
      <c r="V539" s="270"/>
    </row>
    <row r="540" spans="2:22">
      <c r="B540" s="270" t="s">
        <v>229</v>
      </c>
      <c r="C540" s="270" t="s">
        <v>74</v>
      </c>
      <c r="D540" s="270"/>
      <c r="E540" s="269"/>
      <c r="F540" s="270"/>
      <c r="G540" s="270"/>
      <c r="H540" s="270"/>
      <c r="I540" s="540">
        <f t="shared" ca="1" si="129"/>
        <v>4.1349999999999998</v>
      </c>
      <c r="J540" s="270"/>
      <c r="K540" s="537">
        <f t="shared" ca="1" si="131"/>
        <v>4.1253837829833842</v>
      </c>
      <c r="L540" s="538">
        <f t="shared" ca="1" si="131"/>
        <v>4.1010284062781803</v>
      </c>
      <c r="M540" s="538">
        <f t="shared" ca="1" si="131"/>
        <v>4.0384016474957205</v>
      </c>
      <c r="N540" s="538">
        <f t="shared" ca="1" si="131"/>
        <v>3.9870695708156574</v>
      </c>
      <c r="O540" s="538">
        <f t="shared" ca="1" si="131"/>
        <v>3.9438922812036425</v>
      </c>
      <c r="P540" s="270"/>
      <c r="Q540" s="270"/>
      <c r="R540" s="270"/>
      <c r="S540" s="270"/>
      <c r="T540" s="270"/>
      <c r="U540" s="270"/>
      <c r="V540" s="270"/>
    </row>
    <row r="541" spans="2:22">
      <c r="B541" s="270" t="s">
        <v>230</v>
      </c>
      <c r="C541" s="270" t="s">
        <v>74</v>
      </c>
      <c r="D541" s="270"/>
      <c r="E541" s="269"/>
      <c r="F541" s="270"/>
      <c r="G541" s="270"/>
      <c r="H541" s="270"/>
      <c r="I541" s="540">
        <f t="shared" ca="1" si="129"/>
        <v>4.3719999999999999</v>
      </c>
      <c r="J541" s="270"/>
      <c r="K541" s="537">
        <f t="shared" ca="1" si="131"/>
        <v>4.6527177266583939</v>
      </c>
      <c r="L541" s="538">
        <f t="shared" ca="1" si="131"/>
        <v>4.7193439675312847</v>
      </c>
      <c r="M541" s="538">
        <f t="shared" ca="1" si="131"/>
        <v>4.7295924490823307</v>
      </c>
      <c r="N541" s="538">
        <f t="shared" ca="1" si="131"/>
        <v>4.7103298059231564</v>
      </c>
      <c r="O541" s="538">
        <f t="shared" ca="1" si="131"/>
        <v>4.6285147739019177</v>
      </c>
      <c r="P541" s="270"/>
      <c r="Q541" s="270"/>
      <c r="R541" s="270"/>
      <c r="S541" s="270"/>
      <c r="T541" s="270"/>
      <c r="U541" s="270"/>
      <c r="V541" s="270"/>
    </row>
    <row r="542" spans="2:22">
      <c r="B542" s="270" t="s">
        <v>231</v>
      </c>
      <c r="C542" s="270" t="s">
        <v>74</v>
      </c>
      <c r="D542" s="270"/>
      <c r="E542" s="269"/>
      <c r="F542" s="270"/>
      <c r="G542" s="270"/>
      <c r="H542" s="270"/>
      <c r="I542" s="540">
        <f t="shared" ca="1" si="129"/>
        <v>19.586800469344254</v>
      </c>
      <c r="J542" s="270"/>
      <c r="K542" s="537">
        <f t="shared" ca="1" si="131"/>
        <v>18.213243484856648</v>
      </c>
      <c r="L542" s="538">
        <f t="shared" ca="1" si="131"/>
        <v>18.286011011201545</v>
      </c>
      <c r="M542" s="538">
        <f t="shared" ca="1" si="131"/>
        <v>17.968179767464211</v>
      </c>
      <c r="N542" s="538">
        <f t="shared" ca="1" si="131"/>
        <v>17.828286649472108</v>
      </c>
      <c r="O542" s="538">
        <f t="shared" ca="1" si="131"/>
        <v>17.884093818093849</v>
      </c>
      <c r="P542" s="270"/>
      <c r="Q542" s="270"/>
      <c r="R542" s="270"/>
      <c r="S542" s="270"/>
      <c r="T542" s="270"/>
      <c r="U542" s="270"/>
      <c r="V542" s="270"/>
    </row>
    <row r="543" spans="2:22">
      <c r="B543" s="270" t="s">
        <v>232</v>
      </c>
      <c r="C543" s="270" t="s">
        <v>74</v>
      </c>
      <c r="D543" s="270"/>
      <c r="E543" s="269"/>
      <c r="F543" s="270"/>
      <c r="G543" s="270"/>
      <c r="H543" s="270"/>
      <c r="I543" s="540">
        <f t="shared" ca="1" si="129"/>
        <v>15.038321697822628</v>
      </c>
      <c r="J543" s="270"/>
      <c r="K543" s="537">
        <f t="shared" ca="1" si="131"/>
        <v>15.943442055768909</v>
      </c>
      <c r="L543" s="538">
        <f t="shared" ca="1" si="131"/>
        <v>15.871824365526864</v>
      </c>
      <c r="M543" s="538">
        <f t="shared" ca="1" si="131"/>
        <v>15.574714160093135</v>
      </c>
      <c r="N543" s="538">
        <f t="shared" ca="1" si="131"/>
        <v>14.945168203264169</v>
      </c>
      <c r="O543" s="538">
        <f t="shared" ca="1" si="131"/>
        <v>14.542917360321288</v>
      </c>
      <c r="P543" s="270"/>
      <c r="Q543" s="270"/>
      <c r="R543" s="270"/>
      <c r="S543" s="270"/>
      <c r="T543" s="270"/>
      <c r="U543" s="270"/>
      <c r="V543" s="270"/>
    </row>
    <row r="544" spans="2:22">
      <c r="B544" s="270" t="s">
        <v>255</v>
      </c>
      <c r="C544" s="270" t="s">
        <v>74</v>
      </c>
      <c r="D544" s="270"/>
      <c r="E544" s="269"/>
      <c r="F544" s="270"/>
      <c r="G544" s="270"/>
      <c r="H544" s="270"/>
      <c r="I544" s="540">
        <f t="shared" ca="1" si="129"/>
        <v>5.8513264778167393</v>
      </c>
      <c r="J544" s="270"/>
      <c r="K544" s="537">
        <f t="shared" ca="1" si="131"/>
        <v>5.1598878607855969</v>
      </c>
      <c r="L544" s="538">
        <f t="shared" ca="1" si="131"/>
        <v>5.0680362671230155</v>
      </c>
      <c r="M544" s="538">
        <f t="shared" ca="1" si="131"/>
        <v>5.2067345007514838</v>
      </c>
      <c r="N544" s="538">
        <f t="shared" ca="1" si="131"/>
        <v>5.0934687228161897</v>
      </c>
      <c r="O544" s="538">
        <f t="shared" ca="1" si="131"/>
        <v>4.9478896148453178</v>
      </c>
      <c r="P544" s="270"/>
      <c r="Q544" s="270"/>
      <c r="R544" s="270"/>
      <c r="S544" s="270"/>
      <c r="T544" s="270"/>
      <c r="U544" s="270"/>
      <c r="V544" s="270"/>
    </row>
    <row r="546" spans="1:29">
      <c r="A546" s="276" t="s">
        <v>242</v>
      </c>
    </row>
    <row r="547" spans="1:29">
      <c r="I547" s="276">
        <f>Input!$H$441</f>
        <v>1.3</v>
      </c>
      <c r="J547" s="276">
        <f>Input!$H$441</f>
        <v>1.3</v>
      </c>
      <c r="K547" s="457">
        <f>Input!$H$441</f>
        <v>1.3</v>
      </c>
      <c r="L547" s="276">
        <f>Input!$H$441</f>
        <v>1.3</v>
      </c>
      <c r="M547" s="276">
        <f>Input!$H$441</f>
        <v>1.3</v>
      </c>
      <c r="N547" s="276">
        <f>Input!$H$441</f>
        <v>1.3</v>
      </c>
      <c r="O547" s="276">
        <f>Input!$H$441</f>
        <v>1.3</v>
      </c>
    </row>
    <row r="548" spans="1:29" s="337" customFormat="1">
      <c r="A548" s="335"/>
      <c r="B548" s="335"/>
      <c r="C548" s="335"/>
      <c r="D548" s="335"/>
      <c r="E548" s="336"/>
      <c r="F548" s="335"/>
      <c r="G548" s="335"/>
      <c r="H548" s="335"/>
      <c r="I548" s="335"/>
      <c r="J548" s="335"/>
      <c r="K548" s="467"/>
      <c r="L548" s="335"/>
      <c r="M548" s="335"/>
      <c r="N548" s="335"/>
      <c r="O548" s="335"/>
      <c r="P548" s="335"/>
      <c r="Q548" s="335"/>
      <c r="R548" s="335"/>
      <c r="S548" s="335"/>
      <c r="T548" s="335"/>
      <c r="U548" s="335"/>
      <c r="V548" s="335"/>
    </row>
    <row r="549" spans="1:29" s="337" customFormat="1" ht="34.5">
      <c r="A549" s="338" t="s">
        <v>433</v>
      </c>
      <c r="B549" s="335"/>
      <c r="C549" s="335"/>
      <c r="D549" s="335"/>
      <c r="E549" s="336"/>
      <c r="F549" s="335"/>
      <c r="G549" s="335"/>
      <c r="H549" s="335"/>
      <c r="I549" s="335"/>
      <c r="J549" s="335"/>
      <c r="K549" s="467"/>
      <c r="L549" s="335"/>
      <c r="M549" s="335"/>
      <c r="N549" s="335"/>
      <c r="O549" s="335"/>
      <c r="P549" s="335"/>
      <c r="Q549" s="335"/>
      <c r="R549" s="335"/>
      <c r="S549" s="335"/>
      <c r="T549" s="335"/>
      <c r="U549" s="335"/>
      <c r="V549" s="335"/>
    </row>
    <row r="550" spans="1:29" s="337" customFormat="1">
      <c r="C550" s="335"/>
      <c r="D550" s="335"/>
      <c r="E550" s="336"/>
      <c r="F550" s="335"/>
      <c r="G550" s="335"/>
      <c r="H550" s="335"/>
      <c r="I550" s="335"/>
      <c r="J550" s="335"/>
      <c r="K550" s="467"/>
      <c r="L550" s="335"/>
      <c r="M550" s="335"/>
      <c r="N550" s="335"/>
      <c r="O550" s="335"/>
      <c r="P550" s="335"/>
      <c r="Q550" s="335"/>
      <c r="R550" s="335"/>
      <c r="S550" s="335"/>
      <c r="T550" s="335"/>
      <c r="U550" s="335"/>
      <c r="V550" s="335"/>
    </row>
    <row r="552" spans="1:29" s="341" customFormat="1">
      <c r="A552" s="339" t="s">
        <v>434</v>
      </c>
      <c r="B552" s="339"/>
      <c r="C552" s="339"/>
      <c r="D552" s="339"/>
      <c r="E552" s="340"/>
      <c r="F552" s="339"/>
      <c r="G552" s="339"/>
      <c r="H552" s="339"/>
      <c r="I552" s="339"/>
      <c r="J552" s="339"/>
      <c r="K552" s="468"/>
      <c r="L552" s="339"/>
      <c r="M552" s="339"/>
      <c r="N552" s="339"/>
      <c r="O552" s="339"/>
      <c r="P552" s="339"/>
      <c r="Q552" s="339"/>
      <c r="R552" s="339"/>
      <c r="S552" s="339"/>
      <c r="T552" s="339"/>
      <c r="U552" s="339"/>
      <c r="V552" s="339"/>
    </row>
    <row r="554" spans="1:29">
      <c r="B554" s="276" t="s">
        <v>215</v>
      </c>
      <c r="C554" s="276" t="s">
        <v>74</v>
      </c>
      <c r="I554" s="347">
        <f t="shared" ref="I554:O563" ca="1" si="132">VLOOKUP($Q554,INDIRECT($B554),COLUMN()-1,FALSE)+VLOOKUP($R554,INDIRECT($B554), COLUMN()-1,FALSE)+VLOOKUP($S554,INDIRECT($B554), COLUMN()-1,FALSE)+VLOOKUP($T554,INDIRECT($B554), COLUMN()-1,FALSE)+VLOOKUP($U554,INDIRECT($B554), COLUMN()-1,FALSE)</f>
        <v>71.047420421741379</v>
      </c>
      <c r="K554" s="537">
        <f ca="1">VLOOKUP($Q554,INDIRECT($B554),COLUMN()-1,FALSE)+VLOOKUP($R554,INDIRECT($B554), COLUMN()-1,FALSE)+VLOOKUP($S554,INDIRECT($B554), COLUMN()-1,FALSE)+VLOOKUP($T554,INDIRECT($B554), COLUMN()-1,FALSE)+VLOOKUP($U554,INDIRECT($B554), COLUMN()-1,FALSE)</f>
        <v>72.508234351899659</v>
      </c>
      <c r="L554" s="538">
        <f t="shared" ca="1" si="132"/>
        <v>74.307554995763823</v>
      </c>
      <c r="M554" s="538">
        <f t="shared" ca="1" si="132"/>
        <v>75.629563491872233</v>
      </c>
      <c r="N554" s="538">
        <f t="shared" ca="1" si="132"/>
        <v>76.302004332845897</v>
      </c>
      <c r="O554" s="538">
        <f ca="1">VLOOKUP($Q554,INDIRECT($B554),COLUMN()-1,FALSE)+VLOOKUP($R554,INDIRECT($B554), COLUMN()-1,FALSE)+VLOOKUP($S554,INDIRECT($B554), COLUMN()-1,FALSE)+VLOOKUP($T554,INDIRECT($B554), COLUMN()-1,FALSE)+VLOOKUP($U554,INDIRECT($B554), COLUMN()-1,FALSE)</f>
        <v>76.781196638155421</v>
      </c>
      <c r="Q554" s="276" t="s">
        <v>78</v>
      </c>
      <c r="R554" s="276" t="s">
        <v>97</v>
      </c>
      <c r="S554" s="276" t="s">
        <v>98</v>
      </c>
      <c r="T554" s="276" t="s">
        <v>156</v>
      </c>
      <c r="U554" s="276" t="s">
        <v>159</v>
      </c>
      <c r="AC554" s="276"/>
    </row>
    <row r="555" spans="1:29">
      <c r="B555" s="276" t="s">
        <v>216</v>
      </c>
      <c r="C555" s="276" t="s">
        <v>74</v>
      </c>
      <c r="I555" s="347">
        <f t="shared" ca="1" si="132"/>
        <v>54.855023046803389</v>
      </c>
      <c r="K555" s="537">
        <f t="shared" ca="1" si="132"/>
        <v>56.972941161711958</v>
      </c>
      <c r="L555" s="538">
        <f t="shared" ca="1" si="132"/>
        <v>55.559644186270738</v>
      </c>
      <c r="M555" s="538">
        <f t="shared" ca="1" si="132"/>
        <v>54.172372541828054</v>
      </c>
      <c r="N555" s="538">
        <f t="shared" ca="1" si="132"/>
        <v>52.858107229328319</v>
      </c>
      <c r="O555" s="538">
        <f t="shared" ca="1" si="132"/>
        <v>52.618014529488484</v>
      </c>
      <c r="Q555" s="276" t="s">
        <v>78</v>
      </c>
      <c r="R555" s="276" t="s">
        <v>97</v>
      </c>
      <c r="S555" s="276" t="s">
        <v>98</v>
      </c>
      <c r="T555" s="276" t="s">
        <v>156</v>
      </c>
      <c r="U555" s="276" t="s">
        <v>159</v>
      </c>
      <c r="AC555" s="276"/>
    </row>
    <row r="556" spans="1:29">
      <c r="B556" s="276" t="s">
        <v>217</v>
      </c>
      <c r="C556" s="276" t="s">
        <v>74</v>
      </c>
      <c r="I556" s="347">
        <f t="shared" ca="1" si="132"/>
        <v>49.882986417586821</v>
      </c>
      <c r="K556" s="537">
        <f t="shared" ca="1" si="132"/>
        <v>52.381378527006326</v>
      </c>
      <c r="L556" s="538">
        <f t="shared" ca="1" si="132"/>
        <v>53.053102228256101</v>
      </c>
      <c r="M556" s="538">
        <f t="shared" ca="1" si="132"/>
        <v>53.747375694510438</v>
      </c>
      <c r="N556" s="538">
        <f t="shared" ca="1" si="132"/>
        <v>54.337816014967466</v>
      </c>
      <c r="O556" s="538">
        <f t="shared" ca="1" si="132"/>
        <v>55.228731725715853</v>
      </c>
      <c r="Q556" s="276" t="s">
        <v>78</v>
      </c>
      <c r="R556" s="276" t="s">
        <v>97</v>
      </c>
      <c r="S556" s="276" t="s">
        <v>98</v>
      </c>
      <c r="T556" s="276" t="s">
        <v>156</v>
      </c>
      <c r="U556" s="276" t="s">
        <v>159</v>
      </c>
      <c r="AC556" s="276"/>
    </row>
    <row r="557" spans="1:29">
      <c r="B557" s="276" t="s">
        <v>219</v>
      </c>
      <c r="C557" s="276" t="s">
        <v>74</v>
      </c>
      <c r="I557" s="347">
        <f t="shared" ca="1" si="132"/>
        <v>106.67759268696288</v>
      </c>
      <c r="K557" s="537">
        <f t="shared" ca="1" si="132"/>
        <v>107.91658160902473</v>
      </c>
      <c r="L557" s="538">
        <f t="shared" ca="1" si="132"/>
        <v>108.86938555954391</v>
      </c>
      <c r="M557" s="538">
        <f t="shared" ca="1" si="132"/>
        <v>111.94471650653688</v>
      </c>
      <c r="N557" s="538">
        <f t="shared" ca="1" si="132"/>
        <v>115.88236289765079</v>
      </c>
      <c r="O557" s="538">
        <f t="shared" ca="1" si="132"/>
        <v>119.53459029386323</v>
      </c>
      <c r="Q557" s="276" t="s">
        <v>78</v>
      </c>
      <c r="R557" s="276" t="s">
        <v>97</v>
      </c>
      <c r="S557" s="276" t="s">
        <v>98</v>
      </c>
      <c r="T557" s="276" t="s">
        <v>156</v>
      </c>
      <c r="U557" s="276" t="s">
        <v>159</v>
      </c>
    </row>
    <row r="558" spans="1:29">
      <c r="B558" s="276" t="s">
        <v>220</v>
      </c>
      <c r="C558" s="276" t="s">
        <v>74</v>
      </c>
      <c r="I558" s="347">
        <f t="shared" ca="1" si="132"/>
        <v>32.248557302701265</v>
      </c>
      <c r="K558" s="537">
        <f t="shared" ca="1" si="132"/>
        <v>29.265030766096743</v>
      </c>
      <c r="L558" s="538">
        <f t="shared" ca="1" si="132"/>
        <v>29.066750707834075</v>
      </c>
      <c r="M558" s="538">
        <f t="shared" ca="1" si="132"/>
        <v>29.188245841573469</v>
      </c>
      <c r="N558" s="538">
        <f t="shared" ca="1" si="132"/>
        <v>29.218376634740864</v>
      </c>
      <c r="O558" s="538">
        <f t="shared" ca="1" si="132"/>
        <v>29.008433043639101</v>
      </c>
      <c r="Q558" s="276" t="s">
        <v>78</v>
      </c>
      <c r="R558" s="276" t="s">
        <v>97</v>
      </c>
      <c r="S558" s="276" t="s">
        <v>98</v>
      </c>
      <c r="T558" s="276" t="s">
        <v>156</v>
      </c>
      <c r="U558" s="276" t="s">
        <v>159</v>
      </c>
    </row>
    <row r="559" spans="1:29">
      <c r="B559" s="276" t="s">
        <v>221</v>
      </c>
      <c r="C559" s="276" t="s">
        <v>74</v>
      </c>
      <c r="I559" s="347">
        <f t="shared" ca="1" si="132"/>
        <v>71.910348647130007</v>
      </c>
      <c r="K559" s="537">
        <f t="shared" ca="1" si="132"/>
        <v>64.241178886043699</v>
      </c>
      <c r="L559" s="538">
        <f t="shared" ca="1" si="132"/>
        <v>65.180113730171811</v>
      </c>
      <c r="M559" s="538">
        <f t="shared" ca="1" si="132"/>
        <v>64.201797496182579</v>
      </c>
      <c r="N559" s="538">
        <f t="shared" ca="1" si="132"/>
        <v>59.703171117424702</v>
      </c>
      <c r="O559" s="538">
        <f t="shared" ca="1" si="132"/>
        <v>59.478717445325977</v>
      </c>
      <c r="Q559" s="276" t="s">
        <v>78</v>
      </c>
      <c r="R559" s="276" t="s">
        <v>97</v>
      </c>
      <c r="S559" s="276" t="s">
        <v>98</v>
      </c>
      <c r="T559" s="276" t="s">
        <v>156</v>
      </c>
      <c r="U559" s="276" t="s">
        <v>159</v>
      </c>
    </row>
    <row r="560" spans="1:29">
      <c r="B560" s="276" t="s">
        <v>222</v>
      </c>
      <c r="C560" s="276" t="s">
        <v>74</v>
      </c>
      <c r="I560" s="347">
        <f t="shared" ca="1" si="132"/>
        <v>147.41670867546142</v>
      </c>
      <c r="K560" s="537">
        <f t="shared" ca="1" si="132"/>
        <v>155.99342897477038</v>
      </c>
      <c r="L560" s="538">
        <f t="shared" ca="1" si="132"/>
        <v>162.55806273355469</v>
      </c>
      <c r="M560" s="538">
        <f t="shared" ca="1" si="132"/>
        <v>163.0489037238097</v>
      </c>
      <c r="N560" s="538">
        <f t="shared" ca="1" si="132"/>
        <v>165.80636093045391</v>
      </c>
      <c r="O560" s="538">
        <f t="shared" ca="1" si="132"/>
        <v>161.20703505740545</v>
      </c>
      <c r="Q560" s="276" t="s">
        <v>78</v>
      </c>
      <c r="R560" s="276" t="s">
        <v>97</v>
      </c>
      <c r="S560" s="276" t="s">
        <v>98</v>
      </c>
      <c r="T560" s="276" t="s">
        <v>156</v>
      </c>
      <c r="U560" s="276" t="s">
        <v>159</v>
      </c>
    </row>
    <row r="561" spans="1:21">
      <c r="B561" s="276" t="s">
        <v>223</v>
      </c>
      <c r="C561" s="276" t="s">
        <v>74</v>
      </c>
      <c r="I561" s="347">
        <f t="shared" ca="1" si="132"/>
        <v>128.43119953937114</v>
      </c>
      <c r="K561" s="537">
        <f t="shared" ca="1" si="132"/>
        <v>130.77921250475788</v>
      </c>
      <c r="L561" s="538">
        <f t="shared" ca="1" si="132"/>
        <v>133.64578228424918</v>
      </c>
      <c r="M561" s="538">
        <f t="shared" ca="1" si="132"/>
        <v>135.9398976607502</v>
      </c>
      <c r="N561" s="538">
        <f t="shared" ca="1" si="132"/>
        <v>135.59258389968946</v>
      </c>
      <c r="O561" s="538">
        <f t="shared" ca="1" si="132"/>
        <v>137.9581698112008</v>
      </c>
      <c r="Q561" s="276" t="s">
        <v>78</v>
      </c>
      <c r="R561" s="276" t="s">
        <v>97</v>
      </c>
      <c r="S561" s="276" t="s">
        <v>98</v>
      </c>
      <c r="T561" s="276" t="s">
        <v>156</v>
      </c>
      <c r="U561" s="276" t="s">
        <v>159</v>
      </c>
    </row>
    <row r="562" spans="1:21">
      <c r="B562" s="276" t="s">
        <v>224</v>
      </c>
      <c r="C562" s="276" t="s">
        <v>74</v>
      </c>
      <c r="I562" s="347">
        <f t="shared" ca="1" si="132"/>
        <v>26.900177928373907</v>
      </c>
      <c r="K562" s="537">
        <f t="shared" ca="1" si="132"/>
        <v>29.514191141165533</v>
      </c>
      <c r="L562" s="538">
        <f t="shared" ca="1" si="132"/>
        <v>30.670824854457283</v>
      </c>
      <c r="M562" s="538">
        <f t="shared" ca="1" si="132"/>
        <v>32.001268033306481</v>
      </c>
      <c r="N562" s="538">
        <f t="shared" ca="1" si="132"/>
        <v>33.203490586874494</v>
      </c>
      <c r="O562" s="538">
        <f t="shared" ca="1" si="132"/>
        <v>34.393573170141359</v>
      </c>
      <c r="Q562" s="276" t="s">
        <v>78</v>
      </c>
      <c r="R562" s="276" t="s">
        <v>97</v>
      </c>
      <c r="S562" s="276" t="s">
        <v>98</v>
      </c>
      <c r="T562" s="276" t="s">
        <v>156</v>
      </c>
      <c r="U562" s="276" t="s">
        <v>159</v>
      </c>
    </row>
    <row r="563" spans="1:21">
      <c r="B563" s="276" t="s">
        <v>225</v>
      </c>
      <c r="C563" s="276" t="s">
        <v>74</v>
      </c>
      <c r="I563" s="347">
        <f t="shared" ca="1" si="132"/>
        <v>53.953281780512377</v>
      </c>
      <c r="K563" s="537">
        <f t="shared" ca="1" si="132"/>
        <v>55.002070008406257</v>
      </c>
      <c r="L563" s="538">
        <f t="shared" ca="1" si="132"/>
        <v>56.017995789775092</v>
      </c>
      <c r="M563" s="538">
        <f t="shared" ca="1" si="132"/>
        <v>56.996860516919206</v>
      </c>
      <c r="N563" s="538">
        <f t="shared" ca="1" si="132"/>
        <v>56.959834712202422</v>
      </c>
      <c r="O563" s="538">
        <f t="shared" ca="1" si="132"/>
        <v>58.74690972225585</v>
      </c>
      <c r="Q563" s="276" t="s">
        <v>78</v>
      </c>
      <c r="R563" s="276" t="s">
        <v>97</v>
      </c>
      <c r="S563" s="276" t="s">
        <v>98</v>
      </c>
      <c r="T563" s="276" t="s">
        <v>156</v>
      </c>
      <c r="U563" s="276" t="s">
        <v>159</v>
      </c>
    </row>
    <row r="564" spans="1:21">
      <c r="B564" s="276" t="s">
        <v>226</v>
      </c>
      <c r="C564" s="276" t="s">
        <v>74</v>
      </c>
      <c r="I564" s="347">
        <f t="shared" ref="I564:O571" ca="1" si="133">VLOOKUP($Q564,INDIRECT($B564),COLUMN()-1,FALSE)+VLOOKUP($R564,INDIRECT($B564), COLUMN()-1,FALSE)+VLOOKUP($S564,INDIRECT($B564), COLUMN()-1,FALSE)+VLOOKUP($T564,INDIRECT($B564), COLUMN()-1,FALSE)+VLOOKUP($U564,INDIRECT($B564), COLUMN()-1,FALSE)</f>
        <v>26.704649177349641</v>
      </c>
      <c r="K564" s="537">
        <f t="shared" ca="1" si="133"/>
        <v>27.757675421991717</v>
      </c>
      <c r="L564" s="538">
        <f t="shared" ca="1" si="133"/>
        <v>27.847892807052155</v>
      </c>
      <c r="M564" s="538">
        <f t="shared" ca="1" si="133"/>
        <v>27.933720258554203</v>
      </c>
      <c r="N564" s="538">
        <f t="shared" ca="1" si="133"/>
        <v>27.565837460743843</v>
      </c>
      <c r="O564" s="538">
        <f t="shared" ca="1" si="133"/>
        <v>26.645365722478715</v>
      </c>
      <c r="Q564" s="276" t="s">
        <v>78</v>
      </c>
      <c r="R564" s="276" t="s">
        <v>97</v>
      </c>
      <c r="S564" s="276" t="s">
        <v>98</v>
      </c>
      <c r="T564" s="276" t="s">
        <v>156</v>
      </c>
      <c r="U564" s="276" t="s">
        <v>159</v>
      </c>
    </row>
    <row r="565" spans="1:21">
      <c r="B565" s="276" t="s">
        <v>227</v>
      </c>
      <c r="C565" s="276" t="s">
        <v>74</v>
      </c>
      <c r="I565" s="347">
        <f t="shared" ca="1" si="133"/>
        <v>9.8336081864270231</v>
      </c>
      <c r="K565" s="537">
        <f t="shared" ca="1" si="133"/>
        <v>10.060270143671548</v>
      </c>
      <c r="L565" s="538">
        <f t="shared" ca="1" si="133"/>
        <v>10.588143251496703</v>
      </c>
      <c r="M565" s="538">
        <f t="shared" ca="1" si="133"/>
        <v>11.049901198049959</v>
      </c>
      <c r="N565" s="538">
        <f t="shared" ca="1" si="133"/>
        <v>11.490336459630782</v>
      </c>
      <c r="O565" s="538">
        <f t="shared" ca="1" si="133"/>
        <v>11.948174479321107</v>
      </c>
      <c r="Q565" s="276" t="s">
        <v>78</v>
      </c>
      <c r="R565" s="276" t="s">
        <v>97</v>
      </c>
      <c r="S565" s="276" t="s">
        <v>98</v>
      </c>
      <c r="T565" s="276" t="s">
        <v>156</v>
      </c>
      <c r="U565" s="276" t="s">
        <v>159</v>
      </c>
    </row>
    <row r="566" spans="1:21">
      <c r="B566" s="276" t="s">
        <v>228</v>
      </c>
      <c r="C566" s="276" t="s">
        <v>74</v>
      </c>
      <c r="H566" s="347"/>
      <c r="I566" s="347">
        <f t="shared" ca="1" si="133"/>
        <v>2.5939999999999999</v>
      </c>
      <c r="K566" s="537">
        <f t="shared" ca="1" si="133"/>
        <v>2.6933563985501663</v>
      </c>
      <c r="L566" s="538">
        <f t="shared" ca="1" si="133"/>
        <v>2.7223563985501666</v>
      </c>
      <c r="M566" s="538">
        <f t="shared" ca="1" si="133"/>
        <v>2.7723563985501665</v>
      </c>
      <c r="N566" s="538">
        <f t="shared" ca="1" si="133"/>
        <v>2.7893563985501664</v>
      </c>
      <c r="O566" s="538">
        <f t="shared" ca="1" si="133"/>
        <v>2.8093563985501664</v>
      </c>
      <c r="Q566" s="276" t="s">
        <v>78</v>
      </c>
      <c r="R566" s="276" t="s">
        <v>97</v>
      </c>
      <c r="S566" s="276" t="s">
        <v>98</v>
      </c>
      <c r="T566" s="276" t="s">
        <v>156</v>
      </c>
      <c r="U566" s="276" t="s">
        <v>159</v>
      </c>
    </row>
    <row r="567" spans="1:21">
      <c r="B567" s="276" t="s">
        <v>229</v>
      </c>
      <c r="C567" s="276" t="s">
        <v>74</v>
      </c>
      <c r="I567" s="347">
        <f t="shared" ca="1" si="133"/>
        <v>4.1349999999999998</v>
      </c>
      <c r="K567" s="537">
        <f t="shared" ca="1" si="133"/>
        <v>4.2972896252648303</v>
      </c>
      <c r="L567" s="538">
        <f t="shared" ca="1" si="133"/>
        <v>4.3624204184322037</v>
      </c>
      <c r="M567" s="538">
        <f t="shared" ca="1" si="133"/>
        <v>4.3955512115995763</v>
      </c>
      <c r="N567" s="538">
        <f t="shared" ca="1" si="133"/>
        <v>4.4496539658368643</v>
      </c>
      <c r="O567" s="538">
        <f t="shared" ca="1" si="133"/>
        <v>4.5107567200741521</v>
      </c>
      <c r="Q567" s="276" t="s">
        <v>78</v>
      </c>
      <c r="R567" s="276" t="s">
        <v>97</v>
      </c>
      <c r="S567" s="276" t="s">
        <v>98</v>
      </c>
      <c r="T567" s="276" t="s">
        <v>156</v>
      </c>
      <c r="U567" s="276" t="s">
        <v>159</v>
      </c>
    </row>
    <row r="568" spans="1:21">
      <c r="B568" s="276" t="s">
        <v>230</v>
      </c>
      <c r="C568" s="276" t="s">
        <v>74</v>
      </c>
      <c r="I568" s="347">
        <f t="shared" ca="1" si="133"/>
        <v>4.5129999999999999</v>
      </c>
      <c r="K568" s="537">
        <f t="shared" ca="1" si="133"/>
        <v>4.8158987441931789</v>
      </c>
      <c r="L568" s="538">
        <f t="shared" ca="1" si="133"/>
        <v>4.9288987441931793</v>
      </c>
      <c r="M568" s="538">
        <f t="shared" ca="1" si="133"/>
        <v>4.9888987441931789</v>
      </c>
      <c r="N568" s="538">
        <f t="shared" ca="1" si="133"/>
        <v>5.0168987441931785</v>
      </c>
      <c r="O568" s="538">
        <f t="shared" ca="1" si="133"/>
        <v>4.9808987441931798</v>
      </c>
      <c r="Q568" s="276" t="s">
        <v>78</v>
      </c>
      <c r="R568" s="276" t="s">
        <v>97</v>
      </c>
      <c r="S568" s="276" t="s">
        <v>98</v>
      </c>
      <c r="T568" s="276" t="s">
        <v>156</v>
      </c>
      <c r="U568" s="276" t="s">
        <v>159</v>
      </c>
    </row>
    <row r="569" spans="1:21">
      <c r="B569" s="276" t="s">
        <v>231</v>
      </c>
      <c r="C569" s="276" t="s">
        <v>74</v>
      </c>
      <c r="I569" s="347">
        <f t="shared" ca="1" si="133"/>
        <v>20.232800469344255</v>
      </c>
      <c r="K569" s="537">
        <f t="shared" ca="1" si="133"/>
        <v>19.831387049333546</v>
      </c>
      <c r="L569" s="538">
        <f t="shared" ca="1" si="133"/>
        <v>20.38202665625796</v>
      </c>
      <c r="M569" s="538">
        <f t="shared" ca="1" si="133"/>
        <v>20.54347399992773</v>
      </c>
      <c r="N569" s="538">
        <f t="shared" ca="1" si="133"/>
        <v>20.86368867619915</v>
      </c>
      <c r="O569" s="538">
        <f t="shared" ca="1" si="133"/>
        <v>21.375032519443753</v>
      </c>
      <c r="Q569" s="276" t="s">
        <v>78</v>
      </c>
      <c r="R569" s="276" t="s">
        <v>97</v>
      </c>
      <c r="S569" s="276" t="s">
        <v>98</v>
      </c>
      <c r="T569" s="276" t="s">
        <v>156</v>
      </c>
      <c r="U569" s="276" t="s">
        <v>159</v>
      </c>
    </row>
    <row r="570" spans="1:21">
      <c r="B570" s="276" t="s">
        <v>232</v>
      </c>
      <c r="C570" s="276" t="s">
        <v>74</v>
      </c>
      <c r="I570" s="347">
        <f t="shared" ca="1" si="133"/>
        <v>15.429609031040568</v>
      </c>
      <c r="K570" s="537">
        <f t="shared" ca="1" si="133"/>
        <v>16.474877090951829</v>
      </c>
      <c r="L570" s="538">
        <f t="shared" ca="1" si="133"/>
        <v>16.542131614627351</v>
      </c>
      <c r="M570" s="538">
        <f t="shared" ca="1" si="133"/>
        <v>16.388385225006267</v>
      </c>
      <c r="N570" s="538">
        <f t="shared" ca="1" si="133"/>
        <v>15.906228438769038</v>
      </c>
      <c r="O570" s="538">
        <f t="shared" ca="1" si="133"/>
        <v>15.653875204713309</v>
      </c>
      <c r="Q570" s="276" t="s">
        <v>78</v>
      </c>
      <c r="R570" s="276" t="s">
        <v>97</v>
      </c>
      <c r="S570" s="276" t="s">
        <v>98</v>
      </c>
      <c r="T570" s="276" t="s">
        <v>156</v>
      </c>
      <c r="U570" s="276" t="s">
        <v>159</v>
      </c>
    </row>
    <row r="571" spans="1:21">
      <c r="B571" s="270" t="s">
        <v>255</v>
      </c>
      <c r="C571" s="276" t="s">
        <v>74</v>
      </c>
      <c r="I571" s="347">
        <f t="shared" ca="1" si="133"/>
        <v>5.8728936617807301</v>
      </c>
      <c r="K571" s="537">
        <f t="shared" ca="1" si="133"/>
        <v>5.4078595380752459</v>
      </c>
      <c r="L571" s="538">
        <f t="shared" ca="1" si="133"/>
        <v>5.4302858351169547</v>
      </c>
      <c r="M571" s="538">
        <f t="shared" ca="1" si="133"/>
        <v>5.6821165546205199</v>
      </c>
      <c r="N571" s="538">
        <f t="shared" ca="1" si="133"/>
        <v>5.683566678224536</v>
      </c>
      <c r="O571" s="538">
        <f t="shared" ca="1" si="133"/>
        <v>5.6523354664878163</v>
      </c>
      <c r="Q571" s="276" t="s">
        <v>78</v>
      </c>
      <c r="R571" s="276" t="s">
        <v>97</v>
      </c>
      <c r="S571" s="276" t="s">
        <v>98</v>
      </c>
      <c r="T571" s="276" t="s">
        <v>156</v>
      </c>
      <c r="U571" s="276" t="s">
        <v>159</v>
      </c>
    </row>
    <row r="574" spans="1:21" s="298" customFormat="1">
      <c r="A574" s="293" t="s">
        <v>435</v>
      </c>
      <c r="B574" s="293"/>
      <c r="C574" s="293"/>
      <c r="D574" s="293"/>
      <c r="E574" s="293"/>
      <c r="F574" s="293"/>
      <c r="G574" s="293"/>
      <c r="H574" s="293"/>
      <c r="I574" s="293"/>
      <c r="J574" s="293"/>
      <c r="K574" s="469"/>
      <c r="L574" s="293"/>
      <c r="M574" s="293"/>
      <c r="N574" s="293"/>
      <c r="O574" s="293"/>
      <c r="P574" s="293"/>
      <c r="Q574" s="293"/>
      <c r="R574" s="293"/>
      <c r="S574" s="293"/>
      <c r="T574" s="293"/>
      <c r="U574" s="293"/>
    </row>
    <row r="575" spans="1:21">
      <c r="B575" s="276" t="s">
        <v>215</v>
      </c>
      <c r="C575" s="276" t="s">
        <v>74</v>
      </c>
      <c r="E575" s="539">
        <f ca="1">(SUM(K554:O554))*J575</f>
        <v>8.4493924607370818</v>
      </c>
      <c r="G575" s="276" t="s">
        <v>243</v>
      </c>
      <c r="J575" s="334">
        <f>'New cost and adjustments inputs'!E25</f>
        <v>2.2499999999999999E-2</v>
      </c>
    </row>
    <row r="576" spans="1:21">
      <c r="B576" s="276" t="s">
        <v>216</v>
      </c>
      <c r="C576" s="276" t="s">
        <v>74</v>
      </c>
      <c r="E576" s="539">
        <f ca="1">(SUM(K555:O555))*J575</f>
        <v>6.1240742920941189</v>
      </c>
    </row>
    <row r="577" spans="2:5">
      <c r="B577" s="276" t="s">
        <v>217</v>
      </c>
      <c r="C577" s="276" t="s">
        <v>74</v>
      </c>
      <c r="E577" s="539">
        <f ca="1">(SUM(K556:O556))*J575</f>
        <v>6.0468390942852643</v>
      </c>
    </row>
    <row r="578" spans="2:5">
      <c r="B578" s="276" t="s">
        <v>219</v>
      </c>
      <c r="C578" s="276" t="s">
        <v>74</v>
      </c>
      <c r="E578" s="539">
        <f ca="1">(SUM(K557:O557))*J575</f>
        <v>12.69332182949894</v>
      </c>
    </row>
    <row r="579" spans="2:5">
      <c r="B579" s="276" t="s">
        <v>220</v>
      </c>
      <c r="C579" s="276" t="s">
        <v>74</v>
      </c>
      <c r="E579" s="539">
        <f ca="1">(SUM(K558:O558))*J575</f>
        <v>3.2793038323623955</v>
      </c>
    </row>
    <row r="580" spans="2:5">
      <c r="B580" s="276" t="s">
        <v>221</v>
      </c>
      <c r="C580" s="276" t="s">
        <v>74</v>
      </c>
      <c r="E580" s="539">
        <f ca="1">(SUM(K559:O559))*J575</f>
        <v>7.0381120201908463</v>
      </c>
    </row>
    <row r="581" spans="2:5">
      <c r="B581" s="276" t="s">
        <v>222</v>
      </c>
      <c r="C581" s="276" t="s">
        <v>74</v>
      </c>
      <c r="E581" s="539">
        <f ca="1">(SUM(K560:O560))*J575</f>
        <v>18.193810306949867</v>
      </c>
    </row>
    <row r="582" spans="2:5">
      <c r="B582" s="276" t="s">
        <v>223</v>
      </c>
      <c r="C582" s="276" t="s">
        <v>74</v>
      </c>
      <c r="E582" s="539">
        <f ca="1">(SUM(K561:O561))*J575</f>
        <v>15.163102038614571</v>
      </c>
    </row>
    <row r="583" spans="2:5">
      <c r="B583" s="276" t="s">
        <v>224</v>
      </c>
      <c r="C583" s="276" t="s">
        <v>74</v>
      </c>
      <c r="E583" s="539">
        <f ca="1">(SUM(K562:O562))*J575</f>
        <v>3.595125325183766</v>
      </c>
    </row>
    <row r="584" spans="2:5" ht="13.5" customHeight="1">
      <c r="B584" s="276" t="s">
        <v>225</v>
      </c>
      <c r="C584" s="276" t="s">
        <v>74</v>
      </c>
      <c r="E584" s="539">
        <f ca="1">(SUM(K563:O563))*J575</f>
        <v>6.3837825918650735</v>
      </c>
    </row>
    <row r="585" spans="2:5" ht="14.1" customHeight="1">
      <c r="B585" s="276" t="s">
        <v>226</v>
      </c>
      <c r="C585" s="276" t="s">
        <v>74</v>
      </c>
      <c r="E585" s="539">
        <f ca="1">(SUM(K564:O564))*J575</f>
        <v>3.0993860625934637</v>
      </c>
    </row>
    <row r="586" spans="2:5" ht="14.1" customHeight="1">
      <c r="B586" s="276" t="s">
        <v>227</v>
      </c>
      <c r="C586" s="276" t="s">
        <v>74</v>
      </c>
      <c r="E586" s="539">
        <f ca="1">(SUM(K565:O565))*J575</f>
        <v>1.2405785744738274</v>
      </c>
    </row>
    <row r="587" spans="2:5" ht="14.1" customHeight="1">
      <c r="B587" s="276" t="s">
        <v>228</v>
      </c>
      <c r="C587" s="276" t="s">
        <v>74</v>
      </c>
      <c r="E587" s="539">
        <f ca="1">(SUM(K566:O566))*J575</f>
        <v>0.31020259483689372</v>
      </c>
    </row>
    <row r="588" spans="2:5" ht="14.1" customHeight="1">
      <c r="B588" s="276" t="s">
        <v>229</v>
      </c>
      <c r="C588" s="276" t="s">
        <v>74</v>
      </c>
      <c r="E588" s="539">
        <f ca="1">(SUM(K567:O567))*J575</f>
        <v>0.49535261867717156</v>
      </c>
    </row>
    <row r="589" spans="2:5" ht="14.1" customHeight="1">
      <c r="B589" s="276" t="s">
        <v>230</v>
      </c>
      <c r="C589" s="276" t="s">
        <v>74</v>
      </c>
      <c r="E589" s="539">
        <f ca="1">(SUM(K568:O568))*J575</f>
        <v>0.55645860872173258</v>
      </c>
    </row>
    <row r="590" spans="2:5" ht="14.1" customHeight="1">
      <c r="B590" s="276" t="s">
        <v>231</v>
      </c>
      <c r="C590" s="276" t="s">
        <v>74</v>
      </c>
      <c r="E590" s="539">
        <f ca="1">(SUM(K569:O569))*J575</f>
        <v>2.3174012002761479</v>
      </c>
    </row>
    <row r="591" spans="2:5" ht="14.1" customHeight="1">
      <c r="B591" s="276" t="s">
        <v>232</v>
      </c>
      <c r="C591" s="276" t="s">
        <v>74</v>
      </c>
      <c r="E591" s="539">
        <f ca="1">(SUM(K570:O570))*J575</f>
        <v>1.8217236954165255</v>
      </c>
    </row>
    <row r="592" spans="2:5" ht="14.1" customHeight="1">
      <c r="B592" s="270" t="s">
        <v>255</v>
      </c>
      <c r="C592" s="276" t="s">
        <v>74</v>
      </c>
      <c r="E592" s="539">
        <f ca="1">(SUM(K571:O571))*J575</f>
        <v>0.62676369163181422</v>
      </c>
    </row>
    <row r="593" spans="1:23" ht="14.1" customHeight="1"/>
    <row r="594" spans="1:23" s="291" customFormat="1" ht="14.1" customHeight="1">
      <c r="A594" s="293" t="s">
        <v>436</v>
      </c>
      <c r="B594" s="289"/>
      <c r="C594" s="289"/>
      <c r="D594" s="289"/>
      <c r="E594" s="290"/>
      <c r="F594" s="289"/>
      <c r="G594" s="289"/>
      <c r="H594" s="289"/>
      <c r="I594" s="289"/>
      <c r="J594" s="289"/>
      <c r="K594" s="470"/>
      <c r="L594" s="289"/>
      <c r="M594" s="289"/>
      <c r="N594" s="289"/>
      <c r="O594" s="289"/>
      <c r="P594" s="289"/>
      <c r="Q594" s="293" t="s">
        <v>304</v>
      </c>
      <c r="R594" s="289"/>
      <c r="S594" s="293" t="s">
        <v>305</v>
      </c>
      <c r="T594" s="289"/>
      <c r="U594" s="293" t="s">
        <v>424</v>
      </c>
      <c r="V594" s="289"/>
      <c r="W594" s="298"/>
    </row>
    <row r="595" spans="1:23" ht="14.1" customHeight="1">
      <c r="B595" s="276" t="s">
        <v>215</v>
      </c>
      <c r="C595" s="276" t="s">
        <v>74</v>
      </c>
      <c r="K595" s="537">
        <f t="shared" ref="K595:O604" ca="1" si="134">K507</f>
        <v>-5.7826766919810701E-2</v>
      </c>
      <c r="L595" s="538">
        <f t="shared" ca="1" si="134"/>
        <v>1.0106523346767777</v>
      </c>
      <c r="M595" s="538">
        <f t="shared" ca="1" si="134"/>
        <v>1.5643583995945098</v>
      </c>
      <c r="N595" s="538">
        <f t="shared" ca="1" si="134"/>
        <v>1.4208501187506148</v>
      </c>
      <c r="O595" s="538">
        <f t="shared" ca="1" si="134"/>
        <v>1.0412337228000279</v>
      </c>
      <c r="Q595" s="276">
        <f ca="1">SUM(K595:O595)</f>
        <v>4.9792678089021196</v>
      </c>
      <c r="S595" s="276">
        <f ca="1">Q595-E575</f>
        <v>-3.4701246518349622</v>
      </c>
      <c r="U595" s="276" t="str">
        <f ca="1">IF(S595&gt;0,"Yes","No")</f>
        <v>No</v>
      </c>
    </row>
    <row r="596" spans="1:23" ht="14.1" customHeight="1">
      <c r="B596" s="276" t="s">
        <v>216</v>
      </c>
      <c r="C596" s="276" t="s">
        <v>74</v>
      </c>
      <c r="K596" s="537">
        <f t="shared" ca="1" si="134"/>
        <v>1.9470579775185417</v>
      </c>
      <c r="L596" s="538">
        <f t="shared" ca="1" si="134"/>
        <v>0.62111230502168091</v>
      </c>
      <c r="M596" s="538">
        <f t="shared" ca="1" si="134"/>
        <v>-0.71335416422511111</v>
      </c>
      <c r="N596" s="538">
        <f t="shared" ca="1" si="134"/>
        <v>-2.0102781319365217</v>
      </c>
      <c r="O596" s="538">
        <f t="shared" ca="1" si="134"/>
        <v>-2.2667524572281215</v>
      </c>
      <c r="Q596" s="276">
        <f t="shared" ref="Q596:Q612" ca="1" si="135">SUM(K596:O596)</f>
        <v>-2.4222144708495317</v>
      </c>
      <c r="S596" s="276">
        <f t="shared" ref="S596:S612" ca="1" si="136">Q596-E576</f>
        <v>-8.5462887629436501</v>
      </c>
      <c r="U596" s="276" t="str">
        <f t="shared" ref="U596:U612" ca="1" si="137">IF(S596&gt;0,"Yes","No")</f>
        <v>No</v>
      </c>
    </row>
    <row r="597" spans="1:23" ht="14.1" customHeight="1">
      <c r="B597" s="276" t="s">
        <v>217</v>
      </c>
      <c r="C597" s="276" t="s">
        <v>74</v>
      </c>
      <c r="K597" s="537">
        <f t="shared" ca="1" si="134"/>
        <v>1.1892494635183177</v>
      </c>
      <c r="L597" s="538">
        <f t="shared" ca="1" si="134"/>
        <v>1.4596366893212109</v>
      </c>
      <c r="M597" s="538">
        <f t="shared" ca="1" si="134"/>
        <v>1.7454515194033613</v>
      </c>
      <c r="N597" s="538">
        <f t="shared" ca="1" si="134"/>
        <v>1.9212906431304762</v>
      </c>
      <c r="O597" s="538">
        <f t="shared" ca="1" si="134"/>
        <v>2.3903975534131034</v>
      </c>
      <c r="Q597" s="276">
        <f t="shared" ca="1" si="135"/>
        <v>8.7060258687864689</v>
      </c>
      <c r="S597" s="276">
        <f t="shared" ca="1" si="136"/>
        <v>2.6591867745012046</v>
      </c>
      <c r="U597" s="276" t="str">
        <f t="shared" ca="1" si="137"/>
        <v>Yes</v>
      </c>
    </row>
    <row r="598" spans="1:23" ht="14.1" customHeight="1">
      <c r="B598" s="276" t="s">
        <v>219</v>
      </c>
      <c r="C598" s="276" t="s">
        <v>74</v>
      </c>
      <c r="K598" s="537">
        <f t="shared" ca="1" si="134"/>
        <v>-0.48893625914998395</v>
      </c>
      <c r="L598" s="538">
        <f t="shared" ca="1" si="134"/>
        <v>-0.8840376900649316</v>
      </c>
      <c r="M598" s="538">
        <f t="shared" ca="1" si="134"/>
        <v>0.8991560776651637</v>
      </c>
      <c r="N598" s="538">
        <f t="shared" ca="1" si="134"/>
        <v>3.675546522673443</v>
      </c>
      <c r="O598" s="538">
        <f t="shared" ca="1" si="134"/>
        <v>6.3640834854697674</v>
      </c>
      <c r="Q598" s="276">
        <f t="shared" ca="1" si="135"/>
        <v>9.5658121365934576</v>
      </c>
      <c r="S598" s="276">
        <f t="shared" ca="1" si="136"/>
        <v>-3.1275096929054822</v>
      </c>
      <c r="U598" s="276" t="str">
        <f t="shared" ca="1" si="137"/>
        <v>No</v>
      </c>
    </row>
    <row r="599" spans="1:23" ht="14.1" customHeight="1">
      <c r="B599" s="276" t="s">
        <v>220</v>
      </c>
      <c r="C599" s="276" t="s">
        <v>74</v>
      </c>
      <c r="K599" s="537">
        <f t="shared" ca="1" si="134"/>
        <v>-3.427228472169471</v>
      </c>
      <c r="L599" s="538">
        <f t="shared" ca="1" si="134"/>
        <v>-3.8804887479359733</v>
      </c>
      <c r="M599" s="538">
        <f t="shared" ca="1" si="134"/>
        <v>-4.0098813930582171</v>
      </c>
      <c r="N599" s="538">
        <f t="shared" ca="1" si="134"/>
        <v>-4.2220777130780842</v>
      </c>
      <c r="O599" s="538">
        <f t="shared" ca="1" si="134"/>
        <v>-4.6750073025872432</v>
      </c>
      <c r="Q599" s="276">
        <f t="shared" ca="1" si="135"/>
        <v>-20.214683628828986</v>
      </c>
      <c r="S599" s="276">
        <f t="shared" ca="1" si="136"/>
        <v>-23.493987461191381</v>
      </c>
      <c r="U599" s="276" t="str">
        <f t="shared" ca="1" si="137"/>
        <v>No</v>
      </c>
    </row>
    <row r="600" spans="1:23" ht="14.1" customHeight="1">
      <c r="B600" s="276" t="s">
        <v>221</v>
      </c>
      <c r="C600" s="276" t="s">
        <v>74</v>
      </c>
      <c r="K600" s="537">
        <f t="shared" ca="1" si="134"/>
        <v>-9.7890638982387799</v>
      </c>
      <c r="L600" s="538">
        <f t="shared" ca="1" si="134"/>
        <v>-9.6358723225563061</v>
      </c>
      <c r="M600" s="538">
        <f t="shared" ca="1" si="134"/>
        <v>-11.443420482047824</v>
      </c>
      <c r="N600" s="538">
        <f t="shared" ca="1" si="134"/>
        <v>-16.77094208478745</v>
      </c>
      <c r="O600" s="538">
        <f t="shared" ca="1" si="134"/>
        <v>-17.796879072747604</v>
      </c>
      <c r="Q600" s="276">
        <f t="shared" ca="1" si="135"/>
        <v>-65.436177860377967</v>
      </c>
      <c r="S600" s="276">
        <f t="shared" ca="1" si="136"/>
        <v>-72.474289880568818</v>
      </c>
      <c r="U600" s="276" t="str">
        <f t="shared" ca="1" si="137"/>
        <v>No</v>
      </c>
    </row>
    <row r="601" spans="1:23" ht="14.1" customHeight="1">
      <c r="B601" s="276" t="s">
        <v>222</v>
      </c>
      <c r="C601" s="276" t="s">
        <v>74</v>
      </c>
      <c r="K601" s="537">
        <f t="shared" ca="1" si="134"/>
        <v>3.0737902144083709</v>
      </c>
      <c r="L601" s="538">
        <f t="shared" ca="1" si="134"/>
        <v>6.3867730372158267</v>
      </c>
      <c r="M601" s="538">
        <f t="shared" ca="1" si="134"/>
        <v>3.2220678958692375</v>
      </c>
      <c r="N601" s="538">
        <f t="shared" ca="1" si="134"/>
        <v>2.1310028009016051</v>
      </c>
      <c r="O601" s="538">
        <f t="shared" ca="1" si="134"/>
        <v>-6.290614044123636</v>
      </c>
      <c r="Q601" s="276">
        <f t="shared" ca="1" si="135"/>
        <v>8.5230199042714041</v>
      </c>
      <c r="S601" s="276">
        <f t="shared" ca="1" si="136"/>
        <v>-9.6707904026784632</v>
      </c>
      <c r="U601" s="276" t="str">
        <f t="shared" ca="1" si="137"/>
        <v>No</v>
      </c>
    </row>
    <row r="602" spans="1:23" ht="14.1" customHeight="1">
      <c r="B602" s="276" t="s">
        <v>223</v>
      </c>
      <c r="C602" s="276" t="s">
        <v>74</v>
      </c>
      <c r="K602" s="537">
        <f t="shared" ca="1" si="134"/>
        <v>-0.37604406680665803</v>
      </c>
      <c r="L602" s="538">
        <f t="shared" ca="1" si="134"/>
        <v>1.6629445168871855</v>
      </c>
      <c r="M602" s="538">
        <f t="shared" ca="1" si="134"/>
        <v>3.0853642439237192</v>
      </c>
      <c r="N602" s="538">
        <f t="shared" ca="1" si="134"/>
        <v>1.8353795924786853</v>
      </c>
      <c r="O602" s="538">
        <f t="shared" ca="1" si="134"/>
        <v>3.2813272772393294</v>
      </c>
      <c r="Q602" s="276">
        <f t="shared" ca="1" si="135"/>
        <v>9.4889715637222611</v>
      </c>
      <c r="S602" s="276">
        <f t="shared" ca="1" si="136"/>
        <v>-5.6741304748923103</v>
      </c>
      <c r="U602" s="276" t="str">
        <f t="shared" ca="1" si="137"/>
        <v>No</v>
      </c>
    </row>
    <row r="603" spans="1:23" ht="14.1" customHeight="1">
      <c r="B603" s="276" t="s">
        <v>224</v>
      </c>
      <c r="C603" s="276" t="s">
        <v>74</v>
      </c>
      <c r="K603" s="537">
        <f t="shared" ca="1" si="134"/>
        <v>0.58021550263448041</v>
      </c>
      <c r="L603" s="538">
        <f t="shared" ca="1" si="134"/>
        <v>0.5579631596714214</v>
      </c>
      <c r="M603" s="538">
        <f t="shared" ca="1" si="134"/>
        <v>0.68353488152414155</v>
      </c>
      <c r="N603" s="538">
        <f t="shared" ca="1" si="134"/>
        <v>0.66699905853713126</v>
      </c>
      <c r="O603" s="538">
        <f t="shared" ca="1" si="134"/>
        <v>0.62386012833160542</v>
      </c>
      <c r="Q603" s="276">
        <f t="shared" ca="1" si="135"/>
        <v>3.1125727306987798</v>
      </c>
      <c r="S603" s="276">
        <f t="shared" ca="1" si="136"/>
        <v>-0.48255259448498622</v>
      </c>
      <c r="U603" s="276" t="str">
        <f t="shared" ca="1" si="137"/>
        <v>No</v>
      </c>
    </row>
    <row r="604" spans="1:23" ht="14.1" customHeight="1">
      <c r="B604" s="276" t="s">
        <v>225</v>
      </c>
      <c r="C604" s="276" t="s">
        <v>74</v>
      </c>
      <c r="K604" s="537">
        <f t="shared" ca="1" si="134"/>
        <v>-1.8620551895427613</v>
      </c>
      <c r="L604" s="538">
        <f t="shared" ca="1" si="134"/>
        <v>-2.459717631029017</v>
      </c>
      <c r="M604" s="538">
        <f t="shared" ca="1" si="134"/>
        <v>-3.2930372771223899</v>
      </c>
      <c r="N604" s="538">
        <f t="shared" ca="1" si="134"/>
        <v>-5.2501929838955856</v>
      </c>
      <c r="O604" s="538">
        <f t="shared" ca="1" si="134"/>
        <v>-5.4598408691001534</v>
      </c>
      <c r="Q604" s="276">
        <f t="shared" ca="1" si="135"/>
        <v>-18.32484395068991</v>
      </c>
      <c r="S604" s="276">
        <f t="shared" ca="1" si="136"/>
        <v>-24.708626542554985</v>
      </c>
      <c r="U604" s="276" t="str">
        <f t="shared" ca="1" si="137"/>
        <v>No</v>
      </c>
    </row>
    <row r="605" spans="1:23" ht="14.1" customHeight="1">
      <c r="B605" s="276" t="s">
        <v>226</v>
      </c>
      <c r="C605" s="276" t="s">
        <v>74</v>
      </c>
      <c r="K605" s="537">
        <f t="shared" ref="K605:O612" ca="1" si="138">K517</f>
        <v>0.89190034120917083</v>
      </c>
      <c r="L605" s="538">
        <f t="shared" ca="1" si="138"/>
        <v>0.26234332354201328</v>
      </c>
      <c r="M605" s="538">
        <f t="shared" ca="1" si="138"/>
        <v>-0.42738028996497235</v>
      </c>
      <c r="N605" s="538">
        <f t="shared" ca="1" si="138"/>
        <v>-1.5514644090213161</v>
      </c>
      <c r="O605" s="538">
        <f t="shared" ca="1" si="138"/>
        <v>-3.1306122394485074</v>
      </c>
      <c r="Q605" s="276">
        <f t="shared" ca="1" si="135"/>
        <v>-3.9552132736836119</v>
      </c>
      <c r="S605" s="276">
        <f t="shared" ca="1" si="136"/>
        <v>-7.0545993362770751</v>
      </c>
      <c r="U605" s="276" t="str">
        <f t="shared" ca="1" si="137"/>
        <v>No</v>
      </c>
    </row>
    <row r="606" spans="1:23" ht="14.1" customHeight="1">
      <c r="B606" s="276" t="s">
        <v>227</v>
      </c>
      <c r="C606" s="276" t="s">
        <v>74</v>
      </c>
      <c r="J606" s="276" t="s">
        <v>69</v>
      </c>
      <c r="K606" s="537">
        <f t="shared" ca="1" si="138"/>
        <v>0.12591891970076885</v>
      </c>
      <c r="L606" s="538">
        <f t="shared" ca="1" si="138"/>
        <v>0.19943564598984975</v>
      </c>
      <c r="M606" s="538">
        <f t="shared" ca="1" si="138"/>
        <v>0.20257019795551257</v>
      </c>
      <c r="N606" s="538">
        <f t="shared" ca="1" si="138"/>
        <v>0.18125862796948278</v>
      </c>
      <c r="O606" s="538">
        <f t="shared" ca="1" si="138"/>
        <v>0.17397207174986185</v>
      </c>
      <c r="Q606" s="276">
        <f t="shared" ca="1" si="135"/>
        <v>0.88315546336547579</v>
      </c>
      <c r="S606" s="276">
        <f t="shared" ca="1" si="136"/>
        <v>-0.35742311110835157</v>
      </c>
      <c r="U606" s="276" t="str">
        <f t="shared" ca="1" si="137"/>
        <v>No</v>
      </c>
    </row>
    <row r="607" spans="1:23" ht="14.1" customHeight="1">
      <c r="B607" s="276" t="s">
        <v>228</v>
      </c>
      <c r="C607" s="276" t="s">
        <v>74</v>
      </c>
      <c r="K607" s="537">
        <f t="shared" ca="1" si="138"/>
        <v>6.358720923427541E-3</v>
      </c>
      <c r="L607" s="538">
        <f t="shared" ca="1" si="138"/>
        <v>8.4599038502742585E-3</v>
      </c>
      <c r="M607" s="538">
        <f t="shared" ca="1" si="138"/>
        <v>3.1704441028609975E-2</v>
      </c>
      <c r="N607" s="538">
        <f t="shared" ca="1" si="138"/>
        <v>2.2089406861466321E-2</v>
      </c>
      <c r="O607" s="538">
        <f t="shared" ca="1" si="138"/>
        <v>1.5585165547549268E-2</v>
      </c>
      <c r="Q607" s="276">
        <f t="shared" ca="1" si="135"/>
        <v>8.4197638211327364E-2</v>
      </c>
      <c r="S607" s="276">
        <f t="shared" ca="1" si="136"/>
        <v>-0.22600495662556636</v>
      </c>
      <c r="U607" s="276" t="str">
        <f t="shared" ca="1" si="137"/>
        <v>No</v>
      </c>
    </row>
    <row r="608" spans="1:23" ht="14.1" customHeight="1">
      <c r="B608" s="276" t="s">
        <v>229</v>
      </c>
      <c r="C608" s="276" t="s">
        <v>74</v>
      </c>
      <c r="K608" s="537">
        <f t="shared" ca="1" si="138"/>
        <v>-9.6162170166157468E-3</v>
      </c>
      <c r="L608" s="538">
        <f t="shared" ca="1" si="138"/>
        <v>-3.397159372181946E-2</v>
      </c>
      <c r="M608" s="538">
        <f t="shared" ca="1" si="138"/>
        <v>-9.659835250427895E-2</v>
      </c>
      <c r="N608" s="538">
        <f t="shared" ca="1" si="138"/>
        <v>-0.14793042918434252</v>
      </c>
      <c r="O608" s="538">
        <f t="shared" ca="1" si="138"/>
        <v>-0.19110771879635702</v>
      </c>
      <c r="Q608" s="276">
        <f t="shared" ca="1" si="135"/>
        <v>-0.47922431122341369</v>
      </c>
      <c r="S608" s="276">
        <f t="shared" ca="1" si="136"/>
        <v>-0.97457692990058531</v>
      </c>
      <c r="U608" s="276" t="str">
        <f t="shared" ca="1" si="137"/>
        <v>No</v>
      </c>
    </row>
    <row r="609" spans="1:21" ht="14.1" customHeight="1">
      <c r="B609" s="276" t="s">
        <v>230</v>
      </c>
      <c r="C609" s="276" t="s">
        <v>74</v>
      </c>
      <c r="K609" s="537">
        <f t="shared" ca="1" si="138"/>
        <v>0.28071772665839395</v>
      </c>
      <c r="L609" s="538">
        <f t="shared" ca="1" si="138"/>
        <v>0.34734396753128471</v>
      </c>
      <c r="M609" s="538">
        <f t="shared" ca="1" si="138"/>
        <v>0.35759244908233112</v>
      </c>
      <c r="N609" s="538">
        <f t="shared" ca="1" si="138"/>
        <v>0.33832980592315687</v>
      </c>
      <c r="O609" s="538">
        <f t="shared" ca="1" si="138"/>
        <v>0.25651477390191796</v>
      </c>
      <c r="Q609" s="276">
        <f t="shared" ca="1" si="135"/>
        <v>1.5804987230970846</v>
      </c>
      <c r="S609" s="276">
        <f t="shared" ca="1" si="136"/>
        <v>1.0240401143753521</v>
      </c>
      <c r="U609" s="276" t="str">
        <f t="shared" ca="1" si="137"/>
        <v>Yes</v>
      </c>
    </row>
    <row r="610" spans="1:21" ht="14.1" customHeight="1">
      <c r="B610" s="276" t="s">
        <v>231</v>
      </c>
      <c r="C610" s="276" t="s">
        <v>74</v>
      </c>
      <c r="K610" s="537">
        <f t="shared" ca="1" si="138"/>
        <v>-1.3735569844876077</v>
      </c>
      <c r="L610" s="538">
        <f t="shared" ca="1" si="138"/>
        <v>-1.3007894581427095</v>
      </c>
      <c r="M610" s="538">
        <f t="shared" ca="1" si="138"/>
        <v>-1.6186207018800425</v>
      </c>
      <c r="N610" s="538">
        <f t="shared" ca="1" si="138"/>
        <v>-1.7585138198721473</v>
      </c>
      <c r="O610" s="538">
        <f t="shared" ca="1" si="138"/>
        <v>-1.7027066512504057</v>
      </c>
      <c r="Q610" s="276">
        <f t="shared" ca="1" si="135"/>
        <v>-7.7541876156329135</v>
      </c>
      <c r="S610" s="276">
        <f t="shared" ca="1" si="136"/>
        <v>-10.071588815909061</v>
      </c>
      <c r="U610" s="276" t="str">
        <f t="shared" ca="1" si="137"/>
        <v>No</v>
      </c>
    </row>
    <row r="611" spans="1:21" ht="14.1" customHeight="1">
      <c r="B611" s="276" t="s">
        <v>232</v>
      </c>
      <c r="C611" s="276" t="s">
        <v>74</v>
      </c>
      <c r="K611" s="537">
        <f t="shared" ca="1" si="138"/>
        <v>0.90512035794628076</v>
      </c>
      <c r="L611" s="538">
        <f t="shared" ca="1" si="138"/>
        <v>0.83350266770423587</v>
      </c>
      <c r="M611" s="538">
        <f t="shared" ca="1" si="138"/>
        <v>0.53639246227050708</v>
      </c>
      <c r="N611" s="538">
        <f t="shared" ca="1" si="138"/>
        <v>-9.3153494558459782E-2</v>
      </c>
      <c r="O611" s="538">
        <f t="shared" ca="1" si="138"/>
        <v>-0.49540433750133905</v>
      </c>
      <c r="Q611" s="276">
        <f t="shared" ca="1" si="135"/>
        <v>1.6864576558612252</v>
      </c>
      <c r="S611" s="276">
        <f t="shared" ca="1" si="136"/>
        <v>-0.13526603955530025</v>
      </c>
      <c r="U611" s="276" t="str">
        <f t="shared" ca="1" si="137"/>
        <v>No</v>
      </c>
    </row>
    <row r="612" spans="1:21" ht="14.1" customHeight="1">
      <c r="B612" s="270" t="s">
        <v>255</v>
      </c>
      <c r="C612" s="276" t="s">
        <v>74</v>
      </c>
      <c r="K612" s="537">
        <f t="shared" ca="1" si="138"/>
        <v>-0.69143861703114262</v>
      </c>
      <c r="L612" s="538">
        <f t="shared" ca="1" si="138"/>
        <v>-0.7832902106937234</v>
      </c>
      <c r="M612" s="538">
        <f t="shared" ca="1" si="138"/>
        <v>-0.64459197706525562</v>
      </c>
      <c r="N612" s="538">
        <f t="shared" ca="1" si="138"/>
        <v>-0.75785775500054986</v>
      </c>
      <c r="O612" s="538">
        <f t="shared" ca="1" si="138"/>
        <v>-0.90343686297142189</v>
      </c>
      <c r="Q612" s="276">
        <f t="shared" ca="1" si="135"/>
        <v>-3.7806154227620934</v>
      </c>
      <c r="S612" s="276">
        <f t="shared" ca="1" si="136"/>
        <v>-4.4073791143939074</v>
      </c>
      <c r="U612" s="276" t="str">
        <f t="shared" ca="1" si="137"/>
        <v>No</v>
      </c>
    </row>
    <row r="613" spans="1:21" ht="14.1" customHeight="1"/>
    <row r="614" spans="1:21" s="298" customFormat="1" ht="14.1" customHeight="1">
      <c r="A614" s="293" t="s">
        <v>437</v>
      </c>
      <c r="B614" s="293"/>
      <c r="C614" s="293"/>
      <c r="D614" s="293"/>
      <c r="E614" s="300"/>
      <c r="F614" s="293"/>
      <c r="G614" s="293"/>
      <c r="H614" s="293"/>
      <c r="I614" s="293"/>
      <c r="J614" s="293"/>
      <c r="K614" s="469"/>
      <c r="L614" s="293"/>
      <c r="M614" s="293"/>
      <c r="N614" s="293"/>
      <c r="O614" s="293"/>
      <c r="P614" s="293"/>
      <c r="Q614" s="293"/>
      <c r="R614" s="293"/>
      <c r="S614" s="293"/>
      <c r="T614" s="293"/>
      <c r="U614" s="293"/>
    </row>
    <row r="615" spans="1:21" ht="14.1" customHeight="1">
      <c r="B615" s="276" t="s">
        <v>215</v>
      </c>
      <c r="C615" s="276" t="s">
        <v>74</v>
      </c>
      <c r="K615" s="537">
        <f ca="1">IF('New cost and adjustments inputs'!$E5="No",IF($S595&lt;0,0,$S595/5),0)</f>
        <v>0</v>
      </c>
      <c r="L615" s="538">
        <f ca="1">IF('New cost and adjustments inputs'!$E5="No",IF($S595&lt;0,0,$S595/5),0)</f>
        <v>0</v>
      </c>
      <c r="M615" s="538">
        <f ca="1">IF('New cost and adjustments inputs'!$E5="No",IF($S595&lt;0,0,$S595/5),0)</f>
        <v>0</v>
      </c>
      <c r="N615" s="538">
        <f ca="1">IF('New cost and adjustments inputs'!$E5="No",IF($S595&lt;0,0,$S595/5),0)</f>
        <v>0</v>
      </c>
      <c r="O615" s="538">
        <f ca="1">IF('New cost and adjustments inputs'!$E5="No",IF($S595&lt;0,0,$S595/5),0)</f>
        <v>0</v>
      </c>
    </row>
    <row r="616" spans="1:21" ht="14.1" customHeight="1">
      <c r="B616" s="276" t="s">
        <v>216</v>
      </c>
      <c r="C616" s="276" t="s">
        <v>74</v>
      </c>
      <c r="K616" s="537">
        <f ca="1">IF('New cost and adjustments inputs'!$E6="No",IF($S596&lt;0,0,$S596/5),0)</f>
        <v>0</v>
      </c>
      <c r="L616" s="538">
        <f ca="1">IF('New cost and adjustments inputs'!$E6="No",IF($S596&lt;0,0,$S596/5),0)</f>
        <v>0</v>
      </c>
      <c r="M616" s="538">
        <f ca="1">IF('New cost and adjustments inputs'!$E6="No",IF($S596&lt;0,0,$S596/5),0)</f>
        <v>0</v>
      </c>
      <c r="N616" s="538">
        <f ca="1">IF('New cost and adjustments inputs'!$E6="No",IF($S596&lt;0,0,$S596/5),0)</f>
        <v>0</v>
      </c>
      <c r="O616" s="538">
        <f ca="1">IF('New cost and adjustments inputs'!$E6="No",IF($S596&lt;0,0,$S596/5),0)</f>
        <v>0</v>
      </c>
    </row>
    <row r="617" spans="1:21" ht="14.1" customHeight="1">
      <c r="B617" s="276" t="s">
        <v>217</v>
      </c>
      <c r="C617" s="276" t="s">
        <v>74</v>
      </c>
      <c r="K617" s="537">
        <f>IF('New cost and adjustments inputs'!$E7="No",IF($S597&lt;0,0,$S597/5),0)</f>
        <v>0</v>
      </c>
      <c r="L617" s="538">
        <f>IF('New cost and adjustments inputs'!$E7="No",IF($S597&lt;0,0,$S597/5),0)</f>
        <v>0</v>
      </c>
      <c r="M617" s="538">
        <f>IF('New cost and adjustments inputs'!$E7="No",IF($S597&lt;0,0,$S597/5),0)</f>
        <v>0</v>
      </c>
      <c r="N617" s="538">
        <f>IF('New cost and adjustments inputs'!$E7="No",IF($S597&lt;0,0,$S597/5),0)</f>
        <v>0</v>
      </c>
      <c r="O617" s="538">
        <f>IF('New cost and adjustments inputs'!$E7="No",IF($S597&lt;0,0,$S597/5),0)</f>
        <v>0</v>
      </c>
    </row>
    <row r="618" spans="1:21" ht="14.1" customHeight="1">
      <c r="B618" s="276" t="s">
        <v>219</v>
      </c>
      <c r="C618" s="276" t="s">
        <v>74</v>
      </c>
      <c r="K618" s="537">
        <f ca="1">IF('New cost and adjustments inputs'!$E8="No",IF($S598&lt;0,0,$S598/5),0)</f>
        <v>0</v>
      </c>
      <c r="L618" s="538">
        <f ca="1">IF('New cost and adjustments inputs'!$E8="No",IF($S598&lt;0,0,$S598/5),0)</f>
        <v>0</v>
      </c>
      <c r="M618" s="538">
        <f ca="1">IF('New cost and adjustments inputs'!$E8="No",IF($S598&lt;0,0,$S598/5),0)</f>
        <v>0</v>
      </c>
      <c r="N618" s="538">
        <f ca="1">IF('New cost and adjustments inputs'!$E8="No",IF($S598&lt;0,0,$S598/5),0)</f>
        <v>0</v>
      </c>
      <c r="O618" s="538">
        <f ca="1">IF('New cost and adjustments inputs'!$E8="No",IF($S598&lt;0,0,$S598/5),0)</f>
        <v>0</v>
      </c>
    </row>
    <row r="619" spans="1:21" ht="14.1" customHeight="1">
      <c r="B619" s="276" t="s">
        <v>220</v>
      </c>
      <c r="C619" s="276" t="s">
        <v>74</v>
      </c>
      <c r="K619" s="537">
        <f ca="1">IF('New cost and adjustments inputs'!$E9="No",IF($S599&lt;0,0,$S599/5),0)</f>
        <v>0</v>
      </c>
      <c r="L619" s="538">
        <f ca="1">IF('New cost and adjustments inputs'!$E9="No",IF($S599&lt;0,0,$S599/5),0)</f>
        <v>0</v>
      </c>
      <c r="M619" s="538">
        <f ca="1">IF('New cost and adjustments inputs'!$E9="No",IF($S599&lt;0,0,$S599/5),0)</f>
        <v>0</v>
      </c>
      <c r="N619" s="538">
        <f ca="1">IF('New cost and adjustments inputs'!$E9="No",IF($S599&lt;0,0,$S599/5),0)</f>
        <v>0</v>
      </c>
      <c r="O619" s="538">
        <f ca="1">IF('New cost and adjustments inputs'!$E9="No",IF($S599&lt;0,0,$S599/5),0)</f>
        <v>0</v>
      </c>
    </row>
    <row r="620" spans="1:21" ht="14.1" customHeight="1">
      <c r="B620" s="276" t="s">
        <v>221</v>
      </c>
      <c r="C620" s="276" t="s">
        <v>74</v>
      </c>
      <c r="K620" s="537">
        <f ca="1">IF('New cost and adjustments inputs'!$E10="No",IF($S600&lt;0,0,$S600/5),0)</f>
        <v>0</v>
      </c>
      <c r="L620" s="538">
        <f ca="1">IF('New cost and adjustments inputs'!$E10="No",IF($S600&lt;0,0,$S600/5),0)</f>
        <v>0</v>
      </c>
      <c r="M620" s="538">
        <f ca="1">IF('New cost and adjustments inputs'!$E10="No",IF($S600&lt;0,0,$S600/5),0)</f>
        <v>0</v>
      </c>
      <c r="N620" s="538">
        <f ca="1">IF('New cost and adjustments inputs'!$E10="No",IF($S600&lt;0,0,$S600/5),0)</f>
        <v>0</v>
      </c>
      <c r="O620" s="538">
        <f ca="1">IF('New cost and adjustments inputs'!$E10="No",IF($S600&lt;0,0,$S600/5),0)</f>
        <v>0</v>
      </c>
    </row>
    <row r="621" spans="1:21" ht="14.1" customHeight="1">
      <c r="B621" s="276" t="s">
        <v>222</v>
      </c>
      <c r="C621" s="276" t="s">
        <v>74</v>
      </c>
      <c r="K621" s="537">
        <f ca="1">IF('New cost and adjustments inputs'!$E11="No",IF($S601&lt;0,0,$S601/5),0)</f>
        <v>0</v>
      </c>
      <c r="L621" s="538">
        <f ca="1">IF('New cost and adjustments inputs'!$E11="No",IF($S601&lt;0,0,$S601/5),0)</f>
        <v>0</v>
      </c>
      <c r="M621" s="538">
        <f ca="1">IF('New cost and adjustments inputs'!$E11="No",IF($S601&lt;0,0,$S601/5),0)</f>
        <v>0</v>
      </c>
      <c r="N621" s="538">
        <f ca="1">IF('New cost and adjustments inputs'!$E11="No",IF($S601&lt;0,0,$S601/5),0)</f>
        <v>0</v>
      </c>
      <c r="O621" s="538">
        <f ca="1">IF('New cost and adjustments inputs'!$E11="No",IF($S601&lt;0,0,$S601/5),0)</f>
        <v>0</v>
      </c>
    </row>
    <row r="622" spans="1:21" ht="14.1" customHeight="1">
      <c r="B622" s="276" t="s">
        <v>223</v>
      </c>
      <c r="C622" s="276" t="s">
        <v>74</v>
      </c>
      <c r="K622" s="537">
        <f ca="1">IF('New cost and adjustments inputs'!$E12="No",IF($S602&lt;0,0,$S602/5),0)</f>
        <v>0</v>
      </c>
      <c r="L622" s="538">
        <f ca="1">IF('New cost and adjustments inputs'!$E12="No",IF($S602&lt;0,0,$S602/5),0)</f>
        <v>0</v>
      </c>
      <c r="M622" s="538">
        <f ca="1">IF('New cost and adjustments inputs'!$E12="No",IF($S602&lt;0,0,$S602/5),0)</f>
        <v>0</v>
      </c>
      <c r="N622" s="538">
        <f ca="1">IF('New cost and adjustments inputs'!$E12="No",IF($S602&lt;0,0,$S602/5),0)</f>
        <v>0</v>
      </c>
      <c r="O622" s="538">
        <f ca="1">IF('New cost and adjustments inputs'!$E12="No",IF($S602&lt;0,0,$S602/5),0)</f>
        <v>0</v>
      </c>
    </row>
    <row r="623" spans="1:21" ht="14.1" customHeight="1">
      <c r="B623" s="276" t="s">
        <v>224</v>
      </c>
      <c r="C623" s="276" t="s">
        <v>74</v>
      </c>
      <c r="K623" s="537">
        <f ca="1">IF('New cost and adjustments inputs'!$E13="No",IF($S603&lt;0,0,$S603/5),0)</f>
        <v>0</v>
      </c>
      <c r="L623" s="538">
        <f ca="1">IF('New cost and adjustments inputs'!$E13="No",IF($S603&lt;0,0,$S603/5),0)</f>
        <v>0</v>
      </c>
      <c r="M623" s="538">
        <f ca="1">IF('New cost and adjustments inputs'!$E13="No",IF($S603&lt;0,0,$S603/5),0)</f>
        <v>0</v>
      </c>
      <c r="N623" s="538">
        <f ca="1">IF('New cost and adjustments inputs'!$E13="No",IF($S603&lt;0,0,$S603/5),0)</f>
        <v>0</v>
      </c>
      <c r="O623" s="538">
        <f ca="1">IF('New cost and adjustments inputs'!$E13="No",IF($S603&lt;0,0,$S603/5),0)</f>
        <v>0</v>
      </c>
    </row>
    <row r="624" spans="1:21" ht="14.1" customHeight="1">
      <c r="B624" s="276" t="s">
        <v>225</v>
      </c>
      <c r="C624" s="276" t="s">
        <v>74</v>
      </c>
      <c r="K624" s="537">
        <f ca="1">IF('New cost and adjustments inputs'!$E14="No",IF($S604&lt;0,0,$S604/5),0)</f>
        <v>0</v>
      </c>
      <c r="L624" s="538">
        <f ca="1">IF('New cost and adjustments inputs'!$E14="No",IF($S604&lt;0,0,$S604/5),0)</f>
        <v>0</v>
      </c>
      <c r="M624" s="538">
        <f ca="1">IF('New cost and adjustments inputs'!$E14="No",IF($S604&lt;0,0,$S604/5),0)</f>
        <v>0</v>
      </c>
      <c r="N624" s="538">
        <f ca="1">IF('New cost and adjustments inputs'!$E14="No",IF($S604&lt;0,0,$S604/5),0)</f>
        <v>0</v>
      </c>
      <c r="O624" s="538">
        <f ca="1">IF('New cost and adjustments inputs'!$E14="No",IF($S604&lt;0,0,$S604/5),0)</f>
        <v>0</v>
      </c>
    </row>
    <row r="625" spans="1:21" ht="14.1" customHeight="1">
      <c r="B625" s="276" t="s">
        <v>226</v>
      </c>
      <c r="C625" s="276" t="s">
        <v>74</v>
      </c>
      <c r="K625" s="537">
        <f ca="1">IF('New cost and adjustments inputs'!$E15="No",IF($S605&lt;0,0,$S605/5),0)</f>
        <v>0</v>
      </c>
      <c r="L625" s="538">
        <f ca="1">IF('New cost and adjustments inputs'!$E15="No",IF($S605&lt;0,0,$S605/5),0)</f>
        <v>0</v>
      </c>
      <c r="M625" s="538">
        <f ca="1">IF('New cost and adjustments inputs'!$E15="No",IF($S605&lt;0,0,$S605/5),0)</f>
        <v>0</v>
      </c>
      <c r="N625" s="538">
        <f ca="1">IF('New cost and adjustments inputs'!$E15="No",IF($S605&lt;0,0,$S605/5),0)</f>
        <v>0</v>
      </c>
      <c r="O625" s="538">
        <f ca="1">IF('New cost and adjustments inputs'!$E15="No",IF($S605&lt;0,0,$S605/5),0)</f>
        <v>0</v>
      </c>
    </row>
    <row r="626" spans="1:21" ht="14.1" customHeight="1">
      <c r="B626" s="276" t="s">
        <v>227</v>
      </c>
      <c r="C626" s="276" t="s">
        <v>74</v>
      </c>
      <c r="K626" s="537">
        <f ca="1">IF('New cost and adjustments inputs'!$E16="No",IF($S606&lt;0,0,$S606/5),0)</f>
        <v>0</v>
      </c>
      <c r="L626" s="538">
        <f ca="1">IF('New cost and adjustments inputs'!$E16="No",IF($S606&lt;0,0,$S606/5),0)</f>
        <v>0</v>
      </c>
      <c r="M626" s="538">
        <f ca="1">IF('New cost and adjustments inputs'!$E16="No",IF($S606&lt;0,0,$S606/5),0)</f>
        <v>0</v>
      </c>
      <c r="N626" s="538">
        <f ca="1">IF('New cost and adjustments inputs'!$E16="No",IF($S606&lt;0,0,$S606/5),0)</f>
        <v>0</v>
      </c>
      <c r="O626" s="538">
        <f ca="1">IF('New cost and adjustments inputs'!$E16="No",IF($S606&lt;0,0,$S606/5),0)</f>
        <v>0</v>
      </c>
    </row>
    <row r="627" spans="1:21" ht="14.1" customHeight="1">
      <c r="B627" s="276" t="s">
        <v>228</v>
      </c>
      <c r="C627" s="276" t="s">
        <v>74</v>
      </c>
      <c r="K627" s="537">
        <f ca="1">IF('New cost and adjustments inputs'!$E17="No",IF($S607&lt;0,0,$S607/5),0)</f>
        <v>0</v>
      </c>
      <c r="L627" s="538">
        <f ca="1">IF('New cost and adjustments inputs'!$E17="No",IF($S607&lt;0,0,$S607/5),0)</f>
        <v>0</v>
      </c>
      <c r="M627" s="538">
        <f ca="1">IF('New cost and adjustments inputs'!$E17="No",IF($S607&lt;0,0,$S607/5),0)</f>
        <v>0</v>
      </c>
      <c r="N627" s="538">
        <f ca="1">IF('New cost and adjustments inputs'!$E17="No",IF($S607&lt;0,0,$S607/5),0)</f>
        <v>0</v>
      </c>
      <c r="O627" s="538">
        <f ca="1">IF('New cost and adjustments inputs'!$E17="No",IF($S607&lt;0,0,$S607/5),0)</f>
        <v>0</v>
      </c>
    </row>
    <row r="628" spans="1:21" ht="14.1" customHeight="1">
      <c r="B628" s="276" t="s">
        <v>229</v>
      </c>
      <c r="C628" s="276" t="s">
        <v>74</v>
      </c>
      <c r="K628" s="537">
        <f ca="1">IF('New cost and adjustments inputs'!$E18="No",IF($S608&lt;0,0,$S608/5),0)</f>
        <v>0</v>
      </c>
      <c r="L628" s="538">
        <f ca="1">IF('New cost and adjustments inputs'!$E18="No",IF($S608&lt;0,0,$S608/5),0)</f>
        <v>0</v>
      </c>
      <c r="M628" s="538">
        <f ca="1">IF('New cost and adjustments inputs'!$E18="No",IF($S608&lt;0,0,$S608/5),0)</f>
        <v>0</v>
      </c>
      <c r="N628" s="538">
        <f ca="1">IF('New cost and adjustments inputs'!$E18="No",IF($S608&lt;0,0,$S608/5),0)</f>
        <v>0</v>
      </c>
      <c r="O628" s="538">
        <f ca="1">IF('New cost and adjustments inputs'!$E18="No",IF($S608&lt;0,0,$S608/5),0)</f>
        <v>0</v>
      </c>
    </row>
    <row r="629" spans="1:21" ht="14.1" customHeight="1">
      <c r="B629" s="276" t="s">
        <v>230</v>
      </c>
      <c r="C629" s="276" t="s">
        <v>74</v>
      </c>
      <c r="K629" s="537">
        <f>IF('New cost and adjustments inputs'!$E19="No",IF($S609&lt;0,0,$S609/5),0)</f>
        <v>0</v>
      </c>
      <c r="L629" s="538">
        <f>IF('New cost and adjustments inputs'!$E19="No",IF($S609&lt;0,0,$S609/5),0)</f>
        <v>0</v>
      </c>
      <c r="M629" s="538">
        <f>IF('New cost and adjustments inputs'!$E19="No",IF($S609&lt;0,0,$S609/5),0)</f>
        <v>0</v>
      </c>
      <c r="N629" s="538">
        <f>IF('New cost and adjustments inputs'!$E19="No",IF($S609&lt;0,0,$S609/5),0)</f>
        <v>0</v>
      </c>
      <c r="O629" s="538">
        <f>IF('New cost and adjustments inputs'!$E19="No",IF($S609&lt;0,0,$S609/5),0)</f>
        <v>0</v>
      </c>
    </row>
    <row r="630" spans="1:21" ht="14.1" customHeight="1">
      <c r="B630" s="276" t="s">
        <v>231</v>
      </c>
      <c r="C630" s="276" t="s">
        <v>74</v>
      </c>
      <c r="K630" s="537">
        <f ca="1">IF('New cost and adjustments inputs'!$E20="No",IF($S610&lt;0,0,$S610/5),0)</f>
        <v>0</v>
      </c>
      <c r="L630" s="538">
        <f ca="1">IF('New cost and adjustments inputs'!$E20="No",IF($S610&lt;0,0,$S610/5),0)</f>
        <v>0</v>
      </c>
      <c r="M630" s="538">
        <f ca="1">IF('New cost and adjustments inputs'!$E20="No",IF($S610&lt;0,0,$S610/5),0)</f>
        <v>0</v>
      </c>
      <c r="N630" s="538">
        <f ca="1">IF('New cost and adjustments inputs'!$E20="No",IF($S610&lt;0,0,$S610/5),0)</f>
        <v>0</v>
      </c>
      <c r="O630" s="538">
        <f ca="1">IF('New cost and adjustments inputs'!$E20="No",IF($S610&lt;0,0,$S610/5),0)</f>
        <v>0</v>
      </c>
    </row>
    <row r="631" spans="1:21" ht="14.1" customHeight="1">
      <c r="B631" s="276" t="s">
        <v>232</v>
      </c>
      <c r="C631" s="276" t="s">
        <v>74</v>
      </c>
      <c r="K631" s="537">
        <f ca="1">IF('New cost and adjustments inputs'!$E21="No",IF($S611&lt;0,0,$S611/5),0)</f>
        <v>0</v>
      </c>
      <c r="L631" s="538">
        <f ca="1">IF('New cost and adjustments inputs'!$E21="No",IF($S611&lt;0,0,$S611/5),0)</f>
        <v>0</v>
      </c>
      <c r="M631" s="538">
        <f ca="1">IF('New cost and adjustments inputs'!$E21="No",IF($S611&lt;0,0,$S611/5),0)</f>
        <v>0</v>
      </c>
      <c r="N631" s="538">
        <f ca="1">IF('New cost and adjustments inputs'!$E21="No",IF($S611&lt;0,0,$S611/5),0)</f>
        <v>0</v>
      </c>
      <c r="O631" s="538">
        <f ca="1">IF('New cost and adjustments inputs'!$E21="No",IF($S611&lt;0,0,$S611/5),0)</f>
        <v>0</v>
      </c>
    </row>
    <row r="632" spans="1:21" ht="14.1" customHeight="1">
      <c r="B632" s="270" t="s">
        <v>255</v>
      </c>
      <c r="C632" s="276" t="s">
        <v>74</v>
      </c>
      <c r="K632" s="537">
        <f ca="1">IF('New cost and adjustments inputs'!$E22="No",IF($S612&lt;0,0,$S612/5),0)</f>
        <v>0</v>
      </c>
      <c r="L632" s="538">
        <f ca="1">IF('New cost and adjustments inputs'!$E22="No",IF($S612&lt;0,0,$S612/5),0)</f>
        <v>0</v>
      </c>
      <c r="M632" s="538">
        <f ca="1">IF('New cost and adjustments inputs'!$E22="No",IF($S612&lt;0,0,$S612/5),0)</f>
        <v>0</v>
      </c>
      <c r="N632" s="538">
        <f ca="1">IF('New cost and adjustments inputs'!$E22="No",IF($S612&lt;0,0,$S612/5),0)</f>
        <v>0</v>
      </c>
      <c r="O632" s="538">
        <f ca="1">IF('New cost and adjustments inputs'!$E22="No",IF($S612&lt;0,0,$S612/5),0)</f>
        <v>0</v>
      </c>
    </row>
    <row r="633" spans="1:21" ht="14.1" customHeight="1"/>
    <row r="634" spans="1:21" s="298" customFormat="1" ht="14.1" customHeight="1">
      <c r="A634" s="293" t="s">
        <v>486</v>
      </c>
      <c r="B634" s="293"/>
      <c r="C634" s="293"/>
      <c r="D634" s="293"/>
      <c r="E634" s="300"/>
      <c r="F634" s="293"/>
      <c r="G634" s="293"/>
      <c r="H634" s="293"/>
      <c r="I634" s="293"/>
      <c r="J634" s="293"/>
      <c r="K634" s="469"/>
      <c r="L634" s="293"/>
      <c r="M634" s="293"/>
      <c r="N634" s="293"/>
      <c r="O634" s="293"/>
      <c r="P634" s="293"/>
      <c r="Q634" s="293"/>
      <c r="R634" s="293"/>
      <c r="S634" s="293"/>
      <c r="T634" s="293"/>
      <c r="U634" s="293"/>
    </row>
    <row r="635" spans="1:21" ht="14.1" customHeight="1">
      <c r="B635" s="276" t="s">
        <v>215</v>
      </c>
      <c r="C635" s="276" t="s">
        <v>74</v>
      </c>
      <c r="K635" s="537">
        <f ca="1">K595-K615</f>
        <v>-5.7826766919810701E-2</v>
      </c>
      <c r="L635" s="538">
        <f t="shared" ref="L635:O635" ca="1" si="139">L595-L615</f>
        <v>1.0106523346767777</v>
      </c>
      <c r="M635" s="538">
        <f t="shared" ca="1" si="139"/>
        <v>1.5643583995945098</v>
      </c>
      <c r="N635" s="538">
        <f t="shared" ca="1" si="139"/>
        <v>1.4208501187506148</v>
      </c>
      <c r="O635" s="538">
        <f t="shared" ca="1" si="139"/>
        <v>1.0412337228000279</v>
      </c>
    </row>
    <row r="636" spans="1:21" ht="14.1" customHeight="1">
      <c r="B636" s="276" t="s">
        <v>216</v>
      </c>
      <c r="C636" s="276" t="s">
        <v>74</v>
      </c>
      <c r="K636" s="537">
        <f t="shared" ref="K636:O636" ca="1" si="140">K596-K616</f>
        <v>1.9470579775185417</v>
      </c>
      <c r="L636" s="538">
        <f t="shared" ca="1" si="140"/>
        <v>0.62111230502168091</v>
      </c>
      <c r="M636" s="538">
        <f t="shared" ca="1" si="140"/>
        <v>-0.71335416422511111</v>
      </c>
      <c r="N636" s="538">
        <f t="shared" ca="1" si="140"/>
        <v>-2.0102781319365217</v>
      </c>
      <c r="O636" s="538">
        <f t="shared" ca="1" si="140"/>
        <v>-2.2667524572281215</v>
      </c>
    </row>
    <row r="637" spans="1:21" ht="14.1" customHeight="1">
      <c r="B637" s="276" t="s">
        <v>217</v>
      </c>
      <c r="C637" s="276" t="s">
        <v>74</v>
      </c>
      <c r="K637" s="537">
        <f t="shared" ref="K637:O637" ca="1" si="141">K597-K617</f>
        <v>1.1892494635183177</v>
      </c>
      <c r="L637" s="538">
        <f t="shared" ca="1" si="141"/>
        <v>1.4596366893212109</v>
      </c>
      <c r="M637" s="538">
        <f t="shared" ca="1" si="141"/>
        <v>1.7454515194033613</v>
      </c>
      <c r="N637" s="538">
        <f t="shared" ca="1" si="141"/>
        <v>1.9212906431304762</v>
      </c>
      <c r="O637" s="538">
        <f t="shared" ca="1" si="141"/>
        <v>2.3903975534131034</v>
      </c>
    </row>
    <row r="638" spans="1:21" ht="14.1" customHeight="1">
      <c r="B638" s="276" t="s">
        <v>219</v>
      </c>
      <c r="C638" s="276" t="s">
        <v>74</v>
      </c>
      <c r="K638" s="537">
        <f t="shared" ref="K638:O638" ca="1" si="142">K598-K618</f>
        <v>-0.48893625914998395</v>
      </c>
      <c r="L638" s="538">
        <f t="shared" ca="1" si="142"/>
        <v>-0.8840376900649316</v>
      </c>
      <c r="M638" s="538">
        <f t="shared" ca="1" si="142"/>
        <v>0.8991560776651637</v>
      </c>
      <c r="N638" s="538">
        <f t="shared" ca="1" si="142"/>
        <v>3.675546522673443</v>
      </c>
      <c r="O638" s="538">
        <f t="shared" ca="1" si="142"/>
        <v>6.3640834854697674</v>
      </c>
    </row>
    <row r="639" spans="1:21" ht="14.1" customHeight="1">
      <c r="B639" s="276" t="s">
        <v>220</v>
      </c>
      <c r="C639" s="276" t="s">
        <v>74</v>
      </c>
      <c r="K639" s="537">
        <f t="shared" ref="K639:O639" ca="1" si="143">K599-K619</f>
        <v>-3.427228472169471</v>
      </c>
      <c r="L639" s="538">
        <f t="shared" ca="1" si="143"/>
        <v>-3.8804887479359733</v>
      </c>
      <c r="M639" s="538">
        <f t="shared" ca="1" si="143"/>
        <v>-4.0098813930582171</v>
      </c>
      <c r="N639" s="538">
        <f t="shared" ca="1" si="143"/>
        <v>-4.2220777130780842</v>
      </c>
      <c r="O639" s="538">
        <f t="shared" ca="1" si="143"/>
        <v>-4.6750073025872432</v>
      </c>
    </row>
    <row r="640" spans="1:21" ht="14.1" customHeight="1">
      <c r="B640" s="276" t="s">
        <v>221</v>
      </c>
      <c r="C640" s="276" t="s">
        <v>74</v>
      </c>
      <c r="K640" s="537">
        <f t="shared" ref="K640:O640" ca="1" si="144">K600-K620</f>
        <v>-9.7890638982387799</v>
      </c>
      <c r="L640" s="538">
        <f t="shared" ca="1" si="144"/>
        <v>-9.6358723225563061</v>
      </c>
      <c r="M640" s="538">
        <f t="shared" ca="1" si="144"/>
        <v>-11.443420482047824</v>
      </c>
      <c r="N640" s="538">
        <f t="shared" ca="1" si="144"/>
        <v>-16.77094208478745</v>
      </c>
      <c r="O640" s="538">
        <f t="shared" ca="1" si="144"/>
        <v>-17.796879072747604</v>
      </c>
    </row>
    <row r="641" spans="1:21" ht="14.1" customHeight="1">
      <c r="B641" s="276" t="s">
        <v>222</v>
      </c>
      <c r="C641" s="276" t="s">
        <v>74</v>
      </c>
      <c r="K641" s="537">
        <f t="shared" ref="K641:O641" ca="1" si="145">K601-K621</f>
        <v>3.0737902144083709</v>
      </c>
      <c r="L641" s="538">
        <f t="shared" ca="1" si="145"/>
        <v>6.3867730372158267</v>
      </c>
      <c r="M641" s="538">
        <f t="shared" ca="1" si="145"/>
        <v>3.2220678958692375</v>
      </c>
      <c r="N641" s="538">
        <f t="shared" ca="1" si="145"/>
        <v>2.1310028009016051</v>
      </c>
      <c r="O641" s="538">
        <f t="shared" ca="1" si="145"/>
        <v>-6.290614044123636</v>
      </c>
    </row>
    <row r="642" spans="1:21" ht="14.1" customHeight="1">
      <c r="B642" s="276" t="s">
        <v>223</v>
      </c>
      <c r="C642" s="276" t="s">
        <v>74</v>
      </c>
      <c r="K642" s="537">
        <f t="shared" ref="K642:O642" ca="1" si="146">K602-K622</f>
        <v>-0.37604406680665803</v>
      </c>
      <c r="L642" s="538">
        <f t="shared" ca="1" si="146"/>
        <v>1.6629445168871855</v>
      </c>
      <c r="M642" s="538">
        <f t="shared" ca="1" si="146"/>
        <v>3.0853642439237192</v>
      </c>
      <c r="N642" s="538">
        <f t="shared" ca="1" si="146"/>
        <v>1.8353795924786853</v>
      </c>
      <c r="O642" s="538">
        <f t="shared" ca="1" si="146"/>
        <v>3.2813272772393294</v>
      </c>
    </row>
    <row r="643" spans="1:21" ht="14.1" customHeight="1">
      <c r="B643" s="276" t="s">
        <v>224</v>
      </c>
      <c r="C643" s="276" t="s">
        <v>74</v>
      </c>
      <c r="K643" s="537">
        <f t="shared" ref="K643:O643" ca="1" si="147">K603-K623</f>
        <v>0.58021550263448041</v>
      </c>
      <c r="L643" s="538">
        <f t="shared" ca="1" si="147"/>
        <v>0.5579631596714214</v>
      </c>
      <c r="M643" s="538">
        <f t="shared" ca="1" si="147"/>
        <v>0.68353488152414155</v>
      </c>
      <c r="N643" s="538">
        <f t="shared" ca="1" si="147"/>
        <v>0.66699905853713126</v>
      </c>
      <c r="O643" s="538">
        <f t="shared" ca="1" si="147"/>
        <v>0.62386012833160542</v>
      </c>
    </row>
    <row r="644" spans="1:21" ht="14.1" customHeight="1">
      <c r="B644" s="276" t="s">
        <v>225</v>
      </c>
      <c r="C644" s="276" t="s">
        <v>74</v>
      </c>
      <c r="K644" s="537">
        <f t="shared" ref="K644:O644" ca="1" si="148">K604-K624</f>
        <v>-1.8620551895427613</v>
      </c>
      <c r="L644" s="538">
        <f t="shared" ca="1" si="148"/>
        <v>-2.459717631029017</v>
      </c>
      <c r="M644" s="538">
        <f t="shared" ca="1" si="148"/>
        <v>-3.2930372771223899</v>
      </c>
      <c r="N644" s="538">
        <f t="shared" ca="1" si="148"/>
        <v>-5.2501929838955856</v>
      </c>
      <c r="O644" s="538">
        <f t="shared" ca="1" si="148"/>
        <v>-5.4598408691001534</v>
      </c>
    </row>
    <row r="645" spans="1:21" ht="14.1" customHeight="1">
      <c r="B645" s="276" t="s">
        <v>226</v>
      </c>
      <c r="C645" s="276" t="s">
        <v>74</v>
      </c>
      <c r="K645" s="537">
        <f t="shared" ref="K645:O645" ca="1" si="149">K605-K625</f>
        <v>0.89190034120917083</v>
      </c>
      <c r="L645" s="538">
        <f t="shared" ca="1" si="149"/>
        <v>0.26234332354201328</v>
      </c>
      <c r="M645" s="538">
        <f t="shared" ca="1" si="149"/>
        <v>-0.42738028996497235</v>
      </c>
      <c r="N645" s="538">
        <f t="shared" ca="1" si="149"/>
        <v>-1.5514644090213161</v>
      </c>
      <c r="O645" s="538">
        <f t="shared" ca="1" si="149"/>
        <v>-3.1306122394485074</v>
      </c>
    </row>
    <row r="646" spans="1:21" ht="14.1" customHeight="1">
      <c r="B646" s="276" t="s">
        <v>227</v>
      </c>
      <c r="C646" s="276" t="s">
        <v>74</v>
      </c>
      <c r="K646" s="537">
        <f t="shared" ref="K646:O646" ca="1" si="150">K606-K626</f>
        <v>0.12591891970076885</v>
      </c>
      <c r="L646" s="538">
        <f t="shared" ca="1" si="150"/>
        <v>0.19943564598984975</v>
      </c>
      <c r="M646" s="538">
        <f t="shared" ca="1" si="150"/>
        <v>0.20257019795551257</v>
      </c>
      <c r="N646" s="538">
        <f t="shared" ca="1" si="150"/>
        <v>0.18125862796948278</v>
      </c>
      <c r="O646" s="538">
        <f t="shared" ca="1" si="150"/>
        <v>0.17397207174986185</v>
      </c>
    </row>
    <row r="647" spans="1:21" ht="14.1" customHeight="1">
      <c r="B647" s="276" t="s">
        <v>228</v>
      </c>
      <c r="C647" s="276" t="s">
        <v>74</v>
      </c>
      <c r="K647" s="537">
        <f t="shared" ref="K647:O647" ca="1" si="151">K607-K627</f>
        <v>6.358720923427541E-3</v>
      </c>
      <c r="L647" s="538">
        <f t="shared" ca="1" si="151"/>
        <v>8.4599038502742585E-3</v>
      </c>
      <c r="M647" s="538">
        <f t="shared" ca="1" si="151"/>
        <v>3.1704441028609975E-2</v>
      </c>
      <c r="N647" s="538">
        <f t="shared" ca="1" si="151"/>
        <v>2.2089406861466321E-2</v>
      </c>
      <c r="O647" s="538">
        <f t="shared" ca="1" si="151"/>
        <v>1.5585165547549268E-2</v>
      </c>
    </row>
    <row r="648" spans="1:21" ht="14.1" customHeight="1">
      <c r="B648" s="276" t="s">
        <v>229</v>
      </c>
      <c r="C648" s="276" t="s">
        <v>74</v>
      </c>
      <c r="K648" s="537">
        <f t="shared" ref="K648:O648" ca="1" si="152">K608-K628</f>
        <v>-9.6162170166157468E-3</v>
      </c>
      <c r="L648" s="538">
        <f t="shared" ca="1" si="152"/>
        <v>-3.397159372181946E-2</v>
      </c>
      <c r="M648" s="538">
        <f t="shared" ca="1" si="152"/>
        <v>-9.659835250427895E-2</v>
      </c>
      <c r="N648" s="538">
        <f t="shared" ca="1" si="152"/>
        <v>-0.14793042918434252</v>
      </c>
      <c r="O648" s="538">
        <f t="shared" ca="1" si="152"/>
        <v>-0.19110771879635702</v>
      </c>
    </row>
    <row r="649" spans="1:21" ht="14.1" customHeight="1">
      <c r="B649" s="276" t="s">
        <v>230</v>
      </c>
      <c r="C649" s="276" t="s">
        <v>74</v>
      </c>
      <c r="K649" s="537">
        <f t="shared" ref="K649:O649" ca="1" si="153">K609-K629</f>
        <v>0.28071772665839395</v>
      </c>
      <c r="L649" s="538">
        <f t="shared" ca="1" si="153"/>
        <v>0.34734396753128471</v>
      </c>
      <c r="M649" s="538">
        <f t="shared" ca="1" si="153"/>
        <v>0.35759244908233112</v>
      </c>
      <c r="N649" s="538">
        <f t="shared" ca="1" si="153"/>
        <v>0.33832980592315687</v>
      </c>
      <c r="O649" s="538">
        <f t="shared" ca="1" si="153"/>
        <v>0.25651477390191796</v>
      </c>
    </row>
    <row r="650" spans="1:21" ht="14.1" customHeight="1">
      <c r="B650" s="276" t="s">
        <v>231</v>
      </c>
      <c r="C650" s="276" t="s">
        <v>74</v>
      </c>
      <c r="K650" s="537">
        <f t="shared" ref="K650:O650" ca="1" si="154">K610-K630</f>
        <v>-1.3735569844876077</v>
      </c>
      <c r="L650" s="538">
        <f t="shared" ca="1" si="154"/>
        <v>-1.3007894581427095</v>
      </c>
      <c r="M650" s="538">
        <f t="shared" ca="1" si="154"/>
        <v>-1.6186207018800425</v>
      </c>
      <c r="N650" s="538">
        <f t="shared" ca="1" si="154"/>
        <v>-1.7585138198721473</v>
      </c>
      <c r="O650" s="538">
        <f t="shared" ca="1" si="154"/>
        <v>-1.7027066512504057</v>
      </c>
    </row>
    <row r="651" spans="1:21" ht="14.1" customHeight="1">
      <c r="B651" s="276" t="s">
        <v>232</v>
      </c>
      <c r="C651" s="276" t="s">
        <v>74</v>
      </c>
      <c r="K651" s="537">
        <f t="shared" ref="K651:O651" ca="1" si="155">K611-K631</f>
        <v>0.90512035794628076</v>
      </c>
      <c r="L651" s="538">
        <f t="shared" ca="1" si="155"/>
        <v>0.83350266770423587</v>
      </c>
      <c r="M651" s="538">
        <f t="shared" ca="1" si="155"/>
        <v>0.53639246227050708</v>
      </c>
      <c r="N651" s="538">
        <f t="shared" ca="1" si="155"/>
        <v>-9.3153494558459782E-2</v>
      </c>
      <c r="O651" s="538">
        <f t="shared" ca="1" si="155"/>
        <v>-0.49540433750133905</v>
      </c>
    </row>
    <row r="652" spans="1:21" ht="14.1" customHeight="1">
      <c r="B652" s="270" t="s">
        <v>255</v>
      </c>
      <c r="C652" s="276" t="s">
        <v>74</v>
      </c>
      <c r="K652" s="537">
        <f t="shared" ref="K652:O652" ca="1" si="156">K612-K632</f>
        <v>-0.69143861703114262</v>
      </c>
      <c r="L652" s="538">
        <f t="shared" ca="1" si="156"/>
        <v>-0.7832902106937234</v>
      </c>
      <c r="M652" s="538">
        <f t="shared" ca="1" si="156"/>
        <v>-0.64459197706525562</v>
      </c>
      <c r="N652" s="538">
        <f t="shared" ca="1" si="156"/>
        <v>-0.75785775500054986</v>
      </c>
      <c r="O652" s="538">
        <f t="shared" ca="1" si="156"/>
        <v>-0.90343686297142189</v>
      </c>
    </row>
    <row r="653" spans="1:21" ht="14.1" customHeight="1"/>
    <row r="654" spans="1:21" s="298" customFormat="1" ht="14.1" customHeight="1">
      <c r="A654" s="293" t="s">
        <v>488</v>
      </c>
      <c r="B654" s="293"/>
      <c r="C654" s="293"/>
      <c r="D654" s="293"/>
      <c r="E654" s="293"/>
      <c r="F654" s="469"/>
      <c r="G654" s="293"/>
      <c r="H654" s="293"/>
      <c r="I654" s="293"/>
      <c r="J654" s="300"/>
      <c r="K654" s="293"/>
      <c r="L654" s="293"/>
      <c r="M654" s="293"/>
      <c r="N654" s="293"/>
      <c r="O654" s="293"/>
      <c r="P654" s="293"/>
      <c r="Q654" s="293"/>
      <c r="R654" s="293"/>
      <c r="S654" s="293"/>
      <c r="T654" s="293"/>
      <c r="U654" s="293"/>
    </row>
    <row r="655" spans="1:21" ht="14.1" customHeight="1">
      <c r="B655" s="276" t="s">
        <v>215</v>
      </c>
      <c r="C655" s="276" t="s">
        <v>75</v>
      </c>
      <c r="K655" s="537">
        <f t="shared" ref="K655:O664" ca="1" si="157">(K635*1000000)/(K327*1000)</f>
        <v>-1.7665540969944875E-2</v>
      </c>
      <c r="L655" s="538">
        <f t="shared" ca="1" si="157"/>
        <v>0.30634948254800998</v>
      </c>
      <c r="M655" s="538">
        <f t="shared" ca="1" si="157"/>
        <v>0.47027714670497217</v>
      </c>
      <c r="N655" s="538">
        <f t="shared" ca="1" si="157"/>
        <v>0.42335009196414486</v>
      </c>
      <c r="O655" s="538">
        <f t="shared" ca="1" si="157"/>
        <v>0.30729370775716114</v>
      </c>
    </row>
    <row r="656" spans="1:21" ht="14.1" customHeight="1">
      <c r="B656" s="276" t="s">
        <v>216</v>
      </c>
      <c r="C656" s="276" t="s">
        <v>75</v>
      </c>
      <c r="K656" s="537">
        <f t="shared" ca="1" si="157"/>
        <v>1.1354989424594684</v>
      </c>
      <c r="L656" s="538">
        <f t="shared" ca="1" si="157"/>
        <v>0.36049571387833462</v>
      </c>
      <c r="M656" s="538">
        <f t="shared" ca="1" si="157"/>
        <v>-0.41194388577155283</v>
      </c>
      <c r="N656" s="538">
        <f t="shared" ca="1" si="157"/>
        <v>-1.1547154823949333</v>
      </c>
      <c r="O656" s="538">
        <f t="shared" ca="1" si="157"/>
        <v>-1.2947719471550385</v>
      </c>
    </row>
    <row r="657" spans="2:15" ht="14.1" customHeight="1">
      <c r="B657" s="276" t="s">
        <v>217</v>
      </c>
      <c r="C657" s="276" t="s">
        <v>75</v>
      </c>
      <c r="K657" s="537">
        <f t="shared" ca="1" si="157"/>
        <v>0.54494725797964561</v>
      </c>
      <c r="L657" s="538">
        <f t="shared" ca="1" si="157"/>
        <v>0.66515991226326121</v>
      </c>
      <c r="M657" s="538">
        <f t="shared" ca="1" si="157"/>
        <v>0.7909587390400622</v>
      </c>
      <c r="N657" s="538">
        <f t="shared" ca="1" si="157"/>
        <v>0.86569650772483497</v>
      </c>
      <c r="O657" s="538">
        <f t="shared" ca="1" si="157"/>
        <v>1.0708108217106684</v>
      </c>
    </row>
    <row r="658" spans="2:15" ht="14.1" customHeight="1">
      <c r="B658" s="276" t="s">
        <v>219</v>
      </c>
      <c r="C658" s="276" t="s">
        <v>75</v>
      </c>
      <c r="K658" s="537">
        <f t="shared" ca="1" si="157"/>
        <v>-0.10302095754218019</v>
      </c>
      <c r="L658" s="538">
        <f t="shared" ca="1" si="157"/>
        <v>-0.1854702097851236</v>
      </c>
      <c r="M658" s="538">
        <f t="shared" ca="1" si="157"/>
        <v>0.18773224626177829</v>
      </c>
      <c r="N658" s="538">
        <f t="shared" ca="1" si="157"/>
        <v>0.76330826275012764</v>
      </c>
      <c r="O658" s="538">
        <f t="shared" ca="1" si="157"/>
        <v>1.313925782102259</v>
      </c>
    </row>
    <row r="659" spans="2:15" ht="14.1" customHeight="1">
      <c r="B659" s="276" t="s">
        <v>220</v>
      </c>
      <c r="C659" s="276" t="s">
        <v>75</v>
      </c>
      <c r="K659" s="537">
        <f t="shared" ca="1" si="157"/>
        <v>-3.701626330416949</v>
      </c>
      <c r="L659" s="538">
        <f t="shared" ca="1" si="157"/>
        <v>-4.1541086699309133</v>
      </c>
      <c r="M659" s="538">
        <f t="shared" ca="1" si="157"/>
        <v>-4.2552393447228036</v>
      </c>
      <c r="N659" s="538">
        <f t="shared" ca="1" si="157"/>
        <v>-4.4427878612874814</v>
      </c>
      <c r="O659" s="538">
        <f t="shared" ca="1" si="157"/>
        <v>-4.8779159223767152</v>
      </c>
    </row>
    <row r="660" spans="2:15" ht="14.1" customHeight="1">
      <c r="B660" s="276" t="s">
        <v>221</v>
      </c>
      <c r="C660" s="276" t="s">
        <v>75</v>
      </c>
      <c r="K660" s="537">
        <f t="shared" ca="1" si="157"/>
        <v>-4.5219086110541733</v>
      </c>
      <c r="L660" s="538">
        <f t="shared" ca="1" si="157"/>
        <v>-4.415930135826553</v>
      </c>
      <c r="M660" s="538">
        <f t="shared" ca="1" si="157"/>
        <v>-5.2006528182129914</v>
      </c>
      <c r="N660" s="538">
        <f t="shared" ca="1" si="157"/>
        <v>-7.5596645161894003</v>
      </c>
      <c r="O660" s="538">
        <f t="shared" ca="1" si="157"/>
        <v>-7.9607228215599815</v>
      </c>
    </row>
    <row r="661" spans="2:15" ht="14.1" customHeight="1">
      <c r="B661" s="276" t="s">
        <v>222</v>
      </c>
      <c r="C661" s="276" t="s">
        <v>75</v>
      </c>
      <c r="K661" s="537">
        <f t="shared" ca="1" si="157"/>
        <v>0.48040546713232973</v>
      </c>
      <c r="L661" s="538">
        <f t="shared" ca="1" si="157"/>
        <v>0.98866627094087645</v>
      </c>
      <c r="M661" s="538">
        <f t="shared" ca="1" si="157"/>
        <v>0.4938597749005208</v>
      </c>
      <c r="N661" s="538">
        <f t="shared" ca="1" si="157"/>
        <v>0.3234355655353896</v>
      </c>
      <c r="O661" s="538">
        <f t="shared" ca="1" si="157"/>
        <v>-0.94564360002910242</v>
      </c>
    </row>
    <row r="662" spans="2:15" ht="14.1" customHeight="1">
      <c r="B662" s="276" t="s">
        <v>223</v>
      </c>
      <c r="C662" s="276" t="s">
        <v>75</v>
      </c>
      <c r="K662" s="537">
        <f t="shared" ca="1" si="157"/>
        <v>-9.9487055329209997E-2</v>
      </c>
      <c r="L662" s="538">
        <f t="shared" ca="1" si="157"/>
        <v>0.43807869001070476</v>
      </c>
      <c r="M662" s="538">
        <f t="shared" ca="1" si="157"/>
        <v>0.80896125824685017</v>
      </c>
      <c r="N662" s="538">
        <f t="shared" ca="1" si="157"/>
        <v>0.47871130976486864</v>
      </c>
      <c r="O662" s="538">
        <f t="shared" ca="1" si="157"/>
        <v>0.85108169897229602</v>
      </c>
    </row>
    <row r="663" spans="2:15" ht="14.1" customHeight="1">
      <c r="B663" s="276" t="s">
        <v>224</v>
      </c>
      <c r="C663" s="276" t="s">
        <v>75</v>
      </c>
      <c r="K663" s="537">
        <f t="shared" ca="1" si="157"/>
        <v>0.4452075915875664</v>
      </c>
      <c r="L663" s="538">
        <f t="shared" ca="1" si="157"/>
        <v>0.42402215188687598</v>
      </c>
      <c r="M663" s="538">
        <f t="shared" ca="1" si="157"/>
        <v>0.5144659010240259</v>
      </c>
      <c r="N663" s="538">
        <f t="shared" ca="1" si="157"/>
        <v>0.49727690820749704</v>
      </c>
      <c r="O663" s="538">
        <f t="shared" ca="1" si="157"/>
        <v>0.46080885826781193</v>
      </c>
    </row>
    <row r="664" spans="2:15" ht="14.1" customHeight="1">
      <c r="B664" s="276" t="s">
        <v>225</v>
      </c>
      <c r="C664" s="276" t="s">
        <v>75</v>
      </c>
      <c r="K664" s="537">
        <f t="shared" ca="1" si="157"/>
        <v>-0.68871550876361221</v>
      </c>
      <c r="L664" s="538">
        <f t="shared" ca="1" si="157"/>
        <v>-0.90301706976347618</v>
      </c>
      <c r="M664" s="538">
        <f t="shared" ca="1" si="157"/>
        <v>-1.197449202846177</v>
      </c>
      <c r="N664" s="538">
        <f t="shared" ca="1" si="157"/>
        <v>-1.8888372647690173</v>
      </c>
      <c r="O664" s="538">
        <f t="shared" ca="1" si="157"/>
        <v>-1.9417778529656307</v>
      </c>
    </row>
    <row r="665" spans="2:15" ht="14.1" customHeight="1">
      <c r="B665" s="276" t="s">
        <v>226</v>
      </c>
      <c r="C665" s="276" t="s">
        <v>75</v>
      </c>
      <c r="K665" s="537">
        <f t="shared" ref="K665:O672" ca="1" si="158">(K645*1000000)/(K337*1000)</f>
        <v>0.65547796165405481</v>
      </c>
      <c r="L665" s="538">
        <f t="shared" ca="1" si="158"/>
        <v>0.19159566592198918</v>
      </c>
      <c r="M665" s="538">
        <f t="shared" ca="1" si="158"/>
        <v>-0.3102293218447173</v>
      </c>
      <c r="N665" s="538">
        <f t="shared" ca="1" si="158"/>
        <v>-1.1196133179102306</v>
      </c>
      <c r="O665" s="538">
        <f t="shared" ca="1" si="158"/>
        <v>-2.2460341498654861</v>
      </c>
    </row>
    <row r="666" spans="2:15" ht="14.1" customHeight="1">
      <c r="B666" s="276" t="s">
        <v>227</v>
      </c>
      <c r="C666" s="276" t="s">
        <v>75</v>
      </c>
      <c r="K666" s="537">
        <f t="shared" ca="1" si="158"/>
        <v>0.26086426468828161</v>
      </c>
      <c r="L666" s="538">
        <f t="shared" ca="1" si="158"/>
        <v>0.40856322889555996</v>
      </c>
      <c r="M666" s="538">
        <f t="shared" ca="1" si="158"/>
        <v>0.41041505013536489</v>
      </c>
      <c r="N666" s="538">
        <f t="shared" ca="1" si="158"/>
        <v>0.36329179404386708</v>
      </c>
      <c r="O666" s="538">
        <f t="shared" ca="1" si="158"/>
        <v>0.3450361785865958</v>
      </c>
    </row>
    <row r="667" spans="2:15" ht="14.1" customHeight="1">
      <c r="B667" s="276" t="s">
        <v>228</v>
      </c>
      <c r="C667" s="276" t="s">
        <v>75</v>
      </c>
      <c r="K667" s="537">
        <f t="shared" ca="1" si="158"/>
        <v>5.4215053018898438E-2</v>
      </c>
      <c r="L667" s="538">
        <f t="shared" ca="1" si="158"/>
        <v>7.1555234758597791E-2</v>
      </c>
      <c r="M667" s="538">
        <f t="shared" ca="1" si="158"/>
        <v>0.26604157914769511</v>
      </c>
      <c r="N667" s="538">
        <f t="shared" ca="1" si="158"/>
        <v>0.18390521310321381</v>
      </c>
      <c r="O667" s="538">
        <f t="shared" ca="1" si="158"/>
        <v>0.12874343731454257</v>
      </c>
    </row>
    <row r="668" spans="2:15" ht="14.1" customHeight="1">
      <c r="B668" s="276" t="s">
        <v>229</v>
      </c>
      <c r="C668" s="276" t="s">
        <v>75</v>
      </c>
      <c r="K668" s="537">
        <f t="shared" ca="1" si="158"/>
        <v>-3.3372261032850056E-2</v>
      </c>
      <c r="L668" s="538">
        <f t="shared" ca="1" si="158"/>
        <v>-0.11701833805869402</v>
      </c>
      <c r="M668" s="538">
        <f t="shared" ca="1" si="158"/>
        <v>-0.32988649287890282</v>
      </c>
      <c r="N668" s="538">
        <f t="shared" ca="1" si="158"/>
        <v>-0.50005891701318517</v>
      </c>
      <c r="O668" s="538">
        <f t="shared" ca="1" si="158"/>
        <v>-0.63966113318993256</v>
      </c>
    </row>
    <row r="669" spans="2:15" ht="14.1" customHeight="1">
      <c r="B669" s="276" t="s">
        <v>230</v>
      </c>
      <c r="C669" s="276" t="s">
        <v>75</v>
      </c>
      <c r="K669" s="537">
        <f t="shared" ca="1" si="158"/>
        <v>1.4950641322219711</v>
      </c>
      <c r="L669" s="538">
        <f t="shared" ca="1" si="158"/>
        <v>1.8392779776925607</v>
      </c>
      <c r="M669" s="538">
        <f t="shared" ca="1" si="158"/>
        <v>1.8814119783776748</v>
      </c>
      <c r="N669" s="538">
        <f t="shared" ca="1" si="158"/>
        <v>1.7696369290803555</v>
      </c>
      <c r="O669" s="538">
        <f t="shared" ca="1" si="158"/>
        <v>1.3342840477813562</v>
      </c>
    </row>
    <row r="670" spans="2:15" ht="14.1" customHeight="1">
      <c r="B670" s="276" t="s">
        <v>231</v>
      </c>
      <c r="C670" s="276" t="s">
        <v>75</v>
      </c>
      <c r="K670" s="537">
        <f t="shared" ca="1" si="158"/>
        <v>-1.6434104981962305</v>
      </c>
      <c r="L670" s="538">
        <f t="shared" ca="1" si="158"/>
        <v>-1.541452177554701</v>
      </c>
      <c r="M670" s="538">
        <f t="shared" ca="1" si="158"/>
        <v>-1.8992239909943081</v>
      </c>
      <c r="N670" s="538">
        <f t="shared" ca="1" si="158"/>
        <v>-2.044687987889084</v>
      </c>
      <c r="O670" s="538">
        <f t="shared" ca="1" si="158"/>
        <v>-1.9621389991753966</v>
      </c>
    </row>
    <row r="671" spans="2:15" ht="14.1" customHeight="1">
      <c r="B671" s="276" t="s">
        <v>232</v>
      </c>
      <c r="C671" s="276" t="s">
        <v>75</v>
      </c>
      <c r="K671" s="537">
        <f t="shared" ca="1" si="158"/>
        <v>1.3832297480801607</v>
      </c>
      <c r="L671" s="538">
        <f t="shared" ca="1" si="158"/>
        <v>1.2665953490016368</v>
      </c>
      <c r="M671" s="538">
        <f t="shared" ca="1" si="158"/>
        <v>0.81031956740584632</v>
      </c>
      <c r="N671" s="538">
        <f t="shared" ca="1" si="158"/>
        <v>-0.13987171601806275</v>
      </c>
      <c r="O671" s="538">
        <f t="shared" ca="1" si="158"/>
        <v>-0.73926620026464895</v>
      </c>
    </row>
    <row r="672" spans="2:15" ht="14.1" customHeight="1">
      <c r="B672" s="270" t="s">
        <v>255</v>
      </c>
      <c r="C672" s="276" t="s">
        <v>75</v>
      </c>
      <c r="K672" s="537">
        <f t="shared" ca="1" si="158"/>
        <v>-2.5995684286201848</v>
      </c>
      <c r="L672" s="538">
        <f t="shared" ca="1" si="158"/>
        <v>-2.9185189599300418</v>
      </c>
      <c r="M672" s="538">
        <f t="shared" ca="1" si="158"/>
        <v>-2.3806221974243034</v>
      </c>
      <c r="N672" s="538">
        <f t="shared" ca="1" si="158"/>
        <v>-2.7737644354799724</v>
      </c>
      <c r="O672" s="538">
        <f t="shared" ca="1" si="158"/>
        <v>-3.2770575718388324</v>
      </c>
    </row>
    <row r="673" spans="1:21" ht="14.1" customHeight="1"/>
    <row r="674" spans="1:21" s="298" customFormat="1" ht="14.1" customHeight="1">
      <c r="A674" s="293" t="s">
        <v>492</v>
      </c>
      <c r="B674" s="293"/>
      <c r="C674" s="293"/>
      <c r="D674" s="293"/>
      <c r="E674" s="300"/>
      <c r="F674" s="293"/>
      <c r="G674" s="293"/>
      <c r="H674" s="293"/>
      <c r="I674" s="293"/>
      <c r="J674" s="293"/>
      <c r="K674" s="469"/>
      <c r="L674" s="293"/>
      <c r="M674" s="293"/>
      <c r="N674" s="293"/>
      <c r="O674" s="293"/>
      <c r="P674" s="293"/>
      <c r="Q674" s="293"/>
      <c r="R674" s="293"/>
      <c r="S674" s="293"/>
      <c r="T674" s="293"/>
      <c r="U674" s="293"/>
    </row>
    <row r="675" spans="1:21" ht="14.1" customHeight="1">
      <c r="B675" s="276" t="s">
        <v>215</v>
      </c>
      <c r="C675" s="276" t="s">
        <v>75</v>
      </c>
      <c r="E675" s="550">
        <f ca="1">MAX(0,AVERAGE(K655:O655))</f>
        <v>0.29792097760086866</v>
      </c>
    </row>
    <row r="676" spans="1:21" ht="14.1" customHeight="1">
      <c r="B676" s="276" t="s">
        <v>216</v>
      </c>
      <c r="C676" s="276" t="s">
        <v>75</v>
      </c>
      <c r="E676" s="550">
        <f t="shared" ref="E676:E692" ca="1" si="159">MAX(0,AVERAGE(K656:O656))</f>
        <v>0</v>
      </c>
    </row>
    <row r="677" spans="1:21" ht="14.1" customHeight="1">
      <c r="B677" s="276" t="s">
        <v>217</v>
      </c>
      <c r="C677" s="276" t="s">
        <v>75</v>
      </c>
      <c r="E677" s="550">
        <f t="shared" ca="1" si="159"/>
        <v>0.7875146477436944</v>
      </c>
    </row>
    <row r="678" spans="1:21" ht="14.1" customHeight="1">
      <c r="B678" s="276" t="s">
        <v>219</v>
      </c>
      <c r="C678" s="276" t="s">
        <v>75</v>
      </c>
      <c r="E678" s="550">
        <f t="shared" ca="1" si="159"/>
        <v>0.39529502475737222</v>
      </c>
    </row>
    <row r="679" spans="1:21" ht="14.1" customHeight="1">
      <c r="B679" s="276" t="s">
        <v>220</v>
      </c>
      <c r="C679" s="276" t="s">
        <v>75</v>
      </c>
      <c r="E679" s="550">
        <f t="shared" ca="1" si="159"/>
        <v>0</v>
      </c>
    </row>
    <row r="680" spans="1:21" ht="14.1" customHeight="1">
      <c r="B680" s="276" t="s">
        <v>221</v>
      </c>
      <c r="C680" s="276" t="s">
        <v>75</v>
      </c>
      <c r="E680" s="550">
        <f t="shared" ca="1" si="159"/>
        <v>0</v>
      </c>
    </row>
    <row r="681" spans="1:21" ht="14.1" customHeight="1">
      <c r="B681" s="276" t="s">
        <v>222</v>
      </c>
      <c r="C681" s="276" t="s">
        <v>75</v>
      </c>
      <c r="E681" s="550">
        <f t="shared" ca="1" si="159"/>
        <v>0.2681446956960028</v>
      </c>
    </row>
    <row r="682" spans="1:21" ht="14.1" customHeight="1">
      <c r="B682" s="276" t="s">
        <v>223</v>
      </c>
      <c r="C682" s="276" t="s">
        <v>75</v>
      </c>
      <c r="E682" s="550">
        <f t="shared" ca="1" si="159"/>
        <v>0.495469180333102</v>
      </c>
    </row>
    <row r="683" spans="1:21" ht="14.1" customHeight="1">
      <c r="B683" s="276" t="s">
        <v>224</v>
      </c>
      <c r="C683" s="276" t="s">
        <v>75</v>
      </c>
      <c r="E683" s="550">
        <f t="shared" ca="1" si="159"/>
        <v>0.46835628219475545</v>
      </c>
    </row>
    <row r="684" spans="1:21" ht="14.1" customHeight="1">
      <c r="B684" s="276" t="s">
        <v>225</v>
      </c>
      <c r="C684" s="276" t="s">
        <v>75</v>
      </c>
      <c r="E684" s="550">
        <f t="shared" ca="1" si="159"/>
        <v>0</v>
      </c>
    </row>
    <row r="685" spans="1:21" ht="14.1" customHeight="1">
      <c r="B685" s="276" t="s">
        <v>226</v>
      </c>
      <c r="C685" s="276" t="s">
        <v>75</v>
      </c>
      <c r="E685" s="550">
        <f t="shared" ca="1" si="159"/>
        <v>0</v>
      </c>
    </row>
    <row r="686" spans="1:21" ht="14.1" customHeight="1">
      <c r="B686" s="276" t="s">
        <v>227</v>
      </c>
      <c r="C686" s="276" t="s">
        <v>75</v>
      </c>
      <c r="E686" s="550">
        <f t="shared" ca="1" si="159"/>
        <v>0.35763410326993389</v>
      </c>
    </row>
    <row r="687" spans="1:21" ht="14.1" customHeight="1">
      <c r="B687" s="276" t="s">
        <v>228</v>
      </c>
      <c r="C687" s="276" t="s">
        <v>75</v>
      </c>
      <c r="E687" s="550">
        <f t="shared" ca="1" si="159"/>
        <v>0.14089210346858955</v>
      </c>
    </row>
    <row r="688" spans="1:21" ht="14.1" customHeight="1">
      <c r="B688" s="276" t="s">
        <v>229</v>
      </c>
      <c r="C688" s="276" t="s">
        <v>75</v>
      </c>
      <c r="E688" s="550">
        <f t="shared" ca="1" si="159"/>
        <v>0</v>
      </c>
    </row>
    <row r="689" spans="1:21" ht="14.1" customHeight="1">
      <c r="B689" s="276" t="s">
        <v>230</v>
      </c>
      <c r="C689" s="276" t="s">
        <v>75</v>
      </c>
      <c r="E689" s="550">
        <f t="shared" ca="1" si="159"/>
        <v>1.6639350130307835</v>
      </c>
    </row>
    <row r="690" spans="1:21" ht="14.1" customHeight="1">
      <c r="B690" s="276" t="s">
        <v>231</v>
      </c>
      <c r="C690" s="276" t="s">
        <v>75</v>
      </c>
      <c r="E690" s="550">
        <f t="shared" ca="1" si="159"/>
        <v>0</v>
      </c>
    </row>
    <row r="691" spans="1:21" ht="14.1" customHeight="1">
      <c r="B691" s="276" t="s">
        <v>232</v>
      </c>
      <c r="C691" s="276" t="s">
        <v>75</v>
      </c>
      <c r="E691" s="550">
        <f t="shared" ca="1" si="159"/>
        <v>0.51620134964098641</v>
      </c>
    </row>
    <row r="692" spans="1:21" ht="14.1" customHeight="1">
      <c r="B692" s="270" t="s">
        <v>255</v>
      </c>
      <c r="C692" s="276" t="s">
        <v>75</v>
      </c>
      <c r="E692" s="550">
        <f t="shared" ca="1" si="159"/>
        <v>0</v>
      </c>
    </row>
    <row r="693" spans="1:21" ht="14.1" customHeight="1"/>
    <row r="694" spans="1:21" s="298" customFormat="1" ht="14.1" customHeight="1">
      <c r="A694" s="293" t="s">
        <v>491</v>
      </c>
      <c r="B694" s="293"/>
      <c r="C694" s="293"/>
      <c r="D694" s="293"/>
      <c r="E694" s="300"/>
      <c r="F694" s="293"/>
      <c r="G694" s="293"/>
      <c r="H694" s="293"/>
      <c r="I694" s="293"/>
      <c r="J694" s="293"/>
      <c r="K694" s="469"/>
      <c r="L694" s="293"/>
      <c r="M694" s="293"/>
      <c r="N694" s="293"/>
      <c r="O694" s="293"/>
      <c r="P694" s="293"/>
      <c r="Q694" s="293"/>
      <c r="R694" s="293"/>
      <c r="S694" s="293"/>
      <c r="T694" s="293"/>
      <c r="U694" s="293"/>
    </row>
    <row r="695" spans="1:21" ht="14.1" customHeight="1">
      <c r="B695" s="276" t="s">
        <v>215</v>
      </c>
      <c r="C695" s="276" t="s">
        <v>74</v>
      </c>
      <c r="E695" s="586">
        <f ca="1">E675*I327/1000</f>
        <v>0.95959759980913928</v>
      </c>
    </row>
    <row r="696" spans="1:21" ht="14.1" customHeight="1">
      <c r="B696" s="276" t="s">
        <v>216</v>
      </c>
      <c r="C696" s="276" t="s">
        <v>74</v>
      </c>
      <c r="E696" s="586">
        <f t="shared" ref="E696:E712" ca="1" si="160">E676*I328/1000</f>
        <v>0</v>
      </c>
    </row>
    <row r="697" spans="1:21" ht="14.1" customHeight="1">
      <c r="B697" s="276" t="s">
        <v>217</v>
      </c>
      <c r="C697" s="276" t="s">
        <v>74</v>
      </c>
      <c r="E697" s="586">
        <f ca="1">E677*I329/1000</f>
        <v>1.700858228400947</v>
      </c>
    </row>
    <row r="698" spans="1:21" ht="14.1" customHeight="1">
      <c r="B698" s="276" t="s">
        <v>219</v>
      </c>
      <c r="C698" s="276" t="s">
        <v>74</v>
      </c>
      <c r="E698" s="586">
        <f t="shared" ca="1" si="160"/>
        <v>1.8638767590468126</v>
      </c>
    </row>
    <row r="699" spans="1:21" ht="14.1" customHeight="1">
      <c r="B699" s="276" t="s">
        <v>220</v>
      </c>
      <c r="C699" s="276" t="s">
        <v>74</v>
      </c>
      <c r="E699" s="586">
        <f t="shared" ca="1" si="160"/>
        <v>0</v>
      </c>
    </row>
    <row r="700" spans="1:21" ht="14.1" customHeight="1">
      <c r="B700" s="276" t="s">
        <v>221</v>
      </c>
      <c r="C700" s="276" t="s">
        <v>74</v>
      </c>
      <c r="E700" s="586">
        <f t="shared" ca="1" si="160"/>
        <v>0</v>
      </c>
    </row>
    <row r="701" spans="1:21" ht="14.1" customHeight="1">
      <c r="B701" s="276" t="s">
        <v>222</v>
      </c>
      <c r="C701" s="276" t="s">
        <v>74</v>
      </c>
      <c r="E701" s="586">
        <f t="shared" ca="1" si="160"/>
        <v>1.6808539774089313</v>
      </c>
    </row>
    <row r="702" spans="1:21" ht="14.1" customHeight="1">
      <c r="B702" s="276" t="s">
        <v>223</v>
      </c>
      <c r="C702" s="276" t="s">
        <v>74</v>
      </c>
      <c r="E702" s="586">
        <f t="shared" ca="1" si="160"/>
        <v>1.8591503926776038</v>
      </c>
    </row>
    <row r="703" spans="1:21" ht="14.1" customHeight="1">
      <c r="B703" s="276" t="s">
        <v>224</v>
      </c>
      <c r="C703" s="276" t="s">
        <v>74</v>
      </c>
      <c r="E703" s="586">
        <f t="shared" ca="1" si="160"/>
        <v>0.59878287509838901</v>
      </c>
    </row>
    <row r="704" spans="1:21" ht="14.1" customHeight="1">
      <c r="B704" s="276" t="s">
        <v>225</v>
      </c>
      <c r="C704" s="276" t="s">
        <v>74</v>
      </c>
      <c r="E704" s="586">
        <f t="shared" ca="1" si="160"/>
        <v>0</v>
      </c>
    </row>
    <row r="705" spans="1:26" ht="14.1" customHeight="1">
      <c r="B705" s="276" t="s">
        <v>226</v>
      </c>
      <c r="C705" s="276" t="s">
        <v>74</v>
      </c>
      <c r="E705" s="586">
        <f t="shared" ca="1" si="160"/>
        <v>0</v>
      </c>
    </row>
    <row r="706" spans="1:26" ht="14.1" customHeight="1">
      <c r="B706" s="276" t="s">
        <v>227</v>
      </c>
      <c r="C706" s="276" t="s">
        <v>74</v>
      </c>
      <c r="E706" s="586">
        <f t="shared" ca="1" si="160"/>
        <v>0.16921457596216921</v>
      </c>
    </row>
    <row r="707" spans="1:26" ht="14.1" customHeight="1">
      <c r="B707" s="276" t="s">
        <v>228</v>
      </c>
      <c r="C707" s="276" t="s">
        <v>74</v>
      </c>
      <c r="E707" s="586">
        <f t="shared" ca="1" si="160"/>
        <v>1.5993930693650817E-2</v>
      </c>
    </row>
    <row r="708" spans="1:26" ht="14.1" customHeight="1">
      <c r="B708" s="276" t="s">
        <v>229</v>
      </c>
      <c r="C708" s="276" t="s">
        <v>74</v>
      </c>
      <c r="E708" s="586">
        <f t="shared" ca="1" si="160"/>
        <v>0</v>
      </c>
    </row>
    <row r="709" spans="1:26" ht="14.1" customHeight="1">
      <c r="B709" s="276" t="s">
        <v>230</v>
      </c>
      <c r="C709" s="276" t="s">
        <v>74</v>
      </c>
      <c r="E709" s="586">
        <f t="shared" ca="1" si="160"/>
        <v>0.30934382220756601</v>
      </c>
    </row>
    <row r="710" spans="1:26" ht="14.1" customHeight="1">
      <c r="B710" s="276" t="s">
        <v>231</v>
      </c>
      <c r="C710" s="276" t="s">
        <v>74</v>
      </c>
      <c r="E710" s="586">
        <f t="shared" ca="1" si="160"/>
        <v>0</v>
      </c>
    </row>
    <row r="711" spans="1:26" ht="14.1" customHeight="1">
      <c r="B711" s="276" t="s">
        <v>232</v>
      </c>
      <c r="C711" s="276" t="s">
        <v>74</v>
      </c>
      <c r="E711" s="586">
        <f t="shared" ca="1" si="160"/>
        <v>0.33466185229452061</v>
      </c>
    </row>
    <row r="712" spans="1:26" ht="14.1" customHeight="1">
      <c r="B712" s="270" t="s">
        <v>255</v>
      </c>
      <c r="C712" s="276" t="s">
        <v>74</v>
      </c>
      <c r="E712" s="586">
        <f t="shared" ca="1" si="160"/>
        <v>0</v>
      </c>
    </row>
    <row r="713" spans="1:26" ht="14.1" customHeight="1"/>
    <row r="714" spans="1:26" s="291" customFormat="1" ht="14.1" customHeight="1">
      <c r="A714" s="293" t="s">
        <v>438</v>
      </c>
      <c r="B714" s="289"/>
      <c r="C714" s="289"/>
      <c r="D714" s="289"/>
      <c r="E714" s="289"/>
      <c r="F714" s="289"/>
      <c r="G714" s="289"/>
      <c r="H714" s="289"/>
      <c r="I714" s="289"/>
      <c r="J714" s="289"/>
      <c r="K714" s="470"/>
      <c r="L714" s="289"/>
      <c r="M714" s="289"/>
      <c r="N714" s="289"/>
      <c r="O714" s="289"/>
      <c r="P714" s="289"/>
      <c r="Q714" s="289"/>
      <c r="R714" s="289"/>
      <c r="S714" s="289"/>
      <c r="T714" s="289"/>
      <c r="U714" s="289"/>
    </row>
    <row r="715" spans="1:26" ht="14.1" customHeight="1">
      <c r="B715" s="276" t="s">
        <v>215</v>
      </c>
      <c r="C715" s="276" t="s">
        <v>250</v>
      </c>
      <c r="F715" s="347">
        <f>'New cost and adjustments inputs'!F47*'New cost and adjustments inputs'!F159</f>
        <v>1.6662399999999999</v>
      </c>
      <c r="G715" s="347">
        <f>'New cost and adjustments inputs'!G47*'New cost and adjustments inputs'!G159</f>
        <v>1.7445600000000001</v>
      </c>
      <c r="H715" s="347">
        <f>'New cost and adjustments inputs'!H47*'New cost and adjustments inputs'!H159</f>
        <v>1.728</v>
      </c>
      <c r="I715" s="347">
        <f>'New cost and adjustments inputs'!I47*'New cost and adjustments inputs'!I159</f>
        <v>1.72348213421129</v>
      </c>
      <c r="J715" s="347">
        <f>'New cost and adjustments inputs'!J47*'New cost and adjustments inputs'!J159</f>
        <v>1.7193090539831799</v>
      </c>
      <c r="K715" s="537">
        <f>'New cost and adjustments inputs'!K47*'New cost and adjustments inputs'!K159</f>
        <v>1.7176018468827143</v>
      </c>
      <c r="L715" s="538">
        <f>'New cost and adjustments inputs'!L47*'New cost and adjustments inputs'!L159</f>
        <v>1.7176018468827143</v>
      </c>
      <c r="M715" s="538">
        <f>'New cost and adjustments inputs'!M47*'New cost and adjustments inputs'!M159</f>
        <v>1.7176018468827143</v>
      </c>
      <c r="N715" s="538">
        <f>'New cost and adjustments inputs'!N47*'New cost and adjustments inputs'!N159</f>
        <v>1.7176018468827143</v>
      </c>
      <c r="O715" s="538">
        <f>'New cost and adjustments inputs'!O47*'New cost and adjustments inputs'!O159</f>
        <v>1.7176018468827143</v>
      </c>
      <c r="Q715" s="581" t="s">
        <v>300</v>
      </c>
      <c r="R715" s="270"/>
      <c r="S715" s="270"/>
      <c r="T715" s="582" t="s">
        <v>301</v>
      </c>
      <c r="U715" s="270"/>
      <c r="V715" s="581"/>
      <c r="W715" s="581" t="s">
        <v>302</v>
      </c>
      <c r="X715" s="275"/>
      <c r="Y715" s="275"/>
      <c r="Z715" s="275"/>
    </row>
    <row r="716" spans="1:26" ht="14.1" customHeight="1">
      <c r="C716" s="276" t="s">
        <v>450</v>
      </c>
      <c r="E716" s="286" t="str">
        <f>'New cost and adjustments inputs'!E48</f>
        <v>No</v>
      </c>
      <c r="F716" s="347">
        <f>'New cost and adjustments inputs'!F48*'New cost and adjustments inputs'!F160/Rebasing</f>
        <v>0</v>
      </c>
      <c r="G716" s="347">
        <f>'New cost and adjustments inputs'!G48*'New cost and adjustments inputs'!G160/Rebasing</f>
        <v>0</v>
      </c>
      <c r="H716" s="347">
        <f>'New cost and adjustments inputs'!H48*'New cost and adjustments inputs'!H160/Rebasing</f>
        <v>0</v>
      </c>
      <c r="I716" s="347">
        <f>'New cost and adjustments inputs'!I48*'New cost and adjustments inputs'!I160/Rebasing</f>
        <v>0</v>
      </c>
      <c r="J716" s="347">
        <f>'New cost and adjustments inputs'!J48*'New cost and adjustments inputs'!J160/Rebasing</f>
        <v>0</v>
      </c>
      <c r="K716" s="347">
        <f>'New cost and adjustments inputs'!K48*'New cost and adjustments inputs'!K160/Rebasing</f>
        <v>0</v>
      </c>
      <c r="L716" s="347">
        <f>'New cost and adjustments inputs'!L48*'New cost and adjustments inputs'!L160/Rebasing</f>
        <v>0</v>
      </c>
      <c r="M716" s="347">
        <f>'New cost and adjustments inputs'!M48*'New cost and adjustments inputs'!M160/Rebasing</f>
        <v>0</v>
      </c>
      <c r="N716" s="347">
        <f>'New cost and adjustments inputs'!N48*'New cost and adjustments inputs'!N160/Rebasing</f>
        <v>0</v>
      </c>
      <c r="O716" s="347">
        <f>'New cost and adjustments inputs'!O48*'New cost and adjustments inputs'!O160/Rebasing</f>
        <v>0</v>
      </c>
      <c r="Q716" s="276">
        <f ca="1">VLOOKUP(B715,B$575:E$593,4,FALSE)</f>
        <v>8.4493924607370818</v>
      </c>
      <c r="T716" s="276">
        <f>SUM(K716:O716)</f>
        <v>0</v>
      </c>
      <c r="W716" s="268" t="str">
        <f ca="1">IF(T716&gt;Q$716,"Yes","No")</f>
        <v>No</v>
      </c>
      <c r="Y716" s="276"/>
    </row>
    <row r="717" spans="1:26" ht="14.1" customHeight="1">
      <c r="C717" s="276" t="s">
        <v>247</v>
      </c>
      <c r="E717" s="286" t="str">
        <f>'New cost and adjustments inputs'!E49</f>
        <v>No</v>
      </c>
      <c r="F717" s="347">
        <f>'New cost and adjustments inputs'!F49*'New cost and adjustments inputs'!F161</f>
        <v>0</v>
      </c>
      <c r="G717" s="347">
        <f>'New cost and adjustments inputs'!G49*'New cost and adjustments inputs'!G161</f>
        <v>0</v>
      </c>
      <c r="H717" s="347">
        <f>'New cost and adjustments inputs'!H49*'New cost and adjustments inputs'!H161</f>
        <v>0</v>
      </c>
      <c r="I717" s="347">
        <f>'New cost and adjustments inputs'!I49*'New cost and adjustments inputs'!I161</f>
        <v>0</v>
      </c>
      <c r="J717" s="347">
        <f>'New cost and adjustments inputs'!J49*'New cost and adjustments inputs'!J161</f>
        <v>0</v>
      </c>
      <c r="K717" s="537">
        <f>'New cost and adjustments inputs'!K49*'New cost and adjustments inputs'!K161</f>
        <v>0</v>
      </c>
      <c r="L717" s="538">
        <f>'New cost and adjustments inputs'!L49*'New cost and adjustments inputs'!L161</f>
        <v>0</v>
      </c>
      <c r="M717" s="538">
        <f>'New cost and adjustments inputs'!M49*'New cost and adjustments inputs'!M161</f>
        <v>0</v>
      </c>
      <c r="N717" s="538">
        <f>'New cost and adjustments inputs'!N49*'New cost and adjustments inputs'!N161</f>
        <v>0</v>
      </c>
      <c r="O717" s="538">
        <f>'New cost and adjustments inputs'!O49*'New cost and adjustments inputs'!O161</f>
        <v>0</v>
      </c>
      <c r="T717" s="276">
        <f>SUM(K717:O717)</f>
        <v>0</v>
      </c>
      <c r="W717" s="268" t="str">
        <f ca="1">IF(T717&gt;Q$716,"Yes","No")</f>
        <v>No</v>
      </c>
      <c r="Y717" s="276"/>
    </row>
    <row r="718" spans="1:26" ht="14.1" customHeight="1">
      <c r="C718" s="276" t="s">
        <v>248</v>
      </c>
      <c r="E718" s="286" t="str">
        <f>'New cost and adjustments inputs'!E50</f>
        <v>No</v>
      </c>
      <c r="F718" s="347">
        <f>'New cost and adjustments inputs'!F50*'New cost and adjustments inputs'!F162</f>
        <v>0</v>
      </c>
      <c r="G718" s="347">
        <f>'New cost and adjustments inputs'!G50*'New cost and adjustments inputs'!G162</f>
        <v>0</v>
      </c>
      <c r="H718" s="347">
        <f>'New cost and adjustments inputs'!H50*'New cost and adjustments inputs'!H162</f>
        <v>0</v>
      </c>
      <c r="I718" s="347">
        <f>'New cost and adjustments inputs'!I50*'New cost and adjustments inputs'!I162</f>
        <v>0</v>
      </c>
      <c r="J718" s="347">
        <f>'New cost and adjustments inputs'!J50*'New cost and adjustments inputs'!J162</f>
        <v>0</v>
      </c>
      <c r="K718" s="537">
        <f>'New cost and adjustments inputs'!K50*'New cost and adjustments inputs'!K162</f>
        <v>0</v>
      </c>
      <c r="L718" s="538">
        <f>'New cost and adjustments inputs'!L50*'New cost and adjustments inputs'!L162</f>
        <v>0</v>
      </c>
      <c r="M718" s="538">
        <f>'New cost and adjustments inputs'!M50*'New cost and adjustments inputs'!M162</f>
        <v>0</v>
      </c>
      <c r="N718" s="538">
        <f>'New cost and adjustments inputs'!N50*'New cost and adjustments inputs'!N162</f>
        <v>0</v>
      </c>
      <c r="O718" s="538">
        <f>'New cost and adjustments inputs'!O50*'New cost and adjustments inputs'!O162</f>
        <v>0</v>
      </c>
      <c r="T718" s="276">
        <f>SUM(K718:O718)</f>
        <v>0</v>
      </c>
      <c r="W718" s="268" t="str">
        <f ca="1">IF(T718&gt;Q$716,"Yes","No")</f>
        <v>No</v>
      </c>
      <c r="Y718" s="276"/>
    </row>
    <row r="719" spans="1:26" ht="14.1" customHeight="1">
      <c r="C719" s="276" t="s">
        <v>451</v>
      </c>
      <c r="F719" s="347">
        <f t="shared" ref="F719:O719" si="161">IF($E716="yes",F716,0)+IF($E717="yes",F717,0)+IF($E718="yes",F718,0)+F715</f>
        <v>1.6662399999999999</v>
      </c>
      <c r="G719" s="347">
        <f t="shared" si="161"/>
        <v>1.7445600000000001</v>
      </c>
      <c r="H719" s="347">
        <f t="shared" si="161"/>
        <v>1.728</v>
      </c>
      <c r="I719" s="347">
        <f>IF($E716="yes",I716,0)+IF($E717="yes",I717,0)+IF($E718="yes",I718,0)+I715</f>
        <v>1.72348213421129</v>
      </c>
      <c r="J719" s="347">
        <f t="shared" si="161"/>
        <v>1.7193090539831799</v>
      </c>
      <c r="K719" s="537">
        <f t="shared" si="161"/>
        <v>1.7176018468827143</v>
      </c>
      <c r="L719" s="538">
        <f t="shared" si="161"/>
        <v>1.7176018468827143</v>
      </c>
      <c r="M719" s="538">
        <f t="shared" si="161"/>
        <v>1.7176018468827143</v>
      </c>
      <c r="N719" s="538">
        <f t="shared" si="161"/>
        <v>1.7176018468827143</v>
      </c>
      <c r="O719" s="538">
        <f t="shared" si="161"/>
        <v>1.7176018468827143</v>
      </c>
      <c r="Y719" s="276"/>
    </row>
    <row r="720" spans="1:26" ht="14.1" customHeight="1">
      <c r="C720" s="276" t="s">
        <v>452</v>
      </c>
      <c r="F720" s="347">
        <f>IF($E717="No",F717,0) +IF($E718="No",F718,0)</f>
        <v>0</v>
      </c>
      <c r="G720" s="347">
        <f t="shared" ref="G720:O720" si="162">IF($E717="No",G717,0) +IF($E718="No",G718,0)</f>
        <v>0</v>
      </c>
      <c r="H720" s="347">
        <f t="shared" si="162"/>
        <v>0</v>
      </c>
      <c r="I720" s="347">
        <f t="shared" si="162"/>
        <v>0</v>
      </c>
      <c r="J720" s="347">
        <f>IF($E717="No",J717,0) +IF($E718="No",J718,0)</f>
        <v>0</v>
      </c>
      <c r="K720" s="537">
        <f t="shared" si="162"/>
        <v>0</v>
      </c>
      <c r="L720" s="538">
        <f t="shared" si="162"/>
        <v>0</v>
      </c>
      <c r="M720" s="538">
        <f t="shared" si="162"/>
        <v>0</v>
      </c>
      <c r="N720" s="538">
        <f t="shared" si="162"/>
        <v>0</v>
      </c>
      <c r="O720" s="538">
        <f t="shared" si="162"/>
        <v>0</v>
      </c>
      <c r="Y720" s="276"/>
    </row>
    <row r="721" spans="2:25" ht="14.1" customHeight="1">
      <c r="B721" s="276" t="s">
        <v>216</v>
      </c>
      <c r="C721" s="276" t="s">
        <v>250</v>
      </c>
      <c r="F721" s="347">
        <f>'New cost and adjustments inputs'!F53*'New cost and adjustments inputs'!F165</f>
        <v>0.11700000000000001</v>
      </c>
      <c r="G721" s="347">
        <f>'New cost and adjustments inputs'!G53*'New cost and adjustments inputs'!G165</f>
        <v>0.22800000000000001</v>
      </c>
      <c r="H721" s="347">
        <f>'New cost and adjustments inputs'!H53*'New cost and adjustments inputs'!H165</f>
        <v>0.108</v>
      </c>
      <c r="I721" s="347">
        <f>'New cost and adjustments inputs'!I53*'New cost and adjustments inputs'!I165</f>
        <v>0.185</v>
      </c>
      <c r="J721" s="347">
        <f>'New cost and adjustments inputs'!J53*'New cost and adjustments inputs'!J165</f>
        <v>0.185</v>
      </c>
      <c r="K721" s="537">
        <f>'New cost and adjustments inputs'!K53*'New cost and adjustments inputs'!K165</f>
        <v>0.10183076796032899</v>
      </c>
      <c r="L721" s="538">
        <f>'New cost and adjustments inputs'!L53*'New cost and adjustments inputs'!L165</f>
        <v>0.10183076796032899</v>
      </c>
      <c r="M721" s="538">
        <f>'New cost and adjustments inputs'!M53*'New cost and adjustments inputs'!M165</f>
        <v>0.10183076796032899</v>
      </c>
      <c r="N721" s="538">
        <f>'New cost and adjustments inputs'!N53*'New cost and adjustments inputs'!N165</f>
        <v>0.10183076796032899</v>
      </c>
      <c r="O721" s="538">
        <f>'New cost and adjustments inputs'!O53*'New cost and adjustments inputs'!O165</f>
        <v>0.10183076796032899</v>
      </c>
      <c r="Y721" s="276"/>
    </row>
    <row r="722" spans="2:25" ht="14.1" customHeight="1">
      <c r="C722" s="276" t="s">
        <v>450</v>
      </c>
      <c r="E722" s="286" t="str">
        <f>'New cost and adjustments inputs'!E54</f>
        <v>No</v>
      </c>
      <c r="F722" s="347">
        <f>'New cost and adjustments inputs'!F54*'New cost and adjustments inputs'!F166/Rebasing</f>
        <v>0</v>
      </c>
      <c r="G722" s="347">
        <f>'New cost and adjustments inputs'!G54*'New cost and adjustments inputs'!G166/Rebasing</f>
        <v>0</v>
      </c>
      <c r="H722" s="347">
        <f>'New cost and adjustments inputs'!H54*'New cost and adjustments inputs'!H166/Rebasing</f>
        <v>0</v>
      </c>
      <c r="I722" s="347">
        <f>'New cost and adjustments inputs'!I54*'New cost and adjustments inputs'!I166/Rebasing</f>
        <v>0</v>
      </c>
      <c r="J722" s="347">
        <f>'New cost and adjustments inputs'!J54*'New cost and adjustments inputs'!J166/Rebasing</f>
        <v>1.4752135637550479</v>
      </c>
      <c r="K722" s="347">
        <f>'New cost and adjustments inputs'!K54*'New cost and adjustments inputs'!K166/Rebasing</f>
        <v>1.4752135637550479</v>
      </c>
      <c r="L722" s="347">
        <f>'New cost and adjustments inputs'!L54*'New cost and adjustments inputs'!L166/Rebasing</f>
        <v>1.4752135637550479</v>
      </c>
      <c r="M722" s="347">
        <f>'New cost and adjustments inputs'!M54*'New cost and adjustments inputs'!M166/Rebasing</f>
        <v>1.4752135637550479</v>
      </c>
      <c r="N722" s="347">
        <f>'New cost and adjustments inputs'!N54*'New cost and adjustments inputs'!N166/Rebasing</f>
        <v>1.4752135637550479</v>
      </c>
      <c r="O722" s="347">
        <f>'New cost and adjustments inputs'!O54*'New cost and adjustments inputs'!O166/Rebasing</f>
        <v>1.4752135637550479</v>
      </c>
      <c r="Q722" s="276">
        <f ca="1">VLOOKUP(B721,B$575:E$593,4,FALSE)</f>
        <v>6.1240742920941189</v>
      </c>
      <c r="T722" s="276">
        <f>SUM(K722:O722)</f>
        <v>7.3760678187752395</v>
      </c>
      <c r="W722" s="268" t="str">
        <f ca="1">IF(T722&gt;Q$722,"Yes","No")</f>
        <v>Yes</v>
      </c>
      <c r="Y722" s="276"/>
    </row>
    <row r="723" spans="2:25" ht="14.1" customHeight="1">
      <c r="C723" s="276" t="s">
        <v>247</v>
      </c>
      <c r="E723" s="286" t="str">
        <f>'New cost and adjustments inputs'!E55</f>
        <v>Yes</v>
      </c>
      <c r="F723" s="347">
        <f>'New cost and adjustments inputs'!F55*'New cost and adjustments inputs'!F167</f>
        <v>0</v>
      </c>
      <c r="G723" s="347">
        <f>'New cost and adjustments inputs'!G55*'New cost and adjustments inputs'!G167</f>
        <v>0</v>
      </c>
      <c r="H723" s="347">
        <f>'New cost and adjustments inputs'!H55*'New cost and adjustments inputs'!H167</f>
        <v>0</v>
      </c>
      <c r="I723" s="347">
        <f>'New cost and adjustments inputs'!I55*'New cost and adjustments inputs'!I167</f>
        <v>10.126242313445239</v>
      </c>
      <c r="J723" s="347">
        <f>'New cost and adjustments inputs'!J55*'New cost and adjustments inputs'!J167</f>
        <v>10.126242313445239</v>
      </c>
      <c r="K723" s="537">
        <f>'New cost and adjustments inputs'!K55*'New cost and adjustments inputs'!K167</f>
        <v>9.6199301977729768</v>
      </c>
      <c r="L723" s="538">
        <f>'New cost and adjustments inputs'!L55*'New cost and adjustments inputs'!L167</f>
        <v>9.1394073458534137</v>
      </c>
      <c r="M723" s="538">
        <f>'New cost and adjustments inputs'!M55*'New cost and adjustments inputs'!M167</f>
        <v>8.681679125810204</v>
      </c>
      <c r="N723" s="538">
        <f>'New cost and adjustments inputs'!N55*'New cost and adjustments inputs'!N167</f>
        <v>8.247595169519693</v>
      </c>
      <c r="O723" s="538">
        <f>'New cost and adjustments inputs'!O55*'New cost and adjustments inputs'!O167</f>
        <v>7.8352154110437082</v>
      </c>
      <c r="T723" s="276">
        <f>SUM(K723:O723)</f>
        <v>43.523827249999989</v>
      </c>
      <c r="W723" s="268" t="str">
        <f ca="1">IF(T723&gt;Q$722,"Yes","No")</f>
        <v>Yes</v>
      </c>
      <c r="Y723" s="276"/>
    </row>
    <row r="724" spans="2:25" ht="14.1" customHeight="1">
      <c r="C724" s="276" t="s">
        <v>248</v>
      </c>
      <c r="E724" s="286" t="str">
        <f>'New cost and adjustments inputs'!E56</f>
        <v>No</v>
      </c>
      <c r="F724" s="347">
        <f>'New cost and adjustments inputs'!F56*'New cost and adjustments inputs'!F168</f>
        <v>0</v>
      </c>
      <c r="G724" s="347">
        <f>'New cost and adjustments inputs'!G56*'New cost and adjustments inputs'!G168</f>
        <v>0</v>
      </c>
      <c r="H724" s="347">
        <f>'New cost and adjustments inputs'!H56*'New cost and adjustments inputs'!H168</f>
        <v>0</v>
      </c>
      <c r="I724" s="347">
        <f>'New cost and adjustments inputs'!I56*'New cost and adjustments inputs'!I168</f>
        <v>0</v>
      </c>
      <c r="J724" s="347">
        <f>'New cost and adjustments inputs'!J56*'New cost and adjustments inputs'!J168</f>
        <v>0</v>
      </c>
      <c r="K724" s="537">
        <f>'New cost and adjustments inputs'!K56*'New cost and adjustments inputs'!K168</f>
        <v>0</v>
      </c>
      <c r="L724" s="538">
        <f>'New cost and adjustments inputs'!L56*'New cost and adjustments inputs'!L168</f>
        <v>0</v>
      </c>
      <c r="M724" s="538">
        <f>'New cost and adjustments inputs'!M56*'New cost and adjustments inputs'!M168</f>
        <v>0</v>
      </c>
      <c r="N724" s="538">
        <f>'New cost and adjustments inputs'!N56*'New cost and adjustments inputs'!N168</f>
        <v>0</v>
      </c>
      <c r="O724" s="538">
        <f>'New cost and adjustments inputs'!O56*'New cost and adjustments inputs'!O168</f>
        <v>0</v>
      </c>
      <c r="T724" s="276">
        <f>SUM(K724:O724)</f>
        <v>0</v>
      </c>
      <c r="W724" s="268" t="str">
        <f ca="1">IF(T724&gt;Q$722,"Yes","No")</f>
        <v>No</v>
      </c>
      <c r="Y724" s="276"/>
    </row>
    <row r="725" spans="2:25" ht="14.1" customHeight="1">
      <c r="C725" s="276" t="s">
        <v>451</v>
      </c>
      <c r="F725" s="347">
        <f>IF($E722="yes",F722,0)+IF($E723="yes",F723,0)+IF($E724="yes",F724,0)+F721</f>
        <v>0.11700000000000001</v>
      </c>
      <c r="G725" s="347">
        <f t="shared" ref="G725:O725" si="163">IF($E722="yes",G722,0)+IF($E723="yes",G723,0)+IF($E724="yes",G724,0)+G721</f>
        <v>0.22800000000000001</v>
      </c>
      <c r="H725" s="347">
        <f t="shared" si="163"/>
        <v>0.108</v>
      </c>
      <c r="I725" s="347">
        <f t="shared" si="163"/>
        <v>10.31124231344524</v>
      </c>
      <c r="J725" s="347">
        <f t="shared" si="163"/>
        <v>10.31124231344524</v>
      </c>
      <c r="K725" s="537">
        <f t="shared" si="163"/>
        <v>9.7217609657333064</v>
      </c>
      <c r="L725" s="538">
        <f t="shared" si="163"/>
        <v>9.2412381138137434</v>
      </c>
      <c r="M725" s="538">
        <f t="shared" si="163"/>
        <v>8.7835098937705336</v>
      </c>
      <c r="N725" s="538">
        <f t="shared" si="163"/>
        <v>8.3494259374800226</v>
      </c>
      <c r="O725" s="538">
        <f t="shared" si="163"/>
        <v>7.937046179004037</v>
      </c>
      <c r="Y725" s="276"/>
    </row>
    <row r="726" spans="2:25" ht="14.1" customHeight="1">
      <c r="C726" s="276" t="s">
        <v>452</v>
      </c>
      <c r="F726" s="347">
        <f>IF($E723="No",F723,0) +IF($E724="No",F724,0)</f>
        <v>0</v>
      </c>
      <c r="G726" s="347">
        <f t="shared" ref="G726:O726" si="164">IF($E723="No",G723,0) +IF($E724="No",G724,0)</f>
        <v>0</v>
      </c>
      <c r="H726" s="347">
        <f t="shared" si="164"/>
        <v>0</v>
      </c>
      <c r="I726" s="347">
        <f t="shared" si="164"/>
        <v>0</v>
      </c>
      <c r="J726" s="347">
        <f t="shared" si="164"/>
        <v>0</v>
      </c>
      <c r="K726" s="537">
        <f t="shared" si="164"/>
        <v>0</v>
      </c>
      <c r="L726" s="538">
        <f t="shared" si="164"/>
        <v>0</v>
      </c>
      <c r="M726" s="538">
        <f t="shared" si="164"/>
        <v>0</v>
      </c>
      <c r="N726" s="538">
        <f t="shared" si="164"/>
        <v>0</v>
      </c>
      <c r="O726" s="538">
        <f t="shared" si="164"/>
        <v>0</v>
      </c>
      <c r="Y726" s="276"/>
    </row>
    <row r="727" spans="2:25" ht="14.1" customHeight="1">
      <c r="B727" s="276" t="s">
        <v>217</v>
      </c>
      <c r="C727" s="276" t="s">
        <v>250</v>
      </c>
      <c r="F727" s="347">
        <f>'New cost and adjustments inputs'!F59*'New cost and adjustments inputs'!F171</f>
        <v>0</v>
      </c>
      <c r="G727" s="347">
        <f>'New cost and adjustments inputs'!G59*'New cost and adjustments inputs'!G171</f>
        <v>0</v>
      </c>
      <c r="H727" s="347">
        <f>'New cost and adjustments inputs'!H59*'New cost and adjustments inputs'!H171</f>
        <v>0</v>
      </c>
      <c r="I727" s="347">
        <f>'New cost and adjustments inputs'!I59*'New cost and adjustments inputs'!I171</f>
        <v>0</v>
      </c>
      <c r="J727" s="347">
        <f>'New cost and adjustments inputs'!J59*'New cost and adjustments inputs'!J171</f>
        <v>0</v>
      </c>
      <c r="K727" s="537">
        <f>'New cost and adjustments inputs'!K59*'New cost and adjustments inputs'!K171</f>
        <v>0.54593144073919198</v>
      </c>
      <c r="L727" s="538">
        <f>'New cost and adjustments inputs'!L59*'New cost and adjustments inputs'!L171</f>
        <v>0.54593144073919198</v>
      </c>
      <c r="M727" s="538">
        <f>'New cost and adjustments inputs'!M59*'New cost and adjustments inputs'!M171</f>
        <v>0.54593144073919198</v>
      </c>
      <c r="N727" s="538">
        <f>'New cost and adjustments inputs'!N59*'New cost and adjustments inputs'!N171</f>
        <v>0.54593144073919198</v>
      </c>
      <c r="O727" s="538">
        <f>'New cost and adjustments inputs'!O59*'New cost and adjustments inputs'!O171</f>
        <v>0.54593144073919198</v>
      </c>
      <c r="Y727" s="276"/>
    </row>
    <row r="728" spans="2:25" ht="14.1" customHeight="1">
      <c r="C728" s="276" t="s">
        <v>450</v>
      </c>
      <c r="E728" s="286" t="str">
        <f>'New cost and adjustments inputs'!E60</f>
        <v>No</v>
      </c>
      <c r="F728" s="347">
        <f>'New cost and adjustments inputs'!F60*'New cost and adjustments inputs'!F172/Rebasing</f>
        <v>0</v>
      </c>
      <c r="G728" s="347">
        <f>'New cost and adjustments inputs'!G60*'New cost and adjustments inputs'!G172/Rebasing</f>
        <v>0</v>
      </c>
      <c r="H728" s="347">
        <f>'New cost and adjustments inputs'!H60*'New cost and adjustments inputs'!H172/Rebasing</f>
        <v>0</v>
      </c>
      <c r="I728" s="347">
        <f>'New cost and adjustments inputs'!I60*'New cost and adjustments inputs'!I172/Rebasing</f>
        <v>0</v>
      </c>
      <c r="J728" s="347">
        <f>'New cost and adjustments inputs'!J60*'New cost and adjustments inputs'!J172/Rebasing</f>
        <v>0</v>
      </c>
      <c r="K728" s="347">
        <f>'New cost and adjustments inputs'!K60*'New cost and adjustments inputs'!K172/Rebasing</f>
        <v>0</v>
      </c>
      <c r="L728" s="347">
        <f>'New cost and adjustments inputs'!L60*'New cost and adjustments inputs'!L172/Rebasing</f>
        <v>0</v>
      </c>
      <c r="M728" s="347">
        <f>'New cost and adjustments inputs'!M60*'New cost and adjustments inputs'!M172/Rebasing</f>
        <v>0</v>
      </c>
      <c r="N728" s="347">
        <f>'New cost and adjustments inputs'!N60*'New cost and adjustments inputs'!N172/Rebasing</f>
        <v>0</v>
      </c>
      <c r="O728" s="347">
        <f>'New cost and adjustments inputs'!O60*'New cost and adjustments inputs'!O172/Rebasing</f>
        <v>0</v>
      </c>
      <c r="Q728" s="276">
        <f ca="1">VLOOKUP(B727,B$575:E$593,4,FALSE)</f>
        <v>6.0468390942852643</v>
      </c>
      <c r="T728" s="276">
        <f>SUM(K728:O728)</f>
        <v>0</v>
      </c>
      <c r="W728" s="268" t="str">
        <f ca="1">IF(T728&gt;Q$728,"Yes","No")</f>
        <v>No</v>
      </c>
      <c r="Y728" s="276"/>
    </row>
    <row r="729" spans="2:25" ht="14.1" customHeight="1">
      <c r="C729" s="276" t="s">
        <v>247</v>
      </c>
      <c r="E729" s="286" t="str">
        <f>'New cost and adjustments inputs'!E61</f>
        <v>Yes</v>
      </c>
      <c r="F729" s="347">
        <f>'New cost and adjustments inputs'!F61*'New cost and adjustments inputs'!F173</f>
        <v>0</v>
      </c>
      <c r="G729" s="347">
        <f>'New cost and adjustments inputs'!G61*'New cost and adjustments inputs'!G173</f>
        <v>0</v>
      </c>
      <c r="H729" s="347">
        <f>'New cost and adjustments inputs'!H61*'New cost and adjustments inputs'!H173</f>
        <v>3.0130793167372873</v>
      </c>
      <c r="I729" s="347">
        <f>'New cost and adjustments inputs'!I61*'New cost and adjustments inputs'!I173</f>
        <v>3.0130793167372873</v>
      </c>
      <c r="J729" s="347">
        <f>'New cost and adjustments inputs'!J61*'New cost and adjustments inputs'!J173</f>
        <v>3.0130793167372873</v>
      </c>
      <c r="K729" s="537">
        <f>'New cost and adjustments inputs'!K61*'New cost and adjustments inputs'!K173</f>
        <v>3.0130793167372873</v>
      </c>
      <c r="L729" s="538">
        <f>'New cost and adjustments inputs'!L61*'New cost and adjustments inputs'!L173</f>
        <v>3.0130793167372873</v>
      </c>
      <c r="M729" s="538">
        <f>'New cost and adjustments inputs'!M61*'New cost and adjustments inputs'!M173</f>
        <v>3.0130793167372873</v>
      </c>
      <c r="N729" s="538">
        <f>'New cost and adjustments inputs'!N61*'New cost and adjustments inputs'!N173</f>
        <v>3.0130793167372873</v>
      </c>
      <c r="O729" s="538">
        <f>'New cost and adjustments inputs'!O61*'New cost and adjustments inputs'!O173</f>
        <v>3.0130793167372873</v>
      </c>
      <c r="T729" s="276">
        <f>SUM(K729:O729)</f>
        <v>15.065396583686436</v>
      </c>
      <c r="W729" s="268" t="str">
        <f ca="1">IF(T729&gt;Q$728,"Yes","No")</f>
        <v>Yes</v>
      </c>
      <c r="Y729" s="276"/>
    </row>
    <row r="730" spans="2:25" ht="14.1" customHeight="1">
      <c r="C730" s="276" t="s">
        <v>248</v>
      </c>
      <c r="E730" s="286" t="str">
        <f>'New cost and adjustments inputs'!E62</f>
        <v>No</v>
      </c>
      <c r="F730" s="347">
        <f>'New cost and adjustments inputs'!F62*'New cost and adjustments inputs'!F174</f>
        <v>0</v>
      </c>
      <c r="G730" s="347">
        <f>'New cost and adjustments inputs'!G62*'New cost and adjustments inputs'!G174</f>
        <v>0</v>
      </c>
      <c r="H730" s="347">
        <f>'New cost and adjustments inputs'!H62*'New cost and adjustments inputs'!H174</f>
        <v>0</v>
      </c>
      <c r="I730" s="347">
        <f>'New cost and adjustments inputs'!I62*'New cost and adjustments inputs'!I174</f>
        <v>0</v>
      </c>
      <c r="J730" s="347">
        <f>'New cost and adjustments inputs'!J62*'New cost and adjustments inputs'!J174</f>
        <v>0</v>
      </c>
      <c r="K730" s="537">
        <f>'New cost and adjustments inputs'!K62*'New cost and adjustments inputs'!K174</f>
        <v>0</v>
      </c>
      <c r="L730" s="538">
        <f>'New cost and adjustments inputs'!L62*'New cost and adjustments inputs'!L174</f>
        <v>0</v>
      </c>
      <c r="M730" s="538">
        <f>'New cost and adjustments inputs'!M62*'New cost and adjustments inputs'!M174</f>
        <v>0</v>
      </c>
      <c r="N730" s="538">
        <f>'New cost and adjustments inputs'!N62*'New cost and adjustments inputs'!N174</f>
        <v>0</v>
      </c>
      <c r="O730" s="538">
        <f>'New cost and adjustments inputs'!O62*'New cost and adjustments inputs'!O174</f>
        <v>0</v>
      </c>
      <c r="T730" s="276">
        <f>SUM(K730:O730)</f>
        <v>0</v>
      </c>
      <c r="W730" s="268" t="str">
        <f ca="1">IF(T730&gt;Q$728,"Yes","No")</f>
        <v>No</v>
      </c>
      <c r="Y730" s="276"/>
    </row>
    <row r="731" spans="2:25" ht="14.1" customHeight="1">
      <c r="C731" s="276" t="s">
        <v>451</v>
      </c>
      <c r="F731" s="347">
        <f>IF($E728="yes",F728,0)+IF($E729="yes",F729,0)+IF($E730="yes",F730,0)+F727</f>
        <v>0</v>
      </c>
      <c r="G731" s="347">
        <f t="shared" ref="G731:O731" si="165">IF($E728="yes",G728,0)+IF($E729="yes",G729,0)+IF($E730="yes",G730,0)+G727</f>
        <v>0</v>
      </c>
      <c r="H731" s="347">
        <f t="shared" si="165"/>
        <v>3.0130793167372873</v>
      </c>
      <c r="I731" s="347">
        <f t="shared" si="165"/>
        <v>3.0130793167372873</v>
      </c>
      <c r="J731" s="347">
        <f t="shared" si="165"/>
        <v>3.0130793167372873</v>
      </c>
      <c r="K731" s="537">
        <f t="shared" si="165"/>
        <v>3.5590107574764795</v>
      </c>
      <c r="L731" s="538">
        <f t="shared" si="165"/>
        <v>3.5590107574764795</v>
      </c>
      <c r="M731" s="538">
        <f t="shared" si="165"/>
        <v>3.5590107574764795</v>
      </c>
      <c r="N731" s="538">
        <f t="shared" si="165"/>
        <v>3.5590107574764795</v>
      </c>
      <c r="O731" s="538">
        <f t="shared" si="165"/>
        <v>3.5590107574764795</v>
      </c>
      <c r="Y731" s="276"/>
    </row>
    <row r="732" spans="2:25" ht="14.1" customHeight="1">
      <c r="C732" s="276" t="s">
        <v>452</v>
      </c>
      <c r="F732" s="347">
        <f>IF($E729="No",F729,0) +IF($E730="No",F730,0)</f>
        <v>0</v>
      </c>
      <c r="G732" s="347">
        <f t="shared" ref="G732:O732" si="166">IF($E729="No",G729,0) +IF($E730="No",G730,0)</f>
        <v>0</v>
      </c>
      <c r="H732" s="347">
        <f t="shared" si="166"/>
        <v>0</v>
      </c>
      <c r="I732" s="347">
        <f t="shared" si="166"/>
        <v>0</v>
      </c>
      <c r="J732" s="347">
        <f t="shared" si="166"/>
        <v>0</v>
      </c>
      <c r="K732" s="537">
        <f t="shared" si="166"/>
        <v>0</v>
      </c>
      <c r="L732" s="538">
        <f t="shared" si="166"/>
        <v>0</v>
      </c>
      <c r="M732" s="538">
        <f t="shared" si="166"/>
        <v>0</v>
      </c>
      <c r="N732" s="538">
        <f t="shared" si="166"/>
        <v>0</v>
      </c>
      <c r="O732" s="538">
        <f t="shared" si="166"/>
        <v>0</v>
      </c>
      <c r="Y732" s="276"/>
    </row>
    <row r="733" spans="2:25" ht="14.1" customHeight="1">
      <c r="B733" s="276" t="s">
        <v>219</v>
      </c>
      <c r="C733" s="276" t="s">
        <v>250</v>
      </c>
      <c r="F733" s="347">
        <f>'New cost and adjustments inputs'!F65*'New cost and adjustments inputs'!F177</f>
        <v>0.77063786690249603</v>
      </c>
      <c r="G733" s="347">
        <f>'New cost and adjustments inputs'!G65*'New cost and adjustments inputs'!G177</f>
        <v>0.76421706704320502</v>
      </c>
      <c r="H733" s="347">
        <f>'New cost and adjustments inputs'!H65*'New cost and adjustments inputs'!H177</f>
        <v>0.75785696421428905</v>
      </c>
      <c r="I733" s="347">
        <f>'New cost and adjustments inputs'!I65*'New cost and adjustments inputs'!I177</f>
        <v>0.75155692918620498</v>
      </c>
      <c r="J733" s="347">
        <f>'New cost and adjustments inputs'!J65*'New cost and adjustments inputs'!J177</f>
        <v>0.74531633962882005</v>
      </c>
      <c r="K733" s="537">
        <f>'New cost and adjustments inputs'!K65*'New cost and adjustments inputs'!K177</f>
        <v>0.78641324815506974</v>
      </c>
      <c r="L733" s="538">
        <f>'New cost and adjustments inputs'!L65*'New cost and adjustments inputs'!L177</f>
        <v>0.78641324815506974</v>
      </c>
      <c r="M733" s="538">
        <f>'New cost and adjustments inputs'!M65*'New cost and adjustments inputs'!M177</f>
        <v>0.78641324815506974</v>
      </c>
      <c r="N733" s="538">
        <f>'New cost and adjustments inputs'!N65*'New cost and adjustments inputs'!N177</f>
        <v>0.78641324815506974</v>
      </c>
      <c r="O733" s="538">
        <f>'New cost and adjustments inputs'!O65*'New cost and adjustments inputs'!O177</f>
        <v>0.78641324815506974</v>
      </c>
      <c r="Y733" s="276"/>
    </row>
    <row r="734" spans="2:25" ht="14.1" customHeight="1">
      <c r="C734" s="276" t="s">
        <v>450</v>
      </c>
      <c r="E734" s="286" t="str">
        <f>'New cost and adjustments inputs'!E66</f>
        <v>No</v>
      </c>
      <c r="F734" s="347">
        <f>'New cost and adjustments inputs'!F66*'New cost and adjustments inputs'!F178/Rebasing</f>
        <v>0</v>
      </c>
      <c r="G734" s="347">
        <f>'New cost and adjustments inputs'!G66*'New cost and adjustments inputs'!G178/Rebasing</f>
        <v>0</v>
      </c>
      <c r="H734" s="347">
        <f>'New cost and adjustments inputs'!H66*'New cost and adjustments inputs'!H178/Rebasing</f>
        <v>0</v>
      </c>
      <c r="I734" s="347">
        <f>'New cost and adjustments inputs'!I66*'New cost and adjustments inputs'!I178/Rebasing</f>
        <v>0</v>
      </c>
      <c r="J734" s="347">
        <f>'New cost and adjustments inputs'!J66*'New cost and adjustments inputs'!J178/Rebasing</f>
        <v>0.31588734772245763</v>
      </c>
      <c r="K734" s="347">
        <f>'New cost and adjustments inputs'!K66*'New cost and adjustments inputs'!K178/Rebasing</f>
        <v>0.41303650148718285</v>
      </c>
      <c r="L734" s="347">
        <f>'New cost and adjustments inputs'!L66*'New cost and adjustments inputs'!L178/Rebasing</f>
        <v>0.85571962483476238</v>
      </c>
      <c r="M734" s="347">
        <f>'New cost and adjustments inputs'!M66*'New cost and adjustments inputs'!M178/Rebasing</f>
        <v>1.9173286467471879</v>
      </c>
      <c r="N734" s="347">
        <f>'New cost and adjustments inputs'!N66*'New cost and adjustments inputs'!N178/Rebasing</f>
        <v>2.9657213996847003</v>
      </c>
      <c r="O734" s="347">
        <f>'New cost and adjustments inputs'!O66*'New cost and adjustments inputs'!O178/Rebasing</f>
        <v>4.4216040060807797</v>
      </c>
      <c r="Q734" s="276">
        <f ca="1">VLOOKUP(B733,B$575:E$593,4,FALSE)</f>
        <v>12.69332182949894</v>
      </c>
      <c r="T734" s="276">
        <f>SUM(K734:O734)</f>
        <v>10.573410178834614</v>
      </c>
      <c r="W734" s="268" t="str">
        <f ca="1">IF(T734&gt;Q$734,"Yes","No")</f>
        <v>No</v>
      </c>
      <c r="Y734" s="276"/>
    </row>
    <row r="735" spans="2:25" ht="14.1" customHeight="1">
      <c r="C735" s="276" t="s">
        <v>247</v>
      </c>
      <c r="E735" s="286" t="str">
        <f>'New cost and adjustments inputs'!E67</f>
        <v>No</v>
      </c>
      <c r="F735" s="347">
        <f>'New cost and adjustments inputs'!F67*'New cost and adjustments inputs'!F179</f>
        <v>0</v>
      </c>
      <c r="G735" s="347">
        <f>'New cost and adjustments inputs'!G67*'New cost and adjustments inputs'!G179</f>
        <v>0</v>
      </c>
      <c r="H735" s="347">
        <f>'New cost and adjustments inputs'!H67*'New cost and adjustments inputs'!H179</f>
        <v>0</v>
      </c>
      <c r="I735" s="347">
        <f>'New cost and adjustments inputs'!I67*'New cost and adjustments inputs'!I179</f>
        <v>0</v>
      </c>
      <c r="J735" s="347">
        <f>'New cost and adjustments inputs'!J67*'New cost and adjustments inputs'!J179</f>
        <v>0</v>
      </c>
      <c r="K735" s="537">
        <f>'New cost and adjustments inputs'!K67*'New cost and adjustments inputs'!K179</f>
        <v>0</v>
      </c>
      <c r="L735" s="538">
        <f>'New cost and adjustments inputs'!L67*'New cost and adjustments inputs'!L179</f>
        <v>0</v>
      </c>
      <c r="M735" s="538">
        <f>'New cost and adjustments inputs'!M67*'New cost and adjustments inputs'!M179</f>
        <v>0</v>
      </c>
      <c r="N735" s="538">
        <f>'New cost and adjustments inputs'!N67*'New cost and adjustments inputs'!N179</f>
        <v>0</v>
      </c>
      <c r="O735" s="538">
        <f>'New cost and adjustments inputs'!O67*'New cost and adjustments inputs'!O179</f>
        <v>0</v>
      </c>
      <c r="T735" s="276">
        <f>SUM(K735:O735)</f>
        <v>0</v>
      </c>
      <c r="W735" s="268" t="str">
        <f ca="1">IF(T735&gt;Q$734,"Yes","No")</f>
        <v>No</v>
      </c>
      <c r="Y735" s="276"/>
    </row>
    <row r="736" spans="2:25" ht="14.1" customHeight="1">
      <c r="C736" s="276" t="s">
        <v>248</v>
      </c>
      <c r="E736" s="286" t="str">
        <f>'New cost and adjustments inputs'!E68</f>
        <v>No</v>
      </c>
      <c r="F736" s="347">
        <f>'New cost and adjustments inputs'!F68*'New cost and adjustments inputs'!F180</f>
        <v>0</v>
      </c>
      <c r="G736" s="347">
        <f>'New cost and adjustments inputs'!G68*'New cost and adjustments inputs'!G180</f>
        <v>0</v>
      </c>
      <c r="H736" s="347">
        <f>'New cost and adjustments inputs'!H68*'New cost and adjustments inputs'!H180</f>
        <v>0</v>
      </c>
      <c r="I736" s="347">
        <f>'New cost and adjustments inputs'!I68*'New cost and adjustments inputs'!I180</f>
        <v>0</v>
      </c>
      <c r="J736" s="347">
        <f>'New cost and adjustments inputs'!J68*'New cost and adjustments inputs'!J180</f>
        <v>0</v>
      </c>
      <c r="K736" s="537">
        <f>'New cost and adjustments inputs'!K68*'New cost and adjustments inputs'!K180</f>
        <v>0</v>
      </c>
      <c r="L736" s="538">
        <f>'New cost and adjustments inputs'!L68*'New cost and adjustments inputs'!L180</f>
        <v>0</v>
      </c>
      <c r="M736" s="538">
        <f>'New cost and adjustments inputs'!M68*'New cost and adjustments inputs'!M180</f>
        <v>0</v>
      </c>
      <c r="N736" s="538">
        <f>'New cost and adjustments inputs'!N68*'New cost and adjustments inputs'!N180</f>
        <v>0</v>
      </c>
      <c r="O736" s="538">
        <f>'New cost and adjustments inputs'!O68*'New cost and adjustments inputs'!O180</f>
        <v>0</v>
      </c>
      <c r="T736" s="276">
        <f>SUM(K736:O736)</f>
        <v>0</v>
      </c>
      <c r="W736" s="268" t="str">
        <f ca="1">IF(T736&gt;Q$734,"Yes","No")</f>
        <v>No</v>
      </c>
      <c r="Y736" s="276"/>
    </row>
    <row r="737" spans="2:25" ht="14.1" customHeight="1">
      <c r="C737" s="276" t="s">
        <v>451</v>
      </c>
      <c r="F737" s="347">
        <f>IF($E734="yes",F734,0)+IF($E735="yes",F735,0)+IF($E736="yes",F736,0)+F733</f>
        <v>0.77063786690249603</v>
      </c>
      <c r="G737" s="347">
        <f t="shared" ref="G737:O737" si="167">IF($E734="yes",G734,0)+IF($E735="yes",G735,0)+IF($E736="yes",G736,0)+G733</f>
        <v>0.76421706704320502</v>
      </c>
      <c r="H737" s="347">
        <f t="shared" si="167"/>
        <v>0.75785696421428905</v>
      </c>
      <c r="I737" s="347">
        <f t="shared" si="167"/>
        <v>0.75155692918620498</v>
      </c>
      <c r="J737" s="347">
        <f t="shared" si="167"/>
        <v>0.74531633962882005</v>
      </c>
      <c r="K737" s="537">
        <f t="shared" si="167"/>
        <v>0.78641324815506974</v>
      </c>
      <c r="L737" s="538">
        <f t="shared" si="167"/>
        <v>0.78641324815506974</v>
      </c>
      <c r="M737" s="538">
        <f t="shared" si="167"/>
        <v>0.78641324815506974</v>
      </c>
      <c r="N737" s="538">
        <f t="shared" si="167"/>
        <v>0.78641324815506974</v>
      </c>
      <c r="O737" s="538">
        <f t="shared" si="167"/>
        <v>0.78641324815506974</v>
      </c>
      <c r="Y737" s="276"/>
    </row>
    <row r="738" spans="2:25" ht="14.1" customHeight="1">
      <c r="C738" s="276" t="s">
        <v>452</v>
      </c>
      <c r="F738" s="347">
        <f>IF($E735="No",F735,0) +IF($E736="No",F736,0)</f>
        <v>0</v>
      </c>
      <c r="G738" s="347">
        <f t="shared" ref="G738:O738" si="168">IF($E735="No",G735,0) +IF($E736="No",G736,0)</f>
        <v>0</v>
      </c>
      <c r="H738" s="347">
        <f t="shared" si="168"/>
        <v>0</v>
      </c>
      <c r="I738" s="347">
        <f t="shared" si="168"/>
        <v>0</v>
      </c>
      <c r="J738" s="347">
        <f t="shared" si="168"/>
        <v>0</v>
      </c>
      <c r="K738" s="537">
        <f t="shared" si="168"/>
        <v>0</v>
      </c>
      <c r="L738" s="538">
        <f t="shared" si="168"/>
        <v>0</v>
      </c>
      <c r="M738" s="538">
        <f t="shared" si="168"/>
        <v>0</v>
      </c>
      <c r="N738" s="538">
        <f t="shared" si="168"/>
        <v>0</v>
      </c>
      <c r="O738" s="538">
        <f t="shared" si="168"/>
        <v>0</v>
      </c>
      <c r="Y738" s="276"/>
    </row>
    <row r="739" spans="2:25" ht="14.1" customHeight="1">
      <c r="B739" s="276" t="s">
        <v>220</v>
      </c>
      <c r="C739" s="276" t="s">
        <v>250</v>
      </c>
      <c r="F739" s="347">
        <f>'New cost and adjustments inputs'!F71*'New cost and adjustments inputs'!F183</f>
        <v>0</v>
      </c>
      <c r="G739" s="347">
        <f>'New cost and adjustments inputs'!G71*'New cost and adjustments inputs'!G183</f>
        <v>0</v>
      </c>
      <c r="H739" s="347">
        <f>'New cost and adjustments inputs'!H71*'New cost and adjustments inputs'!H183</f>
        <v>0</v>
      </c>
      <c r="I739" s="347">
        <f>'New cost and adjustments inputs'!I71*'New cost and adjustments inputs'!I183</f>
        <v>0.72299999999999998</v>
      </c>
      <c r="J739" s="347">
        <f>'New cost and adjustments inputs'!J71*'New cost and adjustments inputs'!J183</f>
        <v>0.72299999999999998</v>
      </c>
      <c r="K739" s="537">
        <f>'New cost and adjustments inputs'!K71*'New cost and adjustments inputs'!K183</f>
        <v>0.70061690221967166</v>
      </c>
      <c r="L739" s="538">
        <f>'New cost and adjustments inputs'!L71*'New cost and adjustments inputs'!L183</f>
        <v>0.70061690221967166</v>
      </c>
      <c r="M739" s="538">
        <f>'New cost and adjustments inputs'!M71*'New cost and adjustments inputs'!M183</f>
        <v>0.70061690221967166</v>
      </c>
      <c r="N739" s="538">
        <f>'New cost and adjustments inputs'!N71*'New cost and adjustments inputs'!N183</f>
        <v>0.70061690221967166</v>
      </c>
      <c r="O739" s="538">
        <f>'New cost and adjustments inputs'!O71*'New cost and adjustments inputs'!O183</f>
        <v>0.70061690221967166</v>
      </c>
      <c r="Y739" s="276"/>
    </row>
    <row r="740" spans="2:25" ht="14.1" customHeight="1">
      <c r="C740" s="276" t="s">
        <v>450</v>
      </c>
      <c r="E740" s="286" t="str">
        <f>'New cost and adjustments inputs'!E72</f>
        <v>No</v>
      </c>
      <c r="F740" s="347">
        <f>'New cost and adjustments inputs'!F72*'New cost and adjustments inputs'!F184/Rebasing</f>
        <v>0</v>
      </c>
      <c r="G740" s="347">
        <f>'New cost and adjustments inputs'!G72*'New cost and adjustments inputs'!G184/Rebasing</f>
        <v>0</v>
      </c>
      <c r="H740" s="347">
        <f>'New cost and adjustments inputs'!H72*'New cost and adjustments inputs'!H184/Rebasing</f>
        <v>0</v>
      </c>
      <c r="I740" s="347">
        <f>'New cost and adjustments inputs'!I72*'New cost and adjustments inputs'!I184/Rebasing</f>
        <v>0</v>
      </c>
      <c r="J740" s="347">
        <f>'New cost and adjustments inputs'!J72*'New cost and adjustments inputs'!J184/Rebasing</f>
        <v>0</v>
      </c>
      <c r="K740" s="347">
        <f>'New cost and adjustments inputs'!K72*'New cost and adjustments inputs'!K184/Rebasing</f>
        <v>0</v>
      </c>
      <c r="L740" s="347">
        <f>'New cost and adjustments inputs'!L72*'New cost and adjustments inputs'!L184/Rebasing</f>
        <v>0</v>
      </c>
      <c r="M740" s="347">
        <f>'New cost and adjustments inputs'!M72*'New cost and adjustments inputs'!M184/Rebasing</f>
        <v>0</v>
      </c>
      <c r="N740" s="347">
        <f>'New cost and adjustments inputs'!N72*'New cost and adjustments inputs'!N184/Rebasing</f>
        <v>0</v>
      </c>
      <c r="O740" s="347">
        <f>'New cost and adjustments inputs'!O72*'New cost and adjustments inputs'!O184/Rebasing</f>
        <v>0</v>
      </c>
      <c r="Q740" s="276">
        <f ca="1">VLOOKUP(B739,B$575:E$593,4,FALSE)</f>
        <v>3.2793038323623955</v>
      </c>
      <c r="T740" s="276">
        <f>SUM(K740:O740)</f>
        <v>0</v>
      </c>
      <c r="W740" s="268" t="str">
        <f ca="1">IF(T740&gt;Q$740,"Yes","No")</f>
        <v>No</v>
      </c>
      <c r="Y740" s="276"/>
    </row>
    <row r="741" spans="2:25" ht="14.1" customHeight="1">
      <c r="C741" s="276" t="s">
        <v>247</v>
      </c>
      <c r="E741" s="286" t="str">
        <f>'New cost and adjustments inputs'!E73</f>
        <v>Yes</v>
      </c>
      <c r="F741" s="347">
        <f>'New cost and adjustments inputs'!F73*'New cost and adjustments inputs'!F185</f>
        <v>0</v>
      </c>
      <c r="G741" s="347">
        <f>'New cost and adjustments inputs'!G73*'New cost and adjustments inputs'!G185</f>
        <v>0</v>
      </c>
      <c r="H741" s="347">
        <f>'New cost and adjustments inputs'!H73*'New cost and adjustments inputs'!H185</f>
        <v>0</v>
      </c>
      <c r="I741" s="347">
        <f>'New cost and adjustments inputs'!I73*'New cost and adjustments inputs'!I185</f>
        <v>6.74</v>
      </c>
      <c r="J741" s="347">
        <f>'New cost and adjustments inputs'!J73*'New cost and adjustments inputs'!J185</f>
        <v>6.74</v>
      </c>
      <c r="K741" s="537">
        <f>'New cost and adjustments inputs'!K73*'New cost and adjustments inputs'!K185</f>
        <v>6.74</v>
      </c>
      <c r="L741" s="538">
        <f>'New cost and adjustments inputs'!L73*'New cost and adjustments inputs'!L185</f>
        <v>6.74</v>
      </c>
      <c r="M741" s="538">
        <f>'New cost and adjustments inputs'!M73*'New cost and adjustments inputs'!M185</f>
        <v>6.74</v>
      </c>
      <c r="N741" s="538">
        <f>'New cost and adjustments inputs'!N73*'New cost and adjustments inputs'!N185</f>
        <v>6.74</v>
      </c>
      <c r="O741" s="538">
        <f>'New cost and adjustments inputs'!O73*'New cost and adjustments inputs'!O185</f>
        <v>6.74</v>
      </c>
      <c r="T741" s="276">
        <f>SUM(K741:O741)</f>
        <v>33.700000000000003</v>
      </c>
      <c r="W741" s="268" t="str">
        <f ca="1">IF(T741&gt;Q$740,"Yes","No")</f>
        <v>Yes</v>
      </c>
      <c r="Y741" s="276"/>
    </row>
    <row r="742" spans="2:25" ht="14.1" customHeight="1">
      <c r="C742" s="276" t="s">
        <v>248</v>
      </c>
      <c r="E742" s="286" t="str">
        <f>'New cost and adjustments inputs'!E74</f>
        <v>No</v>
      </c>
      <c r="F742" s="347">
        <f>'New cost and adjustments inputs'!F74*'New cost and adjustments inputs'!F186</f>
        <v>0</v>
      </c>
      <c r="G742" s="347">
        <f>'New cost and adjustments inputs'!G74*'New cost and adjustments inputs'!G186</f>
        <v>0</v>
      </c>
      <c r="H742" s="347">
        <f>'New cost and adjustments inputs'!H74*'New cost and adjustments inputs'!H186</f>
        <v>0</v>
      </c>
      <c r="I742" s="347">
        <f>'New cost and adjustments inputs'!I74*'New cost and adjustments inputs'!I186</f>
        <v>0</v>
      </c>
      <c r="J742" s="347">
        <f>'New cost and adjustments inputs'!J74*'New cost and adjustments inputs'!J186</f>
        <v>0</v>
      </c>
      <c r="K742" s="537">
        <f>'New cost and adjustments inputs'!K74*'New cost and adjustments inputs'!K186</f>
        <v>0</v>
      </c>
      <c r="L742" s="538">
        <f>'New cost and adjustments inputs'!L74*'New cost and adjustments inputs'!L186</f>
        <v>0</v>
      </c>
      <c r="M742" s="538">
        <f>'New cost and adjustments inputs'!M74*'New cost and adjustments inputs'!M186</f>
        <v>0</v>
      </c>
      <c r="N742" s="538">
        <f>'New cost and adjustments inputs'!N74*'New cost and adjustments inputs'!N186</f>
        <v>0</v>
      </c>
      <c r="O742" s="538">
        <f>'New cost and adjustments inputs'!O74*'New cost and adjustments inputs'!O186</f>
        <v>0</v>
      </c>
      <c r="T742" s="276">
        <f>SUM(K742:O742)</f>
        <v>0</v>
      </c>
      <c r="W742" s="268" t="str">
        <f ca="1">IF(T742&gt;Q$740,"Yes","No")</f>
        <v>No</v>
      </c>
      <c r="Y742" s="276"/>
    </row>
    <row r="743" spans="2:25" ht="14.1" customHeight="1">
      <c r="C743" s="276" t="s">
        <v>451</v>
      </c>
      <c r="F743" s="347">
        <f>IF($E740="yes",F740,0)+IF($E741="yes",F741,0)+IF($E742="yes",F742,0)+F739</f>
        <v>0</v>
      </c>
      <c r="G743" s="347">
        <f t="shared" ref="G743:O743" si="169">IF($E740="yes",G740,0)+IF($E741="yes",G741,0)+IF($E742="yes",G742,0)+G739</f>
        <v>0</v>
      </c>
      <c r="H743" s="347">
        <f t="shared" si="169"/>
        <v>0</v>
      </c>
      <c r="I743" s="347">
        <f t="shared" si="169"/>
        <v>7.4630000000000001</v>
      </c>
      <c r="J743" s="347">
        <f t="shared" si="169"/>
        <v>7.4630000000000001</v>
      </c>
      <c r="K743" s="537">
        <f t="shared" si="169"/>
        <v>7.4406169022196718</v>
      </c>
      <c r="L743" s="538">
        <f t="shared" si="169"/>
        <v>7.4406169022196718</v>
      </c>
      <c r="M743" s="538">
        <f t="shared" si="169"/>
        <v>7.4406169022196718</v>
      </c>
      <c r="N743" s="538">
        <f t="shared" si="169"/>
        <v>7.4406169022196718</v>
      </c>
      <c r="O743" s="538">
        <f t="shared" si="169"/>
        <v>7.4406169022196718</v>
      </c>
      <c r="Y743" s="276"/>
    </row>
    <row r="744" spans="2:25" ht="14.1" customHeight="1">
      <c r="C744" s="276" t="s">
        <v>452</v>
      </c>
      <c r="F744" s="347">
        <f>IF($E741="No",F741,0) +IF($E742="No",F742,0)</f>
        <v>0</v>
      </c>
      <c r="G744" s="347">
        <f t="shared" ref="G744:O744" si="170">IF($E741="No",G741,0) +IF($E742="No",G742,0)</f>
        <v>0</v>
      </c>
      <c r="H744" s="347">
        <f t="shared" si="170"/>
        <v>0</v>
      </c>
      <c r="I744" s="347">
        <f t="shared" si="170"/>
        <v>0</v>
      </c>
      <c r="J744" s="347">
        <f t="shared" si="170"/>
        <v>0</v>
      </c>
      <c r="K744" s="537">
        <f t="shared" si="170"/>
        <v>0</v>
      </c>
      <c r="L744" s="538">
        <f t="shared" si="170"/>
        <v>0</v>
      </c>
      <c r="M744" s="538">
        <f t="shared" si="170"/>
        <v>0</v>
      </c>
      <c r="N744" s="538">
        <f t="shared" si="170"/>
        <v>0</v>
      </c>
      <c r="O744" s="538">
        <f t="shared" si="170"/>
        <v>0</v>
      </c>
      <c r="Y744" s="276"/>
    </row>
    <row r="745" spans="2:25" ht="14.1" customHeight="1">
      <c r="B745" s="276" t="s">
        <v>221</v>
      </c>
      <c r="C745" s="276" t="s">
        <v>250</v>
      </c>
      <c r="F745" s="347">
        <f>'New cost and adjustments inputs'!F77*'New cost and adjustments inputs'!F189</f>
        <v>0</v>
      </c>
      <c r="G745" s="347">
        <f>'New cost and adjustments inputs'!G77*'New cost and adjustments inputs'!G189</f>
        <v>0</v>
      </c>
      <c r="H745" s="347">
        <f>'New cost and adjustments inputs'!H77*'New cost and adjustments inputs'!H189</f>
        <v>0</v>
      </c>
      <c r="I745" s="347">
        <f>'New cost and adjustments inputs'!I77*'New cost and adjustments inputs'!I189</f>
        <v>1.2784</v>
      </c>
      <c r="J745" s="347">
        <f>'New cost and adjustments inputs'!J77*'New cost and adjustments inputs'!J189</f>
        <v>1.2784</v>
      </c>
      <c r="K745" s="537">
        <f>'New cost and adjustments inputs'!K77*'New cost and adjustments inputs'!K189</f>
        <v>0.75496607880118127</v>
      </c>
      <c r="L745" s="538">
        <f>'New cost and adjustments inputs'!L77*'New cost and adjustments inputs'!L189</f>
        <v>0.75496607880118127</v>
      </c>
      <c r="M745" s="538">
        <f>'New cost and adjustments inputs'!M77*'New cost and adjustments inputs'!M189</f>
        <v>0.75496607880118127</v>
      </c>
      <c r="N745" s="538">
        <f>'New cost and adjustments inputs'!N77*'New cost and adjustments inputs'!N189</f>
        <v>0.75496607880118127</v>
      </c>
      <c r="O745" s="538">
        <f>'New cost and adjustments inputs'!O77*'New cost and adjustments inputs'!O189</f>
        <v>0.75496607880118127</v>
      </c>
      <c r="Y745" s="276"/>
    </row>
    <row r="746" spans="2:25" ht="14.1" customHeight="1">
      <c r="C746" s="276" t="s">
        <v>450</v>
      </c>
      <c r="E746" s="286" t="str">
        <f>'New cost and adjustments inputs'!E78</f>
        <v>No</v>
      </c>
      <c r="F746" s="347">
        <f>'New cost and adjustments inputs'!F78*'New cost and adjustments inputs'!F190/Rebasing</f>
        <v>0</v>
      </c>
      <c r="G746" s="347">
        <f>'New cost and adjustments inputs'!G78*'New cost and adjustments inputs'!G190/Rebasing</f>
        <v>0</v>
      </c>
      <c r="H746" s="347">
        <f>'New cost and adjustments inputs'!H78*'New cost and adjustments inputs'!H190/Rebasing</f>
        <v>0</v>
      </c>
      <c r="I746" s="347">
        <f>'New cost and adjustments inputs'!I78*'New cost and adjustments inputs'!I190/Rebasing</f>
        <v>0</v>
      </c>
      <c r="J746" s="347">
        <f>'New cost and adjustments inputs'!J78*'New cost and adjustments inputs'!J190/Rebasing</f>
        <v>0.38775550331247405</v>
      </c>
      <c r="K746" s="347">
        <f>'New cost and adjustments inputs'!K78*'New cost and adjustments inputs'!K190/Rebasing</f>
        <v>1.1060889632222439</v>
      </c>
      <c r="L746" s="347">
        <f>'New cost and adjustments inputs'!L78*'New cost and adjustments inputs'!L190/Rebasing</f>
        <v>1.0435503378546165</v>
      </c>
      <c r="M746" s="347">
        <f>'New cost and adjustments inputs'!M78*'New cost and adjustments inputs'!M190/Rebasing</f>
        <v>1.861634548858776</v>
      </c>
      <c r="N746" s="347">
        <f>'New cost and adjustments inputs'!N78*'New cost and adjustments inputs'!N190/Rebasing</f>
        <v>2.6910715462762771</v>
      </c>
      <c r="O746" s="347">
        <f>'New cost and adjustments inputs'!O78*'New cost and adjustments inputs'!O190/Rebasing</f>
        <v>3.4588863569866324</v>
      </c>
      <c r="Q746" s="276">
        <f ca="1">VLOOKUP(B745,B$575:E$593,4,FALSE)</f>
        <v>7.0381120201908463</v>
      </c>
      <c r="T746" s="276">
        <f>SUM(K746:O746)</f>
        <v>10.161231753198546</v>
      </c>
      <c r="W746" s="268" t="str">
        <f ca="1">IF(T746&gt;Q$746,"Yes","No")</f>
        <v>Yes</v>
      </c>
      <c r="Y746" s="276"/>
    </row>
    <row r="747" spans="2:25" ht="14.1" customHeight="1">
      <c r="C747" s="276" t="s">
        <v>247</v>
      </c>
      <c r="E747" s="286" t="str">
        <f>'New cost and adjustments inputs'!E79</f>
        <v>No</v>
      </c>
      <c r="F747" s="347">
        <f>'New cost and adjustments inputs'!F79*'New cost and adjustments inputs'!F191</f>
        <v>0</v>
      </c>
      <c r="G747" s="347">
        <f>'New cost and adjustments inputs'!G79*'New cost and adjustments inputs'!G191</f>
        <v>0</v>
      </c>
      <c r="H747" s="347">
        <f>'New cost and adjustments inputs'!H79*'New cost and adjustments inputs'!H191</f>
        <v>0</v>
      </c>
      <c r="I747" s="347">
        <f>'New cost and adjustments inputs'!I79*'New cost and adjustments inputs'!I191</f>
        <v>2.3790521600000001</v>
      </c>
      <c r="J747" s="347">
        <f>'New cost and adjustments inputs'!J79*'New cost and adjustments inputs'!J191</f>
        <v>2.3942479565484605</v>
      </c>
      <c r="K747" s="537">
        <f>'New cost and adjustments inputs'!K79*'New cost and adjustments inputs'!K191</f>
        <v>2.4143305155789809</v>
      </c>
      <c r="L747" s="538">
        <f>'New cost and adjustments inputs'!L79*'New cost and adjustments inputs'!L191</f>
        <v>2.4336764139322407</v>
      </c>
      <c r="M747" s="538">
        <f>'New cost and adjustments inputs'!M79*'New cost and adjustments inputs'!M191</f>
        <v>2.454202736623095</v>
      </c>
      <c r="N747" s="538">
        <f>'New cost and adjustments inputs'!N79*'New cost and adjustments inputs'!N191</f>
        <v>2.4746196644445129</v>
      </c>
      <c r="O747" s="538">
        <f>'New cost and adjustments inputs'!O79*'New cost and adjustments inputs'!O191</f>
        <v>2.4938796647793238</v>
      </c>
      <c r="T747" s="276">
        <f>SUM(K747:O747)</f>
        <v>12.270708995358152</v>
      </c>
      <c r="W747" s="268" t="str">
        <f ca="1">IF(T747&gt;Q$746,"Yes","No")</f>
        <v>Yes</v>
      </c>
      <c r="Y747" s="276"/>
    </row>
    <row r="748" spans="2:25" ht="14.1" customHeight="1">
      <c r="C748" s="276" t="s">
        <v>248</v>
      </c>
      <c r="E748" s="286" t="str">
        <f>'New cost and adjustments inputs'!E80</f>
        <v>No</v>
      </c>
      <c r="F748" s="347">
        <f>'New cost and adjustments inputs'!F80*'New cost and adjustments inputs'!F192</f>
        <v>0</v>
      </c>
      <c r="G748" s="347">
        <f>'New cost and adjustments inputs'!G80*'New cost and adjustments inputs'!G192</f>
        <v>0</v>
      </c>
      <c r="H748" s="347">
        <f>'New cost and adjustments inputs'!H80*'New cost and adjustments inputs'!H192</f>
        <v>0</v>
      </c>
      <c r="I748" s="347">
        <f>'New cost and adjustments inputs'!I80*'New cost and adjustments inputs'!I192</f>
        <v>0</v>
      </c>
      <c r="J748" s="347">
        <f>'New cost and adjustments inputs'!J80*'New cost and adjustments inputs'!J192</f>
        <v>0</v>
      </c>
      <c r="K748" s="537">
        <f>'New cost and adjustments inputs'!K80*'New cost and adjustments inputs'!K192</f>
        <v>0</v>
      </c>
      <c r="L748" s="538">
        <f>'New cost and adjustments inputs'!L80*'New cost and adjustments inputs'!L192</f>
        <v>0</v>
      </c>
      <c r="M748" s="538">
        <f>'New cost and adjustments inputs'!M80*'New cost and adjustments inputs'!M192</f>
        <v>0</v>
      </c>
      <c r="N748" s="538">
        <f>'New cost and adjustments inputs'!N80*'New cost and adjustments inputs'!N192</f>
        <v>0</v>
      </c>
      <c r="O748" s="538">
        <f>'New cost and adjustments inputs'!O80*'New cost and adjustments inputs'!O192</f>
        <v>0</v>
      </c>
      <c r="T748" s="276">
        <f>SUM(K748:O748)</f>
        <v>0</v>
      </c>
      <c r="W748" s="268" t="str">
        <f ca="1">IF(T748&gt;Q$746,"Yes","No")</f>
        <v>No</v>
      </c>
      <c r="Y748" s="276"/>
    </row>
    <row r="749" spans="2:25" ht="14.1" customHeight="1">
      <c r="C749" s="276" t="s">
        <v>451</v>
      </c>
      <c r="F749" s="347">
        <f>IF($E746="yes",F746,0)+IF($E747="yes",F747,0)+IF($E748="yes",F748,0)+F745</f>
        <v>0</v>
      </c>
      <c r="G749" s="347">
        <f t="shared" ref="G749:O749" si="171">IF($E746="yes",G746,0)+IF($E747="yes",G747,0)+IF($E748="yes",G748,0)+G745</f>
        <v>0</v>
      </c>
      <c r="H749" s="347">
        <f t="shared" si="171"/>
        <v>0</v>
      </c>
      <c r="I749" s="347">
        <f t="shared" si="171"/>
        <v>1.2784</v>
      </c>
      <c r="J749" s="347">
        <f t="shared" si="171"/>
        <v>1.2784</v>
      </c>
      <c r="K749" s="537">
        <f t="shared" si="171"/>
        <v>0.75496607880118127</v>
      </c>
      <c r="L749" s="538">
        <f t="shared" si="171"/>
        <v>0.75496607880118127</v>
      </c>
      <c r="M749" s="538">
        <f t="shared" si="171"/>
        <v>0.75496607880118127</v>
      </c>
      <c r="N749" s="538">
        <f t="shared" si="171"/>
        <v>0.75496607880118127</v>
      </c>
      <c r="O749" s="538">
        <f t="shared" si="171"/>
        <v>0.75496607880118127</v>
      </c>
      <c r="Y749" s="276"/>
    </row>
    <row r="750" spans="2:25" ht="14.1" customHeight="1">
      <c r="C750" s="276" t="s">
        <v>452</v>
      </c>
      <c r="F750" s="347">
        <f>IF($E747="No",F747,0) +IF($E748="No",F748,0)</f>
        <v>0</v>
      </c>
      <c r="G750" s="347">
        <f t="shared" ref="G750:O750" si="172">IF($E747="No",G747,0) +IF($E748="No",G748,0)</f>
        <v>0</v>
      </c>
      <c r="H750" s="347">
        <f t="shared" si="172"/>
        <v>0</v>
      </c>
      <c r="I750" s="347">
        <f t="shared" si="172"/>
        <v>2.3790521600000001</v>
      </c>
      <c r="J750" s="347">
        <f t="shared" si="172"/>
        <v>2.3942479565484605</v>
      </c>
      <c r="K750" s="537">
        <f t="shared" si="172"/>
        <v>2.4143305155789809</v>
      </c>
      <c r="L750" s="538">
        <f t="shared" si="172"/>
        <v>2.4336764139322407</v>
      </c>
      <c r="M750" s="538">
        <f t="shared" si="172"/>
        <v>2.454202736623095</v>
      </c>
      <c r="N750" s="538">
        <f t="shared" si="172"/>
        <v>2.4746196644445129</v>
      </c>
      <c r="O750" s="538">
        <f t="shared" si="172"/>
        <v>2.4938796647793238</v>
      </c>
      <c r="Y750" s="276"/>
    </row>
    <row r="751" spans="2:25" ht="14.1" customHeight="1">
      <c r="B751" s="276" t="s">
        <v>222</v>
      </c>
      <c r="C751" s="276" t="s">
        <v>250</v>
      </c>
      <c r="F751" s="347">
        <f>'New cost and adjustments inputs'!F83*'New cost and adjustments inputs'!F195</f>
        <v>0</v>
      </c>
      <c r="G751" s="347">
        <f>'New cost and adjustments inputs'!G83*'New cost and adjustments inputs'!G195</f>
        <v>0</v>
      </c>
      <c r="H751" s="347">
        <f>'New cost and adjustments inputs'!H83*'New cost and adjustments inputs'!H195</f>
        <v>0</v>
      </c>
      <c r="I751" s="347">
        <f>'New cost and adjustments inputs'!I83*'New cost and adjustments inputs'!I195</f>
        <v>1.6</v>
      </c>
      <c r="J751" s="347">
        <f>'New cost and adjustments inputs'!J83*'New cost and adjustments inputs'!J195</f>
        <v>1.6</v>
      </c>
      <c r="K751" s="537">
        <f>'New cost and adjustments inputs'!K83*'New cost and adjustments inputs'!K195</f>
        <v>1.6273394076498013</v>
      </c>
      <c r="L751" s="538">
        <f>'New cost and adjustments inputs'!L83*'New cost and adjustments inputs'!L195</f>
        <v>1.6273394076498013</v>
      </c>
      <c r="M751" s="538">
        <f>'New cost and adjustments inputs'!M83*'New cost and adjustments inputs'!M195</f>
        <v>1.6273394076498013</v>
      </c>
      <c r="N751" s="538">
        <f>'New cost and adjustments inputs'!N83*'New cost and adjustments inputs'!N195</f>
        <v>1.6273394076498013</v>
      </c>
      <c r="O751" s="538">
        <f>'New cost and adjustments inputs'!O83*'New cost and adjustments inputs'!O195</f>
        <v>1.6273394076498013</v>
      </c>
      <c r="Y751" s="276"/>
    </row>
    <row r="752" spans="2:25" ht="14.1" customHeight="1">
      <c r="C752" s="276" t="s">
        <v>450</v>
      </c>
      <c r="E752" s="286" t="str">
        <f>'New cost and adjustments inputs'!E84</f>
        <v>No</v>
      </c>
      <c r="F752" s="347">
        <f>'New cost and adjustments inputs'!F84*'New cost and adjustments inputs'!F196/Rebasing</f>
        <v>0</v>
      </c>
      <c r="G752" s="347">
        <f>'New cost and adjustments inputs'!G84*'New cost and adjustments inputs'!G196/Rebasing</f>
        <v>0</v>
      </c>
      <c r="H752" s="347">
        <f>'New cost and adjustments inputs'!H84*'New cost and adjustments inputs'!H196/Rebasing</f>
        <v>0</v>
      </c>
      <c r="I752" s="347">
        <f>'New cost and adjustments inputs'!I84*'New cost and adjustments inputs'!I196/Rebasing</f>
        <v>0</v>
      </c>
      <c r="J752" s="347">
        <f>'New cost and adjustments inputs'!J84*'New cost and adjustments inputs'!J196/Rebasing</f>
        <v>0</v>
      </c>
      <c r="K752" s="347">
        <f>'New cost and adjustments inputs'!K84*'New cost and adjustments inputs'!K196/Rebasing</f>
        <v>0</v>
      </c>
      <c r="L752" s="347">
        <f>'New cost and adjustments inputs'!L84*'New cost and adjustments inputs'!L196/Rebasing</f>
        <v>0</v>
      </c>
      <c r="M752" s="347">
        <f>'New cost and adjustments inputs'!M84*'New cost and adjustments inputs'!M196/Rebasing</f>
        <v>0</v>
      </c>
      <c r="N752" s="347">
        <f>'New cost and adjustments inputs'!N84*'New cost and adjustments inputs'!N196/Rebasing</f>
        <v>0</v>
      </c>
      <c r="O752" s="347">
        <f>'New cost and adjustments inputs'!O84*'New cost and adjustments inputs'!O196/Rebasing</f>
        <v>0</v>
      </c>
      <c r="Q752" s="276">
        <f ca="1">VLOOKUP(B751,B$575:E$593,4,FALSE)</f>
        <v>18.193810306949867</v>
      </c>
      <c r="T752" s="276">
        <f>SUM(K752:O752)</f>
        <v>0</v>
      </c>
      <c r="W752" s="268" t="str">
        <f ca="1">IF(T752&gt;Q$752,"Yes","No")</f>
        <v>No</v>
      </c>
      <c r="Y752" s="276"/>
    </row>
    <row r="753" spans="2:25" ht="14.1" customHeight="1">
      <c r="C753" s="276" t="s">
        <v>247</v>
      </c>
      <c r="E753" s="286" t="str">
        <f>'New cost and adjustments inputs'!E85</f>
        <v>No</v>
      </c>
      <c r="F753" s="347">
        <f>'New cost and adjustments inputs'!F85*'New cost and adjustments inputs'!F197</f>
        <v>0</v>
      </c>
      <c r="G753" s="347">
        <f>'New cost and adjustments inputs'!G85*'New cost and adjustments inputs'!G197</f>
        <v>0</v>
      </c>
      <c r="H753" s="347">
        <f>'New cost and adjustments inputs'!H85*'New cost and adjustments inputs'!H197</f>
        <v>0</v>
      </c>
      <c r="I753" s="347">
        <f>'New cost and adjustments inputs'!I85*'New cost and adjustments inputs'!I197</f>
        <v>0</v>
      </c>
      <c r="J753" s="347">
        <f>'New cost and adjustments inputs'!J85*'New cost and adjustments inputs'!J197</f>
        <v>0</v>
      </c>
      <c r="K753" s="537">
        <f>'New cost and adjustments inputs'!K85*'New cost and adjustments inputs'!K197</f>
        <v>1.0351399101428895</v>
      </c>
      <c r="L753" s="538">
        <f>'New cost and adjustments inputs'!L85*'New cost and adjustments inputs'!L197</f>
        <v>1.7961864356282253</v>
      </c>
      <c r="M753" s="538">
        <f>'New cost and adjustments inputs'!M85*'New cost and adjustments inputs'!M197</f>
        <v>2.8021674750628645</v>
      </c>
      <c r="N753" s="538">
        <f>'New cost and adjustments inputs'!N85*'New cost and adjustments inputs'!N197</f>
        <v>3.7576064719365361</v>
      </c>
      <c r="O753" s="538">
        <f>'New cost and adjustments inputs'!O85*'New cost and adjustments inputs'!O197</f>
        <v>4.0939054474383569</v>
      </c>
      <c r="T753" s="276">
        <f>SUM(K753:O753)</f>
        <v>13.485005740208873</v>
      </c>
      <c r="W753" s="268" t="str">
        <f ca="1">IF(T753&gt;Q$752,"Yes","No")</f>
        <v>No</v>
      </c>
      <c r="Y753" s="276"/>
    </row>
    <row r="754" spans="2:25" ht="14.1" customHeight="1">
      <c r="C754" s="276" t="s">
        <v>248</v>
      </c>
      <c r="E754" s="286" t="str">
        <f>'New cost and adjustments inputs'!E86</f>
        <v>No</v>
      </c>
      <c r="F754" s="347">
        <f>'New cost and adjustments inputs'!F86*'New cost and adjustments inputs'!F198</f>
        <v>0</v>
      </c>
      <c r="G754" s="347">
        <f>'New cost and adjustments inputs'!G86*'New cost and adjustments inputs'!G198</f>
        <v>0</v>
      </c>
      <c r="H754" s="347">
        <f>'New cost and adjustments inputs'!H86*'New cost and adjustments inputs'!H198</f>
        <v>0</v>
      </c>
      <c r="I754" s="347">
        <f>'New cost and adjustments inputs'!I86*'New cost and adjustments inputs'!I198</f>
        <v>19.202874111835911</v>
      </c>
      <c r="J754" s="347">
        <f>'New cost and adjustments inputs'!J86*'New cost and adjustments inputs'!J198</f>
        <v>20.559029537506898</v>
      </c>
      <c r="K754" s="537">
        <f>'New cost and adjustments inputs'!K86*'New cost and adjustments inputs'!K198</f>
        <v>17.782612179181879</v>
      </c>
      <c r="L754" s="538">
        <f>'New cost and adjustments inputs'!L86*'New cost and adjustments inputs'!L198</f>
        <v>18.828388456393633</v>
      </c>
      <c r="M754" s="538">
        <f>'New cost and adjustments inputs'!M86*'New cost and adjustments inputs'!M198</f>
        <v>18.170691955219294</v>
      </c>
      <c r="N754" s="538">
        <f>'New cost and adjustments inputs'!N86*'New cost and adjustments inputs'!N198</f>
        <v>18.510544970097765</v>
      </c>
      <c r="O754" s="538">
        <f>'New cost and adjustments inputs'!O86*'New cost and adjustments inputs'!O198</f>
        <v>17.275422013168008</v>
      </c>
      <c r="T754" s="276">
        <f>SUM(K754:O754)</f>
        <v>90.567659574060585</v>
      </c>
      <c r="W754" s="268" t="str">
        <f ca="1">IF(T754&gt;Q$752,"Yes","No")</f>
        <v>Yes</v>
      </c>
      <c r="Y754" s="276"/>
    </row>
    <row r="755" spans="2:25" ht="14.1" customHeight="1">
      <c r="C755" s="276" t="s">
        <v>451</v>
      </c>
      <c r="F755" s="347">
        <f>IF($E752="yes",F752,0)+IF($E753="yes",F753,0)+IF($E754="yes",F754,0)+F751</f>
        <v>0</v>
      </c>
      <c r="G755" s="347">
        <f t="shared" ref="G755:O755" si="173">IF($E752="yes",G752,0)+IF($E753="yes",G753,0)+IF($E754="yes",G754,0)+G751</f>
        <v>0</v>
      </c>
      <c r="H755" s="347">
        <f t="shared" si="173"/>
        <v>0</v>
      </c>
      <c r="I755" s="347">
        <f t="shared" si="173"/>
        <v>1.6</v>
      </c>
      <c r="J755" s="347">
        <f t="shared" si="173"/>
        <v>1.6</v>
      </c>
      <c r="K755" s="537">
        <f t="shared" si="173"/>
        <v>1.6273394076498013</v>
      </c>
      <c r="L755" s="538">
        <f t="shared" si="173"/>
        <v>1.6273394076498013</v>
      </c>
      <c r="M755" s="538">
        <f t="shared" si="173"/>
        <v>1.6273394076498013</v>
      </c>
      <c r="N755" s="538">
        <f t="shared" si="173"/>
        <v>1.6273394076498013</v>
      </c>
      <c r="O755" s="538">
        <f t="shared" si="173"/>
        <v>1.6273394076498013</v>
      </c>
      <c r="Y755" s="276"/>
    </row>
    <row r="756" spans="2:25" ht="14.1" customHeight="1">
      <c r="C756" s="276" t="s">
        <v>452</v>
      </c>
      <c r="F756" s="347">
        <f>IF($E753="No",F753,0) +IF($E754="No",F754,0)</f>
        <v>0</v>
      </c>
      <c r="G756" s="347">
        <f t="shared" ref="G756:O756" si="174">IF($E753="No",G753,0) +IF($E754="No",G754,0)</f>
        <v>0</v>
      </c>
      <c r="H756" s="347">
        <f t="shared" si="174"/>
        <v>0</v>
      </c>
      <c r="I756" s="347">
        <f t="shared" si="174"/>
        <v>19.202874111835911</v>
      </c>
      <c r="J756" s="347">
        <f t="shared" si="174"/>
        <v>20.559029537506898</v>
      </c>
      <c r="K756" s="537">
        <f t="shared" si="174"/>
        <v>18.817752089324767</v>
      </c>
      <c r="L756" s="538">
        <f t="shared" si="174"/>
        <v>20.624574892021858</v>
      </c>
      <c r="M756" s="538">
        <f t="shared" si="174"/>
        <v>20.972859430282156</v>
      </c>
      <c r="N756" s="538">
        <f t="shared" si="174"/>
        <v>22.268151442034302</v>
      </c>
      <c r="O756" s="538">
        <f t="shared" si="174"/>
        <v>21.369327460606364</v>
      </c>
      <c r="Y756" s="276"/>
    </row>
    <row r="757" spans="2:25" ht="14.1" customHeight="1">
      <c r="B757" s="276" t="s">
        <v>223</v>
      </c>
      <c r="C757" s="276" t="s">
        <v>250</v>
      </c>
      <c r="F757" s="347">
        <f>'New cost and adjustments inputs'!F89*'New cost and adjustments inputs'!F201</f>
        <v>0.90647939370648201</v>
      </c>
      <c r="G757" s="347">
        <f>'New cost and adjustments inputs'!G89*'New cost and adjustments inputs'!G201</f>
        <v>2.3678758370543802</v>
      </c>
      <c r="H757" s="347">
        <f>'New cost and adjustments inputs'!H89*'New cost and adjustments inputs'!H201</f>
        <v>1.27835568219214</v>
      </c>
      <c r="I757" s="347">
        <f>'New cost and adjustments inputs'!I89*'New cost and adjustments inputs'!I201</f>
        <v>0.19880122487890001</v>
      </c>
      <c r="J757" s="347">
        <f>'New cost and adjustments inputs'!J89*'New cost and adjustments inputs'!J201</f>
        <v>0.163747390206089</v>
      </c>
      <c r="K757" s="537">
        <f>'New cost and adjustments inputs'!K89*'New cost and adjustments inputs'!K201</f>
        <v>1.4650626589924078</v>
      </c>
      <c r="L757" s="538">
        <f>'New cost and adjustments inputs'!L89*'New cost and adjustments inputs'!L201</f>
        <v>1.4650626589924078</v>
      </c>
      <c r="M757" s="538">
        <f>'New cost and adjustments inputs'!M89*'New cost and adjustments inputs'!M201</f>
        <v>1.4650626589924078</v>
      </c>
      <c r="N757" s="538">
        <f>'New cost and adjustments inputs'!N89*'New cost and adjustments inputs'!N201</f>
        <v>1.4650626589924078</v>
      </c>
      <c r="O757" s="538">
        <f>'New cost and adjustments inputs'!O89*'New cost and adjustments inputs'!O201</f>
        <v>1.4650626589924078</v>
      </c>
      <c r="Y757" s="276"/>
    </row>
    <row r="758" spans="2:25" ht="14.1" customHeight="1">
      <c r="C758" s="276" t="s">
        <v>450</v>
      </c>
      <c r="E758" s="286" t="str">
        <f>'New cost and adjustments inputs'!E90</f>
        <v>No</v>
      </c>
      <c r="F758" s="347">
        <f>'New cost and adjustments inputs'!F90*'New cost and adjustments inputs'!F202/Rebasing</f>
        <v>0</v>
      </c>
      <c r="G758" s="347">
        <f>'New cost and adjustments inputs'!G90*'New cost and adjustments inputs'!G202/Rebasing</f>
        <v>0</v>
      </c>
      <c r="H758" s="347">
        <f>'New cost and adjustments inputs'!H90*'New cost and adjustments inputs'!H202/Rebasing</f>
        <v>0</v>
      </c>
      <c r="I758" s="347">
        <f>'New cost and adjustments inputs'!I90*'New cost and adjustments inputs'!I202/Rebasing</f>
        <v>0</v>
      </c>
      <c r="J758" s="347">
        <f>'New cost and adjustments inputs'!J90*'New cost and adjustments inputs'!J202/Rebasing</f>
        <v>1.9439221398305084</v>
      </c>
      <c r="K758" s="347">
        <f>'New cost and adjustments inputs'!K90*'New cost and adjustments inputs'!K202/Rebasing</f>
        <v>1.652333818855928</v>
      </c>
      <c r="L758" s="347">
        <f>'New cost and adjustments inputs'!L90*'New cost and adjustments inputs'!L202/Rebasing</f>
        <v>1.9439221398305084</v>
      </c>
      <c r="M758" s="347">
        <f>'New cost and adjustments inputs'!M90*'New cost and adjustments inputs'!M202/Rebasing</f>
        <v>3.1102754237288095</v>
      </c>
      <c r="N758" s="347">
        <f>'New cost and adjustments inputs'!N90*'New cost and adjustments inputs'!N202/Rebasing</f>
        <v>3.5962559586864362</v>
      </c>
      <c r="O758" s="347">
        <f>'New cost and adjustments inputs'!O90*'New cost and adjustments inputs'!O202/Rebasing</f>
        <v>3.6934520656779632</v>
      </c>
      <c r="Q758" s="276">
        <f ca="1">VLOOKUP(B757,B$575:E$593,4,FALSE)</f>
        <v>15.163102038614571</v>
      </c>
      <c r="T758" s="276">
        <f>SUM(K758:O758)</f>
        <v>13.996239406779646</v>
      </c>
      <c r="W758" s="268" t="str">
        <f ca="1">IF(T758&gt;Q$758,"Yes","No")</f>
        <v>No</v>
      </c>
      <c r="Y758" s="276"/>
    </row>
    <row r="759" spans="2:25" ht="14.1" customHeight="1">
      <c r="C759" s="276" t="s">
        <v>247</v>
      </c>
      <c r="E759" s="286" t="str">
        <f>'New cost and adjustments inputs'!E91</f>
        <v>Yes</v>
      </c>
      <c r="F759" s="347">
        <f>'New cost and adjustments inputs'!F91*'New cost and adjustments inputs'!F203</f>
        <v>0</v>
      </c>
      <c r="G759" s="347">
        <f>'New cost and adjustments inputs'!G91*'New cost and adjustments inputs'!G203</f>
        <v>0</v>
      </c>
      <c r="H759" s="347">
        <f>'New cost and adjustments inputs'!H91*'New cost and adjustments inputs'!H203</f>
        <v>0</v>
      </c>
      <c r="I759" s="347">
        <f>'New cost and adjustments inputs'!I91*'New cost and adjustments inputs'!I203</f>
        <v>19.202000000000002</v>
      </c>
      <c r="J759" s="347">
        <f>'New cost and adjustments inputs'!J91*'New cost and adjustments inputs'!J203</f>
        <v>19.202000000000002</v>
      </c>
      <c r="K759" s="537">
        <f>'New cost and adjustments inputs'!K91*'New cost and adjustments inputs'!K203</f>
        <v>19.202000000000002</v>
      </c>
      <c r="L759" s="538">
        <f>'New cost and adjustments inputs'!L91*'New cost and adjustments inputs'!L203</f>
        <v>19.202000000000002</v>
      </c>
      <c r="M759" s="538">
        <f>'New cost and adjustments inputs'!M91*'New cost and adjustments inputs'!M203</f>
        <v>19.202000000000002</v>
      </c>
      <c r="N759" s="538">
        <f>'New cost and adjustments inputs'!N91*'New cost and adjustments inputs'!N203</f>
        <v>19.202000000000002</v>
      </c>
      <c r="O759" s="538">
        <f>'New cost and adjustments inputs'!O91*'New cost and adjustments inputs'!O203</f>
        <v>19.202000000000002</v>
      </c>
      <c r="T759" s="276">
        <f>SUM(K759:O759)</f>
        <v>96.01</v>
      </c>
      <c r="W759" s="268" t="str">
        <f ca="1">IF(T759&gt;Q$758,"Yes","No")</f>
        <v>Yes</v>
      </c>
      <c r="Y759" s="276"/>
    </row>
    <row r="760" spans="2:25" ht="14.1" customHeight="1">
      <c r="C760" s="276" t="s">
        <v>248</v>
      </c>
      <c r="E760" s="286" t="str">
        <f>'New cost and adjustments inputs'!E92</f>
        <v>No</v>
      </c>
      <c r="F760" s="347">
        <f>'New cost and adjustments inputs'!F92*'New cost and adjustments inputs'!F204</f>
        <v>0</v>
      </c>
      <c r="G760" s="347">
        <f>'New cost and adjustments inputs'!G92*'New cost and adjustments inputs'!G204</f>
        <v>0</v>
      </c>
      <c r="H760" s="347">
        <f>'New cost and adjustments inputs'!H92*'New cost and adjustments inputs'!H204</f>
        <v>0</v>
      </c>
      <c r="I760" s="347">
        <f>'New cost and adjustments inputs'!I92*'New cost and adjustments inputs'!I204</f>
        <v>0</v>
      </c>
      <c r="J760" s="347">
        <f>'New cost and adjustments inputs'!J92*'New cost and adjustments inputs'!J204</f>
        <v>0</v>
      </c>
      <c r="K760" s="537">
        <f>'New cost and adjustments inputs'!K92*'New cost and adjustments inputs'!K204</f>
        <v>0</v>
      </c>
      <c r="L760" s="538">
        <f>'New cost and adjustments inputs'!L92*'New cost and adjustments inputs'!L204</f>
        <v>0</v>
      </c>
      <c r="M760" s="538">
        <f>'New cost and adjustments inputs'!M92*'New cost and adjustments inputs'!M204</f>
        <v>0</v>
      </c>
      <c r="N760" s="538">
        <f>'New cost and adjustments inputs'!N92*'New cost and adjustments inputs'!N204</f>
        <v>0</v>
      </c>
      <c r="O760" s="538">
        <f>'New cost and adjustments inputs'!O92*'New cost and adjustments inputs'!O204</f>
        <v>0</v>
      </c>
      <c r="T760" s="276">
        <f>SUM(K760:O760)</f>
        <v>0</v>
      </c>
      <c r="W760" s="268" t="str">
        <f ca="1">IF(T760&gt;Q$758,"Yes","No")</f>
        <v>No</v>
      </c>
      <c r="Y760" s="276"/>
    </row>
    <row r="761" spans="2:25" ht="14.1" customHeight="1">
      <c r="C761" s="276" t="s">
        <v>451</v>
      </c>
      <c r="F761" s="347">
        <f>IF($E758="yes",F758,0)+IF($E759="yes",F759,0)+IF($E760="yes",F760,0)+F757</f>
        <v>0.90647939370648201</v>
      </c>
      <c r="G761" s="347">
        <f t="shared" ref="G761:O761" si="175">IF($E758="yes",G758,0)+IF($E759="yes",G759,0)+IF($E760="yes",G760,0)+G757</f>
        <v>2.3678758370543802</v>
      </c>
      <c r="H761" s="347">
        <f t="shared" si="175"/>
        <v>1.27835568219214</v>
      </c>
      <c r="I761" s="347">
        <f t="shared" si="175"/>
        <v>19.400801224878901</v>
      </c>
      <c r="J761" s="347">
        <f t="shared" si="175"/>
        <v>19.365747390206092</v>
      </c>
      <c r="K761" s="537">
        <f t="shared" si="175"/>
        <v>20.66706265899241</v>
      </c>
      <c r="L761" s="538">
        <f t="shared" si="175"/>
        <v>20.66706265899241</v>
      </c>
      <c r="M761" s="538">
        <f t="shared" si="175"/>
        <v>20.66706265899241</v>
      </c>
      <c r="N761" s="538">
        <f t="shared" si="175"/>
        <v>20.66706265899241</v>
      </c>
      <c r="O761" s="538">
        <f t="shared" si="175"/>
        <v>20.66706265899241</v>
      </c>
      <c r="Y761" s="276"/>
    </row>
    <row r="762" spans="2:25" ht="14.1" customHeight="1">
      <c r="C762" s="276" t="s">
        <v>452</v>
      </c>
      <c r="F762" s="347">
        <f>IF($E759="No",F759,0) +IF($E760="No",F760,0)</f>
        <v>0</v>
      </c>
      <c r="G762" s="347">
        <f t="shared" ref="G762:O762" si="176">IF($E759="No",G759,0) +IF($E760="No",G760,0)</f>
        <v>0</v>
      </c>
      <c r="H762" s="347">
        <f t="shared" si="176"/>
        <v>0</v>
      </c>
      <c r="I762" s="347">
        <f t="shared" si="176"/>
        <v>0</v>
      </c>
      <c r="J762" s="347">
        <f t="shared" si="176"/>
        <v>0</v>
      </c>
      <c r="K762" s="537">
        <f t="shared" si="176"/>
        <v>0</v>
      </c>
      <c r="L762" s="538">
        <f t="shared" si="176"/>
        <v>0</v>
      </c>
      <c r="M762" s="538">
        <f t="shared" si="176"/>
        <v>0</v>
      </c>
      <c r="N762" s="538">
        <f t="shared" si="176"/>
        <v>0</v>
      </c>
      <c r="O762" s="538">
        <f t="shared" si="176"/>
        <v>0</v>
      </c>
      <c r="Y762" s="276"/>
    </row>
    <row r="763" spans="2:25" ht="14.1" customHeight="1">
      <c r="B763" s="276" t="s">
        <v>224</v>
      </c>
      <c r="C763" s="276" t="s">
        <v>250</v>
      </c>
      <c r="F763" s="347">
        <f>'New cost and adjustments inputs'!F95*'New cost and adjustments inputs'!F207</f>
        <v>0</v>
      </c>
      <c r="G763" s="347">
        <f>'New cost and adjustments inputs'!G95*'New cost and adjustments inputs'!G207</f>
        <v>0</v>
      </c>
      <c r="H763" s="347">
        <f>'New cost and adjustments inputs'!H95*'New cost and adjustments inputs'!H207</f>
        <v>0</v>
      </c>
      <c r="I763" s="347">
        <f>'New cost and adjustments inputs'!I95*'New cost and adjustments inputs'!I207</f>
        <v>0.43850276063668803</v>
      </c>
      <c r="J763" s="347">
        <f>'New cost and adjustments inputs'!J95*'New cost and adjustments inputs'!J207</f>
        <v>0.43850276063668803</v>
      </c>
      <c r="K763" s="537">
        <f>'New cost and adjustments inputs'!K95*'New cost and adjustments inputs'!K207</f>
        <v>0.39643661434556476</v>
      </c>
      <c r="L763" s="538">
        <f>'New cost and adjustments inputs'!L95*'New cost and adjustments inputs'!L207</f>
        <v>0.39643661434556476</v>
      </c>
      <c r="M763" s="538">
        <f>'New cost and adjustments inputs'!M95*'New cost and adjustments inputs'!M207</f>
        <v>0.39643661434556476</v>
      </c>
      <c r="N763" s="538">
        <f>'New cost and adjustments inputs'!N95*'New cost and adjustments inputs'!N207</f>
        <v>0.39643661434556476</v>
      </c>
      <c r="O763" s="538">
        <f>'New cost and adjustments inputs'!O95*'New cost and adjustments inputs'!O207</f>
        <v>0.39643661434556476</v>
      </c>
      <c r="Y763" s="276"/>
    </row>
    <row r="764" spans="2:25" ht="14.1" customHeight="1">
      <c r="C764" s="276" t="s">
        <v>450</v>
      </c>
      <c r="E764" s="286" t="str">
        <f>'New cost and adjustments inputs'!E96</f>
        <v>Yes</v>
      </c>
      <c r="F764" s="347">
        <f>'New cost and adjustments inputs'!F96*'New cost and adjustments inputs'!F208/Rebasing</f>
        <v>0</v>
      </c>
      <c r="G764" s="347">
        <f>'New cost and adjustments inputs'!G96*'New cost and adjustments inputs'!G208/Rebasing</f>
        <v>0</v>
      </c>
      <c r="H764" s="347">
        <f>'New cost and adjustments inputs'!H96*'New cost and adjustments inputs'!H208/Rebasing</f>
        <v>0</v>
      </c>
      <c r="I764" s="347">
        <f>'New cost and adjustments inputs'!I96*'New cost and adjustments inputs'!I208/Rebasing</f>
        <v>0</v>
      </c>
      <c r="J764" s="347">
        <f>'New cost and adjustments inputs'!J96*'New cost and adjustments inputs'!J208/Rebasing</f>
        <v>0.52388701668432203</v>
      </c>
      <c r="K764" s="347">
        <f>'New cost and adjustments inputs'!K96*'New cost and adjustments inputs'!K208/Rebasing</f>
        <v>1.0847085540254238</v>
      </c>
      <c r="L764" s="347">
        <f>'New cost and adjustments inputs'!L96*'New cost and adjustments inputs'!L208/Rebasing</f>
        <v>1.6882963784427967</v>
      </c>
      <c r="M764" s="347">
        <f>'New cost and adjustments inputs'!M96*'New cost and adjustments inputs'!M208/Rebasing</f>
        <v>2.3336785288665252</v>
      </c>
      <c r="N764" s="347">
        <f>'New cost and adjustments inputs'!N96*'New cost and adjustments inputs'!N208/Rebasing</f>
        <v>3.0198830442266948</v>
      </c>
      <c r="O764" s="347">
        <f>'New cost and adjustments inputs'!O96*'New cost and adjustments inputs'!O208/Rebasing</f>
        <v>3.7459379634533896</v>
      </c>
      <c r="Q764" s="276">
        <f ca="1">VLOOKUP(B763,B$575:E$593,4,FALSE)</f>
        <v>3.595125325183766</v>
      </c>
      <c r="T764" s="276">
        <f>SUM(K764:O764)</f>
        <v>11.87250446901483</v>
      </c>
      <c r="W764" s="268" t="str">
        <f ca="1">IF(T764&gt;Q$764,"Yes","No")</f>
        <v>Yes</v>
      </c>
      <c r="Y764" s="276"/>
    </row>
    <row r="765" spans="2:25" ht="14.1" customHeight="1">
      <c r="C765" s="276" t="s">
        <v>247</v>
      </c>
      <c r="E765" s="286" t="str">
        <f>'New cost and adjustments inputs'!E97</f>
        <v>No</v>
      </c>
      <c r="F765" s="347">
        <f>'New cost and adjustments inputs'!F97*'New cost and adjustments inputs'!F209</f>
        <v>0</v>
      </c>
      <c r="G765" s="347">
        <f>'New cost and adjustments inputs'!G97*'New cost and adjustments inputs'!G209</f>
        <v>0</v>
      </c>
      <c r="H765" s="347">
        <f>'New cost and adjustments inputs'!H97*'New cost and adjustments inputs'!H209</f>
        <v>0</v>
      </c>
      <c r="I765" s="347">
        <f>'New cost and adjustments inputs'!I97*'New cost and adjustments inputs'!I209</f>
        <v>0</v>
      </c>
      <c r="J765" s="347">
        <f>'New cost and adjustments inputs'!J97*'New cost and adjustments inputs'!J209</f>
        <v>0</v>
      </c>
      <c r="K765" s="537">
        <f>'New cost and adjustments inputs'!K97*'New cost and adjustments inputs'!K209</f>
        <v>0</v>
      </c>
      <c r="L765" s="538">
        <f>'New cost and adjustments inputs'!L97*'New cost and adjustments inputs'!L209</f>
        <v>0</v>
      </c>
      <c r="M765" s="538">
        <f>'New cost and adjustments inputs'!M97*'New cost and adjustments inputs'!M209</f>
        <v>0</v>
      </c>
      <c r="N765" s="538">
        <f>'New cost and adjustments inputs'!N97*'New cost and adjustments inputs'!N209</f>
        <v>0</v>
      </c>
      <c r="O765" s="538">
        <f>'New cost and adjustments inputs'!O97*'New cost and adjustments inputs'!O209</f>
        <v>0</v>
      </c>
      <c r="T765" s="276">
        <f>SUM(K765:O765)</f>
        <v>0</v>
      </c>
      <c r="W765" s="268" t="str">
        <f ca="1">IF(T765&gt;Q$764,"Yes","No")</f>
        <v>No</v>
      </c>
      <c r="Y765" s="276"/>
    </row>
    <row r="766" spans="2:25" ht="14.1" customHeight="1">
      <c r="C766" s="276" t="s">
        <v>248</v>
      </c>
      <c r="E766" s="286" t="str">
        <f>'New cost and adjustments inputs'!E98</f>
        <v>No</v>
      </c>
      <c r="F766" s="347">
        <f>'New cost and adjustments inputs'!F98*'New cost and adjustments inputs'!F210</f>
        <v>0</v>
      </c>
      <c r="G766" s="347">
        <f>'New cost and adjustments inputs'!G98*'New cost and adjustments inputs'!G210</f>
        <v>0</v>
      </c>
      <c r="H766" s="347">
        <f>'New cost and adjustments inputs'!H98*'New cost and adjustments inputs'!H210</f>
        <v>0</v>
      </c>
      <c r="I766" s="347">
        <f>'New cost and adjustments inputs'!I98*'New cost and adjustments inputs'!I210</f>
        <v>0</v>
      </c>
      <c r="J766" s="347">
        <f>'New cost and adjustments inputs'!J98*'New cost and adjustments inputs'!J210</f>
        <v>0</v>
      </c>
      <c r="K766" s="537">
        <f>'New cost and adjustments inputs'!K98*'New cost and adjustments inputs'!K210</f>
        <v>0</v>
      </c>
      <c r="L766" s="538">
        <f>'New cost and adjustments inputs'!L98*'New cost and adjustments inputs'!L210</f>
        <v>0</v>
      </c>
      <c r="M766" s="538">
        <f>'New cost and adjustments inputs'!M98*'New cost and adjustments inputs'!M210</f>
        <v>0</v>
      </c>
      <c r="N766" s="538">
        <f>'New cost and adjustments inputs'!N98*'New cost and adjustments inputs'!N210</f>
        <v>0</v>
      </c>
      <c r="O766" s="538">
        <f>'New cost and adjustments inputs'!O98*'New cost and adjustments inputs'!O210</f>
        <v>0</v>
      </c>
      <c r="T766" s="276">
        <f>SUM(K766:O766)</f>
        <v>0</v>
      </c>
      <c r="W766" s="268" t="str">
        <f ca="1">IF(T766&gt;Q$764,"Yes","No")</f>
        <v>No</v>
      </c>
      <c r="Y766" s="276"/>
    </row>
    <row r="767" spans="2:25" ht="14.1" customHeight="1">
      <c r="C767" s="276" t="s">
        <v>451</v>
      </c>
      <c r="F767" s="347">
        <f>IF($E764="yes",F764,0)+IF($E765="yes",F765,0)+IF($E766="yes",F766,0)+F763</f>
        <v>0</v>
      </c>
      <c r="G767" s="347">
        <f t="shared" ref="G767:O767" si="177">IF($E764="yes",G764,0)+IF($E765="yes",G765,0)+IF($E766="yes",G766,0)+G763</f>
        <v>0</v>
      </c>
      <c r="H767" s="347">
        <f t="shared" si="177"/>
        <v>0</v>
      </c>
      <c r="I767" s="347">
        <f t="shared" si="177"/>
        <v>0.43850276063668803</v>
      </c>
      <c r="J767" s="347">
        <f t="shared" si="177"/>
        <v>0.96238977732101005</v>
      </c>
      <c r="K767" s="537">
        <f t="shared" si="177"/>
        <v>1.4811451683709884</v>
      </c>
      <c r="L767" s="538">
        <f t="shared" si="177"/>
        <v>2.0847329927883615</v>
      </c>
      <c r="M767" s="538">
        <f t="shared" si="177"/>
        <v>2.7301151432120898</v>
      </c>
      <c r="N767" s="538">
        <f t="shared" si="177"/>
        <v>3.4163196585722595</v>
      </c>
      <c r="O767" s="538">
        <f t="shared" si="177"/>
        <v>4.1423745777989547</v>
      </c>
      <c r="Y767" s="276"/>
    </row>
    <row r="768" spans="2:25" ht="14.1" customHeight="1">
      <c r="C768" s="276" t="s">
        <v>452</v>
      </c>
      <c r="F768" s="347">
        <f>IF($E765="No",F765,0) +IF($E766="No",F766,0)</f>
        <v>0</v>
      </c>
      <c r="G768" s="347">
        <f t="shared" ref="G768:O768" si="178">IF($E765="No",G765,0) +IF($E766="No",G766,0)</f>
        <v>0</v>
      </c>
      <c r="H768" s="347">
        <f t="shared" si="178"/>
        <v>0</v>
      </c>
      <c r="I768" s="347">
        <f t="shared" si="178"/>
        <v>0</v>
      </c>
      <c r="J768" s="347">
        <f t="shared" si="178"/>
        <v>0</v>
      </c>
      <c r="K768" s="537">
        <f t="shared" si="178"/>
        <v>0</v>
      </c>
      <c r="L768" s="538">
        <f t="shared" si="178"/>
        <v>0</v>
      </c>
      <c r="M768" s="538">
        <f t="shared" si="178"/>
        <v>0</v>
      </c>
      <c r="N768" s="538">
        <f t="shared" si="178"/>
        <v>0</v>
      </c>
      <c r="O768" s="538">
        <f t="shared" si="178"/>
        <v>0</v>
      </c>
      <c r="Y768" s="276"/>
    </row>
    <row r="769" spans="2:25" ht="14.1" customHeight="1">
      <c r="B769" s="276" t="s">
        <v>225</v>
      </c>
      <c r="C769" s="276" t="s">
        <v>250</v>
      </c>
      <c r="F769" s="347">
        <f>'New cost and adjustments inputs'!F101*'New cost and adjustments inputs'!F213</f>
        <v>1.383</v>
      </c>
      <c r="G769" s="347">
        <f>'New cost and adjustments inputs'!G101*'New cost and adjustments inputs'!G213</f>
        <v>1.383</v>
      </c>
      <c r="H769" s="347">
        <f>'New cost and adjustments inputs'!H101*'New cost and adjustments inputs'!H213</f>
        <v>1.383</v>
      </c>
      <c r="I769" s="347">
        <f>'New cost and adjustments inputs'!I101*'New cost and adjustments inputs'!I213</f>
        <v>0.95099999999999996</v>
      </c>
      <c r="J769" s="347">
        <f>'New cost and adjustments inputs'!J101*'New cost and adjustments inputs'!J213</f>
        <v>0.92899999999999994</v>
      </c>
      <c r="K769" s="537">
        <f>'New cost and adjustments inputs'!K101*'New cost and adjustments inputs'!K213</f>
        <v>0.97974619649295536</v>
      </c>
      <c r="L769" s="538">
        <f>'New cost and adjustments inputs'!L101*'New cost and adjustments inputs'!L213</f>
        <v>0.97974619649295536</v>
      </c>
      <c r="M769" s="538">
        <f>'New cost and adjustments inputs'!M101*'New cost and adjustments inputs'!M213</f>
        <v>0.97974619649295536</v>
      </c>
      <c r="N769" s="538">
        <f>'New cost and adjustments inputs'!N101*'New cost and adjustments inputs'!N213</f>
        <v>0.97974619649295536</v>
      </c>
      <c r="O769" s="538">
        <f>'New cost and adjustments inputs'!O101*'New cost and adjustments inputs'!O213</f>
        <v>0.97974619649295536</v>
      </c>
      <c r="Y769" s="276"/>
    </row>
    <row r="770" spans="2:25" ht="14.1" customHeight="1">
      <c r="C770" s="276" t="s">
        <v>450</v>
      </c>
      <c r="E770" s="286" t="str">
        <f>'New cost and adjustments inputs'!E102</f>
        <v>Yes</v>
      </c>
      <c r="F770" s="347">
        <f>'New cost and adjustments inputs'!F102*'New cost and adjustments inputs'!F214/Rebasing</f>
        <v>0</v>
      </c>
      <c r="G770" s="347">
        <f>'New cost and adjustments inputs'!G102*'New cost and adjustments inputs'!G214/Rebasing</f>
        <v>0</v>
      </c>
      <c r="H770" s="347">
        <f>'New cost and adjustments inputs'!H102*'New cost and adjustments inputs'!H214/Rebasing</f>
        <v>0</v>
      </c>
      <c r="I770" s="347">
        <f>'New cost and adjustments inputs'!I102*'New cost and adjustments inputs'!I214/Rebasing</f>
        <v>0</v>
      </c>
      <c r="J770" s="347">
        <f>'New cost and adjustments inputs'!J102*'New cost and adjustments inputs'!J214/Rebasing</f>
        <v>0</v>
      </c>
      <c r="K770" s="347">
        <f>'New cost and adjustments inputs'!K102*'New cost and adjustments inputs'!K214/Rebasing</f>
        <v>1.7310626655190677</v>
      </c>
      <c r="L770" s="347">
        <f>'New cost and adjustments inputs'!L102*'New cost and adjustments inputs'!L214/Rebasing</f>
        <v>2.6408182269597456</v>
      </c>
      <c r="M770" s="347">
        <f>'New cost and adjustments inputs'!M102*'New cost and adjustments inputs'!M214/Rebasing</f>
        <v>3.5913961533368641</v>
      </c>
      <c r="N770" s="347">
        <f>'New cost and adjustments inputs'!N102*'New cost and adjustments inputs'!N214/Rebasing</f>
        <v>4.5866842889300852</v>
      </c>
      <c r="O770" s="347">
        <f>'New cost and adjustments inputs'!O102*'New cost and adjustments inputs'!O214/Rebasing</f>
        <v>5.6247387115995764</v>
      </c>
      <c r="Q770" s="276">
        <f ca="1">VLOOKUP(B769,B$575:E$593,4,FALSE)</f>
        <v>6.3837825918650735</v>
      </c>
      <c r="T770" s="276">
        <f>SUM(K770:O770)</f>
        <v>18.17470004634534</v>
      </c>
      <c r="W770" s="268" t="str">
        <f ca="1">IF(T770&gt;Q$770,"Yes","No")</f>
        <v>Yes</v>
      </c>
      <c r="Y770" s="276"/>
    </row>
    <row r="771" spans="2:25" ht="14.1" customHeight="1">
      <c r="C771" s="276" t="s">
        <v>247</v>
      </c>
      <c r="E771" s="286" t="str">
        <f>'New cost and adjustments inputs'!E103</f>
        <v>No</v>
      </c>
      <c r="F771" s="347">
        <f>'New cost and adjustments inputs'!F103*'New cost and adjustments inputs'!F215</f>
        <v>0</v>
      </c>
      <c r="G771" s="347">
        <f>'New cost and adjustments inputs'!G103*'New cost and adjustments inputs'!G215</f>
        <v>0</v>
      </c>
      <c r="H771" s="347">
        <f>'New cost and adjustments inputs'!H103*'New cost and adjustments inputs'!H215</f>
        <v>0</v>
      </c>
      <c r="I771" s="347">
        <f>'New cost and adjustments inputs'!I103*'New cost and adjustments inputs'!I215</f>
        <v>0</v>
      </c>
      <c r="J771" s="347">
        <f>'New cost and adjustments inputs'!J103*'New cost and adjustments inputs'!J215</f>
        <v>0</v>
      </c>
      <c r="K771" s="537">
        <f>'New cost and adjustments inputs'!K103*'New cost and adjustments inputs'!K215</f>
        <v>0</v>
      </c>
      <c r="L771" s="538">
        <f>'New cost and adjustments inputs'!L103*'New cost and adjustments inputs'!L215</f>
        <v>0</v>
      </c>
      <c r="M771" s="538">
        <f>'New cost and adjustments inputs'!M103*'New cost and adjustments inputs'!M215</f>
        <v>0</v>
      </c>
      <c r="N771" s="538">
        <f>'New cost and adjustments inputs'!N103*'New cost and adjustments inputs'!N215</f>
        <v>0</v>
      </c>
      <c r="O771" s="538">
        <f>'New cost and adjustments inputs'!O103*'New cost and adjustments inputs'!O215</f>
        <v>0</v>
      </c>
      <c r="T771" s="276">
        <f>SUM(K771:O771)</f>
        <v>0</v>
      </c>
      <c r="W771" s="268" t="str">
        <f ca="1">IF(T771&gt;Q$770,"Yes","No")</f>
        <v>No</v>
      </c>
      <c r="Y771" s="276"/>
    </row>
    <row r="772" spans="2:25" ht="14.1" customHeight="1">
      <c r="C772" s="276" t="s">
        <v>248</v>
      </c>
      <c r="E772" s="286" t="str">
        <f>'New cost and adjustments inputs'!E104</f>
        <v>No</v>
      </c>
      <c r="F772" s="347">
        <f>'New cost and adjustments inputs'!F104*'New cost and adjustments inputs'!F216</f>
        <v>0</v>
      </c>
      <c r="G772" s="347">
        <f>'New cost and adjustments inputs'!G104*'New cost and adjustments inputs'!G216</f>
        <v>0</v>
      </c>
      <c r="H772" s="347">
        <f>'New cost and adjustments inputs'!H104*'New cost and adjustments inputs'!H216</f>
        <v>0</v>
      </c>
      <c r="I772" s="347">
        <f>'New cost and adjustments inputs'!I104*'New cost and adjustments inputs'!I216</f>
        <v>0</v>
      </c>
      <c r="J772" s="347">
        <f>'New cost and adjustments inputs'!J104*'New cost and adjustments inputs'!J216</f>
        <v>0</v>
      </c>
      <c r="K772" s="537">
        <f>'New cost and adjustments inputs'!K104*'New cost and adjustments inputs'!K216</f>
        <v>0</v>
      </c>
      <c r="L772" s="538">
        <f>'New cost and adjustments inputs'!L104*'New cost and adjustments inputs'!L216</f>
        <v>0</v>
      </c>
      <c r="M772" s="538">
        <f>'New cost and adjustments inputs'!M104*'New cost and adjustments inputs'!M216</f>
        <v>0</v>
      </c>
      <c r="N772" s="538">
        <f>'New cost and adjustments inputs'!N104*'New cost and adjustments inputs'!N216</f>
        <v>0</v>
      </c>
      <c r="O772" s="538">
        <f>'New cost and adjustments inputs'!O104*'New cost and adjustments inputs'!O216</f>
        <v>0</v>
      </c>
      <c r="T772" s="276">
        <f>SUM(K772:O772)</f>
        <v>0</v>
      </c>
      <c r="W772" s="268" t="str">
        <f ca="1">IF(T772&gt;Q$770,"Yes","No")</f>
        <v>No</v>
      </c>
      <c r="Y772" s="276"/>
    </row>
    <row r="773" spans="2:25" ht="14.1" customHeight="1">
      <c r="C773" s="276" t="s">
        <v>451</v>
      </c>
      <c r="F773" s="347">
        <f>IF($E770="yes",F770,0)+IF($E771="yes",F771,0)+IF($E772="yes",F772,0)+F769</f>
        <v>1.383</v>
      </c>
      <c r="G773" s="347">
        <f t="shared" ref="G773:O773" si="179">IF($E770="yes",G770,0)+IF($E771="yes",G771,0)+IF($E772="yes",G772,0)+G769</f>
        <v>1.383</v>
      </c>
      <c r="H773" s="347">
        <f t="shared" si="179"/>
        <v>1.383</v>
      </c>
      <c r="I773" s="347">
        <f t="shared" si="179"/>
        <v>0.95099999999999996</v>
      </c>
      <c r="J773" s="347">
        <f t="shared" si="179"/>
        <v>0.92899999999999994</v>
      </c>
      <c r="K773" s="537">
        <f t="shared" si="179"/>
        <v>2.7108088620120232</v>
      </c>
      <c r="L773" s="538">
        <f t="shared" si="179"/>
        <v>3.6205644234527008</v>
      </c>
      <c r="M773" s="538">
        <f t="shared" si="179"/>
        <v>4.5711423498298194</v>
      </c>
      <c r="N773" s="538">
        <f t="shared" si="179"/>
        <v>5.5664304854230409</v>
      </c>
      <c r="O773" s="538">
        <f t="shared" si="179"/>
        <v>6.6044849080925321</v>
      </c>
      <c r="Y773" s="276"/>
    </row>
    <row r="774" spans="2:25" ht="14.1" customHeight="1">
      <c r="C774" s="276" t="s">
        <v>452</v>
      </c>
      <c r="F774" s="347">
        <f>IF($E771="No",F771,0) +IF($E772="No",F772,0)</f>
        <v>0</v>
      </c>
      <c r="G774" s="347">
        <f t="shared" ref="G774:O774" si="180">IF($E771="No",G771,0) +IF($E772="No",G772,0)</f>
        <v>0</v>
      </c>
      <c r="H774" s="347">
        <f t="shared" si="180"/>
        <v>0</v>
      </c>
      <c r="I774" s="347">
        <f t="shared" si="180"/>
        <v>0</v>
      </c>
      <c r="J774" s="347">
        <f t="shared" si="180"/>
        <v>0</v>
      </c>
      <c r="K774" s="537">
        <f t="shared" si="180"/>
        <v>0</v>
      </c>
      <c r="L774" s="538">
        <f t="shared" si="180"/>
        <v>0</v>
      </c>
      <c r="M774" s="538">
        <f t="shared" si="180"/>
        <v>0</v>
      </c>
      <c r="N774" s="538">
        <f t="shared" si="180"/>
        <v>0</v>
      </c>
      <c r="O774" s="538">
        <f t="shared" si="180"/>
        <v>0</v>
      </c>
      <c r="Y774" s="276"/>
    </row>
    <row r="775" spans="2:25" ht="14.1" customHeight="1">
      <c r="B775" s="276" t="s">
        <v>226</v>
      </c>
      <c r="C775" s="276" t="s">
        <v>250</v>
      </c>
      <c r="F775" s="347">
        <f>'New cost and adjustments inputs'!F107*'New cost and adjustments inputs'!F219</f>
        <v>0.13566</v>
      </c>
      <c r="G775" s="347">
        <f>'New cost and adjustments inputs'!G107*'New cost and adjustments inputs'!G219</f>
        <v>0.13566</v>
      </c>
      <c r="H775" s="347">
        <f>'New cost and adjustments inputs'!H107*'New cost and adjustments inputs'!H219</f>
        <v>0.13566</v>
      </c>
      <c r="I775" s="347">
        <f>'New cost and adjustments inputs'!I107*'New cost and adjustments inputs'!I219</f>
        <v>0.13566</v>
      </c>
      <c r="J775" s="347">
        <f>'New cost and adjustments inputs'!J107*'New cost and adjustments inputs'!J219</f>
        <v>0.13566</v>
      </c>
      <c r="K775" s="537">
        <f>'New cost and adjustments inputs'!K107*'New cost and adjustments inputs'!K219</f>
        <v>0.11665052756737383</v>
      </c>
      <c r="L775" s="538">
        <f>'New cost and adjustments inputs'!L107*'New cost and adjustments inputs'!L219</f>
        <v>0.11665052756737383</v>
      </c>
      <c r="M775" s="538">
        <f>'New cost and adjustments inputs'!M107*'New cost and adjustments inputs'!M219</f>
        <v>0.11665052756737383</v>
      </c>
      <c r="N775" s="538">
        <f>'New cost and adjustments inputs'!N107*'New cost and adjustments inputs'!N219</f>
        <v>0.11665052756737383</v>
      </c>
      <c r="O775" s="538">
        <f>'New cost and adjustments inputs'!O107*'New cost and adjustments inputs'!O219</f>
        <v>0.11665052756737383</v>
      </c>
      <c r="Y775" s="276"/>
    </row>
    <row r="776" spans="2:25" ht="14.1" customHeight="1">
      <c r="C776" s="276" t="s">
        <v>450</v>
      </c>
      <c r="E776" s="286" t="str">
        <f>'New cost and adjustments inputs'!E108</f>
        <v>No</v>
      </c>
      <c r="F776" s="347">
        <f>'New cost and adjustments inputs'!F108*'New cost and adjustments inputs'!F220/Rebasing</f>
        <v>0</v>
      </c>
      <c r="G776" s="347">
        <f>'New cost and adjustments inputs'!G108*'New cost and adjustments inputs'!G220/Rebasing</f>
        <v>0</v>
      </c>
      <c r="H776" s="347">
        <f>'New cost and adjustments inputs'!H108*'New cost and adjustments inputs'!H220/Rebasing</f>
        <v>0</v>
      </c>
      <c r="I776" s="347">
        <f>'New cost and adjustments inputs'!I108*'New cost and adjustments inputs'!I220/Rebasing</f>
        <v>0</v>
      </c>
      <c r="J776" s="347">
        <f>'New cost and adjustments inputs'!J108*'New cost and adjustments inputs'!J220/Rebasing</f>
        <v>0</v>
      </c>
      <c r="K776" s="347">
        <f>'New cost and adjustments inputs'!K108*'New cost and adjustments inputs'!K220/Rebasing</f>
        <v>0</v>
      </c>
      <c r="L776" s="347">
        <f>'New cost and adjustments inputs'!L108*'New cost and adjustments inputs'!L220/Rebasing</f>
        <v>0</v>
      </c>
      <c r="M776" s="347">
        <f>'New cost and adjustments inputs'!M108*'New cost and adjustments inputs'!M220/Rebasing</f>
        <v>0</v>
      </c>
      <c r="N776" s="347">
        <f>'New cost and adjustments inputs'!N108*'New cost and adjustments inputs'!N220/Rebasing</f>
        <v>0</v>
      </c>
      <c r="O776" s="347">
        <f>'New cost and adjustments inputs'!O108*'New cost and adjustments inputs'!O220/Rebasing</f>
        <v>0</v>
      </c>
      <c r="Q776" s="276">
        <f ca="1">VLOOKUP(B775,B$575:E$593,4,FALSE)</f>
        <v>3.0993860625934637</v>
      </c>
      <c r="T776" s="276">
        <f>SUM(K776:O776)</f>
        <v>0</v>
      </c>
      <c r="W776" s="268" t="str">
        <f ca="1">IF(T776&gt;Q$776,"Yes","No")</f>
        <v>No</v>
      </c>
      <c r="Y776" s="276"/>
    </row>
    <row r="777" spans="2:25" ht="14.1" customHeight="1">
      <c r="C777" s="276" t="s">
        <v>247</v>
      </c>
      <c r="E777" s="286" t="str">
        <f>'New cost and adjustments inputs'!E109</f>
        <v>No</v>
      </c>
      <c r="F777" s="347">
        <f>'New cost and adjustments inputs'!F109*'New cost and adjustments inputs'!F221</f>
        <v>0</v>
      </c>
      <c r="G777" s="347">
        <f>'New cost and adjustments inputs'!G109*'New cost and adjustments inputs'!G221</f>
        <v>0</v>
      </c>
      <c r="H777" s="347">
        <f>'New cost and adjustments inputs'!H109*'New cost and adjustments inputs'!H221</f>
        <v>0</v>
      </c>
      <c r="I777" s="347">
        <f>'New cost and adjustments inputs'!I109*'New cost and adjustments inputs'!I221</f>
        <v>0</v>
      </c>
      <c r="J777" s="347">
        <f>'New cost and adjustments inputs'!J109*'New cost and adjustments inputs'!J221</f>
        <v>0</v>
      </c>
      <c r="K777" s="537">
        <f>'New cost and adjustments inputs'!K109*'New cost and adjustments inputs'!K221</f>
        <v>0</v>
      </c>
      <c r="L777" s="538">
        <f>'New cost and adjustments inputs'!L109*'New cost and adjustments inputs'!L221</f>
        <v>0</v>
      </c>
      <c r="M777" s="538">
        <f>'New cost and adjustments inputs'!M109*'New cost and adjustments inputs'!M221</f>
        <v>0</v>
      </c>
      <c r="N777" s="538">
        <f>'New cost and adjustments inputs'!N109*'New cost and adjustments inputs'!N221</f>
        <v>0</v>
      </c>
      <c r="O777" s="538">
        <f>'New cost and adjustments inputs'!O109*'New cost and adjustments inputs'!O221</f>
        <v>0</v>
      </c>
      <c r="T777" s="276">
        <f>SUM(K777:O777)</f>
        <v>0</v>
      </c>
      <c r="W777" s="268" t="str">
        <f ca="1">IF(T777&gt;Q$776,"Yes","No")</f>
        <v>No</v>
      </c>
      <c r="Y777" s="276"/>
    </row>
    <row r="778" spans="2:25" ht="14.1" customHeight="1">
      <c r="C778" s="276" t="s">
        <v>248</v>
      </c>
      <c r="E778" s="286" t="str">
        <f>'New cost and adjustments inputs'!E110</f>
        <v>No</v>
      </c>
      <c r="F778" s="347">
        <f>'New cost and adjustments inputs'!F110*'New cost and adjustments inputs'!F222</f>
        <v>0</v>
      </c>
      <c r="G778" s="347">
        <f>'New cost and adjustments inputs'!G110*'New cost and adjustments inputs'!G222</f>
        <v>0</v>
      </c>
      <c r="H778" s="347">
        <f>'New cost and adjustments inputs'!H110*'New cost and adjustments inputs'!H222</f>
        <v>0</v>
      </c>
      <c r="I778" s="347">
        <f>'New cost and adjustments inputs'!I110*'New cost and adjustments inputs'!I222</f>
        <v>0</v>
      </c>
      <c r="J778" s="347">
        <f>'New cost and adjustments inputs'!J110*'New cost and adjustments inputs'!J222</f>
        <v>0</v>
      </c>
      <c r="K778" s="537">
        <f>'New cost and adjustments inputs'!K110*'New cost and adjustments inputs'!K222</f>
        <v>0</v>
      </c>
      <c r="L778" s="538">
        <f>'New cost and adjustments inputs'!L110*'New cost and adjustments inputs'!L222</f>
        <v>0</v>
      </c>
      <c r="M778" s="538">
        <f>'New cost and adjustments inputs'!M110*'New cost and adjustments inputs'!M222</f>
        <v>0</v>
      </c>
      <c r="N778" s="538">
        <f>'New cost and adjustments inputs'!N110*'New cost and adjustments inputs'!N222</f>
        <v>0</v>
      </c>
      <c r="O778" s="538">
        <f>'New cost and adjustments inputs'!O110*'New cost and adjustments inputs'!O222</f>
        <v>0</v>
      </c>
      <c r="T778" s="276">
        <f>SUM(K778:O778)</f>
        <v>0</v>
      </c>
      <c r="W778" s="268" t="str">
        <f ca="1">IF(T778&gt;Q$776,"Yes","No")</f>
        <v>No</v>
      </c>
      <c r="Y778" s="276"/>
    </row>
    <row r="779" spans="2:25" ht="14.1" customHeight="1">
      <c r="C779" s="276" t="s">
        <v>451</v>
      </c>
      <c r="F779" s="347">
        <f>IF($E776="yes",F776,0)+IF($E777="yes",F777,0)+IF($E778="yes",F778,0)+F775</f>
        <v>0.13566</v>
      </c>
      <c r="G779" s="347">
        <f t="shared" ref="G779:O779" si="181">IF($E776="yes",G776,0)+IF($E777="yes",G777,0)+IF($E778="yes",G778,0)+G775</f>
        <v>0.13566</v>
      </c>
      <c r="H779" s="347">
        <f t="shared" si="181"/>
        <v>0.13566</v>
      </c>
      <c r="I779" s="347">
        <f t="shared" si="181"/>
        <v>0.13566</v>
      </c>
      <c r="J779" s="347">
        <f t="shared" si="181"/>
        <v>0.13566</v>
      </c>
      <c r="K779" s="537">
        <f t="shared" si="181"/>
        <v>0.11665052756737383</v>
      </c>
      <c r="L779" s="538">
        <f t="shared" si="181"/>
        <v>0.11665052756737383</v>
      </c>
      <c r="M779" s="538">
        <f t="shared" si="181"/>
        <v>0.11665052756737383</v>
      </c>
      <c r="N779" s="538">
        <f t="shared" si="181"/>
        <v>0.11665052756737383</v>
      </c>
      <c r="O779" s="538">
        <f t="shared" si="181"/>
        <v>0.11665052756737383</v>
      </c>
      <c r="Y779" s="276"/>
    </row>
    <row r="780" spans="2:25" ht="14.1" customHeight="1">
      <c r="C780" s="276" t="s">
        <v>452</v>
      </c>
      <c r="F780" s="347">
        <f>IF($E777="No",F777,0) +IF($E778="No",F778,0)</f>
        <v>0</v>
      </c>
      <c r="G780" s="347">
        <f t="shared" ref="G780:O780" si="182">IF($E777="No",G777,0) +IF($E778="No",G778,0)</f>
        <v>0</v>
      </c>
      <c r="H780" s="347">
        <f t="shared" si="182"/>
        <v>0</v>
      </c>
      <c r="I780" s="347">
        <f t="shared" si="182"/>
        <v>0</v>
      </c>
      <c r="J780" s="347">
        <f t="shared" si="182"/>
        <v>0</v>
      </c>
      <c r="K780" s="537">
        <f t="shared" si="182"/>
        <v>0</v>
      </c>
      <c r="L780" s="538">
        <f t="shared" si="182"/>
        <v>0</v>
      </c>
      <c r="M780" s="538">
        <f t="shared" si="182"/>
        <v>0</v>
      </c>
      <c r="N780" s="538">
        <f t="shared" si="182"/>
        <v>0</v>
      </c>
      <c r="O780" s="538">
        <f t="shared" si="182"/>
        <v>0</v>
      </c>
      <c r="Y780" s="276"/>
    </row>
    <row r="781" spans="2:25" ht="14.1" customHeight="1">
      <c r="B781" s="276" t="s">
        <v>227</v>
      </c>
      <c r="C781" s="276" t="s">
        <v>250</v>
      </c>
      <c r="F781" s="347">
        <f>'New cost and adjustments inputs'!F113*'New cost and adjustments inputs'!F225</f>
        <v>1.383</v>
      </c>
      <c r="G781" s="347">
        <f>'New cost and adjustments inputs'!G113*'New cost and adjustments inputs'!G225</f>
        <v>1.383</v>
      </c>
      <c r="H781" s="347">
        <f>'New cost and adjustments inputs'!H113*'New cost and adjustments inputs'!H225</f>
        <v>1.383</v>
      </c>
      <c r="I781" s="347">
        <f>'New cost and adjustments inputs'!I113*'New cost and adjustments inputs'!I225</f>
        <v>0.95099999999999996</v>
      </c>
      <c r="J781" s="347">
        <f>'New cost and adjustments inputs'!J113*'New cost and adjustments inputs'!J225</f>
        <v>0.92899999999999994</v>
      </c>
      <c r="K781" s="537">
        <f>'New cost and adjustments inputs'!K113*'New cost and adjustments inputs'!K225</f>
        <v>6.7806572158284742E-2</v>
      </c>
      <c r="L781" s="538">
        <f>'New cost and adjustments inputs'!L113*'New cost and adjustments inputs'!L225</f>
        <v>6.7806572158284742E-2</v>
      </c>
      <c r="M781" s="538">
        <f>'New cost and adjustments inputs'!M113*'New cost and adjustments inputs'!M225</f>
        <v>6.7806572158284742E-2</v>
      </c>
      <c r="N781" s="538">
        <f>'New cost and adjustments inputs'!N113*'New cost and adjustments inputs'!N225</f>
        <v>6.7806572158284742E-2</v>
      </c>
      <c r="O781" s="538">
        <f>'New cost and adjustments inputs'!O113*'New cost and adjustments inputs'!O225</f>
        <v>6.7806572158284742E-2</v>
      </c>
      <c r="Y781" s="276"/>
    </row>
    <row r="782" spans="2:25" ht="14.1" customHeight="1">
      <c r="C782" s="276" t="s">
        <v>450</v>
      </c>
      <c r="E782" s="286" t="str">
        <f>'New cost and adjustments inputs'!E114</f>
        <v>Yes</v>
      </c>
      <c r="F782" s="347">
        <f>'New cost and adjustments inputs'!F114*'New cost and adjustments inputs'!F226/Rebasing</f>
        <v>0</v>
      </c>
      <c r="G782" s="347">
        <f>'New cost and adjustments inputs'!G114*'New cost and adjustments inputs'!G226/Rebasing</f>
        <v>0</v>
      </c>
      <c r="H782" s="347">
        <f>'New cost and adjustments inputs'!H114*'New cost and adjustments inputs'!H226/Rebasing</f>
        <v>0</v>
      </c>
      <c r="I782" s="347">
        <f>'New cost and adjustments inputs'!I114*'New cost and adjustments inputs'!I226/Rebasing</f>
        <v>0</v>
      </c>
      <c r="J782" s="347">
        <f>'New cost and adjustments inputs'!J114*'New cost and adjustments inputs'!J226/Rebasing</f>
        <v>0.38811849713962432</v>
      </c>
      <c r="K782" s="347">
        <f>'New cost and adjustments inputs'!K114*'New cost and adjustments inputs'!K226/Rebasing</f>
        <v>0.56046888917706628</v>
      </c>
      <c r="L782" s="347">
        <f>'New cost and adjustments inputs'!L114*'New cost and adjustments inputs'!L226/Rebasing</f>
        <v>0.74721563449997519</v>
      </c>
      <c r="M782" s="347">
        <f>'New cost and adjustments inputs'!M114*'New cost and adjustments inputs'!M226/Rebasing</f>
        <v>0.94801683979146545</v>
      </c>
      <c r="N782" s="347">
        <f>'New cost and adjustments inputs'!N114*'New cost and adjustments inputs'!N226/Rebasing</f>
        <v>1.1627521216351835</v>
      </c>
      <c r="O782" s="347">
        <f>'New cost and adjustments inputs'!O114*'New cost and adjustments inputs'!O226/Rebasing</f>
        <v>1.3912024725740437</v>
      </c>
      <c r="Q782" s="276">
        <f ca="1">VLOOKUP(B781,B$575:E$593,4,FALSE)</f>
        <v>1.2405785744738274</v>
      </c>
      <c r="T782" s="276">
        <f>SUM(K782:O782)</f>
        <v>4.8096559576777338</v>
      </c>
      <c r="W782" s="268" t="str">
        <f ca="1">IF(T782&gt;Q$782,"Yes","No")</f>
        <v>Yes</v>
      </c>
      <c r="Y782" s="276"/>
    </row>
    <row r="783" spans="2:25" ht="14.1" customHeight="1">
      <c r="C783" s="276" t="s">
        <v>247</v>
      </c>
      <c r="E783" s="286" t="str">
        <f>'New cost and adjustments inputs'!E115</f>
        <v>No</v>
      </c>
      <c r="F783" s="347">
        <f>'New cost and adjustments inputs'!F115*'New cost and adjustments inputs'!F227</f>
        <v>0</v>
      </c>
      <c r="G783" s="347">
        <f>'New cost and adjustments inputs'!G115*'New cost and adjustments inputs'!G227</f>
        <v>0</v>
      </c>
      <c r="H783" s="347">
        <f>'New cost and adjustments inputs'!H115*'New cost and adjustments inputs'!H227</f>
        <v>0</v>
      </c>
      <c r="I783" s="347">
        <f>'New cost and adjustments inputs'!I115*'New cost and adjustments inputs'!I227</f>
        <v>0</v>
      </c>
      <c r="J783" s="347">
        <f>'New cost and adjustments inputs'!J115*'New cost and adjustments inputs'!J227</f>
        <v>0</v>
      </c>
      <c r="K783" s="537">
        <f>'New cost and adjustments inputs'!K115*'New cost and adjustments inputs'!K227</f>
        <v>0</v>
      </c>
      <c r="L783" s="538">
        <f>'New cost and adjustments inputs'!L115*'New cost and adjustments inputs'!L227</f>
        <v>0</v>
      </c>
      <c r="M783" s="538">
        <f>'New cost and adjustments inputs'!M115*'New cost and adjustments inputs'!M227</f>
        <v>0</v>
      </c>
      <c r="N783" s="538">
        <f>'New cost and adjustments inputs'!N115*'New cost and adjustments inputs'!N227</f>
        <v>0</v>
      </c>
      <c r="O783" s="538">
        <f>'New cost and adjustments inputs'!O115*'New cost and adjustments inputs'!O227</f>
        <v>0</v>
      </c>
      <c r="T783" s="276">
        <f>SUM(K783:O783)</f>
        <v>0</v>
      </c>
      <c r="W783" s="268" t="str">
        <f ca="1">IF(T783&gt;Q$782,"Yes","No")</f>
        <v>No</v>
      </c>
      <c r="Y783" s="276"/>
    </row>
    <row r="784" spans="2:25" ht="14.1" customHeight="1">
      <c r="C784" s="276" t="s">
        <v>248</v>
      </c>
      <c r="E784" s="286" t="str">
        <f>'New cost and adjustments inputs'!E116</f>
        <v>No</v>
      </c>
      <c r="F784" s="347">
        <f>'New cost and adjustments inputs'!F116*'New cost and adjustments inputs'!F228</f>
        <v>0</v>
      </c>
      <c r="G784" s="347">
        <f>'New cost and adjustments inputs'!G116*'New cost and adjustments inputs'!G228</f>
        <v>0</v>
      </c>
      <c r="H784" s="347">
        <f>'New cost and adjustments inputs'!H116*'New cost and adjustments inputs'!H228</f>
        <v>0</v>
      </c>
      <c r="I784" s="347">
        <f>'New cost and adjustments inputs'!I116*'New cost and adjustments inputs'!I228</f>
        <v>0</v>
      </c>
      <c r="J784" s="347">
        <f>'New cost and adjustments inputs'!J116*'New cost and adjustments inputs'!J228</f>
        <v>0</v>
      </c>
      <c r="K784" s="537">
        <f>'New cost and adjustments inputs'!K116*'New cost and adjustments inputs'!K228</f>
        <v>0</v>
      </c>
      <c r="L784" s="538">
        <f>'New cost and adjustments inputs'!L116*'New cost and adjustments inputs'!L228</f>
        <v>0</v>
      </c>
      <c r="M784" s="538">
        <f>'New cost and adjustments inputs'!M116*'New cost and adjustments inputs'!M228</f>
        <v>0</v>
      </c>
      <c r="N784" s="538">
        <f>'New cost and adjustments inputs'!N116*'New cost and adjustments inputs'!N228</f>
        <v>0</v>
      </c>
      <c r="O784" s="538">
        <f>'New cost and adjustments inputs'!O116*'New cost and adjustments inputs'!O228</f>
        <v>0</v>
      </c>
      <c r="T784" s="276">
        <f>SUM(K784:O784)</f>
        <v>0</v>
      </c>
      <c r="W784" s="268" t="str">
        <f ca="1">IF(T784&gt;Q$782,"Yes","No")</f>
        <v>No</v>
      </c>
      <c r="Y784" s="276"/>
    </row>
    <row r="785" spans="2:25" ht="14.1" customHeight="1">
      <c r="C785" s="276" t="s">
        <v>451</v>
      </c>
      <c r="F785" s="347">
        <f>IF($E782="yes",F782,0)+IF($E783="yes",F783,0)+IF($E784="yes",F784,0)+F781</f>
        <v>1.383</v>
      </c>
      <c r="G785" s="347">
        <f t="shared" ref="G785:O785" si="183">IF($E782="yes",G782,0)+IF($E783="yes",G783,0)+IF($E784="yes",G784,0)+G781</f>
        <v>1.383</v>
      </c>
      <c r="H785" s="347">
        <f t="shared" si="183"/>
        <v>1.383</v>
      </c>
      <c r="I785" s="347">
        <f t="shared" si="183"/>
        <v>0.95099999999999996</v>
      </c>
      <c r="J785" s="347">
        <f t="shared" si="183"/>
        <v>1.3171184971396244</v>
      </c>
      <c r="K785" s="537">
        <f t="shared" si="183"/>
        <v>0.62827546133535106</v>
      </c>
      <c r="L785" s="538">
        <f t="shared" si="183"/>
        <v>0.81502220665825997</v>
      </c>
      <c r="M785" s="538">
        <f t="shared" si="183"/>
        <v>1.0158234119497502</v>
      </c>
      <c r="N785" s="538">
        <f t="shared" si="183"/>
        <v>1.2305586937934683</v>
      </c>
      <c r="O785" s="538">
        <f t="shared" si="183"/>
        <v>1.4590090447323285</v>
      </c>
      <c r="Y785" s="276"/>
    </row>
    <row r="786" spans="2:25" ht="14.1" customHeight="1">
      <c r="C786" s="276" t="s">
        <v>452</v>
      </c>
      <c r="F786" s="347">
        <f>IF($E783="No",F783,0) +IF($E784="No",F784,0)</f>
        <v>0</v>
      </c>
      <c r="G786" s="347">
        <f t="shared" ref="G786:O786" si="184">IF($E783="No",G783,0) +IF($E784="No",G784,0)</f>
        <v>0</v>
      </c>
      <c r="H786" s="347">
        <f t="shared" si="184"/>
        <v>0</v>
      </c>
      <c r="I786" s="347">
        <f t="shared" si="184"/>
        <v>0</v>
      </c>
      <c r="J786" s="347">
        <f t="shared" si="184"/>
        <v>0</v>
      </c>
      <c r="K786" s="537">
        <f t="shared" si="184"/>
        <v>0</v>
      </c>
      <c r="L786" s="538">
        <f t="shared" si="184"/>
        <v>0</v>
      </c>
      <c r="M786" s="538">
        <f t="shared" si="184"/>
        <v>0</v>
      </c>
      <c r="N786" s="538">
        <f t="shared" si="184"/>
        <v>0</v>
      </c>
      <c r="O786" s="538">
        <f t="shared" si="184"/>
        <v>0</v>
      </c>
      <c r="Y786" s="276"/>
    </row>
    <row r="787" spans="2:25" ht="14.1" customHeight="1">
      <c r="B787" s="276" t="s">
        <v>228</v>
      </c>
      <c r="C787" s="276" t="s">
        <v>250</v>
      </c>
      <c r="F787" s="347">
        <f>'New cost and adjustments inputs'!F119*'New cost and adjustments inputs'!F231</f>
        <v>0.04</v>
      </c>
      <c r="G787" s="347">
        <f>'New cost and adjustments inputs'!G119*'New cost and adjustments inputs'!G231</f>
        <v>0.04</v>
      </c>
      <c r="H787" s="347">
        <f>'New cost and adjustments inputs'!H119*'New cost and adjustments inputs'!H231</f>
        <v>0.04</v>
      </c>
      <c r="I787" s="347">
        <f>'New cost and adjustments inputs'!I119*'New cost and adjustments inputs'!I231</f>
        <v>0.04</v>
      </c>
      <c r="J787" s="347">
        <f>'New cost and adjustments inputs'!J119*'New cost and adjustments inputs'!J231</f>
        <v>0.04</v>
      </c>
      <c r="K787" s="537">
        <f>'New cost and adjustments inputs'!K119*'New cost and adjustments inputs'!K231</f>
        <v>3.7356398550166127E-2</v>
      </c>
      <c r="L787" s="538">
        <f>'New cost and adjustments inputs'!L119*'New cost and adjustments inputs'!L231</f>
        <v>3.7356398550166127E-2</v>
      </c>
      <c r="M787" s="538">
        <f>'New cost and adjustments inputs'!M119*'New cost and adjustments inputs'!M231</f>
        <v>3.7356398550166127E-2</v>
      </c>
      <c r="N787" s="538">
        <f>'New cost and adjustments inputs'!N119*'New cost and adjustments inputs'!N231</f>
        <v>3.7356398550166127E-2</v>
      </c>
      <c r="O787" s="538">
        <f>'New cost and adjustments inputs'!O119*'New cost and adjustments inputs'!O231</f>
        <v>3.7356398550166127E-2</v>
      </c>
    </row>
    <row r="788" spans="2:25" ht="14.1" customHeight="1">
      <c r="C788" s="276" t="s">
        <v>450</v>
      </c>
      <c r="E788" s="286" t="str">
        <f>'New cost and adjustments inputs'!E120</f>
        <v>No</v>
      </c>
      <c r="F788" s="347">
        <f>'New cost and adjustments inputs'!F120*'New cost and adjustments inputs'!F232/Rebasing</f>
        <v>0</v>
      </c>
      <c r="G788" s="347">
        <f>'New cost and adjustments inputs'!G120*'New cost and adjustments inputs'!G232/Rebasing</f>
        <v>0</v>
      </c>
      <c r="H788" s="347">
        <f>'New cost and adjustments inputs'!H120*'New cost and adjustments inputs'!H232/Rebasing</f>
        <v>0</v>
      </c>
      <c r="I788" s="347">
        <f>'New cost and adjustments inputs'!I120*'New cost and adjustments inputs'!I232/Rebasing</f>
        <v>0</v>
      </c>
      <c r="J788" s="347">
        <f>'New cost and adjustments inputs'!J120*'New cost and adjustments inputs'!J232/Rebasing</f>
        <v>0</v>
      </c>
      <c r="K788" s="347">
        <f>'New cost and adjustments inputs'!K120*'New cost and adjustments inputs'!K232/Rebasing</f>
        <v>0.18856044756355933</v>
      </c>
      <c r="L788" s="347">
        <f>'New cost and adjustments inputs'!L120*'New cost and adjustments inputs'!L232/Rebasing</f>
        <v>0.24687811175847457</v>
      </c>
      <c r="M788" s="347">
        <f>'New cost and adjustments inputs'!M120*'New cost and adjustments inputs'!M232/Rebasing</f>
        <v>0.30519577595338981</v>
      </c>
      <c r="N788" s="347">
        <f>'New cost and adjustments inputs'!N120*'New cost and adjustments inputs'!N232/Rebasing</f>
        <v>0.35670971265889828</v>
      </c>
      <c r="O788" s="347">
        <f>'New cost and adjustments inputs'!O120*'New cost and adjustments inputs'!O232/Rebasing</f>
        <v>0.40239188294491524</v>
      </c>
      <c r="Q788" s="276">
        <f ca="1">VLOOKUP(B787,B$575:E$593,4,FALSE)</f>
        <v>0.31020259483689372</v>
      </c>
      <c r="T788" s="276">
        <f>SUM(K788:O788)</f>
        <v>1.4997359308792371</v>
      </c>
      <c r="W788" s="268" t="str">
        <f ca="1">IF(T788&gt;Q$788,"Yes","No")</f>
        <v>Yes</v>
      </c>
    </row>
    <row r="789" spans="2:25" ht="14.1" customHeight="1">
      <c r="C789" s="276" t="s">
        <v>247</v>
      </c>
      <c r="E789" s="286" t="str">
        <f>'New cost and adjustments inputs'!E121</f>
        <v>No</v>
      </c>
      <c r="F789" s="347">
        <f>'New cost and adjustments inputs'!F121*'New cost and adjustments inputs'!F233</f>
        <v>0</v>
      </c>
      <c r="G789" s="347">
        <f>'New cost and adjustments inputs'!G121*'New cost and adjustments inputs'!G233</f>
        <v>0</v>
      </c>
      <c r="H789" s="347">
        <f>'New cost and adjustments inputs'!H121*'New cost and adjustments inputs'!H233</f>
        <v>0</v>
      </c>
      <c r="I789" s="347">
        <f>'New cost and adjustments inputs'!I121*'New cost and adjustments inputs'!I233</f>
        <v>0</v>
      </c>
      <c r="J789" s="347">
        <f>'New cost and adjustments inputs'!J121*'New cost and adjustments inputs'!J233</f>
        <v>0</v>
      </c>
      <c r="K789" s="537">
        <f>'New cost and adjustments inputs'!K121*'New cost and adjustments inputs'!K233</f>
        <v>0</v>
      </c>
      <c r="L789" s="538">
        <f>'New cost and adjustments inputs'!L121*'New cost and adjustments inputs'!L233</f>
        <v>0</v>
      </c>
      <c r="M789" s="538">
        <f>'New cost and adjustments inputs'!M121*'New cost and adjustments inputs'!M233</f>
        <v>0</v>
      </c>
      <c r="N789" s="538">
        <f>'New cost and adjustments inputs'!N121*'New cost and adjustments inputs'!N233</f>
        <v>0</v>
      </c>
      <c r="O789" s="538">
        <f>'New cost and adjustments inputs'!O121*'New cost and adjustments inputs'!O233</f>
        <v>0</v>
      </c>
      <c r="T789" s="276">
        <f>SUM(K789:O789)</f>
        <v>0</v>
      </c>
      <c r="W789" s="268" t="str">
        <f ca="1">IF(T789&gt;Q$788,"Yes","No")</f>
        <v>No</v>
      </c>
    </row>
    <row r="790" spans="2:25" ht="14.1" customHeight="1">
      <c r="C790" s="276" t="s">
        <v>248</v>
      </c>
      <c r="E790" s="286" t="str">
        <f>'New cost and adjustments inputs'!E122</f>
        <v>No</v>
      </c>
      <c r="F790" s="347">
        <f>'New cost and adjustments inputs'!F122*'New cost and adjustments inputs'!F234</f>
        <v>0</v>
      </c>
      <c r="G790" s="347">
        <f>'New cost and adjustments inputs'!G122*'New cost and adjustments inputs'!G234</f>
        <v>0</v>
      </c>
      <c r="H790" s="347">
        <f>'New cost and adjustments inputs'!H122*'New cost and adjustments inputs'!H234</f>
        <v>0</v>
      </c>
      <c r="I790" s="347">
        <f>'New cost and adjustments inputs'!I122*'New cost and adjustments inputs'!I234</f>
        <v>0</v>
      </c>
      <c r="J790" s="347">
        <f>'New cost and adjustments inputs'!J122*'New cost and adjustments inputs'!J234</f>
        <v>0</v>
      </c>
      <c r="K790" s="537">
        <f>'New cost and adjustments inputs'!K122*'New cost and adjustments inputs'!K234</f>
        <v>0</v>
      </c>
      <c r="L790" s="538">
        <f>'New cost and adjustments inputs'!L122*'New cost and adjustments inputs'!L234</f>
        <v>0</v>
      </c>
      <c r="M790" s="538">
        <f>'New cost and adjustments inputs'!M122*'New cost and adjustments inputs'!M234</f>
        <v>0</v>
      </c>
      <c r="N790" s="538">
        <f>'New cost and adjustments inputs'!N122*'New cost and adjustments inputs'!N234</f>
        <v>0</v>
      </c>
      <c r="O790" s="538">
        <f>'New cost and adjustments inputs'!O122*'New cost and adjustments inputs'!O234</f>
        <v>0</v>
      </c>
      <c r="T790" s="276">
        <f>SUM(K790:O790)</f>
        <v>0</v>
      </c>
      <c r="W790" s="268" t="str">
        <f ca="1">IF(T790&gt;Q$788,"Yes","No")</f>
        <v>No</v>
      </c>
    </row>
    <row r="791" spans="2:25" ht="14.1" customHeight="1">
      <c r="C791" s="276" t="s">
        <v>451</v>
      </c>
      <c r="F791" s="347">
        <f>IF($E788="yes",F788,0)+IF($E789="yes",F789,0)+IF($E790="yes",F790,0)+F787</f>
        <v>0.04</v>
      </c>
      <c r="G791" s="347">
        <f t="shared" ref="G791:O791" si="185">IF($E788="yes",G788,0)+IF($E789="yes",G789,0)+IF($E790="yes",G790,0)+G787</f>
        <v>0.04</v>
      </c>
      <c r="H791" s="347">
        <f t="shared" si="185"/>
        <v>0.04</v>
      </c>
      <c r="I791" s="347">
        <f t="shared" si="185"/>
        <v>0.04</v>
      </c>
      <c r="J791" s="347">
        <f t="shared" si="185"/>
        <v>0.04</v>
      </c>
      <c r="K791" s="537">
        <f t="shared" si="185"/>
        <v>3.7356398550166127E-2</v>
      </c>
      <c r="L791" s="538">
        <f t="shared" si="185"/>
        <v>3.7356398550166127E-2</v>
      </c>
      <c r="M791" s="538">
        <f t="shared" si="185"/>
        <v>3.7356398550166127E-2</v>
      </c>
      <c r="N791" s="538">
        <f t="shared" si="185"/>
        <v>3.7356398550166127E-2</v>
      </c>
      <c r="O791" s="538">
        <f t="shared" si="185"/>
        <v>3.7356398550166127E-2</v>
      </c>
    </row>
    <row r="792" spans="2:25" ht="14.1" customHeight="1">
      <c r="C792" s="276" t="s">
        <v>452</v>
      </c>
      <c r="F792" s="347">
        <f>IF($E789="No",F789,0) +IF($E790="No",F790,0)</f>
        <v>0</v>
      </c>
      <c r="G792" s="347">
        <f t="shared" ref="G792:O792" si="186">IF($E789="No",G789,0) +IF($E790="No",G790,0)</f>
        <v>0</v>
      </c>
      <c r="H792" s="347">
        <f t="shared" si="186"/>
        <v>0</v>
      </c>
      <c r="I792" s="347">
        <f t="shared" si="186"/>
        <v>0</v>
      </c>
      <c r="J792" s="347">
        <f t="shared" si="186"/>
        <v>0</v>
      </c>
      <c r="K792" s="537">
        <f t="shared" si="186"/>
        <v>0</v>
      </c>
      <c r="L792" s="538">
        <f t="shared" si="186"/>
        <v>0</v>
      </c>
      <c r="M792" s="538">
        <f t="shared" si="186"/>
        <v>0</v>
      </c>
      <c r="N792" s="538">
        <f t="shared" si="186"/>
        <v>0</v>
      </c>
      <c r="O792" s="538">
        <f t="shared" si="186"/>
        <v>0</v>
      </c>
    </row>
    <row r="793" spans="2:25" ht="14.1" customHeight="1">
      <c r="B793" s="276" t="s">
        <v>229</v>
      </c>
      <c r="C793" s="276" t="s">
        <v>250</v>
      </c>
      <c r="F793" s="347">
        <f>'New cost and adjustments inputs'!F125*'New cost and adjustments inputs'!F237</f>
        <v>0</v>
      </c>
      <c r="G793" s="347">
        <f>'New cost and adjustments inputs'!G125*'New cost and adjustments inputs'!G237</f>
        <v>0</v>
      </c>
      <c r="H793" s="347">
        <f>'New cost and adjustments inputs'!H125*'New cost and adjustments inputs'!H237</f>
        <v>0</v>
      </c>
      <c r="I793" s="347">
        <f>'New cost and adjustments inputs'!I125*'New cost and adjustments inputs'!I237</f>
        <v>0</v>
      </c>
      <c r="J793" s="347">
        <f>'New cost and adjustments inputs'!J125*'New cost and adjustments inputs'!J237</f>
        <v>0</v>
      </c>
      <c r="K793" s="537">
        <f>'New cost and adjustments inputs'!K125*'New cost and adjustments inputs'!K237</f>
        <v>0</v>
      </c>
      <c r="L793" s="538">
        <f>'New cost and adjustments inputs'!L125*'New cost and adjustments inputs'!L237</f>
        <v>0</v>
      </c>
      <c r="M793" s="538">
        <f>'New cost and adjustments inputs'!M125*'New cost and adjustments inputs'!M237</f>
        <v>0</v>
      </c>
      <c r="N793" s="538">
        <f>'New cost and adjustments inputs'!N125*'New cost and adjustments inputs'!N237</f>
        <v>0</v>
      </c>
      <c r="O793" s="538">
        <f>'New cost and adjustments inputs'!O125*'New cost and adjustments inputs'!O237</f>
        <v>0</v>
      </c>
    </row>
    <row r="794" spans="2:25" ht="14.1" customHeight="1">
      <c r="C794" s="276" t="s">
        <v>450</v>
      </c>
      <c r="E794" s="286" t="str">
        <f>'New cost and adjustments inputs'!E126</f>
        <v>Yes</v>
      </c>
      <c r="F794" s="347">
        <f>'New cost and adjustments inputs'!F126*'New cost and adjustments inputs'!F238/Rebasing</f>
        <v>0</v>
      </c>
      <c r="G794" s="347">
        <f>'New cost and adjustments inputs'!G126*'New cost and adjustments inputs'!G238/Rebasing</f>
        <v>0</v>
      </c>
      <c r="H794" s="347">
        <f>'New cost and adjustments inputs'!H126*'New cost and adjustments inputs'!H238/Rebasing</f>
        <v>0</v>
      </c>
      <c r="I794" s="347">
        <f>'New cost and adjustments inputs'!I126*'New cost and adjustments inputs'!I238/Rebasing</f>
        <v>0</v>
      </c>
      <c r="J794" s="347">
        <f>'New cost and adjustments inputs'!J126*'New cost and adjustments inputs'!J238/Rebasing</f>
        <v>2.9158832097457624E-2</v>
      </c>
      <c r="K794" s="347">
        <f>'New cost and adjustments inputs'!K126*'New cost and adjustments inputs'!K238/Rebasing</f>
        <v>5.9289625264830503E-2</v>
      </c>
      <c r="L794" s="347">
        <f>'New cost and adjustments inputs'!L126*'New cost and adjustments inputs'!L238/Rebasing</f>
        <v>8.9420418432203386E-2</v>
      </c>
      <c r="M794" s="347">
        <f>'New cost and adjustments inputs'!M126*'New cost and adjustments inputs'!M238/Rebasing</f>
        <v>0.11955121159957627</v>
      </c>
      <c r="N794" s="347">
        <f>'New cost and adjustments inputs'!N126*'New cost and adjustments inputs'!N238/Rebasing</f>
        <v>0.15065396583686441</v>
      </c>
      <c r="O794" s="347">
        <f>'New cost and adjustments inputs'!O126*'New cost and adjustments inputs'!O238/Rebasing</f>
        <v>0.18175672007415253</v>
      </c>
      <c r="Q794" s="276">
        <f ca="1">VLOOKUP(B793,B$575:E$593,4,FALSE)</f>
        <v>0.49535261867717156</v>
      </c>
      <c r="T794" s="276">
        <f>SUM(K794:O794)</f>
        <v>0.60067194120762712</v>
      </c>
      <c r="W794" s="268" t="str">
        <f ca="1">IF(T794&gt;Q$794,"Yes","No")</f>
        <v>Yes</v>
      </c>
    </row>
    <row r="795" spans="2:25" ht="14.1" customHeight="1">
      <c r="C795" s="276" t="s">
        <v>247</v>
      </c>
      <c r="E795" s="286" t="str">
        <f>'New cost and adjustments inputs'!E127</f>
        <v>No</v>
      </c>
      <c r="F795" s="347">
        <f>'New cost and adjustments inputs'!F127*'New cost and adjustments inputs'!F239</f>
        <v>0</v>
      </c>
      <c r="G795" s="347">
        <f>'New cost and adjustments inputs'!G127*'New cost and adjustments inputs'!G239</f>
        <v>0</v>
      </c>
      <c r="H795" s="347">
        <f>'New cost and adjustments inputs'!H127*'New cost and adjustments inputs'!H239</f>
        <v>0</v>
      </c>
      <c r="I795" s="347">
        <f>'New cost and adjustments inputs'!I127*'New cost and adjustments inputs'!I239</f>
        <v>0</v>
      </c>
      <c r="J795" s="347">
        <f>'New cost and adjustments inputs'!J127*'New cost and adjustments inputs'!J239</f>
        <v>0</v>
      </c>
      <c r="K795" s="537">
        <f>'New cost and adjustments inputs'!K127*'New cost and adjustments inputs'!K239</f>
        <v>0</v>
      </c>
      <c r="L795" s="538">
        <f>'New cost and adjustments inputs'!L127*'New cost and adjustments inputs'!L239</f>
        <v>0</v>
      </c>
      <c r="M795" s="538">
        <f>'New cost and adjustments inputs'!M127*'New cost and adjustments inputs'!M239</f>
        <v>0</v>
      </c>
      <c r="N795" s="538">
        <f>'New cost and adjustments inputs'!N127*'New cost and adjustments inputs'!N239</f>
        <v>0</v>
      </c>
      <c r="O795" s="538">
        <f>'New cost and adjustments inputs'!O127*'New cost and adjustments inputs'!O239</f>
        <v>0</v>
      </c>
      <c r="T795" s="276">
        <f>SUM(K795:O795)</f>
        <v>0</v>
      </c>
      <c r="W795" s="268" t="str">
        <f ca="1">IF(T795&gt;Q$794,"Yes","No")</f>
        <v>No</v>
      </c>
    </row>
    <row r="796" spans="2:25" ht="14.1" customHeight="1">
      <c r="C796" s="276" t="s">
        <v>248</v>
      </c>
      <c r="E796" s="286" t="str">
        <f>'New cost and adjustments inputs'!E128</f>
        <v>No</v>
      </c>
      <c r="F796" s="347">
        <f>'New cost and adjustments inputs'!F128*'New cost and adjustments inputs'!F240</f>
        <v>0</v>
      </c>
      <c r="G796" s="347">
        <f>'New cost and adjustments inputs'!G128*'New cost and adjustments inputs'!G240</f>
        <v>0</v>
      </c>
      <c r="H796" s="347">
        <f>'New cost and adjustments inputs'!H128*'New cost and adjustments inputs'!H240</f>
        <v>0</v>
      </c>
      <c r="I796" s="347">
        <f>'New cost and adjustments inputs'!I128*'New cost and adjustments inputs'!I240</f>
        <v>0</v>
      </c>
      <c r="J796" s="347">
        <f>'New cost and adjustments inputs'!J128*'New cost and adjustments inputs'!J240</f>
        <v>0</v>
      </c>
      <c r="K796" s="537">
        <f>'New cost and adjustments inputs'!K128*'New cost and adjustments inputs'!K240</f>
        <v>0</v>
      </c>
      <c r="L796" s="538">
        <f>'New cost and adjustments inputs'!L128*'New cost and adjustments inputs'!L240</f>
        <v>0</v>
      </c>
      <c r="M796" s="538">
        <f>'New cost and adjustments inputs'!M128*'New cost and adjustments inputs'!M240</f>
        <v>0</v>
      </c>
      <c r="N796" s="538">
        <f>'New cost and adjustments inputs'!N128*'New cost and adjustments inputs'!N240</f>
        <v>0</v>
      </c>
      <c r="O796" s="538">
        <f>'New cost and adjustments inputs'!O128*'New cost and adjustments inputs'!O240</f>
        <v>0</v>
      </c>
      <c r="T796" s="276">
        <f>SUM(K796:O796)</f>
        <v>0</v>
      </c>
      <c r="W796" s="268" t="str">
        <f ca="1">IF(T796&gt;Q$794,"Yes","No")</f>
        <v>No</v>
      </c>
    </row>
    <row r="797" spans="2:25" ht="14.1" customHeight="1">
      <c r="C797" s="276" t="s">
        <v>451</v>
      </c>
      <c r="F797" s="347">
        <f>IF($E794="yes",F794,0)+IF($E795="yes",F795,0)+IF($E796="yes",F796,0)+F793</f>
        <v>0</v>
      </c>
      <c r="G797" s="347">
        <f t="shared" ref="G797:O797" si="187">IF($E794="yes",G794,0)+IF($E795="yes",G795,0)+IF($E796="yes",G796,0)+G793</f>
        <v>0</v>
      </c>
      <c r="H797" s="347">
        <f t="shared" si="187"/>
        <v>0</v>
      </c>
      <c r="I797" s="347">
        <f t="shared" si="187"/>
        <v>0</v>
      </c>
      <c r="J797" s="347">
        <f t="shared" si="187"/>
        <v>2.9158832097457624E-2</v>
      </c>
      <c r="K797" s="537">
        <f t="shared" si="187"/>
        <v>5.9289625264830503E-2</v>
      </c>
      <c r="L797" s="538">
        <f t="shared" si="187"/>
        <v>8.9420418432203386E-2</v>
      </c>
      <c r="M797" s="538">
        <f t="shared" si="187"/>
        <v>0.11955121159957627</v>
      </c>
      <c r="N797" s="538">
        <f t="shared" si="187"/>
        <v>0.15065396583686441</v>
      </c>
      <c r="O797" s="538">
        <f t="shared" si="187"/>
        <v>0.18175672007415253</v>
      </c>
    </row>
    <row r="798" spans="2:25" ht="14.1" customHeight="1">
      <c r="C798" s="276" t="s">
        <v>452</v>
      </c>
      <c r="F798" s="347">
        <f>IF($E795="No",F795,0) +IF($E796="No",F796,0)</f>
        <v>0</v>
      </c>
      <c r="G798" s="347">
        <f t="shared" ref="G798:O798" si="188">IF($E795="No",G795,0) +IF($E796="No",G796,0)</f>
        <v>0</v>
      </c>
      <c r="H798" s="347">
        <f t="shared" si="188"/>
        <v>0</v>
      </c>
      <c r="I798" s="347">
        <f t="shared" si="188"/>
        <v>0</v>
      </c>
      <c r="J798" s="347">
        <f t="shared" si="188"/>
        <v>0</v>
      </c>
      <c r="K798" s="537">
        <f t="shared" si="188"/>
        <v>0</v>
      </c>
      <c r="L798" s="538">
        <f t="shared" si="188"/>
        <v>0</v>
      </c>
      <c r="M798" s="538">
        <f t="shared" si="188"/>
        <v>0</v>
      </c>
      <c r="N798" s="538">
        <f t="shared" si="188"/>
        <v>0</v>
      </c>
      <c r="O798" s="538">
        <f t="shared" si="188"/>
        <v>0</v>
      </c>
    </row>
    <row r="799" spans="2:25" ht="14.1" customHeight="1">
      <c r="B799" s="276" t="s">
        <v>230</v>
      </c>
      <c r="C799" s="276" t="s">
        <v>250</v>
      </c>
      <c r="F799" s="347">
        <f>'New cost and adjustments inputs'!F131*'New cost and adjustments inputs'!F243</f>
        <v>0.13</v>
      </c>
      <c r="G799" s="347">
        <f>'New cost and adjustments inputs'!G131*'New cost and adjustments inputs'!G243</f>
        <v>0.13700000000000001</v>
      </c>
      <c r="H799" s="347">
        <f>'New cost and adjustments inputs'!H131*'New cost and adjustments inputs'!H243</f>
        <v>0.14099999999999999</v>
      </c>
      <c r="I799" s="347">
        <f>'New cost and adjustments inputs'!I131*'New cost and adjustments inputs'!I243</f>
        <v>0.14099999999999999</v>
      </c>
      <c r="J799" s="347">
        <f>'New cost and adjustments inputs'!J131*'New cost and adjustments inputs'!J243</f>
        <v>0.14099999999999999</v>
      </c>
      <c r="K799" s="537">
        <f>'New cost and adjustments inputs'!K131*'New cost and adjustments inputs'!K243</f>
        <v>7.9898744193178897E-2</v>
      </c>
      <c r="L799" s="538">
        <f>'New cost and adjustments inputs'!L131*'New cost and adjustments inputs'!L243</f>
        <v>7.9898744193178897E-2</v>
      </c>
      <c r="M799" s="538">
        <f>'New cost and adjustments inputs'!M131*'New cost and adjustments inputs'!M243</f>
        <v>7.9898744193178897E-2</v>
      </c>
      <c r="N799" s="538">
        <f>'New cost and adjustments inputs'!N131*'New cost and adjustments inputs'!N243</f>
        <v>7.9898744193178897E-2</v>
      </c>
      <c r="O799" s="538">
        <f>'New cost and adjustments inputs'!O131*'New cost and adjustments inputs'!O243</f>
        <v>7.9898744193178897E-2</v>
      </c>
    </row>
    <row r="800" spans="2:25" ht="14.1" customHeight="1">
      <c r="C800" s="276" t="s">
        <v>450</v>
      </c>
      <c r="E800" s="286" t="str">
        <f>'New cost and adjustments inputs'!E132</f>
        <v>No</v>
      </c>
      <c r="F800" s="347">
        <f>'New cost and adjustments inputs'!F132*'New cost and adjustments inputs'!F244/Rebasing</f>
        <v>0</v>
      </c>
      <c r="G800" s="347">
        <f>'New cost and adjustments inputs'!G132*'New cost and adjustments inputs'!G244/Rebasing</f>
        <v>0</v>
      </c>
      <c r="H800" s="347">
        <f>'New cost and adjustments inputs'!H132*'New cost and adjustments inputs'!H244/Rebasing</f>
        <v>0</v>
      </c>
      <c r="I800" s="347">
        <f>'New cost and adjustments inputs'!I132*'New cost and adjustments inputs'!I244/Rebasing</f>
        <v>0</v>
      </c>
      <c r="J800" s="347">
        <f>'New cost and adjustments inputs'!J132*'New cost and adjustments inputs'!J244/Rebasing</f>
        <v>5.1513936705508467E-2</v>
      </c>
      <c r="K800" s="347">
        <f>'New cost and adjustments inputs'!K132*'New cost and adjustments inputs'!K244/Rebasing</f>
        <v>0.13218670550847453</v>
      </c>
      <c r="L800" s="347">
        <f>'New cost and adjustments inputs'!L132*'New cost and adjustments inputs'!L244/Rebasing</f>
        <v>0.22063516287076268</v>
      </c>
      <c r="M800" s="347">
        <f>'New cost and adjustments inputs'!M132*'New cost and adjustments inputs'!M244/Rebasing</f>
        <v>0.30033597060381356</v>
      </c>
      <c r="N800" s="347">
        <f>'New cost and adjustments inputs'!N132*'New cost and adjustments inputs'!N244/Rebasing</f>
        <v>0.40141992187499997</v>
      </c>
      <c r="O800" s="347">
        <f>'New cost and adjustments inputs'!O132*'New cost and adjustments inputs'!O244/Rebasing</f>
        <v>0.51513936705508478</v>
      </c>
      <c r="Q800" s="276">
        <f ca="1">VLOOKUP(B799,B$575:E$593,4,FALSE)</f>
        <v>0.55645860872173258</v>
      </c>
      <c r="T800" s="276">
        <f>SUM(K800:O800)</f>
        <v>1.5697171279131357</v>
      </c>
      <c r="W800" s="268" t="str">
        <f ca="1">IF(T800&gt;Q$800,"Yes","No")</f>
        <v>Yes</v>
      </c>
    </row>
    <row r="801" spans="2:23" ht="14.1" customHeight="1">
      <c r="C801" s="276" t="s">
        <v>247</v>
      </c>
      <c r="E801" s="286" t="str">
        <f>'New cost and adjustments inputs'!E133</f>
        <v>No</v>
      </c>
      <c r="F801" s="347">
        <f>'New cost and adjustments inputs'!F133*'New cost and adjustments inputs'!F245</f>
        <v>0</v>
      </c>
      <c r="G801" s="347">
        <f>'New cost and adjustments inputs'!G133*'New cost and adjustments inputs'!G245</f>
        <v>0</v>
      </c>
      <c r="H801" s="347">
        <f>'New cost and adjustments inputs'!H133*'New cost and adjustments inputs'!H245</f>
        <v>0</v>
      </c>
      <c r="I801" s="347">
        <f>'New cost and adjustments inputs'!I133*'New cost and adjustments inputs'!I245</f>
        <v>0</v>
      </c>
      <c r="J801" s="347">
        <f>'New cost and adjustments inputs'!J133*'New cost and adjustments inputs'!J245</f>
        <v>0</v>
      </c>
      <c r="K801" s="537">
        <f>'New cost and adjustments inputs'!K133*'New cost and adjustments inputs'!K245</f>
        <v>0</v>
      </c>
      <c r="L801" s="538">
        <f>'New cost and adjustments inputs'!L133*'New cost and adjustments inputs'!L245</f>
        <v>0</v>
      </c>
      <c r="M801" s="538">
        <f>'New cost and adjustments inputs'!M133*'New cost and adjustments inputs'!M245</f>
        <v>0</v>
      </c>
      <c r="N801" s="538">
        <f>'New cost and adjustments inputs'!N133*'New cost and adjustments inputs'!N245</f>
        <v>0</v>
      </c>
      <c r="O801" s="538">
        <f>'New cost and adjustments inputs'!O133*'New cost and adjustments inputs'!O245</f>
        <v>0</v>
      </c>
      <c r="T801" s="276">
        <f>SUM(K801:O801)</f>
        <v>0</v>
      </c>
      <c r="W801" s="268" t="str">
        <f ca="1">IF(T801&gt;Q$800,"Yes","No")</f>
        <v>No</v>
      </c>
    </row>
    <row r="802" spans="2:23" ht="14.1" customHeight="1">
      <c r="C802" s="276" t="s">
        <v>248</v>
      </c>
      <c r="E802" s="286" t="str">
        <f>'New cost and adjustments inputs'!E134</f>
        <v>No</v>
      </c>
      <c r="F802" s="347">
        <f>'New cost and adjustments inputs'!F134*'New cost and adjustments inputs'!F246</f>
        <v>0</v>
      </c>
      <c r="G802" s="347">
        <f>'New cost and adjustments inputs'!G134*'New cost and adjustments inputs'!G246</f>
        <v>0</v>
      </c>
      <c r="H802" s="347">
        <f>'New cost and adjustments inputs'!H134*'New cost and adjustments inputs'!H246</f>
        <v>0</v>
      </c>
      <c r="I802" s="347">
        <f>'New cost and adjustments inputs'!I134*'New cost and adjustments inputs'!I246</f>
        <v>0</v>
      </c>
      <c r="J802" s="347">
        <f>'New cost and adjustments inputs'!J134*'New cost and adjustments inputs'!J246</f>
        <v>0</v>
      </c>
      <c r="K802" s="537">
        <f>'New cost and adjustments inputs'!K134*'New cost and adjustments inputs'!K246</f>
        <v>0</v>
      </c>
      <c r="L802" s="538">
        <f>'New cost and adjustments inputs'!L134*'New cost and adjustments inputs'!L246</f>
        <v>0</v>
      </c>
      <c r="M802" s="538">
        <f>'New cost and adjustments inputs'!M134*'New cost and adjustments inputs'!M246</f>
        <v>0</v>
      </c>
      <c r="N802" s="538">
        <f>'New cost and adjustments inputs'!N134*'New cost and adjustments inputs'!N246</f>
        <v>0</v>
      </c>
      <c r="O802" s="538">
        <f>'New cost and adjustments inputs'!O134*'New cost and adjustments inputs'!O246</f>
        <v>0</v>
      </c>
      <c r="T802" s="276">
        <f>SUM(K802:O802)</f>
        <v>0</v>
      </c>
      <c r="W802" s="268" t="str">
        <f ca="1">IF(T802&gt;Q$800,"Yes","No")</f>
        <v>No</v>
      </c>
    </row>
    <row r="803" spans="2:23" ht="14.1" customHeight="1">
      <c r="C803" s="276" t="s">
        <v>451</v>
      </c>
      <c r="F803" s="347">
        <f>IF($E800="yes",F800,0)+IF($E801="yes",F801,0)+IF($E802="yes",F802,0)+F799</f>
        <v>0.13</v>
      </c>
      <c r="G803" s="347">
        <f t="shared" ref="G803:O803" si="189">IF($E800="yes",G800,0)+IF($E801="yes",G801,0)+IF($E802="yes",G802,0)+G799</f>
        <v>0.13700000000000001</v>
      </c>
      <c r="H803" s="347">
        <f t="shared" si="189"/>
        <v>0.14099999999999999</v>
      </c>
      <c r="I803" s="347">
        <f t="shared" si="189"/>
        <v>0.14099999999999999</v>
      </c>
      <c r="J803" s="347">
        <f t="shared" si="189"/>
        <v>0.14099999999999999</v>
      </c>
      <c r="K803" s="537">
        <f t="shared" si="189"/>
        <v>7.9898744193178897E-2</v>
      </c>
      <c r="L803" s="538">
        <f t="shared" si="189"/>
        <v>7.9898744193178897E-2</v>
      </c>
      <c r="M803" s="538">
        <f t="shared" si="189"/>
        <v>7.9898744193178897E-2</v>
      </c>
      <c r="N803" s="538">
        <f t="shared" si="189"/>
        <v>7.9898744193178897E-2</v>
      </c>
      <c r="O803" s="538">
        <f t="shared" si="189"/>
        <v>7.9898744193178897E-2</v>
      </c>
    </row>
    <row r="804" spans="2:23" ht="14.1" customHeight="1">
      <c r="C804" s="276" t="s">
        <v>452</v>
      </c>
      <c r="F804" s="347">
        <f>IF($E801="No",F801,0) +IF($E802="No",F802,0)</f>
        <v>0</v>
      </c>
      <c r="G804" s="347">
        <f t="shared" ref="G804:O804" si="190">IF($E801="No",G801,0) +IF($E802="No",G802,0)</f>
        <v>0</v>
      </c>
      <c r="H804" s="347">
        <f t="shared" si="190"/>
        <v>0</v>
      </c>
      <c r="I804" s="347">
        <f t="shared" si="190"/>
        <v>0</v>
      </c>
      <c r="J804" s="347">
        <f t="shared" si="190"/>
        <v>0</v>
      </c>
      <c r="K804" s="537">
        <f t="shared" si="190"/>
        <v>0</v>
      </c>
      <c r="L804" s="538">
        <f t="shared" si="190"/>
        <v>0</v>
      </c>
      <c r="M804" s="538">
        <f t="shared" si="190"/>
        <v>0</v>
      </c>
      <c r="N804" s="538">
        <f t="shared" si="190"/>
        <v>0</v>
      </c>
      <c r="O804" s="538">
        <f t="shared" si="190"/>
        <v>0</v>
      </c>
    </row>
    <row r="805" spans="2:23" ht="14.1" customHeight="1">
      <c r="B805" s="276" t="s">
        <v>231</v>
      </c>
      <c r="C805" s="276" t="s">
        <v>250</v>
      </c>
      <c r="F805" s="347">
        <f>'New cost and adjustments inputs'!F137*'New cost and adjustments inputs'!F249</f>
        <v>0</v>
      </c>
      <c r="G805" s="347">
        <f>'New cost and adjustments inputs'!G137*'New cost and adjustments inputs'!G249</f>
        <v>0</v>
      </c>
      <c r="H805" s="347">
        <f>'New cost and adjustments inputs'!H137*'New cost and adjustments inputs'!H249</f>
        <v>0</v>
      </c>
      <c r="I805" s="347">
        <f>'New cost and adjustments inputs'!I137*'New cost and adjustments inputs'!I249</f>
        <v>0.64600000000000002</v>
      </c>
      <c r="J805" s="347">
        <f>'New cost and adjustments inputs'!J137*'New cost and adjustments inputs'!J249</f>
        <v>0.64600000000000002</v>
      </c>
      <c r="K805" s="537">
        <f>'New cost and adjustments inputs'!K137*'New cost and adjustments inputs'!K249</f>
        <v>0.5981496564423604</v>
      </c>
      <c r="L805" s="538">
        <f>'New cost and adjustments inputs'!L137*'New cost and adjustments inputs'!L249</f>
        <v>0.5981496564423604</v>
      </c>
      <c r="M805" s="538">
        <f>'New cost and adjustments inputs'!M137*'New cost and adjustments inputs'!M249</f>
        <v>0.5981496564423604</v>
      </c>
      <c r="N805" s="538">
        <f>'New cost and adjustments inputs'!N137*'New cost and adjustments inputs'!N249</f>
        <v>0.5981496564423604</v>
      </c>
      <c r="O805" s="538">
        <f>'New cost and adjustments inputs'!O137*'New cost and adjustments inputs'!O249</f>
        <v>0.5981496564423604</v>
      </c>
    </row>
    <row r="806" spans="2:23" ht="14.1" customHeight="1">
      <c r="C806" s="276" t="s">
        <v>450</v>
      </c>
      <c r="E806" s="286" t="str">
        <f>'New cost and adjustments inputs'!E138</f>
        <v>No</v>
      </c>
      <c r="F806" s="347">
        <f>'New cost and adjustments inputs'!F138*'New cost and adjustments inputs'!F250/Rebasing</f>
        <v>0</v>
      </c>
      <c r="G806" s="347">
        <f>'New cost and adjustments inputs'!G138*'New cost and adjustments inputs'!G250/Rebasing</f>
        <v>0</v>
      </c>
      <c r="H806" s="347">
        <f>'New cost and adjustments inputs'!H138*'New cost and adjustments inputs'!H250/Rebasing</f>
        <v>0</v>
      </c>
      <c r="I806" s="347">
        <f>'New cost and adjustments inputs'!I138*'New cost and adjustments inputs'!I250/Rebasing</f>
        <v>0</v>
      </c>
      <c r="J806" s="347">
        <f>'New cost and adjustments inputs'!J138*'New cost and adjustments inputs'!J250/Rebasing</f>
        <v>0.51122211916146798</v>
      </c>
      <c r="K806" s="347">
        <f>'New cost and adjustments inputs'!K138*'New cost and adjustments inputs'!K250/Rebasing</f>
        <v>0.60161157661578946</v>
      </c>
      <c r="L806" s="347">
        <f>'New cost and adjustments inputs'!L138*'New cost and adjustments inputs'!L250/Rebasing</f>
        <v>0.87844680810612152</v>
      </c>
      <c r="M806" s="347">
        <f>'New cost and adjustments inputs'!M138*'New cost and adjustments inputs'!M250/Rebasing</f>
        <v>1.2178319382200333</v>
      </c>
      <c r="N806" s="347">
        <f>'New cost and adjustments inputs'!N138*'New cost and adjustments inputs'!N250/Rebasing</f>
        <v>1.7163945615577769</v>
      </c>
      <c r="O806" s="347">
        <f>'New cost and adjustments inputs'!O138*'New cost and adjustments inputs'!O250/Rebasing</f>
        <v>2.2285100290138193</v>
      </c>
      <c r="Q806" s="276">
        <f ca="1">VLOOKUP(B805,B$575:E$593,4,FALSE)</f>
        <v>2.3174012002761479</v>
      </c>
      <c r="T806" s="276">
        <f>SUM(K806:O806)</f>
        <v>6.6427949135135407</v>
      </c>
      <c r="W806" s="268" t="str">
        <f ca="1">IF(T806&gt;Q$806,"Yes","No")</f>
        <v>Yes</v>
      </c>
    </row>
    <row r="807" spans="2:23" ht="14.1" customHeight="1">
      <c r="C807" s="276" t="s">
        <v>247</v>
      </c>
      <c r="E807" s="286" t="str">
        <f>'New cost and adjustments inputs'!E139</f>
        <v>No</v>
      </c>
      <c r="F807" s="347">
        <f>'New cost and adjustments inputs'!F139*'New cost and adjustments inputs'!F251</f>
        <v>0</v>
      </c>
      <c r="G807" s="347">
        <f>'New cost and adjustments inputs'!G139*'New cost and adjustments inputs'!G251</f>
        <v>0</v>
      </c>
      <c r="H807" s="347">
        <f>'New cost and adjustments inputs'!H139*'New cost and adjustments inputs'!H251</f>
        <v>0</v>
      </c>
      <c r="I807" s="347">
        <f>'New cost and adjustments inputs'!I139*'New cost and adjustments inputs'!I251</f>
        <v>0</v>
      </c>
      <c r="J807" s="347">
        <f>'New cost and adjustments inputs'!J139*'New cost and adjustments inputs'!J251</f>
        <v>0</v>
      </c>
      <c r="K807" s="537">
        <f>'New cost and adjustments inputs'!K139*'New cost and adjustments inputs'!K251</f>
        <v>0</v>
      </c>
      <c r="L807" s="538">
        <f>'New cost and adjustments inputs'!L139*'New cost and adjustments inputs'!L251</f>
        <v>0</v>
      </c>
      <c r="M807" s="538">
        <f>'New cost and adjustments inputs'!M139*'New cost and adjustments inputs'!M251</f>
        <v>0</v>
      </c>
      <c r="N807" s="538">
        <f>'New cost and adjustments inputs'!N139*'New cost and adjustments inputs'!N251</f>
        <v>0</v>
      </c>
      <c r="O807" s="538">
        <f>'New cost and adjustments inputs'!O139*'New cost and adjustments inputs'!O251</f>
        <v>0</v>
      </c>
      <c r="T807" s="276">
        <f>SUM(K807:O807)</f>
        <v>0</v>
      </c>
      <c r="W807" s="268" t="str">
        <f ca="1">IF(T807&gt;Q$806,"Yes","No")</f>
        <v>No</v>
      </c>
    </row>
    <row r="808" spans="2:23" ht="14.1" customHeight="1">
      <c r="C808" s="276" t="s">
        <v>248</v>
      </c>
      <c r="E808" s="286" t="str">
        <f>'New cost and adjustments inputs'!E140</f>
        <v>No</v>
      </c>
      <c r="F808" s="347">
        <f>'New cost and adjustments inputs'!F140*'New cost and adjustments inputs'!F252</f>
        <v>0</v>
      </c>
      <c r="G808" s="347">
        <f>'New cost and adjustments inputs'!G140*'New cost and adjustments inputs'!G252</f>
        <v>0</v>
      </c>
      <c r="H808" s="347">
        <f>'New cost and adjustments inputs'!H140*'New cost and adjustments inputs'!H252</f>
        <v>0</v>
      </c>
      <c r="I808" s="347">
        <f>'New cost and adjustments inputs'!I140*'New cost and adjustments inputs'!I252</f>
        <v>0</v>
      </c>
      <c r="J808" s="347">
        <f>'New cost and adjustments inputs'!J140*'New cost and adjustments inputs'!J252</f>
        <v>0</v>
      </c>
      <c r="K808" s="537">
        <f>'New cost and adjustments inputs'!K140*'New cost and adjustments inputs'!K252</f>
        <v>0</v>
      </c>
      <c r="L808" s="538">
        <f>'New cost and adjustments inputs'!L140*'New cost and adjustments inputs'!L252</f>
        <v>0</v>
      </c>
      <c r="M808" s="538">
        <f>'New cost and adjustments inputs'!M140*'New cost and adjustments inputs'!M252</f>
        <v>0</v>
      </c>
      <c r="N808" s="538">
        <f>'New cost and adjustments inputs'!N140*'New cost and adjustments inputs'!N252</f>
        <v>0</v>
      </c>
      <c r="O808" s="538">
        <f>'New cost and adjustments inputs'!O140*'New cost and adjustments inputs'!O252</f>
        <v>0</v>
      </c>
      <c r="T808" s="276">
        <f>SUM(K808:O808)</f>
        <v>0</v>
      </c>
      <c r="W808" s="268" t="str">
        <f ca="1">IF(T808&gt;Q$806,"Yes","No")</f>
        <v>No</v>
      </c>
    </row>
    <row r="809" spans="2:23" ht="14.1" customHeight="1">
      <c r="C809" s="276" t="s">
        <v>451</v>
      </c>
      <c r="F809" s="347">
        <f>IF($E806="yes",F806,0)+IF($E807="yes",F807,0)+IF($E808="yes",F808,0)+F805</f>
        <v>0</v>
      </c>
      <c r="G809" s="347">
        <f t="shared" ref="G809:O809" si="191">IF($E806="yes",G806,0)+IF($E807="yes",G807,0)+IF($E808="yes",G808,0)+G805</f>
        <v>0</v>
      </c>
      <c r="H809" s="347">
        <f t="shared" si="191"/>
        <v>0</v>
      </c>
      <c r="I809" s="347">
        <f t="shared" si="191"/>
        <v>0.64600000000000002</v>
      </c>
      <c r="J809" s="347">
        <f t="shared" si="191"/>
        <v>0.64600000000000002</v>
      </c>
      <c r="K809" s="537">
        <f t="shared" si="191"/>
        <v>0.5981496564423604</v>
      </c>
      <c r="L809" s="538">
        <f t="shared" si="191"/>
        <v>0.5981496564423604</v>
      </c>
      <c r="M809" s="538">
        <f t="shared" si="191"/>
        <v>0.5981496564423604</v>
      </c>
      <c r="N809" s="538">
        <f t="shared" si="191"/>
        <v>0.5981496564423604</v>
      </c>
      <c r="O809" s="538">
        <f t="shared" si="191"/>
        <v>0.5981496564423604</v>
      </c>
    </row>
    <row r="810" spans="2:23" ht="14.1" customHeight="1">
      <c r="C810" s="276" t="s">
        <v>452</v>
      </c>
      <c r="F810" s="347">
        <f>IF($E807="No",F807,0) +IF($E808="No",F808,0)</f>
        <v>0</v>
      </c>
      <c r="G810" s="347">
        <f t="shared" ref="G810:O810" si="192">IF($E807="No",G807,0) +IF($E808="No",G808,0)</f>
        <v>0</v>
      </c>
      <c r="H810" s="347">
        <f t="shared" si="192"/>
        <v>0</v>
      </c>
      <c r="I810" s="347">
        <f t="shared" si="192"/>
        <v>0</v>
      </c>
      <c r="J810" s="347">
        <f t="shared" si="192"/>
        <v>0</v>
      </c>
      <c r="K810" s="537">
        <f t="shared" si="192"/>
        <v>0</v>
      </c>
      <c r="L810" s="538">
        <f t="shared" si="192"/>
        <v>0</v>
      </c>
      <c r="M810" s="538">
        <f t="shared" si="192"/>
        <v>0</v>
      </c>
      <c r="N810" s="538">
        <f t="shared" si="192"/>
        <v>0</v>
      </c>
      <c r="O810" s="538">
        <f t="shared" si="192"/>
        <v>0</v>
      </c>
    </row>
    <row r="811" spans="2:23" ht="14.1" customHeight="1">
      <c r="B811" s="276" t="s">
        <v>232</v>
      </c>
      <c r="C811" s="276" t="s">
        <v>250</v>
      </c>
      <c r="F811" s="347">
        <f>'New cost and adjustments inputs'!F143*'New cost and adjustments inputs'!F255</f>
        <v>0.370546496095429</v>
      </c>
      <c r="G811" s="347">
        <f>'New cost and adjustments inputs'!G143*'New cost and adjustments inputs'!G255</f>
        <v>0.419271196577163</v>
      </c>
      <c r="H811" s="347">
        <f>'New cost and adjustments inputs'!H143*'New cost and adjustments inputs'!H255</f>
        <v>0.39128733321794001</v>
      </c>
      <c r="I811" s="347">
        <f>'New cost and adjustments inputs'!I143*'New cost and adjustments inputs'!I255</f>
        <v>0.39128733321794001</v>
      </c>
      <c r="J811" s="347">
        <f>'New cost and adjustments inputs'!J143*'New cost and adjustments inputs'!J255</f>
        <v>0.39128733321794001</v>
      </c>
      <c r="K811" s="537">
        <f>'New cost and adjustments inputs'!K143*'New cost and adjustments inputs'!K255</f>
        <v>0.28781634921501137</v>
      </c>
      <c r="L811" s="538">
        <f>'New cost and adjustments inputs'!L143*'New cost and adjustments inputs'!L255</f>
        <v>0.28781634921501137</v>
      </c>
      <c r="M811" s="538">
        <f>'New cost and adjustments inputs'!M143*'New cost and adjustments inputs'!M255</f>
        <v>0.28781634921501137</v>
      </c>
      <c r="N811" s="538">
        <f>'New cost and adjustments inputs'!N143*'New cost and adjustments inputs'!N255</f>
        <v>0.28781634921501137</v>
      </c>
      <c r="O811" s="538">
        <f>'New cost and adjustments inputs'!O143*'New cost and adjustments inputs'!O255</f>
        <v>0.28781634921501137</v>
      </c>
    </row>
    <row r="812" spans="2:23" ht="14.1" customHeight="1">
      <c r="C812" s="276" t="s">
        <v>450</v>
      </c>
      <c r="E812" s="286" t="str">
        <f>'New cost and adjustments inputs'!E144</f>
        <v>No</v>
      </c>
      <c r="F812" s="347">
        <f>'New cost and adjustments inputs'!F144*'New cost and adjustments inputs'!F256/Rebasing</f>
        <v>0</v>
      </c>
      <c r="G812" s="347">
        <f>'New cost and adjustments inputs'!G144*'New cost and adjustments inputs'!G256/Rebasing</f>
        <v>0</v>
      </c>
      <c r="H812" s="347">
        <f>'New cost and adjustments inputs'!H144*'New cost and adjustments inputs'!H256/Rebasing</f>
        <v>0</v>
      </c>
      <c r="I812" s="347">
        <f>'New cost and adjustments inputs'!I144*'New cost and adjustments inputs'!I256/Rebasing</f>
        <v>0</v>
      </c>
      <c r="J812" s="347">
        <f>'New cost and adjustments inputs'!J144*'New cost and adjustments inputs'!J256/Rebasing</f>
        <v>0</v>
      </c>
      <c r="K812" s="347">
        <f>'New cost and adjustments inputs'!K144*'New cost and adjustments inputs'!K256/Rebasing</f>
        <v>-0.1165903689058949</v>
      </c>
      <c r="L812" s="347">
        <f>'New cost and adjustments inputs'!L144*'New cost and adjustments inputs'!L256/Rebasing</f>
        <v>5.6742110293152383E-2</v>
      </c>
      <c r="M812" s="347">
        <f>'New cost and adjustments inputs'!M144*'New cost and adjustments inputs'!M256/Rebasing</f>
        <v>0.38659439323527295</v>
      </c>
      <c r="N812" s="347">
        <f>'New cost and adjustments inputs'!N144*'New cost and adjustments inputs'!N256/Rebasing</f>
        <v>0.77643344766155742</v>
      </c>
      <c r="O812" s="347">
        <f>'New cost and adjustments inputs'!O144*'New cost and adjustments inputs'!O256/Rebasing</f>
        <v>1.1991145554118472</v>
      </c>
      <c r="Q812" s="276">
        <f ca="1">VLOOKUP(B811,B$575:E$593,4,FALSE)</f>
        <v>1.8217236954165255</v>
      </c>
      <c r="T812" s="276">
        <f>SUM(K812:O812)</f>
        <v>2.3022941376959354</v>
      </c>
      <c r="W812" s="268" t="str">
        <f ca="1">IF(T812&gt;Q$812,"Yes","No")</f>
        <v>Yes</v>
      </c>
    </row>
    <row r="813" spans="2:23" ht="14.1" customHeight="1">
      <c r="C813" s="276" t="s">
        <v>247</v>
      </c>
      <c r="E813" s="286" t="str">
        <f>'New cost and adjustments inputs'!E145</f>
        <v>No</v>
      </c>
      <c r="F813" s="347">
        <f>'New cost and adjustments inputs'!F145*'New cost and adjustments inputs'!F257</f>
        <v>0.70491404093957355</v>
      </c>
      <c r="G813" s="347">
        <f>'New cost and adjustments inputs'!G145*'New cost and adjustments inputs'!G257</f>
        <v>0.73989838137705832</v>
      </c>
      <c r="H813" s="347">
        <f>'New cost and adjustments inputs'!H145*'New cost and adjustments inputs'!H257</f>
        <v>0.77540000000000009</v>
      </c>
      <c r="I813" s="347">
        <f>'New cost and adjustments inputs'!I145*'New cost and adjustments inputs'!I257</f>
        <v>0.84961144462557781</v>
      </c>
      <c r="J813" s="347">
        <f>'New cost and adjustments inputs'!J145*'New cost and adjustments inputs'!J257</f>
        <v>0.89201823159555405</v>
      </c>
      <c r="K813" s="537">
        <f>'New cost and adjustments inputs'!K145*'New cost and adjustments inputs'!K257</f>
        <v>0.84753410530562789</v>
      </c>
      <c r="L813" s="538">
        <f>'New cost and adjustments inputs'!L145*'New cost and adjustments inputs'!L257</f>
        <v>0.82381302168923654</v>
      </c>
      <c r="M813" s="538">
        <f>'New cost and adjustments inputs'!M145*'New cost and adjustments inputs'!M257</f>
        <v>0.82375104885257411</v>
      </c>
      <c r="N813" s="538">
        <f>'New cost and adjustments inputs'!N145*'New cost and adjustments inputs'!N257</f>
        <v>0.84810307338594249</v>
      </c>
      <c r="O813" s="538">
        <f>'New cost and adjustments inputs'!O145*'New cost and adjustments inputs'!O257</f>
        <v>0.87214851405004135</v>
      </c>
      <c r="T813" s="276">
        <f>SUM(K813:O813)</f>
        <v>4.215349763283422</v>
      </c>
      <c r="W813" s="268" t="str">
        <f ca="1">IF(T813&gt;Q$812,"Yes","No")</f>
        <v>Yes</v>
      </c>
    </row>
    <row r="814" spans="2:23" ht="14.1" customHeight="1">
      <c r="C814" s="276" t="s">
        <v>248</v>
      </c>
      <c r="E814" s="286" t="str">
        <f>'New cost and adjustments inputs'!E146</f>
        <v>No</v>
      </c>
      <c r="F814" s="347">
        <f>'New cost and adjustments inputs'!F146*'New cost and adjustments inputs'!F258</f>
        <v>0</v>
      </c>
      <c r="G814" s="347">
        <f>'New cost and adjustments inputs'!G146*'New cost and adjustments inputs'!G258</f>
        <v>0</v>
      </c>
      <c r="H814" s="347">
        <f>'New cost and adjustments inputs'!H146*'New cost and adjustments inputs'!H258</f>
        <v>0</v>
      </c>
      <c r="I814" s="347">
        <f>'New cost and adjustments inputs'!I146*'New cost and adjustments inputs'!I258</f>
        <v>0</v>
      </c>
      <c r="J814" s="347">
        <f>'New cost and adjustments inputs'!J146*'New cost and adjustments inputs'!J258</f>
        <v>0</v>
      </c>
      <c r="K814" s="537">
        <f>'New cost and adjustments inputs'!K146*'New cost and adjustments inputs'!K258</f>
        <v>0</v>
      </c>
      <c r="L814" s="538">
        <f>'New cost and adjustments inputs'!L146*'New cost and adjustments inputs'!L258</f>
        <v>0</v>
      </c>
      <c r="M814" s="538">
        <f>'New cost and adjustments inputs'!M146*'New cost and adjustments inputs'!M258</f>
        <v>0</v>
      </c>
      <c r="N814" s="538">
        <f>'New cost and adjustments inputs'!N146*'New cost and adjustments inputs'!N258</f>
        <v>0</v>
      </c>
      <c r="O814" s="538">
        <f>'New cost and adjustments inputs'!O146*'New cost and adjustments inputs'!O258</f>
        <v>0</v>
      </c>
      <c r="T814" s="276">
        <f>SUM(K814:O814)</f>
        <v>0</v>
      </c>
      <c r="W814" s="268" t="str">
        <f ca="1">IF(T814&gt;Q$812,"Yes","No")</f>
        <v>No</v>
      </c>
    </row>
    <row r="815" spans="2:23" ht="14.1" customHeight="1">
      <c r="C815" s="276" t="s">
        <v>451</v>
      </c>
      <c r="F815" s="347">
        <f>IF($E812="yes",F812,0)+IF($E813="yes",F813,0)+IF($E814="yes",F814,0)+F811</f>
        <v>0.370546496095429</v>
      </c>
      <c r="G815" s="347">
        <f t="shared" ref="G815:O815" si="193">IF($E812="yes",G812,0)+IF($E813="yes",G813,0)+IF($E814="yes",G814,0)+G811</f>
        <v>0.419271196577163</v>
      </c>
      <c r="H815" s="347">
        <f t="shared" si="193"/>
        <v>0.39128733321794001</v>
      </c>
      <c r="I815" s="347">
        <f t="shared" si="193"/>
        <v>0.39128733321794001</v>
      </c>
      <c r="J815" s="347">
        <f t="shared" si="193"/>
        <v>0.39128733321794001</v>
      </c>
      <c r="K815" s="537">
        <f t="shared" si="193"/>
        <v>0.28781634921501137</v>
      </c>
      <c r="L815" s="538">
        <f t="shared" si="193"/>
        <v>0.28781634921501137</v>
      </c>
      <c r="M815" s="538">
        <f t="shared" si="193"/>
        <v>0.28781634921501137</v>
      </c>
      <c r="N815" s="538">
        <f t="shared" si="193"/>
        <v>0.28781634921501137</v>
      </c>
      <c r="O815" s="538">
        <f t="shared" si="193"/>
        <v>0.28781634921501137</v>
      </c>
    </row>
    <row r="816" spans="2:23" ht="14.1" customHeight="1">
      <c r="C816" s="276" t="s">
        <v>452</v>
      </c>
      <c r="F816" s="347">
        <f>IF($E813="No",F813,0) +IF($E814="No",F814,0)</f>
        <v>0.70491404093957355</v>
      </c>
      <c r="G816" s="347">
        <f t="shared" ref="G816:O816" si="194">IF($E813="No",G813,0) +IF($E814="No",G814,0)</f>
        <v>0.73989838137705832</v>
      </c>
      <c r="H816" s="347">
        <f t="shared" si="194"/>
        <v>0.77540000000000009</v>
      </c>
      <c r="I816" s="347">
        <f t="shared" si="194"/>
        <v>0.84961144462557781</v>
      </c>
      <c r="J816" s="347">
        <f t="shared" si="194"/>
        <v>0.89201823159555405</v>
      </c>
      <c r="K816" s="537">
        <f t="shared" si="194"/>
        <v>0.84753410530562789</v>
      </c>
      <c r="L816" s="538">
        <f t="shared" si="194"/>
        <v>0.82381302168923654</v>
      </c>
      <c r="M816" s="538">
        <f t="shared" si="194"/>
        <v>0.82375104885257411</v>
      </c>
      <c r="N816" s="538">
        <f t="shared" si="194"/>
        <v>0.84810307338594249</v>
      </c>
      <c r="O816" s="538">
        <f t="shared" si="194"/>
        <v>0.87214851405004135</v>
      </c>
    </row>
    <row r="817" spans="1:23" ht="14.1" customHeight="1">
      <c r="B817" s="270" t="s">
        <v>255</v>
      </c>
      <c r="C817" s="276" t="s">
        <v>250</v>
      </c>
      <c r="F817" s="347">
        <f>'New cost and adjustments inputs'!F149*'New cost and adjustments inputs'!F261</f>
        <v>0</v>
      </c>
      <c r="G817" s="347">
        <f>'New cost and adjustments inputs'!G149*'New cost and adjustments inputs'!G261</f>
        <v>0</v>
      </c>
      <c r="H817" s="347">
        <f>'New cost and adjustments inputs'!H149*'New cost and adjustments inputs'!H261</f>
        <v>0</v>
      </c>
      <c r="I817" s="347">
        <f>'New cost and adjustments inputs'!I149*'New cost and adjustments inputs'!I261</f>
        <v>2.1567183963990499E-2</v>
      </c>
      <c r="J817" s="347">
        <f>'New cost and adjustments inputs'!J149*'New cost and adjustments inputs'!J261</f>
        <v>2.1567183963990499E-2</v>
      </c>
      <c r="K817" s="537">
        <f>'New cost and adjustments inputs'!K149*'New cost and adjustments inputs'!K261</f>
        <v>7.9276964372798943E-3</v>
      </c>
      <c r="L817" s="538">
        <f>'New cost and adjustments inputs'!L149*'New cost and adjustments inputs'!L261</f>
        <v>7.9276964372798943E-3</v>
      </c>
      <c r="M817" s="538">
        <f>'New cost and adjustments inputs'!M149*'New cost and adjustments inputs'!M261</f>
        <v>7.9276964372798943E-3</v>
      </c>
      <c r="N817" s="538">
        <f>'New cost and adjustments inputs'!N149*'New cost and adjustments inputs'!N261</f>
        <v>7.9276964372798943E-3</v>
      </c>
      <c r="O817" s="538">
        <f>'New cost and adjustments inputs'!O149*'New cost and adjustments inputs'!O261</f>
        <v>7.9276964372798943E-3</v>
      </c>
    </row>
    <row r="818" spans="1:23" ht="14.1" customHeight="1">
      <c r="C818" s="276" t="s">
        <v>450</v>
      </c>
      <c r="E818" s="286" t="str">
        <f>'New cost and adjustments inputs'!E150</f>
        <v>No</v>
      </c>
      <c r="F818" s="347">
        <f>'New cost and adjustments inputs'!F150*'New cost and adjustments inputs'!F262/Rebasing</f>
        <v>0</v>
      </c>
      <c r="G818" s="347">
        <f>'New cost and adjustments inputs'!G150*'New cost and adjustments inputs'!G262/Rebasing</f>
        <v>0</v>
      </c>
      <c r="H818" s="347">
        <f>'New cost and adjustments inputs'!H150*'New cost and adjustments inputs'!H262/Rebasing</f>
        <v>0</v>
      </c>
      <c r="I818" s="347">
        <f>'New cost and adjustments inputs'!I150*'New cost and adjustments inputs'!I262/Rebasing</f>
        <v>0</v>
      </c>
      <c r="J818" s="347">
        <f>'New cost and adjustments inputs'!J150*'New cost and adjustments inputs'!J262/Rebasing</f>
        <v>0</v>
      </c>
      <c r="K818" s="347">
        <f>'New cost and adjustments inputs'!K150*'New cost and adjustments inputs'!K262/Rebasing</f>
        <v>0</v>
      </c>
      <c r="L818" s="347">
        <f>'New cost and adjustments inputs'!L150*'New cost and adjustments inputs'!L262/Rebasing</f>
        <v>0.17815979153979555</v>
      </c>
      <c r="M818" s="347">
        <f>'New cost and adjustments inputs'!M150*'New cost and adjustments inputs'!M262/Rebasing</f>
        <v>0.39581802509689723</v>
      </c>
      <c r="N818" s="347">
        <f>'New cost and adjustments inputs'!N150*'New cost and adjustments inputs'!N262/Rebasing</f>
        <v>0.59719199725855177</v>
      </c>
      <c r="O818" s="347">
        <f>'New cost and adjustments inputs'!O150*'New cost and adjustments inputs'!O262/Rebasing</f>
        <v>0.79842341526876492</v>
      </c>
      <c r="Q818" s="276">
        <f ca="1">VLOOKUP(B817,B$575:E$593,4,FALSE)</f>
        <v>0.62676369163181422</v>
      </c>
      <c r="T818" s="276">
        <f>SUM(K818:O818)</f>
        <v>1.9695932291640093</v>
      </c>
      <c r="W818" s="268" t="str">
        <f ca="1">IF(T818&gt;Q$818,"Yes","No")</f>
        <v>Yes</v>
      </c>
    </row>
    <row r="819" spans="1:23" ht="14.1" customHeight="1">
      <c r="C819" s="276" t="s">
        <v>247</v>
      </c>
      <c r="E819" s="286" t="str">
        <f>'New cost and adjustments inputs'!E151</f>
        <v>No</v>
      </c>
      <c r="F819" s="347">
        <f>'New cost and adjustments inputs'!F151*'New cost and adjustments inputs'!F263</f>
        <v>0</v>
      </c>
      <c r="G819" s="347">
        <f>'New cost and adjustments inputs'!G151*'New cost and adjustments inputs'!G263</f>
        <v>0</v>
      </c>
      <c r="H819" s="347">
        <f>'New cost and adjustments inputs'!H151*'New cost and adjustments inputs'!H263</f>
        <v>0</v>
      </c>
      <c r="I819" s="347">
        <f>'New cost and adjustments inputs'!I151*'New cost and adjustments inputs'!I263</f>
        <v>0</v>
      </c>
      <c r="J819" s="347">
        <f>'New cost and adjustments inputs'!J151*'New cost and adjustments inputs'!J263</f>
        <v>0</v>
      </c>
      <c r="K819" s="537">
        <f>'New cost and adjustments inputs'!K151*'New cost and adjustments inputs'!K263</f>
        <v>0</v>
      </c>
      <c r="L819" s="538">
        <f>'New cost and adjustments inputs'!L151*'New cost and adjustments inputs'!L263</f>
        <v>0</v>
      </c>
      <c r="M819" s="538">
        <f>'New cost and adjustments inputs'!M151*'New cost and adjustments inputs'!M263</f>
        <v>0</v>
      </c>
      <c r="N819" s="538">
        <f>'New cost and adjustments inputs'!N151*'New cost and adjustments inputs'!N263</f>
        <v>0</v>
      </c>
      <c r="O819" s="538">
        <f>'New cost and adjustments inputs'!O151*'New cost and adjustments inputs'!O263</f>
        <v>0</v>
      </c>
      <c r="T819" s="276">
        <f>SUM(K819:O819)</f>
        <v>0</v>
      </c>
      <c r="W819" s="268" t="str">
        <f ca="1">IF(T819&gt;Q$818,"Yes","No")</f>
        <v>No</v>
      </c>
    </row>
    <row r="820" spans="1:23" ht="14.1" customHeight="1">
      <c r="C820" s="276" t="s">
        <v>248</v>
      </c>
      <c r="E820" s="286" t="str">
        <f>'New cost and adjustments inputs'!E152</f>
        <v>No</v>
      </c>
      <c r="F820" s="347">
        <f>'New cost and adjustments inputs'!F152*'New cost and adjustments inputs'!F264</f>
        <v>0</v>
      </c>
      <c r="G820" s="347">
        <f>'New cost and adjustments inputs'!G152*'New cost and adjustments inputs'!G264</f>
        <v>0</v>
      </c>
      <c r="H820" s="347">
        <f>'New cost and adjustments inputs'!H152*'New cost and adjustments inputs'!H264</f>
        <v>0</v>
      </c>
      <c r="I820" s="347">
        <f>'New cost and adjustments inputs'!I152*'New cost and adjustments inputs'!I264</f>
        <v>0</v>
      </c>
      <c r="J820" s="347">
        <f>'New cost and adjustments inputs'!J152*'New cost and adjustments inputs'!J264</f>
        <v>0</v>
      </c>
      <c r="K820" s="537">
        <f>'New cost and adjustments inputs'!K152*'New cost and adjustments inputs'!K264</f>
        <v>0</v>
      </c>
      <c r="L820" s="538">
        <f>'New cost and adjustments inputs'!L152*'New cost and adjustments inputs'!L264</f>
        <v>0</v>
      </c>
      <c r="M820" s="538">
        <f>'New cost and adjustments inputs'!M152*'New cost and adjustments inputs'!M264</f>
        <v>0</v>
      </c>
      <c r="N820" s="538">
        <f>'New cost and adjustments inputs'!N152*'New cost and adjustments inputs'!N264</f>
        <v>0</v>
      </c>
      <c r="O820" s="538">
        <f>'New cost and adjustments inputs'!O152*'New cost and adjustments inputs'!O264</f>
        <v>0</v>
      </c>
      <c r="T820" s="276">
        <f>SUM(K820:O820)</f>
        <v>0</v>
      </c>
      <c r="W820" s="268" t="str">
        <f ca="1">IF(T820&gt;Q$818,"Yes","No")</f>
        <v>No</v>
      </c>
    </row>
    <row r="821" spans="1:23" ht="14.1" customHeight="1">
      <c r="C821" s="276" t="s">
        <v>451</v>
      </c>
      <c r="F821" s="347">
        <f>IF($E818="yes",F818,0)+IF($E819="yes",F819,0)+IF($E820="yes",F820,0)+F817</f>
        <v>0</v>
      </c>
      <c r="G821" s="347">
        <f t="shared" ref="G821:O821" si="195">IF($E818="yes",G818,0)+IF($E819="yes",G819,0)+IF($E820="yes",G820,0)+G817</f>
        <v>0</v>
      </c>
      <c r="H821" s="347">
        <f t="shared" si="195"/>
        <v>0</v>
      </c>
      <c r="I821" s="347">
        <f t="shared" si="195"/>
        <v>2.1567183963990499E-2</v>
      </c>
      <c r="J821" s="347">
        <f t="shared" si="195"/>
        <v>2.1567183963990499E-2</v>
      </c>
      <c r="K821" s="537">
        <f t="shared" si="195"/>
        <v>7.9276964372798943E-3</v>
      </c>
      <c r="L821" s="538">
        <f t="shared" si="195"/>
        <v>7.9276964372798943E-3</v>
      </c>
      <c r="M821" s="538">
        <f t="shared" si="195"/>
        <v>7.9276964372798943E-3</v>
      </c>
      <c r="N821" s="538">
        <f t="shared" si="195"/>
        <v>7.9276964372798943E-3</v>
      </c>
      <c r="O821" s="538">
        <f t="shared" si="195"/>
        <v>7.9276964372798943E-3</v>
      </c>
    </row>
    <row r="822" spans="1:23" ht="14.1" customHeight="1">
      <c r="C822" s="276" t="s">
        <v>452</v>
      </c>
      <c r="F822" s="347">
        <f>IF($E819="No",F819,0) +IF($E820="No",F820,0)</f>
        <v>0</v>
      </c>
      <c r="G822" s="347">
        <f t="shared" ref="G822:O822" si="196">IF($E819="No",G819,0) +IF($E820="No",G820,0)</f>
        <v>0</v>
      </c>
      <c r="H822" s="347">
        <f t="shared" si="196"/>
        <v>0</v>
      </c>
      <c r="I822" s="347">
        <f t="shared" si="196"/>
        <v>0</v>
      </c>
      <c r="J822" s="347">
        <f t="shared" si="196"/>
        <v>0</v>
      </c>
      <c r="K822" s="537">
        <f t="shared" si="196"/>
        <v>0</v>
      </c>
      <c r="L822" s="538">
        <f t="shared" si="196"/>
        <v>0</v>
      </c>
      <c r="M822" s="538">
        <f t="shared" si="196"/>
        <v>0</v>
      </c>
      <c r="N822" s="538">
        <f t="shared" si="196"/>
        <v>0</v>
      </c>
      <c r="O822" s="538">
        <f t="shared" si="196"/>
        <v>0</v>
      </c>
    </row>
    <row r="823" spans="1:23" ht="14.1" customHeight="1"/>
    <row r="824" spans="1:23" s="291" customFormat="1" ht="14.1" customHeight="1">
      <c r="A824" s="293" t="s">
        <v>454</v>
      </c>
      <c r="B824" s="289"/>
      <c r="C824" s="289"/>
      <c r="D824" s="289"/>
      <c r="F824" s="289"/>
      <c r="G824" s="289"/>
      <c r="H824" s="289"/>
      <c r="I824" s="289"/>
      <c r="J824" s="289"/>
      <c r="K824" s="470"/>
      <c r="L824" s="289"/>
      <c r="M824" s="289"/>
      <c r="N824" s="289"/>
      <c r="O824" s="289"/>
      <c r="P824" s="289"/>
      <c r="Q824" s="289"/>
      <c r="R824" s="289"/>
      <c r="S824" s="289"/>
      <c r="T824" s="289"/>
      <c r="U824" s="289"/>
    </row>
    <row r="825" spans="1:23" ht="14.1" customHeight="1">
      <c r="B825" s="276" t="s">
        <v>215</v>
      </c>
      <c r="C825" s="276" t="s">
        <v>249</v>
      </c>
      <c r="D825" s="276" t="s">
        <v>78</v>
      </c>
      <c r="E825" s="286" t="s">
        <v>74</v>
      </c>
      <c r="I825" s="347">
        <f ca="1">VLOOKUP($D825,INDIRECT($B825),COLUMN()-1,FALSE)</f>
        <v>65.433786189459894</v>
      </c>
      <c r="K825" s="537">
        <f ca="1">VLOOKUP($D825,INDIRECT($B825),COLUMN()-1,FALSE)-K615</f>
        <v>66.744750480811305</v>
      </c>
      <c r="L825" s="538">
        <f ca="1">VLOOKUP($D825,INDIRECT($B825),COLUMN()-1,FALSE)-L615</f>
        <v>67.458328347404503</v>
      </c>
      <c r="M825" s="538">
        <f ca="1">VLOOKUP($D825,INDIRECT($B825),COLUMN()-1,FALSE)-M615</f>
        <v>68.246521397978896</v>
      </c>
      <c r="N825" s="538">
        <f ca="1">VLOOKUP($D825,INDIRECT($B825),COLUMN()-1,FALSE)-N615</f>
        <v>69.125517761991205</v>
      </c>
      <c r="O825" s="538">
        <f ca="1">VLOOKUP($D825,INDIRECT($B825),COLUMN()-1,FALSE)-O615</f>
        <v>70.095994252410406</v>
      </c>
    </row>
    <row r="826" spans="1:23" ht="14.1" customHeight="1">
      <c r="C826" s="276" t="s">
        <v>252</v>
      </c>
      <c r="D826" s="276" t="s">
        <v>97</v>
      </c>
      <c r="E826" s="286" t="s">
        <v>74</v>
      </c>
      <c r="I826" s="347">
        <f>I6</f>
        <v>3.8901520980701898</v>
      </c>
      <c r="K826" s="537">
        <f>K6</f>
        <v>3.1181320570259561</v>
      </c>
      <c r="L826" s="538">
        <f t="shared" ref="K826:O827" si="197">L6</f>
        <v>2.379789043075605</v>
      </c>
      <c r="M826" s="538">
        <f t="shared" si="197"/>
        <v>1.8032473090598471</v>
      </c>
      <c r="N826" s="538">
        <f t="shared" si="197"/>
        <v>1.1450013524516489</v>
      </c>
      <c r="O826" s="538">
        <f t="shared" si="197"/>
        <v>0.27635100023722398</v>
      </c>
    </row>
    <row r="827" spans="1:23" ht="14.1" customHeight="1">
      <c r="C827" s="276" t="s">
        <v>251</v>
      </c>
      <c r="D827" s="276" t="s">
        <v>98</v>
      </c>
      <c r="E827" s="286" t="s">
        <v>74</v>
      </c>
      <c r="I827" s="347">
        <f>I7</f>
        <v>0</v>
      </c>
      <c r="K827" s="537">
        <f t="shared" si="197"/>
        <v>0.92774996717968405</v>
      </c>
      <c r="L827" s="538">
        <f t="shared" si="197"/>
        <v>2.751835758401</v>
      </c>
      <c r="M827" s="538">
        <f t="shared" si="197"/>
        <v>3.8621929379507804</v>
      </c>
      <c r="N827" s="538">
        <f t="shared" si="197"/>
        <v>4.3138833715203404</v>
      </c>
      <c r="O827" s="538">
        <f t="shared" si="197"/>
        <v>4.6912495386250699</v>
      </c>
    </row>
    <row r="828" spans="1:23" ht="14.1" customHeight="1">
      <c r="C828" s="276" t="s">
        <v>157</v>
      </c>
      <c r="D828" s="276" t="s">
        <v>156</v>
      </c>
      <c r="E828" s="286" t="s">
        <v>74</v>
      </c>
      <c r="I828" s="347">
        <f>I719</f>
        <v>1.72348213421129</v>
      </c>
      <c r="K828" s="537">
        <f>K719</f>
        <v>1.7176018468827143</v>
      </c>
      <c r="L828" s="538">
        <f>L719</f>
        <v>1.7176018468827143</v>
      </c>
      <c r="M828" s="538">
        <f>M719</f>
        <v>1.7176018468827143</v>
      </c>
      <c r="N828" s="538">
        <f>N719</f>
        <v>1.7176018468827143</v>
      </c>
      <c r="O828" s="538">
        <f>O719</f>
        <v>1.7176018468827143</v>
      </c>
    </row>
    <row r="829" spans="1:23" ht="14.1" customHeight="1">
      <c r="B829" s="276" t="s">
        <v>216</v>
      </c>
      <c r="C829" s="276" t="s">
        <v>249</v>
      </c>
      <c r="D829" s="276" t="s">
        <v>78</v>
      </c>
      <c r="E829" s="286" t="s">
        <v>74</v>
      </c>
      <c r="I829" s="347">
        <f ca="1">VLOOKUP($D829,INDIRECT($B829),COLUMN()-1,FALSE)</f>
        <v>43.209284948659466</v>
      </c>
      <c r="K829" s="537">
        <f ca="1">VLOOKUP($D829,INDIRECT($B829),COLUMN()-1,FALSE)-K616</f>
        <v>43.091180195978644</v>
      </c>
      <c r="L829" s="538">
        <f ca="1">VLOOKUP($D829,INDIRECT($B829),COLUMN()-1,FALSE)-L616</f>
        <v>41.839406072456995</v>
      </c>
      <c r="M829" s="538">
        <f ca="1">VLOOKUP($D829,INDIRECT($B829),COLUMN()-1,FALSE)-M616</f>
        <v>40.925862648057517</v>
      </c>
      <c r="N829" s="538">
        <f ca="1">VLOOKUP($D829,INDIRECT($B829),COLUMN()-1,FALSE)-N616</f>
        <v>40.006681291848302</v>
      </c>
      <c r="O829" s="538">
        <f ca="1">VLOOKUP($D829,INDIRECT($B829),COLUMN()-1,FALSE)-O616</f>
        <v>40.105968350484446</v>
      </c>
    </row>
    <row r="830" spans="1:23" ht="14.1" customHeight="1">
      <c r="C830" s="276" t="s">
        <v>252</v>
      </c>
      <c r="D830" s="276" t="s">
        <v>97</v>
      </c>
      <c r="E830" s="286" t="s">
        <v>74</v>
      </c>
      <c r="I830" s="347">
        <f>I8</f>
        <v>1.33449578469868</v>
      </c>
      <c r="K830" s="537">
        <f t="shared" ref="K830:O831" si="198">K8</f>
        <v>3.4449999999999998</v>
      </c>
      <c r="L830" s="538">
        <f t="shared" si="198"/>
        <v>3.3249999999999997</v>
      </c>
      <c r="M830" s="538">
        <f t="shared" si="198"/>
        <v>3.1399999999999997</v>
      </c>
      <c r="N830" s="538">
        <f t="shared" si="198"/>
        <v>3.0619999999999998</v>
      </c>
      <c r="O830" s="538">
        <f t="shared" si="198"/>
        <v>3.0569999999999999</v>
      </c>
    </row>
    <row r="831" spans="1:23" ht="14.1" customHeight="1">
      <c r="C831" s="276" t="s">
        <v>251</v>
      </c>
      <c r="D831" s="276" t="s">
        <v>98</v>
      </c>
      <c r="E831" s="286" t="s">
        <v>74</v>
      </c>
      <c r="I831" s="347">
        <f>I9</f>
        <v>0</v>
      </c>
      <c r="K831" s="537">
        <f t="shared" si="198"/>
        <v>0.71499999999999997</v>
      </c>
      <c r="L831" s="538">
        <f t="shared" si="198"/>
        <v>1.1539999999999999</v>
      </c>
      <c r="M831" s="538">
        <f t="shared" si="198"/>
        <v>1.323</v>
      </c>
      <c r="N831" s="538">
        <f t="shared" si="198"/>
        <v>1.44</v>
      </c>
      <c r="O831" s="538">
        <f t="shared" si="198"/>
        <v>1.518</v>
      </c>
    </row>
    <row r="832" spans="1:23" ht="14.1" customHeight="1">
      <c r="C832" s="276" t="s">
        <v>157</v>
      </c>
      <c r="D832" s="276" t="s">
        <v>156</v>
      </c>
      <c r="E832" s="286" t="s">
        <v>74</v>
      </c>
      <c r="I832" s="347">
        <f>I725</f>
        <v>10.31124231344524</v>
      </c>
      <c r="K832" s="537">
        <f>K725</f>
        <v>9.7217609657333064</v>
      </c>
      <c r="L832" s="538">
        <f>L725</f>
        <v>9.2412381138137434</v>
      </c>
      <c r="M832" s="538">
        <f>M725</f>
        <v>8.7835098937705336</v>
      </c>
      <c r="N832" s="538">
        <f>N725</f>
        <v>8.3494259374800226</v>
      </c>
      <c r="O832" s="538">
        <f>O725</f>
        <v>7.937046179004037</v>
      </c>
    </row>
    <row r="833" spans="2:15" ht="14.1" customHeight="1">
      <c r="B833" s="276" t="s">
        <v>217</v>
      </c>
      <c r="C833" s="276" t="s">
        <v>249</v>
      </c>
      <c r="D833" s="276" t="s">
        <v>78</v>
      </c>
      <c r="E833" s="286" t="s">
        <v>74</v>
      </c>
      <c r="I833" s="347">
        <f ca="1">VLOOKUP($D833,INDIRECT($B833),COLUMN()-1,FALSE)</f>
        <v>44.055104115146428</v>
      </c>
      <c r="K833" s="537">
        <f ca="1">VLOOKUP($D833,INDIRECT($B833),COLUMN()-1,FALSE)-K617</f>
        <v>45.296088338545431</v>
      </c>
      <c r="L833" s="538">
        <f ca="1">VLOOKUP($D833,INDIRECT($B833),COLUMN()-1,FALSE)-L617</f>
        <v>45.718989676418133</v>
      </c>
      <c r="M833" s="538">
        <f ca="1">VLOOKUP($D833,INDIRECT($B833),COLUMN()-1,FALSE)-M617</f>
        <v>46.148889381584333</v>
      </c>
      <c r="N833" s="538">
        <f ca="1">VLOOKUP($D833,INDIRECT($B833),COLUMN()-1,FALSE)-N617</f>
        <v>46.58478768728763</v>
      </c>
      <c r="O833" s="538">
        <f ca="1">VLOOKUP($D833,INDIRECT($B833),COLUMN()-1,FALSE)-O617</f>
        <v>47.025684826772029</v>
      </c>
    </row>
    <row r="834" spans="2:15" ht="14.1" customHeight="1">
      <c r="C834" s="276" t="s">
        <v>252</v>
      </c>
      <c r="D834" s="276" t="s">
        <v>97</v>
      </c>
      <c r="E834" s="286" t="s">
        <v>74</v>
      </c>
      <c r="I834" s="347">
        <f>I10</f>
        <v>2.8148029857031069</v>
      </c>
      <c r="K834" s="537">
        <f t="shared" ref="K834:O835" si="199">K10</f>
        <v>2.5504292246149651</v>
      </c>
      <c r="L834" s="538">
        <f t="shared" si="199"/>
        <v>2.2112143620423272</v>
      </c>
      <c r="M834" s="538">
        <f t="shared" si="199"/>
        <v>1.8049340968407046</v>
      </c>
      <c r="N834" s="538">
        <f t="shared" si="199"/>
        <v>1.4385042882736896</v>
      </c>
      <c r="O834" s="538">
        <f t="shared" si="199"/>
        <v>1.3131211442282107</v>
      </c>
    </row>
    <row r="835" spans="2:15" ht="14.1" customHeight="1">
      <c r="C835" s="276" t="s">
        <v>251</v>
      </c>
      <c r="D835" s="276" t="s">
        <v>98</v>
      </c>
      <c r="E835" s="286" t="s">
        <v>74</v>
      </c>
      <c r="I835" s="347">
        <f>I11</f>
        <v>0</v>
      </c>
      <c r="K835" s="537">
        <f t="shared" si="199"/>
        <v>0.97585020636944741</v>
      </c>
      <c r="L835" s="538">
        <f t="shared" si="199"/>
        <v>1.563887432319166</v>
      </c>
      <c r="M835" s="538">
        <f t="shared" si="199"/>
        <v>2.2345414586089252</v>
      </c>
      <c r="N835" s="538">
        <f t="shared" si="199"/>
        <v>2.7555132819296628</v>
      </c>
      <c r="O835" s="538">
        <f t="shared" si="199"/>
        <v>3.3309149972391348</v>
      </c>
    </row>
    <row r="836" spans="2:15" ht="14.1" customHeight="1">
      <c r="C836" s="276" t="s">
        <v>157</v>
      </c>
      <c r="D836" s="276" t="s">
        <v>156</v>
      </c>
      <c r="E836" s="286" t="s">
        <v>74</v>
      </c>
      <c r="I836" s="347">
        <f>I731</f>
        <v>3.0130793167372873</v>
      </c>
      <c r="K836" s="537">
        <f>K731</f>
        <v>3.5590107574764795</v>
      </c>
      <c r="L836" s="538">
        <f>L731</f>
        <v>3.5590107574764795</v>
      </c>
      <c r="M836" s="538">
        <f>M731</f>
        <v>3.5590107574764795</v>
      </c>
      <c r="N836" s="538">
        <f>N731</f>
        <v>3.5590107574764795</v>
      </c>
      <c r="O836" s="538">
        <f>O731</f>
        <v>3.5590107574764795</v>
      </c>
    </row>
    <row r="837" spans="2:15" ht="14.1" customHeight="1">
      <c r="B837" s="276" t="s">
        <v>219</v>
      </c>
      <c r="C837" s="276" t="s">
        <v>249</v>
      </c>
      <c r="D837" s="276" t="s">
        <v>78</v>
      </c>
      <c r="E837" s="286" t="s">
        <v>74</v>
      </c>
      <c r="I837" s="347">
        <f ca="1">VLOOKUP($D837,INDIRECT($B837),COLUMN()-1,FALSE)</f>
        <v>92.097702089302359</v>
      </c>
      <c r="K837" s="537">
        <f ca="1">VLOOKUP($D837,INDIRECT($B837),COLUMN()-1,FALSE)-K618</f>
        <v>98.053489509747834</v>
      </c>
      <c r="L837" s="538">
        <f ca="1">VLOOKUP($D837,INDIRECT($B837),COLUMN()-1,FALSE)-L618</f>
        <v>100.19474781462728</v>
      </c>
      <c r="M837" s="538">
        <f ca="1">VLOOKUP($D837,INDIRECT($B837),COLUMN()-1,FALSE)-M618</f>
        <v>102.32478290592992</v>
      </c>
      <c r="N837" s="538">
        <f ca="1">VLOOKUP($D837,INDIRECT($B837),COLUMN()-1,FALSE)-N618</f>
        <v>105.29929858963773</v>
      </c>
      <c r="O837" s="538">
        <f ca="1">VLOOKUP($D837,INDIRECT($B837),COLUMN()-1,FALSE)-O618</f>
        <v>108.57733891418361</v>
      </c>
    </row>
    <row r="838" spans="2:15" ht="14.1" customHeight="1">
      <c r="C838" s="276" t="s">
        <v>252</v>
      </c>
      <c r="D838" s="276" t="s">
        <v>97</v>
      </c>
      <c r="E838" s="286" t="s">
        <v>74</v>
      </c>
      <c r="I838" s="347">
        <f>I12</f>
        <v>13.828333668474309</v>
      </c>
      <c r="K838" s="537">
        <f t="shared" ref="K838:O839" si="200">K12</f>
        <v>8.3536031877957395</v>
      </c>
      <c r="L838" s="538">
        <f t="shared" si="200"/>
        <v>5.6335636274567804</v>
      </c>
      <c r="M838" s="538">
        <f t="shared" si="200"/>
        <v>4.8980841812096099</v>
      </c>
      <c r="N838" s="538">
        <f t="shared" si="200"/>
        <v>3.9265854569158503</v>
      </c>
      <c r="O838" s="538">
        <f t="shared" si="200"/>
        <v>3.2718876994738402</v>
      </c>
    </row>
    <row r="839" spans="2:15" ht="14.1" customHeight="1">
      <c r="C839" s="276" t="s">
        <v>251</v>
      </c>
      <c r="D839" s="276" t="s">
        <v>98</v>
      </c>
      <c r="E839" s="286" t="s">
        <v>74</v>
      </c>
      <c r="I839" s="347">
        <f>I13</f>
        <v>0</v>
      </c>
      <c r="K839" s="537">
        <f t="shared" si="200"/>
        <v>0.48643053279879822</v>
      </c>
      <c r="L839" s="538">
        <f t="shared" si="200"/>
        <v>1.5086743878745299</v>
      </c>
      <c r="M839" s="538">
        <f t="shared" si="200"/>
        <v>2.7992490226720159</v>
      </c>
      <c r="N839" s="538">
        <f t="shared" si="200"/>
        <v>4.5379626354587517</v>
      </c>
      <c r="O839" s="538">
        <f t="shared" si="200"/>
        <v>5.6307036398897239</v>
      </c>
    </row>
    <row r="840" spans="2:15" ht="14.1" customHeight="1">
      <c r="C840" s="276" t="s">
        <v>157</v>
      </c>
      <c r="D840" s="276" t="s">
        <v>156</v>
      </c>
      <c r="E840" s="286" t="s">
        <v>74</v>
      </c>
      <c r="I840" s="347">
        <f>I737</f>
        <v>0.75155692918620498</v>
      </c>
      <c r="K840" s="537">
        <f>K737</f>
        <v>0.78641324815506974</v>
      </c>
      <c r="L840" s="538">
        <f>L737</f>
        <v>0.78641324815506974</v>
      </c>
      <c r="M840" s="538">
        <f>M737</f>
        <v>0.78641324815506974</v>
      </c>
      <c r="N840" s="538">
        <f>N737</f>
        <v>0.78641324815506974</v>
      </c>
      <c r="O840" s="538">
        <f>O737</f>
        <v>0.78641324815506974</v>
      </c>
    </row>
    <row r="841" spans="2:15" ht="14.1" customHeight="1">
      <c r="B841" s="276" t="s">
        <v>220</v>
      </c>
      <c r="C841" s="276" t="s">
        <v>249</v>
      </c>
      <c r="D841" s="276" t="s">
        <v>78</v>
      </c>
      <c r="E841" s="286" t="s">
        <v>74</v>
      </c>
      <c r="I841" s="347">
        <f ca="1">VLOOKUP($D841,INDIRECT($B841),COLUMN()-1,FALSE)</f>
        <v>21.615020292637702</v>
      </c>
      <c r="K841" s="537">
        <f ca="1">VLOOKUP($D841,INDIRECT($B841),COLUMN()-1,FALSE)-K619</f>
        <v>19.744417174258427</v>
      </c>
      <c r="L841" s="538">
        <f ca="1">VLOOKUP($D841,INDIRECT($B841),COLUMN()-1,FALSE)-L619</f>
        <v>19.843557203389825</v>
      </c>
      <c r="M841" s="538">
        <f ca="1">VLOOKUP($D841,INDIRECT($B841),COLUMN()-1,FALSE)-M619</f>
        <v>19.907706634004228</v>
      </c>
      <c r="N841" s="538">
        <f ca="1">VLOOKUP($D841,INDIRECT($B841),COLUMN()-1,FALSE)-N619</f>
        <v>19.932005660752125</v>
      </c>
      <c r="O841" s="538">
        <f ca="1">VLOOKUP($D841,INDIRECT($B841),COLUMN()-1,FALSE)-O619</f>
        <v>19.935893505031725</v>
      </c>
    </row>
    <row r="842" spans="2:15" ht="14.1" customHeight="1">
      <c r="C842" s="276" t="s">
        <v>252</v>
      </c>
      <c r="D842" s="276" t="s">
        <v>97</v>
      </c>
      <c r="E842" s="286" t="s">
        <v>74</v>
      </c>
      <c r="I842" s="347">
        <f>I14</f>
        <v>3.1705370100635601</v>
      </c>
      <c r="J842" s="277"/>
      <c r="K842" s="537">
        <f t="shared" ref="K842:O843" si="201">K14</f>
        <v>1.9478099841101699</v>
      </c>
      <c r="L842" s="538">
        <f t="shared" si="201"/>
        <v>1.36074549788136</v>
      </c>
      <c r="M842" s="538">
        <f t="shared" si="201"/>
        <v>1.1585775953389801</v>
      </c>
      <c r="N842" s="538">
        <f t="shared" si="201"/>
        <v>0.95446577065677995</v>
      </c>
      <c r="O842" s="538">
        <f t="shared" si="201"/>
        <v>0.54721408236228797</v>
      </c>
    </row>
    <row r="843" spans="2:15" ht="14.1" customHeight="1">
      <c r="C843" s="276" t="s">
        <v>251</v>
      </c>
      <c r="D843" s="276" t="s">
        <v>98</v>
      </c>
      <c r="E843" s="286" t="s">
        <v>74</v>
      </c>
      <c r="I843" s="347">
        <f>I15</f>
        <v>0</v>
      </c>
      <c r="K843" s="537">
        <f t="shared" si="201"/>
        <v>0.132186705508475</v>
      </c>
      <c r="L843" s="538">
        <f t="shared" si="201"/>
        <v>0.42183110434322002</v>
      </c>
      <c r="M843" s="538">
        <f t="shared" si="201"/>
        <v>0.68134471001059305</v>
      </c>
      <c r="N843" s="538">
        <f t="shared" si="201"/>
        <v>0.89128830111228796</v>
      </c>
      <c r="O843" s="538">
        <f t="shared" si="201"/>
        <v>1.08470855402542</v>
      </c>
    </row>
    <row r="844" spans="2:15" ht="14.1" customHeight="1">
      <c r="C844" s="276" t="s">
        <v>157</v>
      </c>
      <c r="D844" s="276" t="s">
        <v>156</v>
      </c>
      <c r="E844" s="286" t="s">
        <v>74</v>
      </c>
      <c r="I844" s="347">
        <f>I743</f>
        <v>7.4630000000000001</v>
      </c>
      <c r="K844" s="537">
        <f>K743</f>
        <v>7.4406169022196718</v>
      </c>
      <c r="L844" s="538">
        <f>L743</f>
        <v>7.4406169022196718</v>
      </c>
      <c r="M844" s="538">
        <f>M743</f>
        <v>7.4406169022196718</v>
      </c>
      <c r="N844" s="538">
        <f>N743</f>
        <v>7.4406169022196718</v>
      </c>
      <c r="O844" s="538">
        <f>O743</f>
        <v>7.4406169022196718</v>
      </c>
    </row>
    <row r="845" spans="2:15" ht="14.1" customHeight="1">
      <c r="B845" s="276" t="s">
        <v>221</v>
      </c>
      <c r="C845" s="276" t="s">
        <v>249</v>
      </c>
      <c r="D845" s="276" t="s">
        <v>78</v>
      </c>
      <c r="E845" s="286" t="s">
        <v>74</v>
      </c>
      <c r="I845" s="347">
        <f ca="1">VLOOKUP($D845,INDIRECT($B845),COLUMN()-1,FALSE)</f>
        <v>60.206751966730003</v>
      </c>
      <c r="K845" s="537">
        <f ca="1">VLOOKUP($D845,INDIRECT($B845),COLUMN()-1,FALSE)-K620</f>
        <v>55.837097216242782</v>
      </c>
      <c r="L845" s="538">
        <f ca="1">VLOOKUP($D845,INDIRECT($B845),COLUMN()-1,FALSE)-L620</f>
        <v>57.063726443016641</v>
      </c>
      <c r="M845" s="538">
        <f ca="1">VLOOKUP($D845,INDIRECT($B845),COLUMN()-1,FALSE)-M620</f>
        <v>56.417695374883394</v>
      </c>
      <c r="N845" s="538">
        <f ca="1">VLOOKUP($D845,INDIRECT($B845),COLUMN()-1,FALSE)-N620</f>
        <v>52.170684363031512</v>
      </c>
      <c r="O845" s="538">
        <f ca="1">VLOOKUP($D845,INDIRECT($B845),COLUMN()-1,FALSE)-O620</f>
        <v>52.251083428382522</v>
      </c>
    </row>
    <row r="846" spans="2:15" ht="14.1" customHeight="1">
      <c r="C846" s="276" t="s">
        <v>252</v>
      </c>
      <c r="D846" s="276" t="s">
        <v>97</v>
      </c>
      <c r="E846" s="286" t="s">
        <v>74</v>
      </c>
      <c r="I846" s="347">
        <f>I16</f>
        <v>10.425196680400001</v>
      </c>
      <c r="K846" s="537">
        <f t="shared" ref="K846:O847" si="202">K16</f>
        <v>7.3746752036279997</v>
      </c>
      <c r="L846" s="538">
        <f t="shared" si="202"/>
        <v>6.5280863914739999</v>
      </c>
      <c r="M846" s="538">
        <f t="shared" si="202"/>
        <v>5.6242219230900004</v>
      </c>
      <c r="N846" s="538">
        <f t="shared" si="202"/>
        <v>4.794027253656</v>
      </c>
      <c r="O846" s="538">
        <f t="shared" si="202"/>
        <v>3.9092800866980002</v>
      </c>
    </row>
    <row r="847" spans="2:15" ht="14.1" customHeight="1">
      <c r="C847" s="276" t="s">
        <v>251</v>
      </c>
      <c r="D847" s="276" t="s">
        <v>98</v>
      </c>
      <c r="E847" s="286" t="s">
        <v>74</v>
      </c>
      <c r="I847" s="347">
        <f>I17</f>
        <v>0</v>
      </c>
      <c r="K847" s="537">
        <f t="shared" si="202"/>
        <v>0.26744038737173303</v>
      </c>
      <c r="L847" s="538">
        <f t="shared" si="202"/>
        <v>0.80933481688000097</v>
      </c>
      <c r="M847" s="538">
        <f t="shared" si="202"/>
        <v>1.356914119408005</v>
      </c>
      <c r="N847" s="538">
        <f t="shared" si="202"/>
        <v>1.904493421936009</v>
      </c>
      <c r="O847" s="538">
        <f t="shared" si="202"/>
        <v>2.4463878514442801</v>
      </c>
    </row>
    <row r="848" spans="2:15" ht="14.1" customHeight="1">
      <c r="C848" s="276" t="s">
        <v>157</v>
      </c>
      <c r="D848" s="276" t="s">
        <v>156</v>
      </c>
      <c r="E848" s="286" t="s">
        <v>74</v>
      </c>
      <c r="I848" s="347">
        <f>I749</f>
        <v>1.2784</v>
      </c>
      <c r="K848" s="537">
        <f>K749</f>
        <v>0.75496607880118127</v>
      </c>
      <c r="L848" s="538">
        <f>L749</f>
        <v>0.75496607880118127</v>
      </c>
      <c r="M848" s="538">
        <f>M749</f>
        <v>0.75496607880118127</v>
      </c>
      <c r="N848" s="538">
        <f>N749</f>
        <v>0.75496607880118127</v>
      </c>
      <c r="O848" s="538">
        <f>O749</f>
        <v>0.75496607880118127</v>
      </c>
    </row>
    <row r="849" spans="2:15" ht="14.1" customHeight="1">
      <c r="B849" s="276" t="s">
        <v>222</v>
      </c>
      <c r="C849" s="276" t="s">
        <v>249</v>
      </c>
      <c r="D849" s="276" t="s">
        <v>78</v>
      </c>
      <c r="E849" s="286" t="s">
        <v>74</v>
      </c>
      <c r="I849" s="347">
        <f ca="1">VLOOKUP($D849,INDIRECT($B849),COLUMN()-1,FALSE)</f>
        <v>143.80863444601991</v>
      </c>
      <c r="K849" s="537">
        <f ca="1">VLOOKUP($D849,INDIRECT($B849),COLUMN()-1,FALSE)-K621</f>
        <v>146.21326931709376</v>
      </c>
      <c r="L849" s="538">
        <f ca="1">VLOOKUP($D849,INDIRECT($B849),COLUMN()-1,FALSE)-L621</f>
        <v>151.19846424584784</v>
      </c>
      <c r="M849" s="538">
        <f ca="1">VLOOKUP($D849,INDIRECT($B849),COLUMN()-1,FALSE)-M621</f>
        <v>151.50074453885617</v>
      </c>
      <c r="N849" s="538">
        <f ca="1">VLOOKUP($D849,INDIRECT($B849),COLUMN()-1,FALSE)-N621</f>
        <v>153.04227683696632</v>
      </c>
      <c r="O849" s="538">
        <f ca="1">VLOOKUP($D849,INDIRECT($B849),COLUMN()-1,FALSE)-O621</f>
        <v>148.83367983140838</v>
      </c>
    </row>
    <row r="850" spans="2:15" ht="14.1" customHeight="1">
      <c r="C850" s="276" t="s">
        <v>252</v>
      </c>
      <c r="D850" s="276" t="s">
        <v>97</v>
      </c>
      <c r="E850" s="286" t="s">
        <v>74</v>
      </c>
      <c r="I850" s="347">
        <f>I18</f>
        <v>2.0080742294415099</v>
      </c>
      <c r="K850" s="537">
        <f t="shared" ref="K850:O851" si="203">K18</f>
        <v>7.4306522188191497</v>
      </c>
      <c r="L850" s="538">
        <f t="shared" si="203"/>
        <v>6.9884093464106805</v>
      </c>
      <c r="M850" s="538">
        <f t="shared" si="203"/>
        <v>4.2912138058975202</v>
      </c>
      <c r="N850" s="538">
        <f t="shared" si="203"/>
        <v>2.6554011591646693</v>
      </c>
      <c r="O850" s="538">
        <f t="shared" si="203"/>
        <v>0.68231757457305997</v>
      </c>
    </row>
    <row r="851" spans="2:15" ht="14.1" customHeight="1">
      <c r="C851" s="276" t="s">
        <v>251</v>
      </c>
      <c r="D851" s="276" t="s">
        <v>98</v>
      </c>
      <c r="E851" s="286" t="s">
        <v>74</v>
      </c>
      <c r="I851" s="347">
        <f>I19</f>
        <v>0</v>
      </c>
      <c r="K851" s="537">
        <f t="shared" si="203"/>
        <v>0.72216803120766804</v>
      </c>
      <c r="L851" s="538">
        <f t="shared" si="203"/>
        <v>2.7438497336463601</v>
      </c>
      <c r="M851" s="538">
        <f t="shared" si="203"/>
        <v>5.6296059714062103</v>
      </c>
      <c r="N851" s="538">
        <f t="shared" si="203"/>
        <v>8.4813435266731005</v>
      </c>
      <c r="O851" s="538">
        <f t="shared" si="203"/>
        <v>10.0636982437742</v>
      </c>
    </row>
    <row r="852" spans="2:15" ht="14.1" customHeight="1">
      <c r="C852" s="276" t="s">
        <v>157</v>
      </c>
      <c r="D852" s="276" t="s">
        <v>156</v>
      </c>
      <c r="E852" s="286" t="s">
        <v>74</v>
      </c>
      <c r="I852" s="347">
        <f>I755</f>
        <v>1.6</v>
      </c>
      <c r="K852" s="537">
        <f>K755</f>
        <v>1.6273394076498013</v>
      </c>
      <c r="L852" s="538">
        <f>L755</f>
        <v>1.6273394076498013</v>
      </c>
      <c r="M852" s="538">
        <f>M755</f>
        <v>1.6273394076498013</v>
      </c>
      <c r="N852" s="538">
        <f>N755</f>
        <v>1.6273394076498013</v>
      </c>
      <c r="O852" s="538">
        <f>O755</f>
        <v>1.6273394076498013</v>
      </c>
    </row>
    <row r="853" spans="2:15" ht="14.1" customHeight="1">
      <c r="B853" s="276" t="s">
        <v>223</v>
      </c>
      <c r="C853" s="276" t="s">
        <v>249</v>
      </c>
      <c r="D853" s="276" t="s">
        <v>78</v>
      </c>
      <c r="E853" s="286" t="s">
        <v>74</v>
      </c>
      <c r="I853" s="347">
        <f ca="1">VLOOKUP($D853,INDIRECT($B853),COLUMN()-1,FALSE)</f>
        <v>96.044181517085306</v>
      </c>
      <c r="K853" s="537">
        <f ca="1">VLOOKUP($D853,INDIRECT($B853),COLUMN()-1,FALSE)-K622</f>
        <v>98.57633261772753</v>
      </c>
      <c r="L853" s="538">
        <f ca="1">VLOOKUP($D853,INDIRECT($B853),COLUMN()-1,FALSE)-L622</f>
        <v>101.32390615971616</v>
      </c>
      <c r="M853" s="538">
        <f ca="1">VLOOKUP($D853,INDIRECT($B853),COLUMN()-1,FALSE)-M622</f>
        <v>102.93256070195426</v>
      </c>
      <c r="N853" s="538">
        <f ca="1">VLOOKUP($D853,INDIRECT($B853),COLUMN()-1,FALSE)-N622</f>
        <v>100.7083044664881</v>
      </c>
      <c r="O853" s="538">
        <f ca="1">VLOOKUP($D853,INDIRECT($B853),COLUMN()-1,FALSE)-O622</f>
        <v>101.11291446038078</v>
      </c>
    </row>
    <row r="854" spans="2:15" ht="14.1" customHeight="1">
      <c r="C854" s="276" t="s">
        <v>252</v>
      </c>
      <c r="D854" s="276" t="s">
        <v>97</v>
      </c>
      <c r="E854" s="286" t="s">
        <v>74</v>
      </c>
      <c r="I854" s="347">
        <f>I20</f>
        <v>12.98621679740692</v>
      </c>
      <c r="K854" s="537">
        <f t="shared" ref="K854:O855" si="204">K20</f>
        <v>10.458663373944731</v>
      </c>
      <c r="L854" s="538">
        <f t="shared" si="204"/>
        <v>9.2206384200923885</v>
      </c>
      <c r="M854" s="538">
        <f t="shared" si="204"/>
        <v>8.7966878146498395</v>
      </c>
      <c r="N854" s="538">
        <f t="shared" si="204"/>
        <v>7.0780145616657197</v>
      </c>
      <c r="O854" s="538">
        <f t="shared" si="204"/>
        <v>5.3462616084032906</v>
      </c>
    </row>
    <row r="855" spans="2:15" ht="14.1" customHeight="1">
      <c r="C855" s="276" t="s">
        <v>251</v>
      </c>
      <c r="D855" s="276" t="s">
        <v>98</v>
      </c>
      <c r="E855" s="286" t="s">
        <v>74</v>
      </c>
      <c r="I855" s="347">
        <f>I21</f>
        <v>0</v>
      </c>
      <c r="K855" s="537">
        <f t="shared" si="204"/>
        <v>1.0771538540932137</v>
      </c>
      <c r="L855" s="538">
        <f t="shared" si="204"/>
        <v>2.4341750454482081</v>
      </c>
      <c r="M855" s="538">
        <f t="shared" si="204"/>
        <v>3.543586485153682</v>
      </c>
      <c r="N855" s="538">
        <f t="shared" si="204"/>
        <v>7.1392022125432195</v>
      </c>
      <c r="O855" s="538">
        <f t="shared" si="204"/>
        <v>10.831931083424301</v>
      </c>
    </row>
    <row r="856" spans="2:15" ht="14.1" customHeight="1">
      <c r="C856" s="276" t="s">
        <v>157</v>
      </c>
      <c r="D856" s="276" t="s">
        <v>156</v>
      </c>
      <c r="E856" s="286" t="s">
        <v>74</v>
      </c>
      <c r="I856" s="347">
        <f>I761</f>
        <v>19.400801224878901</v>
      </c>
      <c r="K856" s="537">
        <f>K761</f>
        <v>20.66706265899241</v>
      </c>
      <c r="L856" s="538">
        <f>L761</f>
        <v>20.66706265899241</v>
      </c>
      <c r="M856" s="538">
        <f>M761</f>
        <v>20.66706265899241</v>
      </c>
      <c r="N856" s="538">
        <f>N761</f>
        <v>20.66706265899241</v>
      </c>
      <c r="O856" s="538">
        <f>O761</f>
        <v>20.66706265899241</v>
      </c>
    </row>
    <row r="857" spans="2:15" ht="14.1" customHeight="1">
      <c r="B857" s="276" t="s">
        <v>224</v>
      </c>
      <c r="C857" s="276" t="s">
        <v>249</v>
      </c>
      <c r="D857" s="276" t="s">
        <v>78</v>
      </c>
      <c r="E857" s="286" t="s">
        <v>74</v>
      </c>
      <c r="I857" s="347">
        <f ca="1">VLOOKUP($D857,INDIRECT($B857),COLUMN()-1,FALSE)</f>
        <v>25.757002458954499</v>
      </c>
      <c r="K857" s="537">
        <f ca="1">VLOOKUP($D857,INDIRECT($B857),COLUMN()-1,FALSE)-K623</f>
        <v>26.746460138321201</v>
      </c>
      <c r="L857" s="538">
        <f ca="1">VLOOKUP($D857,INDIRECT($B857),COLUMN()-1,FALSE)-L623</f>
        <v>27.3228338159876</v>
      </c>
      <c r="M857" s="538">
        <f ca="1">VLOOKUP($D857,INDIRECT($B857),COLUMN()-1,FALSE)-M623</f>
        <v>27.8836560959429</v>
      </c>
      <c r="N857" s="538">
        <f ca="1">VLOOKUP($D857,INDIRECT($B857),COLUMN()-1,FALSE)-N623</f>
        <v>28.417263429903901</v>
      </c>
      <c r="O857" s="538">
        <f ca="1">VLOOKUP($D857,INDIRECT($B857),COLUMN()-1,FALSE)-O623</f>
        <v>28.925599742584399</v>
      </c>
    </row>
    <row r="858" spans="2:15" ht="14.1" customHeight="1">
      <c r="C858" s="276" t="s">
        <v>252</v>
      </c>
      <c r="D858" s="276" t="s">
        <v>97</v>
      </c>
      <c r="E858" s="286" t="s">
        <v>74</v>
      </c>
      <c r="I858" s="347">
        <f>I22</f>
        <v>0.7046727087827187</v>
      </c>
      <c r="K858" s="537">
        <f t="shared" ref="K858:O859" si="205">K22</f>
        <v>0.80186894447688639</v>
      </c>
      <c r="L858" s="538">
        <f t="shared" si="205"/>
        <v>0.80186894447688639</v>
      </c>
      <c r="M858" s="538">
        <f t="shared" si="205"/>
        <v>0.80186894447688639</v>
      </c>
      <c r="N858" s="538">
        <f t="shared" si="205"/>
        <v>0.80186894447688639</v>
      </c>
      <c r="O858" s="538">
        <f t="shared" si="205"/>
        <v>0.80186894447688639</v>
      </c>
    </row>
    <row r="859" spans="2:15" ht="14.1" customHeight="1">
      <c r="C859" s="276" t="s">
        <v>251</v>
      </c>
      <c r="D859" s="276" t="s">
        <v>98</v>
      </c>
      <c r="E859" s="286" t="s">
        <v>74</v>
      </c>
      <c r="I859" s="347">
        <f>I23</f>
        <v>0</v>
      </c>
      <c r="K859" s="537">
        <f t="shared" si="205"/>
        <v>0.48471688999645701</v>
      </c>
      <c r="L859" s="538">
        <f t="shared" si="205"/>
        <v>0.46138910120443699</v>
      </c>
      <c r="M859" s="538">
        <f t="shared" si="205"/>
        <v>0.58562784967460602</v>
      </c>
      <c r="N859" s="538">
        <f t="shared" si="205"/>
        <v>0.56803855392144997</v>
      </c>
      <c r="O859" s="538">
        <f t="shared" si="205"/>
        <v>0.52372990528111496</v>
      </c>
    </row>
    <row r="860" spans="2:15" ht="14.1" customHeight="1">
      <c r="C860" s="276" t="s">
        <v>157</v>
      </c>
      <c r="D860" s="276" t="s">
        <v>156</v>
      </c>
      <c r="E860" s="286" t="s">
        <v>74</v>
      </c>
      <c r="I860" s="347">
        <f>I767</f>
        <v>0.43850276063668803</v>
      </c>
      <c r="K860" s="537">
        <f>K767</f>
        <v>1.4811451683709884</v>
      </c>
      <c r="L860" s="538">
        <f>L767</f>
        <v>2.0847329927883615</v>
      </c>
      <c r="M860" s="538">
        <f>M767</f>
        <v>2.7301151432120898</v>
      </c>
      <c r="N860" s="538">
        <f>N767</f>
        <v>3.4163196585722595</v>
      </c>
      <c r="O860" s="538">
        <f>O767</f>
        <v>4.1423745777989547</v>
      </c>
    </row>
    <row r="861" spans="2:15" ht="14.1" customHeight="1">
      <c r="B861" s="276" t="s">
        <v>225</v>
      </c>
      <c r="C861" s="276" t="s">
        <v>249</v>
      </c>
      <c r="D861" s="276" t="s">
        <v>78</v>
      </c>
      <c r="E861" s="286" t="s">
        <v>74</v>
      </c>
      <c r="I861" s="347">
        <f ca="1">VLOOKUP($D861,INDIRECT($B861),COLUMN()-1,FALSE)</f>
        <v>47.366505005957698</v>
      </c>
      <c r="K861" s="537">
        <f ca="1">VLOOKUP($D861,INDIRECT($B861),COLUMN()-1,FALSE)-K624</f>
        <v>47.542428198049599</v>
      </c>
      <c r="L861" s="538">
        <f ca="1">VLOOKUP($D861,INDIRECT($B861),COLUMN()-1,FALSE)-L624</f>
        <v>47.929086667268599</v>
      </c>
      <c r="M861" s="538">
        <f ca="1">VLOOKUP($D861,INDIRECT($B861),COLUMN()-1,FALSE)-M624</f>
        <v>48.470486532367502</v>
      </c>
      <c r="N861" s="538">
        <f ca="1">VLOOKUP($D861,INDIRECT($B861),COLUMN()-1,FALSE)-N624</f>
        <v>49.092938217841102</v>
      </c>
      <c r="O861" s="538">
        <f ca="1">VLOOKUP($D861,INDIRECT($B861),COLUMN()-1,FALSE)-O624</f>
        <v>49.732786361599501</v>
      </c>
    </row>
    <row r="862" spans="2:15" ht="14.1" customHeight="1">
      <c r="C862" s="276" t="s">
        <v>252</v>
      </c>
      <c r="D862" s="276" t="s">
        <v>97</v>
      </c>
      <c r="E862" s="286" t="s">
        <v>74</v>
      </c>
      <c r="I862" s="347">
        <f>I24</f>
        <v>5.6357767745546798</v>
      </c>
      <c r="K862" s="537">
        <f t="shared" ref="K862:O863" si="206">K24</f>
        <v>4.6802277339418401</v>
      </c>
      <c r="L862" s="538">
        <f t="shared" si="206"/>
        <v>4.2547540450388297</v>
      </c>
      <c r="M862" s="538">
        <f t="shared" si="206"/>
        <v>3.5833639750016002</v>
      </c>
      <c r="N862" s="538">
        <f t="shared" si="206"/>
        <v>1.7689514606562802</v>
      </c>
      <c r="O862" s="538">
        <f t="shared" si="206"/>
        <v>1.7242527380335599</v>
      </c>
    </row>
    <row r="863" spans="2:15" ht="14.1" customHeight="1">
      <c r="C863" s="276" t="s">
        <v>251</v>
      </c>
      <c r="D863" s="276" t="s">
        <v>98</v>
      </c>
      <c r="E863" s="286" t="s">
        <v>74</v>
      </c>
      <c r="I863" s="347">
        <f>I25</f>
        <v>0</v>
      </c>
      <c r="K863" s="537">
        <f t="shared" si="206"/>
        <v>6.86052144027961E-2</v>
      </c>
      <c r="L863" s="538">
        <f t="shared" si="206"/>
        <v>0.21359065401496499</v>
      </c>
      <c r="M863" s="538">
        <f t="shared" si="206"/>
        <v>0.37186765972028302</v>
      </c>
      <c r="N863" s="538">
        <f t="shared" si="206"/>
        <v>0.53151454828199696</v>
      </c>
      <c r="O863" s="538">
        <f t="shared" si="206"/>
        <v>0.68538571453025399</v>
      </c>
    </row>
    <row r="864" spans="2:15" ht="14.1" customHeight="1">
      <c r="C864" s="276" t="s">
        <v>157</v>
      </c>
      <c r="D864" s="276" t="s">
        <v>156</v>
      </c>
      <c r="E864" s="286" t="s">
        <v>74</v>
      </c>
      <c r="I864" s="347">
        <f>I773</f>
        <v>0.95099999999999996</v>
      </c>
      <c r="K864" s="537">
        <f>K773</f>
        <v>2.7108088620120232</v>
      </c>
      <c r="L864" s="538">
        <f>L773</f>
        <v>3.6205644234527008</v>
      </c>
      <c r="M864" s="538">
        <f>M773</f>
        <v>4.5711423498298194</v>
      </c>
      <c r="N864" s="538">
        <f>N773</f>
        <v>5.5664304854230409</v>
      </c>
      <c r="O864" s="538">
        <f>O773</f>
        <v>6.6044849080925321</v>
      </c>
    </row>
    <row r="865" spans="2:15" ht="14.1" customHeight="1">
      <c r="B865" s="276" t="s">
        <v>226</v>
      </c>
      <c r="C865" s="276" t="s">
        <v>249</v>
      </c>
      <c r="D865" s="276" t="s">
        <v>78</v>
      </c>
      <c r="E865" s="286" t="s">
        <v>74</v>
      </c>
      <c r="I865" s="347">
        <f ca="1">VLOOKUP($D865,INDIRECT($B865),COLUMN()-1,FALSE)</f>
        <v>25.726041713578699</v>
      </c>
      <c r="K865" s="537">
        <f ca="1">VLOOKUP($D865,INDIRECT($B865),COLUMN()-1,FALSE)-K625</f>
        <v>25.682501961205801</v>
      </c>
      <c r="L865" s="538">
        <f ca="1">VLOOKUP($D865,INDIRECT($B865),COLUMN()-1,FALSE)-L625</f>
        <v>25.605795416325101</v>
      </c>
      <c r="M865" s="538">
        <f ca="1">VLOOKUP($D865,INDIRECT($B865),COLUMN()-1,FALSE)-M625</f>
        <v>25.520940419992701</v>
      </c>
      <c r="N865" s="538">
        <f ca="1">VLOOKUP($D865,INDIRECT($B865),COLUMN()-1,FALSE)-N625</f>
        <v>25.383547316923998</v>
      </c>
      <c r="O865" s="538">
        <f ca="1">VLOOKUP($D865,INDIRECT($B865),COLUMN()-1,FALSE)-O625</f>
        <v>25.2788321977138</v>
      </c>
    </row>
    <row r="866" spans="2:15" ht="14.1" customHeight="1">
      <c r="C866" s="276" t="s">
        <v>252</v>
      </c>
      <c r="D866" s="276" t="s">
        <v>97</v>
      </c>
      <c r="E866" s="286" t="s">
        <v>74</v>
      </c>
      <c r="I866" s="347">
        <f>I26</f>
        <v>0.84294746377094099</v>
      </c>
      <c r="K866" s="537">
        <f t="shared" ref="K866:O867" si="207">K26</f>
        <v>1.7305229332185399</v>
      </c>
      <c r="L866" s="538">
        <f t="shared" si="207"/>
        <v>1.6754468631596799</v>
      </c>
      <c r="M866" s="538">
        <f t="shared" si="207"/>
        <v>1.6301293109941299</v>
      </c>
      <c r="N866" s="538">
        <f t="shared" si="207"/>
        <v>1.1896396162524701</v>
      </c>
      <c r="O866" s="538">
        <f t="shared" si="207"/>
        <v>0.16888299719754199</v>
      </c>
    </row>
    <row r="867" spans="2:15" ht="14.1" customHeight="1">
      <c r="C867" s="276" t="s">
        <v>251</v>
      </c>
      <c r="D867" s="276" t="s">
        <v>98</v>
      </c>
      <c r="E867" s="286" t="s">
        <v>74</v>
      </c>
      <c r="I867" s="347">
        <f>I27</f>
        <v>0</v>
      </c>
      <c r="K867" s="537">
        <f t="shared" si="207"/>
        <v>0.22800000000000001</v>
      </c>
      <c r="L867" s="538">
        <f t="shared" si="207"/>
        <v>0.45</v>
      </c>
      <c r="M867" s="538">
        <f t="shared" si="207"/>
        <v>0.66600000000000004</v>
      </c>
      <c r="N867" s="538">
        <f t="shared" si="207"/>
        <v>0.876</v>
      </c>
      <c r="O867" s="538">
        <f t="shared" si="207"/>
        <v>1.081</v>
      </c>
    </row>
    <row r="868" spans="2:15" ht="14.1" customHeight="1">
      <c r="C868" s="276" t="s">
        <v>157</v>
      </c>
      <c r="D868" s="276" t="s">
        <v>156</v>
      </c>
      <c r="E868" s="286" t="s">
        <v>74</v>
      </c>
      <c r="I868" s="347">
        <f>I779</f>
        <v>0.13566</v>
      </c>
      <c r="K868" s="537">
        <f>K779</f>
        <v>0.11665052756737383</v>
      </c>
      <c r="L868" s="538">
        <f>L779</f>
        <v>0.11665052756737383</v>
      </c>
      <c r="M868" s="538">
        <f>M779</f>
        <v>0.11665052756737383</v>
      </c>
      <c r="N868" s="538">
        <f>N779</f>
        <v>0.11665052756737383</v>
      </c>
      <c r="O868" s="538">
        <f>O779</f>
        <v>0.11665052756737383</v>
      </c>
    </row>
    <row r="869" spans="2:15" ht="14.1" customHeight="1">
      <c r="B869" s="276" t="s">
        <v>227</v>
      </c>
      <c r="C869" s="276" t="s">
        <v>249</v>
      </c>
      <c r="D869" s="276" t="s">
        <v>78</v>
      </c>
      <c r="E869" s="286" t="s">
        <v>74</v>
      </c>
      <c r="I869" s="347">
        <f ca="1">VLOOKUP($D869,INDIRECT($B869),COLUMN()-1,FALSE)</f>
        <v>8.3352069717081392</v>
      </c>
      <c r="K869" s="537">
        <f ca="1">VLOOKUP($D869,INDIRECT($B869),COLUMN()-1,FALSE)-K626</f>
        <v>8.6953489147138292</v>
      </c>
      <c r="L869" s="538">
        <f ca="1">VLOOKUP($D869,INDIRECT($B869),COLUMN()-1,FALSE)-L626</f>
        <v>8.89124314668633</v>
      </c>
      <c r="M869" s="538">
        <f ca="1">VLOOKUP($D869,INDIRECT($B869),COLUMN()-1,FALSE)-M626</f>
        <v>9.0769720854024492</v>
      </c>
      <c r="N869" s="538">
        <f ca="1">VLOOKUP($D869,INDIRECT($B869),COLUMN()-1,FALSE)-N626</f>
        <v>9.2535233828427792</v>
      </c>
      <c r="O869" s="538">
        <f ca="1">VLOOKUP($D869,INDIRECT($B869),COLUMN()-1,FALSE)-O626</f>
        <v>9.4209357314604407</v>
      </c>
    </row>
    <row r="870" spans="2:15" ht="14.1" customHeight="1">
      <c r="C870" s="276" t="s">
        <v>252</v>
      </c>
      <c r="D870" s="276" t="s">
        <v>97</v>
      </c>
      <c r="E870" s="286" t="s">
        <v>74</v>
      </c>
      <c r="I870" s="347">
        <f>I28</f>
        <v>0.54740121471888303</v>
      </c>
      <c r="K870" s="537">
        <f t="shared" ref="K870:O871" si="208">K28</f>
        <v>0.64104512219362297</v>
      </c>
      <c r="L870" s="538">
        <f t="shared" si="208"/>
        <v>0.58955967440942303</v>
      </c>
      <c r="M870" s="538">
        <f t="shared" si="208"/>
        <v>0.46069831014932994</v>
      </c>
      <c r="N870" s="538">
        <f t="shared" si="208"/>
        <v>0.29869711420328904</v>
      </c>
      <c r="O870" s="538">
        <f t="shared" si="208"/>
        <v>0.14213225374133601</v>
      </c>
    </row>
    <row r="871" spans="2:15" ht="14.1" customHeight="1">
      <c r="C871" s="276" t="s">
        <v>251</v>
      </c>
      <c r="D871" s="276" t="s">
        <v>98</v>
      </c>
      <c r="E871" s="286" t="s">
        <v>74</v>
      </c>
      <c r="I871" s="347">
        <f>I29</f>
        <v>0</v>
      </c>
      <c r="K871" s="537">
        <f t="shared" si="208"/>
        <v>9.5600645428745995E-2</v>
      </c>
      <c r="L871" s="538">
        <f t="shared" si="208"/>
        <v>0.29231822374269001</v>
      </c>
      <c r="M871" s="538">
        <f t="shared" si="208"/>
        <v>0.49640739054843097</v>
      </c>
      <c r="N871" s="538">
        <f t="shared" si="208"/>
        <v>0.70755726879124703</v>
      </c>
      <c r="O871" s="538">
        <f t="shared" si="208"/>
        <v>0.92609744938700311</v>
      </c>
    </row>
    <row r="872" spans="2:15" ht="14.1" customHeight="1">
      <c r="C872" s="276" t="s">
        <v>157</v>
      </c>
      <c r="D872" s="276" t="s">
        <v>156</v>
      </c>
      <c r="E872" s="286" t="s">
        <v>74</v>
      </c>
      <c r="I872" s="347">
        <f>I785</f>
        <v>0.95099999999999996</v>
      </c>
      <c r="K872" s="537">
        <f>K785</f>
        <v>0.62827546133535106</v>
      </c>
      <c r="L872" s="538">
        <f>L785</f>
        <v>0.81502220665825997</v>
      </c>
      <c r="M872" s="538">
        <f>M785</f>
        <v>1.0158234119497502</v>
      </c>
      <c r="N872" s="538">
        <f>N785</f>
        <v>1.2305586937934683</v>
      </c>
      <c r="O872" s="538">
        <f>O785</f>
        <v>1.4590090447323285</v>
      </c>
    </row>
    <row r="873" spans="2:15" ht="14.1" customHeight="1">
      <c r="B873" s="276" t="s">
        <v>228</v>
      </c>
      <c r="C873" s="276" t="s">
        <v>249</v>
      </c>
      <c r="D873" s="276" t="s">
        <v>78</v>
      </c>
      <c r="E873" s="286" t="s">
        <v>74</v>
      </c>
      <c r="I873" s="347">
        <f ca="1">VLOOKUP($D873,INDIRECT($B873),COLUMN()-1,FALSE)</f>
        <v>2.5059999999999998</v>
      </c>
      <c r="K873" s="537">
        <f ca="1">VLOOKUP($D873,INDIRECT($B873),COLUMN()-1,FALSE)-K627</f>
        <v>2.5740000000000003</v>
      </c>
      <c r="L873" s="538">
        <f ca="1">VLOOKUP($D873,INDIRECT($B873),COLUMN()-1,FALSE)-L627</f>
        <v>2.5730000000000004</v>
      </c>
      <c r="M873" s="538">
        <f ca="1">VLOOKUP($D873,INDIRECT($B873),COLUMN()-1,FALSE)-M627</f>
        <v>2.6040000000000001</v>
      </c>
      <c r="N873" s="538">
        <f ca="1">VLOOKUP($D873,INDIRECT($B873),COLUMN()-1,FALSE)-N627</f>
        <v>2.6080000000000001</v>
      </c>
      <c r="O873" s="538">
        <f ca="1">VLOOKUP($D873,INDIRECT($B873),COLUMN()-1,FALSE)-O627</f>
        <v>2.6140000000000003</v>
      </c>
    </row>
    <row r="874" spans="2:15" ht="14.1" customHeight="1">
      <c r="C874" s="276" t="s">
        <v>252</v>
      </c>
      <c r="D874" s="276" t="s">
        <v>97</v>
      </c>
      <c r="E874" s="286" t="s">
        <v>74</v>
      </c>
      <c r="I874" s="347">
        <f>I30</f>
        <v>4.8000000000000001E-2</v>
      </c>
      <c r="K874" s="537">
        <f t="shared" ref="K874:O875" si="209">K30</f>
        <v>4.8000000000000001E-2</v>
      </c>
      <c r="L874" s="538">
        <f t="shared" si="209"/>
        <v>4.8000000000000001E-2</v>
      </c>
      <c r="M874" s="538">
        <f t="shared" si="209"/>
        <v>4.8000000000000001E-2</v>
      </c>
      <c r="N874" s="538">
        <f t="shared" si="209"/>
        <v>4.8000000000000001E-2</v>
      </c>
      <c r="O874" s="538">
        <f t="shared" si="209"/>
        <v>4.8000000000000001E-2</v>
      </c>
    </row>
    <row r="875" spans="2:15" ht="14.1" customHeight="1">
      <c r="C875" s="276" t="s">
        <v>251</v>
      </c>
      <c r="D875" s="276" t="s">
        <v>98</v>
      </c>
      <c r="E875" s="286" t="s">
        <v>74</v>
      </c>
      <c r="I875" s="347">
        <f>I31</f>
        <v>0</v>
      </c>
      <c r="K875" s="537">
        <f t="shared" si="209"/>
        <v>3.4000000000000002E-2</v>
      </c>
      <c r="L875" s="538">
        <f t="shared" si="209"/>
        <v>6.4000000000000001E-2</v>
      </c>
      <c r="M875" s="538">
        <f t="shared" si="209"/>
        <v>8.3000000000000004E-2</v>
      </c>
      <c r="N875" s="538">
        <f t="shared" si="209"/>
        <v>9.6000000000000002E-2</v>
      </c>
      <c r="O875" s="538">
        <f t="shared" si="209"/>
        <v>0.11</v>
      </c>
    </row>
    <row r="876" spans="2:15" ht="14.1" customHeight="1">
      <c r="C876" s="276" t="s">
        <v>157</v>
      </c>
      <c r="D876" s="276" t="s">
        <v>156</v>
      </c>
      <c r="E876" s="286" t="s">
        <v>74</v>
      </c>
      <c r="I876" s="347">
        <f>I791</f>
        <v>0.04</v>
      </c>
      <c r="K876" s="537">
        <f>K791</f>
        <v>3.7356398550166127E-2</v>
      </c>
      <c r="L876" s="538">
        <f>L791</f>
        <v>3.7356398550166127E-2</v>
      </c>
      <c r="M876" s="538">
        <f>M791</f>
        <v>3.7356398550166127E-2</v>
      </c>
      <c r="N876" s="538">
        <f>N791</f>
        <v>3.7356398550166127E-2</v>
      </c>
      <c r="O876" s="538">
        <f>O791</f>
        <v>3.7356398550166127E-2</v>
      </c>
    </row>
    <row r="877" spans="2:15" ht="14.1" customHeight="1">
      <c r="B877" s="276" t="s">
        <v>229</v>
      </c>
      <c r="C877" s="276" t="s">
        <v>249</v>
      </c>
      <c r="D877" s="276" t="s">
        <v>78</v>
      </c>
      <c r="E877" s="286" t="s">
        <v>74</v>
      </c>
      <c r="I877" s="347">
        <f ca="1">VLOOKUP($D877,INDIRECT($B877),COLUMN()-1,FALSE)</f>
        <v>3.9390000000000001</v>
      </c>
      <c r="K877" s="537">
        <f ca="1">VLOOKUP($D877,INDIRECT($B877),COLUMN()-1,FALSE)-K628</f>
        <v>4.0469999999999997</v>
      </c>
      <c r="L877" s="538">
        <f ca="1">VLOOKUP($D877,INDIRECT($B877),COLUMN()-1,FALSE)-L628</f>
        <v>4.0780000000000003</v>
      </c>
      <c r="M877" s="538">
        <f ca="1">VLOOKUP($D877,INDIRECT($B877),COLUMN()-1,FALSE)-M628</f>
        <v>4.109</v>
      </c>
      <c r="N877" s="538">
        <f ca="1">VLOOKUP($D877,INDIRECT($B877),COLUMN()-1,FALSE)-N628</f>
        <v>4.1429999999999998</v>
      </c>
      <c r="O877" s="538">
        <f ca="1">VLOOKUP($D877,INDIRECT($B877),COLUMN()-1,FALSE)-O628</f>
        <v>4.1760000000000002</v>
      </c>
    </row>
    <row r="878" spans="2:15" ht="14.1" customHeight="1">
      <c r="C878" s="276" t="s">
        <v>252</v>
      </c>
      <c r="D878" s="276" t="s">
        <v>97</v>
      </c>
      <c r="E878" s="286" t="s">
        <v>74</v>
      </c>
      <c r="I878" s="347">
        <f>I32</f>
        <v>0.19600000000000001</v>
      </c>
      <c r="K878" s="537">
        <f t="shared" ref="K878:O879" si="210">K32</f>
        <v>0.17899999999999999</v>
      </c>
      <c r="L878" s="538">
        <f t="shared" si="210"/>
        <v>0.17099999999999999</v>
      </c>
      <c r="M878" s="538">
        <f t="shared" si="210"/>
        <v>0.13100000000000001</v>
      </c>
      <c r="N878" s="538">
        <f t="shared" si="210"/>
        <v>0.107</v>
      </c>
      <c r="O878" s="538">
        <f t="shared" si="210"/>
        <v>9.1999999999999998E-2</v>
      </c>
    </row>
    <row r="879" spans="2:15" ht="14.1" customHeight="1">
      <c r="C879" s="276" t="s">
        <v>251</v>
      </c>
      <c r="D879" s="276" t="s">
        <v>98</v>
      </c>
      <c r="E879" s="286" t="s">
        <v>74</v>
      </c>
      <c r="I879" s="347">
        <f>I33</f>
        <v>0</v>
      </c>
      <c r="K879" s="537">
        <f t="shared" si="210"/>
        <v>1.2E-2</v>
      </c>
      <c r="L879" s="538">
        <f t="shared" si="210"/>
        <v>2.4E-2</v>
      </c>
      <c r="M879" s="538">
        <f t="shared" si="210"/>
        <v>3.6000000000000004E-2</v>
      </c>
      <c r="N879" s="538">
        <f t="shared" si="210"/>
        <v>4.9000000000000002E-2</v>
      </c>
      <c r="O879" s="538">
        <f t="shared" si="210"/>
        <v>6.0999999999999999E-2</v>
      </c>
    </row>
    <row r="880" spans="2:15" ht="14.1" customHeight="1">
      <c r="C880" s="276" t="s">
        <v>157</v>
      </c>
      <c r="D880" s="276" t="s">
        <v>156</v>
      </c>
      <c r="E880" s="286" t="s">
        <v>74</v>
      </c>
      <c r="I880" s="347">
        <f>I797</f>
        <v>0</v>
      </c>
      <c r="K880" s="537">
        <f>K797</f>
        <v>5.9289625264830503E-2</v>
      </c>
      <c r="L880" s="538">
        <f>L797</f>
        <v>8.9420418432203386E-2</v>
      </c>
      <c r="M880" s="538">
        <f>M797</f>
        <v>0.11955121159957627</v>
      </c>
      <c r="N880" s="538">
        <f>N797</f>
        <v>0.15065396583686441</v>
      </c>
      <c r="O880" s="538">
        <f>O797</f>
        <v>0.18175672007415253</v>
      </c>
    </row>
    <row r="881" spans="2:15" ht="14.1" customHeight="1">
      <c r="B881" s="276" t="s">
        <v>230</v>
      </c>
      <c r="C881" s="276" t="s">
        <v>249</v>
      </c>
      <c r="D881" s="276" t="s">
        <v>78</v>
      </c>
      <c r="E881" s="286" t="s">
        <v>74</v>
      </c>
      <c r="I881" s="347">
        <f ca="1">VLOOKUP($D881,INDIRECT($B881),COLUMN()-1,FALSE)</f>
        <v>4.0510000000000002</v>
      </c>
      <c r="K881" s="537">
        <f ca="1">VLOOKUP($D881,INDIRECT($B881),COLUMN()-1,FALSE)-K629</f>
        <v>4.194</v>
      </c>
      <c r="L881" s="538">
        <f ca="1">VLOOKUP($D881,INDIRECT($B881),COLUMN()-1,FALSE)-L629</f>
        <v>4.2620000000000005</v>
      </c>
      <c r="M881" s="538">
        <f ca="1">VLOOKUP($D881,INDIRECT($B881),COLUMN()-1,FALSE)-M629</f>
        <v>4.33</v>
      </c>
      <c r="N881" s="538">
        <f ca="1">VLOOKUP($D881,INDIRECT($B881),COLUMN()-1,FALSE)-N629</f>
        <v>4.3929999999999998</v>
      </c>
      <c r="O881" s="538">
        <f ca="1">VLOOKUP($D881,INDIRECT($B881),COLUMN()-1,FALSE)-O629</f>
        <v>4.4530000000000003</v>
      </c>
    </row>
    <row r="882" spans="2:15" ht="14.1" customHeight="1">
      <c r="C882" s="276" t="s">
        <v>252</v>
      </c>
      <c r="D882" s="276" t="s">
        <v>97</v>
      </c>
      <c r="E882" s="286" t="s">
        <v>74</v>
      </c>
      <c r="I882" s="347">
        <f>I34</f>
        <v>0.32100000000000001</v>
      </c>
      <c r="K882" s="537">
        <f t="shared" ref="K882:O883" si="211">K34</f>
        <v>0.48699999999999999</v>
      </c>
      <c r="L882" s="538">
        <f t="shared" si="211"/>
        <v>0.47499999999999998</v>
      </c>
      <c r="M882" s="538">
        <f t="shared" si="211"/>
        <v>0.40400000000000003</v>
      </c>
      <c r="N882" s="538">
        <f t="shared" si="211"/>
        <v>0.30599999999999999</v>
      </c>
      <c r="O882" s="538">
        <f t="shared" si="211"/>
        <v>0.21299999999999999</v>
      </c>
    </row>
    <row r="883" spans="2:15" ht="14.1" customHeight="1">
      <c r="C883" s="276" t="s">
        <v>251</v>
      </c>
      <c r="D883" s="276" t="s">
        <v>98</v>
      </c>
      <c r="E883" s="286" t="s">
        <v>74</v>
      </c>
      <c r="I883" s="347">
        <f>I35</f>
        <v>0</v>
      </c>
      <c r="K883" s="537">
        <f t="shared" si="211"/>
        <v>5.5E-2</v>
      </c>
      <c r="L883" s="538">
        <f t="shared" si="211"/>
        <v>0.112</v>
      </c>
      <c r="M883" s="538">
        <f t="shared" si="211"/>
        <v>0.17499999999999999</v>
      </c>
      <c r="N883" s="538">
        <f t="shared" si="211"/>
        <v>0.23799999999999999</v>
      </c>
      <c r="O883" s="538">
        <f t="shared" si="211"/>
        <v>0.23500000000000001</v>
      </c>
    </row>
    <row r="884" spans="2:15" ht="14.1" customHeight="1">
      <c r="C884" s="276" t="s">
        <v>157</v>
      </c>
      <c r="D884" s="276" t="s">
        <v>156</v>
      </c>
      <c r="E884" s="286" t="s">
        <v>74</v>
      </c>
      <c r="I884" s="347">
        <f>I803</f>
        <v>0.14099999999999999</v>
      </c>
      <c r="K884" s="537">
        <f>K803</f>
        <v>7.9898744193178897E-2</v>
      </c>
      <c r="L884" s="538">
        <f>L803</f>
        <v>7.9898744193178897E-2</v>
      </c>
      <c r="M884" s="538">
        <f>M803</f>
        <v>7.9898744193178897E-2</v>
      </c>
      <c r="N884" s="538">
        <f>N803</f>
        <v>7.9898744193178897E-2</v>
      </c>
      <c r="O884" s="538">
        <f>O803</f>
        <v>7.9898744193178897E-2</v>
      </c>
    </row>
    <row r="885" spans="2:15" ht="14.1" customHeight="1">
      <c r="B885" s="276" t="s">
        <v>231</v>
      </c>
      <c r="C885" s="276" t="s">
        <v>249</v>
      </c>
      <c r="D885" s="276" t="s">
        <v>78</v>
      </c>
      <c r="E885" s="286" t="s">
        <v>74</v>
      </c>
      <c r="I885" s="347">
        <f ca="1">VLOOKUP($D885,INDIRECT($B885),COLUMN()-1,FALSE)</f>
        <v>18.156073774429</v>
      </c>
      <c r="K885" s="537">
        <f ca="1">VLOOKUP($D885,INDIRECT($B885),COLUMN()-1,FALSE)-K630</f>
        <v>17.654438681453399</v>
      </c>
      <c r="L885" s="538">
        <f ca="1">VLOOKUP($D885,INDIRECT($B885),COLUMN()-1,FALSE)-L630</f>
        <v>18.118219651960199</v>
      </c>
      <c r="M885" s="538">
        <f ca="1">VLOOKUP($D885,INDIRECT($B885),COLUMN()-1,FALSE)-M630</f>
        <v>18.582875139426299</v>
      </c>
      <c r="N885" s="538">
        <f ca="1">VLOOKUP($D885,INDIRECT($B885),COLUMN()-1,FALSE)-N630</f>
        <v>19.029397152657001</v>
      </c>
      <c r="O885" s="538">
        <f ca="1">VLOOKUP($D885,INDIRECT($B885),COLUMN()-1,FALSE)-O630</f>
        <v>19.4714279377629</v>
      </c>
    </row>
    <row r="886" spans="2:15" ht="14.1" customHeight="1">
      <c r="C886" s="276" t="s">
        <v>252</v>
      </c>
      <c r="D886" s="276" t="s">
        <v>97</v>
      </c>
      <c r="E886" s="286" t="s">
        <v>74</v>
      </c>
      <c r="I886" s="347">
        <f>I36</f>
        <v>1.4307266949152539</v>
      </c>
      <c r="K886" s="537">
        <f t="shared" ref="K886:O887" si="212">K36</f>
        <v>1.4787598248128699</v>
      </c>
      <c r="L886" s="538">
        <f t="shared" si="212"/>
        <v>1.3009226195572561</v>
      </c>
      <c r="M886" s="538">
        <f t="shared" si="212"/>
        <v>0.72516422936402003</v>
      </c>
      <c r="N886" s="538">
        <f t="shared" si="212"/>
        <v>0.39699656679548001</v>
      </c>
      <c r="O886" s="538">
        <f t="shared" si="212"/>
        <v>0.25126823189967201</v>
      </c>
    </row>
    <row r="887" spans="2:15" ht="14.1" customHeight="1">
      <c r="C887" s="276" t="s">
        <v>251</v>
      </c>
      <c r="D887" s="276" t="s">
        <v>98</v>
      </c>
      <c r="E887" s="286" t="s">
        <v>74</v>
      </c>
      <c r="I887" s="347">
        <f>I37</f>
        <v>0</v>
      </c>
      <c r="K887" s="537">
        <f t="shared" si="212"/>
        <v>0.1000388866249205</v>
      </c>
      <c r="L887" s="538">
        <f t="shared" si="212"/>
        <v>0.36473472829814702</v>
      </c>
      <c r="M887" s="538">
        <f t="shared" si="212"/>
        <v>0.63728497469505396</v>
      </c>
      <c r="N887" s="538">
        <f t="shared" si="212"/>
        <v>0.83914530030431</v>
      </c>
      <c r="O887" s="538">
        <f t="shared" si="212"/>
        <v>1.05418669333882</v>
      </c>
    </row>
    <row r="888" spans="2:15" ht="14.1" customHeight="1">
      <c r="C888" s="276" t="s">
        <v>157</v>
      </c>
      <c r="D888" s="276" t="s">
        <v>156</v>
      </c>
      <c r="E888" s="286" t="s">
        <v>74</v>
      </c>
      <c r="I888" s="347">
        <f>I809</f>
        <v>0.64600000000000002</v>
      </c>
      <c r="K888" s="537">
        <f>K809</f>
        <v>0.5981496564423604</v>
      </c>
      <c r="L888" s="538">
        <f>L809</f>
        <v>0.5981496564423604</v>
      </c>
      <c r="M888" s="538">
        <f>M809</f>
        <v>0.5981496564423604</v>
      </c>
      <c r="N888" s="538">
        <f>N809</f>
        <v>0.5981496564423604</v>
      </c>
      <c r="O888" s="538">
        <f>O809</f>
        <v>0.5981496564423604</v>
      </c>
    </row>
    <row r="889" spans="2:15" ht="14.1" customHeight="1">
      <c r="B889" s="276" t="s">
        <v>232</v>
      </c>
      <c r="C889" s="276" t="s">
        <v>249</v>
      </c>
      <c r="D889" s="276" t="s">
        <v>78</v>
      </c>
      <c r="E889" s="286" t="s">
        <v>74</v>
      </c>
      <c r="I889" s="347">
        <f ca="1">VLOOKUP($D889,INDIRECT($B889),COLUMN()-1,FALSE)</f>
        <v>13.33819300188828</v>
      </c>
      <c r="K889" s="537">
        <f ca="1">VLOOKUP($D889,INDIRECT($B889),COLUMN()-1,FALSE)-K631</f>
        <v>13.60124278370353</v>
      </c>
      <c r="L889" s="538">
        <f ca="1">VLOOKUP($D889,INDIRECT($B889),COLUMN()-1,FALSE)-L631</f>
        <v>13.735241310375237</v>
      </c>
      <c r="M889" s="538">
        <f ca="1">VLOOKUP($D889,INDIRECT($B889),COLUMN()-1,FALSE)-M631</f>
        <v>13.871586401869475</v>
      </c>
      <c r="N889" s="538">
        <f ca="1">VLOOKUP($D889,INDIRECT($B889),COLUMN()-1,FALSE)-N631</f>
        <v>14.009378580371443</v>
      </c>
      <c r="O889" s="538">
        <f ca="1">VLOOKUP($D889,INDIRECT($B889),COLUMN()-1,FALSE)-O631</f>
        <v>14.148131053182942</v>
      </c>
    </row>
    <row r="890" spans="2:15" ht="14.1" customHeight="1">
      <c r="C890" s="276" t="s">
        <v>252</v>
      </c>
      <c r="D890" s="276" t="s">
        <v>97</v>
      </c>
      <c r="E890" s="286" t="s">
        <v>74</v>
      </c>
      <c r="I890" s="347">
        <f>I38</f>
        <v>1.7001286959343478</v>
      </c>
      <c r="K890" s="537">
        <f t="shared" ref="K890:O891" si="213">K38</f>
        <v>2.376568820234128</v>
      </c>
      <c r="L890" s="538">
        <f t="shared" si="213"/>
        <v>2.1065484331065738</v>
      </c>
      <c r="M890" s="538">
        <f t="shared" si="213"/>
        <v>1.6030268400139469</v>
      </c>
      <c r="N890" s="538">
        <f t="shared" si="213"/>
        <v>0.78935398646813304</v>
      </c>
      <c r="O890" s="538">
        <f t="shared" si="213"/>
        <v>0.26332200774655901</v>
      </c>
    </row>
    <row r="891" spans="2:15" ht="14.1" customHeight="1">
      <c r="C891" s="276" t="s">
        <v>251</v>
      </c>
      <c r="D891" s="276" t="s">
        <v>98</v>
      </c>
      <c r="E891" s="286" t="s">
        <v>74</v>
      </c>
      <c r="I891" s="347">
        <f>I39</f>
        <v>0</v>
      </c>
      <c r="K891" s="537">
        <f t="shared" si="213"/>
        <v>0.20924913779915999</v>
      </c>
      <c r="L891" s="538">
        <f t="shared" si="213"/>
        <v>0.41252552193052794</v>
      </c>
      <c r="M891" s="538">
        <f t="shared" si="213"/>
        <v>0.62595563390783493</v>
      </c>
      <c r="N891" s="538">
        <f t="shared" si="213"/>
        <v>0.81967952271444999</v>
      </c>
      <c r="O891" s="538">
        <f t="shared" si="213"/>
        <v>0.95460579456879491</v>
      </c>
    </row>
    <row r="892" spans="2:15" ht="14.1" customHeight="1">
      <c r="C892" s="276" t="s">
        <v>157</v>
      </c>
      <c r="D892" s="276" t="s">
        <v>156</v>
      </c>
      <c r="E892" s="286" t="s">
        <v>74</v>
      </c>
      <c r="I892" s="347">
        <f>I815</f>
        <v>0.39128733321794001</v>
      </c>
      <c r="K892" s="537">
        <f>K815</f>
        <v>0.28781634921501137</v>
      </c>
      <c r="L892" s="538">
        <f>L815</f>
        <v>0.28781634921501137</v>
      </c>
      <c r="M892" s="538">
        <f>M815</f>
        <v>0.28781634921501137</v>
      </c>
      <c r="N892" s="538">
        <f>N815</f>
        <v>0.28781634921501137</v>
      </c>
      <c r="O892" s="538">
        <f>O815</f>
        <v>0.28781634921501137</v>
      </c>
    </row>
    <row r="893" spans="2:15" ht="14.1" customHeight="1">
      <c r="B893" s="270" t="s">
        <v>255</v>
      </c>
      <c r="C893" s="276" t="s">
        <v>249</v>
      </c>
      <c r="D893" s="276" t="s">
        <v>78</v>
      </c>
      <c r="E893" s="286" t="s">
        <v>74</v>
      </c>
      <c r="I893" s="347">
        <f ca="1">VLOOKUP($D893,INDIRECT($B893),COLUMN()-1,FALSE)</f>
        <v>5.6407428778167397</v>
      </c>
      <c r="K893" s="537">
        <f ca="1">VLOOKUP($D893,INDIRECT($B893),COLUMN()-1,FALSE)-K632</f>
        <v>5.1704651658058394</v>
      </c>
      <c r="L893" s="538">
        <f ca="1">VLOOKUP($D893,INDIRECT($B893),COLUMN()-1,FALSE)-L632</f>
        <v>5.1622962552040299</v>
      </c>
      <c r="M893" s="538">
        <f ca="1">VLOOKUP($D893,INDIRECT($B893),COLUMN()-1,FALSE)-M632</f>
        <v>5.3813125872751195</v>
      </c>
      <c r="N893" s="538">
        <f ca="1">VLOOKUP($D893,INDIRECT($B893),COLUMN()-1,FALSE)-N632</f>
        <v>5.3711260166270094</v>
      </c>
      <c r="O893" s="538">
        <f ca="1">VLOOKUP($D893,INDIRECT($B893),COLUMN()-1,FALSE)-O632</f>
        <v>5.3318049825085199</v>
      </c>
    </row>
    <row r="894" spans="2:15" ht="14.1" customHeight="1">
      <c r="C894" s="276" t="s">
        <v>252</v>
      </c>
      <c r="D894" s="276" t="s">
        <v>97</v>
      </c>
      <c r="E894" s="286" t="s">
        <v>74</v>
      </c>
      <c r="I894" s="347">
        <f>I40</f>
        <v>0.21058359999999998</v>
      </c>
      <c r="K894" s="537">
        <f t="shared" ref="K894:O895" si="214">K40</f>
        <v>0.19486053822223701</v>
      </c>
      <c r="L894" s="538">
        <f t="shared" si="214"/>
        <v>0.16154316981037792</v>
      </c>
      <c r="M894" s="538">
        <f t="shared" si="214"/>
        <v>0.14083293548626941</v>
      </c>
      <c r="N894" s="538">
        <f t="shared" si="214"/>
        <v>0.1092909382391917</v>
      </c>
      <c r="O894" s="538">
        <f t="shared" si="214"/>
        <v>8.3231045270833415E-2</v>
      </c>
    </row>
    <row r="895" spans="2:15" ht="14.1" customHeight="1">
      <c r="C895" s="276" t="s">
        <v>251</v>
      </c>
      <c r="D895" s="276" t="s">
        <v>98</v>
      </c>
      <c r="E895" s="286" t="s">
        <v>74</v>
      </c>
      <c r="I895" s="347">
        <f>I41</f>
        <v>0</v>
      </c>
      <c r="K895" s="537">
        <f t="shared" si="214"/>
        <v>3.4606137609889995E-2</v>
      </c>
      <c r="L895" s="538">
        <f t="shared" si="214"/>
        <v>9.8518713665266905E-2</v>
      </c>
      <c r="M895" s="538">
        <f t="shared" si="214"/>
        <v>0.15204333542185081</v>
      </c>
      <c r="N895" s="538">
        <f t="shared" si="214"/>
        <v>0.195222026921055</v>
      </c>
      <c r="O895" s="538">
        <f t="shared" si="214"/>
        <v>0.22937174227118298</v>
      </c>
    </row>
    <row r="896" spans="2:15" ht="14.1" customHeight="1">
      <c r="C896" s="276" t="s">
        <v>157</v>
      </c>
      <c r="D896" s="276" t="s">
        <v>156</v>
      </c>
      <c r="E896" s="286" t="s">
        <v>74</v>
      </c>
      <c r="I896" s="347">
        <f>I821</f>
        <v>2.1567183963990499E-2</v>
      </c>
      <c r="K896" s="537">
        <f>K821</f>
        <v>7.9276964372798943E-3</v>
      </c>
      <c r="L896" s="538">
        <f>L821</f>
        <v>7.9276964372798943E-3</v>
      </c>
      <c r="M896" s="538">
        <f>M821</f>
        <v>7.9276964372798943E-3</v>
      </c>
      <c r="N896" s="538">
        <f>N821</f>
        <v>7.9276964372798943E-3</v>
      </c>
      <c r="O896" s="538">
        <f>O821</f>
        <v>7.9276964372798943E-3</v>
      </c>
    </row>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sheetData>
  <conditionalFormatting sqref="W716:W820">
    <cfRule type="containsText" dxfId="0" priority="1" operator="containsText" text="Yes">
      <formula>NOT(ISERROR(SEARCH("Yes",W716)))</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FD273"/>
  <sheetViews>
    <sheetView showGridLines="0" zoomScale="85" zoomScaleNormal="85" workbookViewId="0">
      <pane xSplit="5" ySplit="2" topLeftCell="F3" activePane="bottomRight" state="frozen"/>
      <selection activeCell="D27" sqref="D27:M27"/>
      <selection pane="topRight" activeCell="D27" sqref="D27:M27"/>
      <selection pane="bottomLeft" activeCell="D27" sqref="D27:M27"/>
      <selection pane="bottomRight" activeCell="I36" sqref="I36"/>
    </sheetView>
  </sheetViews>
  <sheetFormatPr defaultColWidth="9.140625" defaultRowHeight="12.75"/>
  <cols>
    <col min="1" max="1" width="4.85546875" style="348" customWidth="1"/>
    <col min="2" max="2" width="6.42578125" style="348" customWidth="1"/>
    <col min="3" max="3" width="48.140625" style="348" customWidth="1"/>
    <col min="4" max="4" width="3.5703125" style="348" customWidth="1"/>
    <col min="5" max="5" width="19.140625" style="348" customWidth="1"/>
    <col min="6" max="9" width="7.85546875" style="348" customWidth="1"/>
    <col min="10" max="10" width="8" style="348" customWidth="1"/>
    <col min="11" max="11" width="7.85546875" style="451" customWidth="1"/>
    <col min="12" max="15" width="7.85546875" style="348" customWidth="1"/>
    <col min="16" max="16384" width="9.140625" style="348"/>
  </cols>
  <sheetData>
    <row r="1" spans="1:16384" s="14" customFormat="1" ht="33.75">
      <c r="A1" s="76"/>
      <c r="B1" s="108"/>
      <c r="C1" s="76"/>
      <c r="D1" s="77"/>
      <c r="E1" s="438" t="s">
        <v>340</v>
      </c>
      <c r="F1" s="119"/>
      <c r="G1" s="119"/>
      <c r="H1" s="119"/>
      <c r="I1" s="119"/>
      <c r="J1" s="444"/>
      <c r="K1" s="455"/>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c r="A2" s="348" t="s">
        <v>180</v>
      </c>
      <c r="B2" s="348" t="s">
        <v>23</v>
      </c>
      <c r="C2" s="348" t="s">
        <v>22</v>
      </c>
      <c r="D2" s="348" t="s">
        <v>76</v>
      </c>
      <c r="E2" s="348" t="s">
        <v>181</v>
      </c>
      <c r="F2" s="348" t="s">
        <v>5</v>
      </c>
      <c r="G2" s="348" t="s">
        <v>6</v>
      </c>
      <c r="H2" s="348" t="s">
        <v>7</v>
      </c>
      <c r="I2" s="348" t="s">
        <v>8</v>
      </c>
      <c r="J2" s="348" t="s">
        <v>9</v>
      </c>
      <c r="K2" s="515" t="s">
        <v>34</v>
      </c>
      <c r="L2" s="516" t="s">
        <v>35</v>
      </c>
      <c r="M2" s="516" t="s">
        <v>36</v>
      </c>
      <c r="N2" s="516" t="s">
        <v>37</v>
      </c>
      <c r="O2" s="516" t="s">
        <v>38</v>
      </c>
    </row>
    <row r="3" spans="1:16384">
      <c r="Q3" s="348" t="s">
        <v>413</v>
      </c>
      <c r="U3" s="348" t="s">
        <v>414</v>
      </c>
    </row>
    <row r="4" spans="1:16384">
      <c r="A4" s="348" t="s">
        <v>31</v>
      </c>
      <c r="B4" s="348" t="s">
        <v>78</v>
      </c>
      <c r="C4" s="348" t="s">
        <v>132</v>
      </c>
      <c r="D4" s="348" t="s">
        <v>74</v>
      </c>
      <c r="E4" s="348" t="s">
        <v>182</v>
      </c>
      <c r="F4" s="517"/>
      <c r="G4" s="517"/>
      <c r="H4" s="517"/>
      <c r="I4" s="350">
        <f ca="1">VLOOKUP($B4,'New costs and adjustments'!$D$825:$O$828,COLUMN()-3,FALSE)</f>
        <v>65.433786189459894</v>
      </c>
      <c r="J4" s="517"/>
      <c r="K4" s="452">
        <f ca="1">VLOOKUP($B4,'New costs and adjustments'!$D$825:$O$828,COLUMN()-3,FALSE)</f>
        <v>66.744750480811305</v>
      </c>
      <c r="L4" s="350">
        <f ca="1">VLOOKUP($B4,'New costs and adjustments'!$D$825:$O$828,COLUMN()-3,FALSE)</f>
        <v>67.458328347404503</v>
      </c>
      <c r="M4" s="350">
        <f ca="1">VLOOKUP($B4,'New costs and adjustments'!$D$825:$O$828,COLUMN()-3,FALSE)</f>
        <v>68.246521397978896</v>
      </c>
      <c r="N4" s="350">
        <f ca="1">VLOOKUP($B4,'New costs and adjustments'!$D$825:$O$828,COLUMN()-3,FALSE)</f>
        <v>69.125517761991205</v>
      </c>
      <c r="O4" s="350">
        <f ca="1">VLOOKUP($B4,'New costs and adjustments'!$D$825:$O$828,COLUMN()-3,FALSE)</f>
        <v>70.095994252410406</v>
      </c>
      <c r="AC4" s="351" t="s">
        <v>215</v>
      </c>
    </row>
    <row r="5" spans="1:16384">
      <c r="A5" s="348" t="s">
        <v>31</v>
      </c>
      <c r="B5" s="348" t="s">
        <v>97</v>
      </c>
      <c r="C5" s="348" t="s">
        <v>99</v>
      </c>
      <c r="D5" s="348" t="s">
        <v>74</v>
      </c>
      <c r="E5" s="348" t="s">
        <v>182</v>
      </c>
      <c r="F5" s="517"/>
      <c r="G5" s="517"/>
      <c r="H5" s="517"/>
      <c r="I5" s="350">
        <f>VLOOKUP($B5,'New costs and adjustments'!$D$825:$O$828,COLUMN()-3,FALSE)</f>
        <v>3.8901520980701898</v>
      </c>
      <c r="J5" s="517"/>
      <c r="K5" s="452">
        <f>VLOOKUP($B5,'New costs and adjustments'!$D$825:$O$828,COLUMN()-3,FALSE)</f>
        <v>3.1181320570259561</v>
      </c>
      <c r="L5" s="350">
        <f>VLOOKUP($B5,'New costs and adjustments'!$D$825:$O$828,COLUMN()-3,FALSE)</f>
        <v>2.379789043075605</v>
      </c>
      <c r="M5" s="350">
        <f>VLOOKUP($B5,'New costs and adjustments'!$D$825:$O$828,COLUMN()-3,FALSE)</f>
        <v>1.8032473090598471</v>
      </c>
      <c r="N5" s="350">
        <f>VLOOKUP($B5,'New costs and adjustments'!$D$825:$O$828,COLUMN()-3,FALSE)</f>
        <v>1.1450013524516489</v>
      </c>
      <c r="O5" s="350">
        <f>VLOOKUP($B5,'New costs and adjustments'!$D$825:$O$828,COLUMN()-3,FALSE)</f>
        <v>0.27635100023722398</v>
      </c>
    </row>
    <row r="6" spans="1:16384">
      <c r="A6" s="348" t="s">
        <v>31</v>
      </c>
      <c r="B6" s="348" t="s">
        <v>98</v>
      </c>
      <c r="C6" s="348" t="s">
        <v>100</v>
      </c>
      <c r="D6" s="348" t="s">
        <v>74</v>
      </c>
      <c r="E6" s="348" t="s">
        <v>182</v>
      </c>
      <c r="F6" s="517"/>
      <c r="G6" s="517"/>
      <c r="H6" s="517"/>
      <c r="I6" s="350">
        <f>VLOOKUP($B6,'New costs and adjustments'!$D$825:$O$828,COLUMN()-3,FALSE)</f>
        <v>0</v>
      </c>
      <c r="J6" s="517"/>
      <c r="K6" s="452">
        <f>VLOOKUP($B6,'New costs and adjustments'!$D$825:$O$828,COLUMN()-3,FALSE)</f>
        <v>0.92774996717968405</v>
      </c>
      <c r="L6" s="350">
        <f>VLOOKUP($B6,'New costs and adjustments'!$D$825:$O$828,COLUMN()-3,FALSE)</f>
        <v>2.751835758401</v>
      </c>
      <c r="M6" s="350">
        <f>VLOOKUP($B6,'New costs and adjustments'!$D$825:$O$828,COLUMN()-3,FALSE)</f>
        <v>3.8621929379507804</v>
      </c>
      <c r="N6" s="350">
        <f>VLOOKUP($B6,'New costs and adjustments'!$D$825:$O$828,COLUMN()-3,FALSE)</f>
        <v>4.3138833715203404</v>
      </c>
      <c r="O6" s="350">
        <f>VLOOKUP($B6,'New costs and adjustments'!$D$825:$O$828,COLUMN()-3,FALSE)</f>
        <v>4.6912495386250699</v>
      </c>
    </row>
    <row r="7" spans="1:16384">
      <c r="A7" s="348" t="s">
        <v>31</v>
      </c>
      <c r="B7" s="348" t="s">
        <v>79</v>
      </c>
      <c r="C7" s="348" t="s">
        <v>135</v>
      </c>
      <c r="D7" s="348" t="s">
        <v>74</v>
      </c>
      <c r="E7" s="348" t="s">
        <v>182</v>
      </c>
      <c r="F7" s="517"/>
      <c r="G7" s="517"/>
      <c r="H7" s="517"/>
      <c r="I7" s="517"/>
      <c r="J7" s="517"/>
      <c r="K7" s="453"/>
      <c r="L7" s="349"/>
      <c r="M7" s="349"/>
      <c r="N7" s="349"/>
      <c r="O7" s="349"/>
    </row>
    <row r="8" spans="1:16384">
      <c r="A8" s="348" t="s">
        <v>31</v>
      </c>
      <c r="B8" s="348" t="s">
        <v>80</v>
      </c>
      <c r="C8" s="348" t="s">
        <v>136</v>
      </c>
      <c r="D8" s="348" t="s">
        <v>74</v>
      </c>
      <c r="E8" s="348" t="s">
        <v>182</v>
      </c>
      <c r="F8" s="517"/>
      <c r="G8" s="517"/>
      <c r="H8" s="517"/>
      <c r="I8" s="517"/>
      <c r="J8" s="517"/>
      <c r="K8" s="454"/>
      <c r="L8" s="352"/>
      <c r="M8" s="352"/>
      <c r="N8" s="352"/>
      <c r="O8" s="352"/>
    </row>
    <row r="9" spans="1:16384">
      <c r="A9" s="348" t="s">
        <v>31</v>
      </c>
      <c r="B9" s="348" t="s">
        <v>81</v>
      </c>
      <c r="C9" s="348" t="s">
        <v>137</v>
      </c>
      <c r="D9" s="348" t="s">
        <v>74</v>
      </c>
      <c r="E9" s="348" t="s">
        <v>182</v>
      </c>
      <c r="F9" s="517"/>
      <c r="G9" s="517"/>
      <c r="H9" s="517"/>
      <c r="I9" s="517"/>
      <c r="J9" s="517"/>
      <c r="K9" s="454"/>
      <c r="L9" s="352"/>
      <c r="M9" s="352"/>
      <c r="N9" s="352"/>
      <c r="O9" s="352"/>
    </row>
    <row r="10" spans="1:16384">
      <c r="A10" s="348" t="s">
        <v>31</v>
      </c>
      <c r="B10" s="348" t="s">
        <v>82</v>
      </c>
      <c r="C10" s="348" t="s">
        <v>89</v>
      </c>
      <c r="D10" s="348" t="s">
        <v>183</v>
      </c>
      <c r="E10" s="348" t="s">
        <v>182</v>
      </c>
      <c r="F10" s="517"/>
      <c r="G10" s="517"/>
      <c r="H10" s="517"/>
      <c r="I10" s="517"/>
      <c r="J10" s="517"/>
      <c r="K10" s="454"/>
      <c r="L10" s="352"/>
      <c r="M10" s="352"/>
      <c r="N10" s="352"/>
      <c r="O10" s="352"/>
    </row>
    <row r="11" spans="1:16384">
      <c r="A11" s="348" t="s">
        <v>31</v>
      </c>
      <c r="B11" s="348" t="s">
        <v>87</v>
      </c>
      <c r="C11" s="348" t="s">
        <v>90</v>
      </c>
      <c r="D11" s="348" t="s">
        <v>183</v>
      </c>
      <c r="E11" s="348" t="s">
        <v>182</v>
      </c>
      <c r="F11" s="517"/>
      <c r="G11" s="517"/>
      <c r="H11" s="517"/>
      <c r="I11" s="517"/>
      <c r="J11" s="517"/>
      <c r="K11" s="454"/>
      <c r="L11" s="352"/>
      <c r="M11" s="352"/>
      <c r="N11" s="352"/>
      <c r="O11" s="352"/>
    </row>
    <row r="12" spans="1:16384">
      <c r="A12" s="348" t="s">
        <v>31</v>
      </c>
      <c r="B12" s="348" t="s">
        <v>83</v>
      </c>
      <c r="C12" s="348" t="s">
        <v>91</v>
      </c>
      <c r="D12" s="348" t="s">
        <v>183</v>
      </c>
      <c r="E12" s="348" t="s">
        <v>182</v>
      </c>
      <c r="F12" s="517"/>
      <c r="G12" s="517"/>
      <c r="H12" s="517"/>
      <c r="I12" s="517"/>
      <c r="J12" s="517"/>
      <c r="K12" s="454"/>
      <c r="L12" s="352"/>
      <c r="M12" s="352"/>
      <c r="N12" s="352"/>
      <c r="O12" s="352"/>
    </row>
    <row r="13" spans="1:16384">
      <c r="A13" s="348" t="s">
        <v>31</v>
      </c>
      <c r="B13" s="348" t="s">
        <v>84</v>
      </c>
      <c r="C13" s="348" t="s">
        <v>92</v>
      </c>
      <c r="D13" s="348" t="s">
        <v>183</v>
      </c>
      <c r="E13" s="348" t="s">
        <v>182</v>
      </c>
      <c r="F13" s="517"/>
      <c r="G13" s="517"/>
      <c r="H13" s="517"/>
      <c r="I13" s="517"/>
      <c r="J13" s="517"/>
      <c r="K13" s="454"/>
      <c r="L13" s="352"/>
      <c r="M13" s="352"/>
      <c r="N13" s="352"/>
      <c r="O13" s="352"/>
    </row>
    <row r="14" spans="1:16384">
      <c r="A14" s="348" t="s">
        <v>31</v>
      </c>
      <c r="B14" s="348" t="s">
        <v>85</v>
      </c>
      <c r="C14" s="348" t="s">
        <v>93</v>
      </c>
      <c r="D14" s="348" t="s">
        <v>183</v>
      </c>
      <c r="E14" s="348" t="s">
        <v>182</v>
      </c>
      <c r="F14" s="517"/>
      <c r="G14" s="517"/>
      <c r="H14" s="517"/>
      <c r="I14" s="517"/>
      <c r="J14" s="517"/>
      <c r="K14" s="454"/>
      <c r="L14" s="352"/>
      <c r="M14" s="352"/>
      <c r="N14" s="352"/>
      <c r="O14" s="352"/>
    </row>
    <row r="15" spans="1:16384">
      <c r="A15" s="348" t="s">
        <v>31</v>
      </c>
      <c r="B15" s="348" t="s">
        <v>86</v>
      </c>
      <c r="C15" s="348" t="s">
        <v>94</v>
      </c>
      <c r="D15" s="348" t="s">
        <v>183</v>
      </c>
      <c r="E15" s="348" t="s">
        <v>182</v>
      </c>
      <c r="F15" s="517"/>
      <c r="G15" s="517"/>
      <c r="H15" s="517"/>
      <c r="I15" s="517"/>
      <c r="J15" s="517"/>
      <c r="K15" s="454"/>
      <c r="L15" s="352"/>
      <c r="M15" s="352"/>
      <c r="N15" s="352"/>
      <c r="O15" s="352"/>
    </row>
    <row r="16" spans="1:16384">
      <c r="A16" s="348" t="s">
        <v>31</v>
      </c>
      <c r="B16" s="351" t="s">
        <v>174</v>
      </c>
      <c r="C16" s="348" t="s">
        <v>184</v>
      </c>
      <c r="D16" s="348" t="s">
        <v>74</v>
      </c>
      <c r="E16" s="348" t="s">
        <v>182</v>
      </c>
      <c r="F16" s="517"/>
      <c r="G16" s="517"/>
      <c r="H16" s="517"/>
      <c r="I16" s="517"/>
      <c r="J16" s="517"/>
      <c r="K16" s="454"/>
      <c r="L16" s="352"/>
      <c r="M16" s="352"/>
      <c r="N16" s="352"/>
      <c r="O16" s="352"/>
    </row>
    <row r="17" spans="1:29">
      <c r="A17" s="348" t="s">
        <v>31</v>
      </c>
      <c r="B17" s="348" t="s">
        <v>156</v>
      </c>
      <c r="C17" s="348" t="s">
        <v>157</v>
      </c>
      <c r="D17" s="348" t="s">
        <v>74</v>
      </c>
      <c r="E17" s="348" t="s">
        <v>182</v>
      </c>
      <c r="F17" s="517"/>
      <c r="G17" s="517"/>
      <c r="H17" s="517"/>
      <c r="I17" s="350">
        <f>VLOOKUP($B17,'New costs and adjustments'!$D$825:$O$828,COLUMN()-3,FALSE)</f>
        <v>1.72348213421129</v>
      </c>
      <c r="J17" s="517"/>
      <c r="K17" s="452">
        <f>VLOOKUP($B17,'New costs and adjustments'!$D$825:$O$828,COLUMN()-3,FALSE)</f>
        <v>1.7176018468827143</v>
      </c>
      <c r="L17" s="350">
        <f>VLOOKUP($B17,'New costs and adjustments'!$D$825:$O$828,COLUMN()-3,FALSE)</f>
        <v>1.7176018468827143</v>
      </c>
      <c r="M17" s="350">
        <f>VLOOKUP($B17,'New costs and adjustments'!$D$825:$O$828,COLUMN()-3,FALSE)</f>
        <v>1.7176018468827143</v>
      </c>
      <c r="N17" s="350">
        <f>VLOOKUP($B17,'New costs and adjustments'!$D$825:$O$828,COLUMN()-3,FALSE)</f>
        <v>1.7176018468827143</v>
      </c>
      <c r="O17" s="350">
        <f>VLOOKUP($B17,'New costs and adjustments'!$D$825:$O$828,COLUMN()-3,FALSE)</f>
        <v>1.7176018468827143</v>
      </c>
      <c r="Q17" s="353"/>
      <c r="R17" s="353"/>
    </row>
    <row r="18" spans="1:29">
      <c r="A18" s="348" t="s">
        <v>31</v>
      </c>
      <c r="B18" s="348" t="s">
        <v>159</v>
      </c>
      <c r="C18" s="348" t="s">
        <v>158</v>
      </c>
      <c r="D18" s="348" t="s">
        <v>74</v>
      </c>
      <c r="E18" s="348" t="s">
        <v>182</v>
      </c>
      <c r="F18" s="517"/>
      <c r="G18" s="517"/>
      <c r="H18" s="517"/>
      <c r="I18" s="517"/>
      <c r="J18" s="517"/>
      <c r="K18" s="454"/>
      <c r="L18" s="352"/>
      <c r="M18" s="352"/>
      <c r="N18" s="352"/>
      <c r="O18" s="352"/>
    </row>
    <row r="19" spans="1:29">
      <c r="A19" s="348" t="s">
        <v>32</v>
      </c>
      <c r="B19" s="348" t="s">
        <v>78</v>
      </c>
      <c r="C19" s="348" t="s">
        <v>132</v>
      </c>
      <c r="D19" s="348" t="s">
        <v>74</v>
      </c>
      <c r="E19" s="348" t="s">
        <v>182</v>
      </c>
      <c r="F19" s="517"/>
      <c r="G19" s="517"/>
      <c r="H19" s="517"/>
      <c r="I19" s="350">
        <f ca="1">VLOOKUP($B19,'New costs and adjustments'!$D$829:$O$832,COLUMN()-3,FALSE)</f>
        <v>43.209284948659466</v>
      </c>
      <c r="J19" s="517"/>
      <c r="K19" s="452">
        <f ca="1">VLOOKUP($B19,'New costs and adjustments'!$D$829:$O$832,COLUMN()-3,FALSE)</f>
        <v>43.091180195978644</v>
      </c>
      <c r="L19" s="350">
        <f ca="1">VLOOKUP($B19,'New costs and adjustments'!$D$829:$O$832,COLUMN()-3,FALSE)</f>
        <v>41.839406072456995</v>
      </c>
      <c r="M19" s="350">
        <f ca="1">VLOOKUP($B19,'New costs and adjustments'!$D$829:$O$832,COLUMN()-3,FALSE)</f>
        <v>40.925862648057517</v>
      </c>
      <c r="N19" s="350">
        <f ca="1">VLOOKUP($B19,'New costs and adjustments'!$D$829:$O$832,COLUMN()-3,FALSE)</f>
        <v>40.006681291848302</v>
      </c>
      <c r="O19" s="350">
        <f ca="1">VLOOKUP($B19,'New costs and adjustments'!$D$829:$O$832,COLUMN()-3,FALSE)</f>
        <v>40.105968350484446</v>
      </c>
      <c r="AC19" s="351" t="s">
        <v>216</v>
      </c>
    </row>
    <row r="20" spans="1:29">
      <c r="A20" s="348" t="s">
        <v>32</v>
      </c>
      <c r="B20" s="348" t="s">
        <v>97</v>
      </c>
      <c r="C20" s="348" t="s">
        <v>99</v>
      </c>
      <c r="D20" s="348" t="s">
        <v>74</v>
      </c>
      <c r="E20" s="348" t="s">
        <v>182</v>
      </c>
      <c r="F20" s="517"/>
      <c r="G20" s="517"/>
      <c r="H20" s="517"/>
      <c r="I20" s="350">
        <f>VLOOKUP($B20,'New costs and adjustments'!$D$829:$O$832,COLUMN()-3,FALSE)</f>
        <v>1.33449578469868</v>
      </c>
      <c r="J20" s="517"/>
      <c r="K20" s="452">
        <f>VLOOKUP($B20,'New costs and adjustments'!$D$829:$O$832,COLUMN()-3,FALSE)</f>
        <v>3.4449999999999998</v>
      </c>
      <c r="L20" s="350">
        <f>VLOOKUP($B20,'New costs and adjustments'!$D$829:$O$832,COLUMN()-3,FALSE)</f>
        <v>3.3249999999999997</v>
      </c>
      <c r="M20" s="350">
        <f>VLOOKUP($B20,'New costs and adjustments'!$D$829:$O$832,COLUMN()-3,FALSE)</f>
        <v>3.1399999999999997</v>
      </c>
      <c r="N20" s="350">
        <f>VLOOKUP($B20,'New costs and adjustments'!$D$829:$O$832,COLUMN()-3,FALSE)</f>
        <v>3.0619999999999998</v>
      </c>
      <c r="O20" s="350">
        <f>VLOOKUP($B20,'New costs and adjustments'!$D$829:$O$832,COLUMN()-3,FALSE)</f>
        <v>3.0569999999999999</v>
      </c>
    </row>
    <row r="21" spans="1:29">
      <c r="A21" s="348" t="s">
        <v>32</v>
      </c>
      <c r="B21" s="348" t="s">
        <v>98</v>
      </c>
      <c r="C21" s="348" t="s">
        <v>100</v>
      </c>
      <c r="D21" s="348" t="s">
        <v>74</v>
      </c>
      <c r="E21" s="348" t="s">
        <v>182</v>
      </c>
      <c r="F21" s="517"/>
      <c r="G21" s="517"/>
      <c r="H21" s="517"/>
      <c r="I21" s="350">
        <f>VLOOKUP($B21,'New costs and adjustments'!$D$829:$O$832,COLUMN()-3,FALSE)</f>
        <v>0</v>
      </c>
      <c r="J21" s="517"/>
      <c r="K21" s="452">
        <f>VLOOKUP($B21,'New costs and adjustments'!$D$829:$O$832,COLUMN()-3,FALSE)</f>
        <v>0.71499999999999997</v>
      </c>
      <c r="L21" s="350">
        <f>VLOOKUP($B21,'New costs and adjustments'!$D$829:$O$832,COLUMN()-3,FALSE)</f>
        <v>1.1539999999999999</v>
      </c>
      <c r="M21" s="350">
        <f>VLOOKUP($B21,'New costs and adjustments'!$D$829:$O$832,COLUMN()-3,FALSE)</f>
        <v>1.323</v>
      </c>
      <c r="N21" s="350">
        <f>VLOOKUP($B21,'New costs and adjustments'!$D$829:$O$832,COLUMN()-3,FALSE)</f>
        <v>1.44</v>
      </c>
      <c r="O21" s="350">
        <f>VLOOKUP($B21,'New costs and adjustments'!$D$829:$O$832,COLUMN()-3,FALSE)</f>
        <v>1.518</v>
      </c>
    </row>
    <row r="22" spans="1:29">
      <c r="A22" s="348" t="s">
        <v>32</v>
      </c>
      <c r="B22" s="348" t="s">
        <v>79</v>
      </c>
      <c r="C22" s="348" t="s">
        <v>135</v>
      </c>
      <c r="D22" s="348" t="s">
        <v>74</v>
      </c>
      <c r="E22" s="348" t="s">
        <v>182</v>
      </c>
      <c r="F22" s="517"/>
      <c r="G22" s="517"/>
      <c r="H22" s="517"/>
      <c r="I22" s="517"/>
      <c r="J22" s="517"/>
      <c r="K22" s="453"/>
      <c r="L22" s="349"/>
      <c r="M22" s="349"/>
      <c r="N22" s="349"/>
      <c r="O22" s="349"/>
    </row>
    <row r="23" spans="1:29">
      <c r="A23" s="348" t="s">
        <v>32</v>
      </c>
      <c r="B23" s="348" t="s">
        <v>80</v>
      </c>
      <c r="C23" s="348" t="s">
        <v>136</v>
      </c>
      <c r="D23" s="348" t="s">
        <v>74</v>
      </c>
      <c r="E23" s="348" t="s">
        <v>182</v>
      </c>
      <c r="F23" s="517"/>
      <c r="G23" s="517"/>
      <c r="H23" s="517"/>
      <c r="I23" s="517"/>
      <c r="J23" s="517"/>
      <c r="K23" s="454"/>
      <c r="L23" s="352"/>
      <c r="M23" s="352"/>
      <c r="N23" s="352"/>
      <c r="O23" s="352"/>
    </row>
    <row r="24" spans="1:29">
      <c r="A24" s="348" t="s">
        <v>32</v>
      </c>
      <c r="B24" s="348" t="s">
        <v>81</v>
      </c>
      <c r="C24" s="348" t="s">
        <v>137</v>
      </c>
      <c r="D24" s="348" t="s">
        <v>74</v>
      </c>
      <c r="E24" s="348" t="s">
        <v>182</v>
      </c>
      <c r="F24" s="517"/>
      <c r="G24" s="517"/>
      <c r="H24" s="517"/>
      <c r="I24" s="517"/>
      <c r="J24" s="517"/>
      <c r="K24" s="454"/>
      <c r="L24" s="352"/>
      <c r="M24" s="352"/>
      <c r="N24" s="352"/>
      <c r="O24" s="352"/>
    </row>
    <row r="25" spans="1:29">
      <c r="A25" s="348" t="s">
        <v>32</v>
      </c>
      <c r="B25" s="348" t="s">
        <v>82</v>
      </c>
      <c r="C25" s="348" t="s">
        <v>89</v>
      </c>
      <c r="D25" s="348" t="s">
        <v>183</v>
      </c>
      <c r="E25" s="348" t="s">
        <v>182</v>
      </c>
      <c r="F25" s="517"/>
      <c r="G25" s="517"/>
      <c r="H25" s="517"/>
      <c r="I25" s="517"/>
      <c r="J25" s="517"/>
      <c r="K25" s="454"/>
      <c r="L25" s="352"/>
      <c r="M25" s="352"/>
      <c r="N25" s="352"/>
      <c r="O25" s="352"/>
    </row>
    <row r="26" spans="1:29">
      <c r="A26" s="348" t="s">
        <v>32</v>
      </c>
      <c r="B26" s="348" t="s">
        <v>87</v>
      </c>
      <c r="C26" s="348" t="s">
        <v>90</v>
      </c>
      <c r="D26" s="348" t="s">
        <v>183</v>
      </c>
      <c r="E26" s="348" t="s">
        <v>182</v>
      </c>
      <c r="F26" s="517"/>
      <c r="G26" s="517"/>
      <c r="H26" s="517"/>
      <c r="I26" s="517"/>
      <c r="J26" s="517"/>
      <c r="K26" s="454"/>
      <c r="L26" s="352"/>
      <c r="M26" s="352"/>
      <c r="N26" s="352"/>
      <c r="O26" s="352"/>
    </row>
    <row r="27" spans="1:29">
      <c r="A27" s="348" t="s">
        <v>32</v>
      </c>
      <c r="B27" s="348" t="s">
        <v>83</v>
      </c>
      <c r="C27" s="348" t="s">
        <v>91</v>
      </c>
      <c r="D27" s="348" t="s">
        <v>183</v>
      </c>
      <c r="E27" s="348" t="s">
        <v>182</v>
      </c>
      <c r="F27" s="517"/>
      <c r="G27" s="517"/>
      <c r="H27" s="517"/>
      <c r="I27" s="517"/>
      <c r="J27" s="517"/>
      <c r="K27" s="454"/>
      <c r="L27" s="352"/>
      <c r="M27" s="352"/>
      <c r="N27" s="352"/>
      <c r="O27" s="352"/>
    </row>
    <row r="28" spans="1:29">
      <c r="A28" s="348" t="s">
        <v>32</v>
      </c>
      <c r="B28" s="348" t="s">
        <v>84</v>
      </c>
      <c r="C28" s="348" t="s">
        <v>92</v>
      </c>
      <c r="D28" s="348" t="s">
        <v>183</v>
      </c>
      <c r="E28" s="348" t="s">
        <v>182</v>
      </c>
      <c r="F28" s="517"/>
      <c r="G28" s="517"/>
      <c r="H28" s="517"/>
      <c r="I28" s="517"/>
      <c r="J28" s="517"/>
      <c r="K28" s="454"/>
      <c r="L28" s="352"/>
      <c r="M28" s="352"/>
      <c r="N28" s="352"/>
      <c r="O28" s="352"/>
    </row>
    <row r="29" spans="1:29">
      <c r="A29" s="348" t="s">
        <v>32</v>
      </c>
      <c r="B29" s="348" t="s">
        <v>85</v>
      </c>
      <c r="C29" s="348" t="s">
        <v>93</v>
      </c>
      <c r="D29" s="348" t="s">
        <v>183</v>
      </c>
      <c r="E29" s="348" t="s">
        <v>182</v>
      </c>
      <c r="F29" s="517"/>
      <c r="G29" s="517"/>
      <c r="H29" s="517"/>
      <c r="I29" s="517"/>
      <c r="J29" s="517"/>
      <c r="K29" s="454"/>
      <c r="L29" s="352"/>
      <c r="M29" s="352"/>
      <c r="N29" s="352"/>
      <c r="O29" s="352"/>
    </row>
    <row r="30" spans="1:29">
      <c r="A30" s="348" t="s">
        <v>32</v>
      </c>
      <c r="B30" s="348" t="s">
        <v>86</v>
      </c>
      <c r="C30" s="348" t="s">
        <v>94</v>
      </c>
      <c r="D30" s="348" t="s">
        <v>183</v>
      </c>
      <c r="E30" s="348" t="s">
        <v>182</v>
      </c>
      <c r="F30" s="517"/>
      <c r="G30" s="517"/>
      <c r="H30" s="517"/>
      <c r="I30" s="517"/>
      <c r="J30" s="517"/>
      <c r="K30" s="454"/>
      <c r="L30" s="352"/>
      <c r="M30" s="352"/>
      <c r="N30" s="352"/>
      <c r="O30" s="352"/>
    </row>
    <row r="31" spans="1:29">
      <c r="A31" s="348" t="s">
        <v>32</v>
      </c>
      <c r="B31" s="348" t="s">
        <v>174</v>
      </c>
      <c r="C31" s="348" t="s">
        <v>184</v>
      </c>
      <c r="D31" s="348" t="s">
        <v>74</v>
      </c>
      <c r="E31" s="348" t="s">
        <v>182</v>
      </c>
      <c r="F31" s="517"/>
      <c r="G31" s="517"/>
      <c r="H31" s="517"/>
      <c r="I31" s="517"/>
      <c r="J31" s="517"/>
      <c r="K31" s="454"/>
      <c r="L31" s="352"/>
      <c r="M31" s="352"/>
      <c r="N31" s="352"/>
      <c r="O31" s="352"/>
    </row>
    <row r="32" spans="1:29">
      <c r="A32" s="348" t="s">
        <v>32</v>
      </c>
      <c r="B32" s="348" t="s">
        <v>156</v>
      </c>
      <c r="C32" s="348" t="s">
        <v>157</v>
      </c>
      <c r="D32" s="348" t="s">
        <v>74</v>
      </c>
      <c r="E32" s="348" t="s">
        <v>182</v>
      </c>
      <c r="F32" s="517"/>
      <c r="G32" s="517"/>
      <c r="H32" s="517"/>
      <c r="I32" s="350">
        <f>VLOOKUP($B32,'New costs and adjustments'!$D$829:$O$832,COLUMN()-3,FALSE)</f>
        <v>10.31124231344524</v>
      </c>
      <c r="J32" s="517"/>
      <c r="K32" s="452">
        <f>VLOOKUP($B32,'New costs and adjustments'!$D$829:$O$832,COLUMN()-3,FALSE)</f>
        <v>9.7217609657333064</v>
      </c>
      <c r="L32" s="350">
        <f>VLOOKUP($B32,'New costs and adjustments'!$D$829:$O$832,COLUMN()-3,FALSE)</f>
        <v>9.2412381138137434</v>
      </c>
      <c r="M32" s="350">
        <f>VLOOKUP($B32,'New costs and adjustments'!$D$829:$O$832,COLUMN()-3,FALSE)</f>
        <v>8.7835098937705336</v>
      </c>
      <c r="N32" s="350">
        <f>VLOOKUP($B32,'New costs and adjustments'!$D$829:$O$832,COLUMN()-3,FALSE)</f>
        <v>8.3494259374800226</v>
      </c>
      <c r="O32" s="350">
        <f>VLOOKUP($B32,'New costs and adjustments'!$D$829:$O$832,COLUMN()-3,FALSE)</f>
        <v>7.937046179004037</v>
      </c>
    </row>
    <row r="33" spans="1:29">
      <c r="A33" s="348" t="s">
        <v>32</v>
      </c>
      <c r="B33" s="348" t="s">
        <v>159</v>
      </c>
      <c r="C33" s="348" t="s">
        <v>158</v>
      </c>
      <c r="D33" s="348" t="s">
        <v>74</v>
      </c>
      <c r="E33" s="348" t="s">
        <v>182</v>
      </c>
      <c r="F33" s="517"/>
      <c r="G33" s="517"/>
      <c r="H33" s="517"/>
      <c r="I33" s="517"/>
      <c r="J33" s="517"/>
      <c r="K33" s="454"/>
      <c r="L33" s="352"/>
      <c r="M33" s="352"/>
      <c r="N33" s="352"/>
      <c r="O33" s="352"/>
    </row>
    <row r="34" spans="1:29">
      <c r="A34" s="348" t="s">
        <v>33</v>
      </c>
      <c r="B34" s="348" t="s">
        <v>78</v>
      </c>
      <c r="C34" s="348" t="s">
        <v>132</v>
      </c>
      <c r="D34" s="348" t="s">
        <v>74</v>
      </c>
      <c r="E34" s="348" t="s">
        <v>182</v>
      </c>
      <c r="F34" s="517"/>
      <c r="G34" s="517"/>
      <c r="H34" s="517"/>
      <c r="I34" s="350">
        <f ca="1">VLOOKUP($B34,'New costs and adjustments'!$D$833:$O$836,COLUMN()-3,FALSE)</f>
        <v>44.055104115146428</v>
      </c>
      <c r="J34" s="517"/>
      <c r="K34" s="452">
        <f ca="1">VLOOKUP($B34,'New costs and adjustments'!$D$833:$O$836,COLUMN()-3,FALSE)</f>
        <v>45.296088338545431</v>
      </c>
      <c r="L34" s="350">
        <f ca="1">VLOOKUP($B34,'New costs and adjustments'!$D$833:$O$836,COLUMN()-3,FALSE)</f>
        <v>45.718989676418133</v>
      </c>
      <c r="M34" s="350">
        <f ca="1">VLOOKUP($B34,'New costs and adjustments'!$D$833:$O$836,COLUMN()-3,FALSE)</f>
        <v>46.148889381584333</v>
      </c>
      <c r="N34" s="350">
        <f ca="1">VLOOKUP($B34,'New costs and adjustments'!$D$833:$O$836,COLUMN()-3,FALSE)</f>
        <v>46.58478768728763</v>
      </c>
      <c r="O34" s="350">
        <f ca="1">VLOOKUP($B34,'New costs and adjustments'!$D$833:$O$836,COLUMN()-3,FALSE)</f>
        <v>47.025684826772029</v>
      </c>
      <c r="AC34" s="351" t="s">
        <v>217</v>
      </c>
    </row>
    <row r="35" spans="1:29">
      <c r="A35" s="348" t="s">
        <v>33</v>
      </c>
      <c r="B35" s="348" t="s">
        <v>97</v>
      </c>
      <c r="C35" s="348" t="s">
        <v>99</v>
      </c>
      <c r="D35" s="348" t="s">
        <v>74</v>
      </c>
      <c r="E35" s="348" t="s">
        <v>182</v>
      </c>
      <c r="F35" s="517"/>
      <c r="G35" s="517"/>
      <c r="H35" s="517"/>
      <c r="I35" s="350">
        <f>VLOOKUP($B35,'New costs and adjustments'!$D$833:$O$836,COLUMN()-3,FALSE)</f>
        <v>2.8148029857031069</v>
      </c>
      <c r="J35" s="517"/>
      <c r="K35" s="452">
        <f>VLOOKUP($B35,'New costs and adjustments'!$D$833:$O$836,COLUMN()-3,FALSE)</f>
        <v>2.5504292246149651</v>
      </c>
      <c r="L35" s="350">
        <f>VLOOKUP($B35,'New costs and adjustments'!$D$833:$O$836,COLUMN()-3,FALSE)</f>
        <v>2.2112143620423272</v>
      </c>
      <c r="M35" s="350">
        <f>VLOOKUP($B35,'New costs and adjustments'!$D$833:$O$836,COLUMN()-3,FALSE)</f>
        <v>1.8049340968407046</v>
      </c>
      <c r="N35" s="350">
        <f>VLOOKUP($B35,'New costs and adjustments'!$D$833:$O$836,COLUMN()-3,FALSE)</f>
        <v>1.4385042882736896</v>
      </c>
      <c r="O35" s="350">
        <f>VLOOKUP($B35,'New costs and adjustments'!$D$833:$O$836,COLUMN()-3,FALSE)</f>
        <v>1.3131211442282107</v>
      </c>
    </row>
    <row r="36" spans="1:29">
      <c r="A36" s="348" t="s">
        <v>33</v>
      </c>
      <c r="B36" s="348" t="s">
        <v>98</v>
      </c>
      <c r="C36" s="348" t="s">
        <v>100</v>
      </c>
      <c r="D36" s="348" t="s">
        <v>74</v>
      </c>
      <c r="E36" s="348" t="s">
        <v>182</v>
      </c>
      <c r="F36" s="517"/>
      <c r="G36" s="517"/>
      <c r="H36" s="517"/>
      <c r="I36" s="350">
        <f>VLOOKUP($B36,'New costs and adjustments'!$D$833:$O$836,COLUMN()-3,FALSE)</f>
        <v>0</v>
      </c>
      <c r="J36" s="517"/>
      <c r="K36" s="452">
        <f>VLOOKUP($B36,'New costs and adjustments'!$D$833:$O$836,COLUMN()-3,FALSE)</f>
        <v>0.97585020636944741</v>
      </c>
      <c r="L36" s="350">
        <f>VLOOKUP($B36,'New costs and adjustments'!$D$833:$O$836,COLUMN()-3,FALSE)</f>
        <v>1.563887432319166</v>
      </c>
      <c r="M36" s="350">
        <f>VLOOKUP($B36,'New costs and adjustments'!$D$833:$O$836,COLUMN()-3,FALSE)</f>
        <v>2.2345414586089252</v>
      </c>
      <c r="N36" s="350">
        <f>VLOOKUP($B36,'New costs and adjustments'!$D$833:$O$836,COLUMN()-3,FALSE)</f>
        <v>2.7555132819296628</v>
      </c>
      <c r="O36" s="350">
        <f>VLOOKUP($B36,'New costs and adjustments'!$D$833:$O$836,COLUMN()-3,FALSE)</f>
        <v>3.3309149972391348</v>
      </c>
    </row>
    <row r="37" spans="1:29">
      <c r="A37" s="348" t="s">
        <v>33</v>
      </c>
      <c r="B37" s="348" t="s">
        <v>79</v>
      </c>
      <c r="C37" s="348" t="s">
        <v>135</v>
      </c>
      <c r="D37" s="348" t="s">
        <v>74</v>
      </c>
      <c r="E37" s="348" t="s">
        <v>182</v>
      </c>
      <c r="F37" s="517"/>
      <c r="G37" s="517"/>
      <c r="H37" s="517"/>
      <c r="I37" s="517"/>
      <c r="J37" s="517"/>
      <c r="K37" s="453"/>
      <c r="L37" s="349"/>
      <c r="M37" s="349"/>
      <c r="N37" s="349"/>
      <c r="O37" s="349"/>
    </row>
    <row r="38" spans="1:29">
      <c r="A38" s="348" t="s">
        <v>33</v>
      </c>
      <c r="B38" s="348" t="s">
        <v>80</v>
      </c>
      <c r="C38" s="348" t="s">
        <v>136</v>
      </c>
      <c r="D38" s="348" t="s">
        <v>74</v>
      </c>
      <c r="E38" s="348" t="s">
        <v>182</v>
      </c>
      <c r="F38" s="517"/>
      <c r="G38" s="517"/>
      <c r="H38" s="517"/>
      <c r="I38" s="517"/>
      <c r="J38" s="517"/>
      <c r="K38" s="454"/>
      <c r="L38" s="352"/>
      <c r="M38" s="352"/>
      <c r="N38" s="352"/>
      <c r="O38" s="352"/>
    </row>
    <row r="39" spans="1:29">
      <c r="A39" s="348" t="s">
        <v>33</v>
      </c>
      <c r="B39" s="348" t="s">
        <v>81</v>
      </c>
      <c r="C39" s="348" t="s">
        <v>137</v>
      </c>
      <c r="D39" s="348" t="s">
        <v>74</v>
      </c>
      <c r="E39" s="348" t="s">
        <v>182</v>
      </c>
      <c r="F39" s="517"/>
      <c r="G39" s="517"/>
      <c r="H39" s="517"/>
      <c r="I39" s="517"/>
      <c r="J39" s="517"/>
      <c r="K39" s="454"/>
      <c r="L39" s="352"/>
      <c r="M39" s="352"/>
      <c r="N39" s="352"/>
      <c r="O39" s="352"/>
    </row>
    <row r="40" spans="1:29">
      <c r="A40" s="348" t="s">
        <v>33</v>
      </c>
      <c r="B40" s="348" t="s">
        <v>82</v>
      </c>
      <c r="C40" s="348" t="s">
        <v>89</v>
      </c>
      <c r="D40" s="348" t="s">
        <v>183</v>
      </c>
      <c r="E40" s="348" t="s">
        <v>182</v>
      </c>
      <c r="F40" s="517"/>
      <c r="G40" s="517"/>
      <c r="H40" s="517"/>
      <c r="I40" s="517"/>
      <c r="J40" s="517"/>
      <c r="K40" s="454"/>
      <c r="L40" s="352"/>
      <c r="M40" s="352"/>
      <c r="N40" s="352"/>
      <c r="O40" s="352"/>
    </row>
    <row r="41" spans="1:29">
      <c r="A41" s="348" t="s">
        <v>33</v>
      </c>
      <c r="B41" s="348" t="s">
        <v>87</v>
      </c>
      <c r="C41" s="348" t="s">
        <v>90</v>
      </c>
      <c r="D41" s="348" t="s">
        <v>183</v>
      </c>
      <c r="E41" s="348" t="s">
        <v>182</v>
      </c>
      <c r="F41" s="517"/>
      <c r="G41" s="517"/>
      <c r="H41" s="517"/>
      <c r="I41" s="517"/>
      <c r="J41" s="517"/>
      <c r="K41" s="454"/>
      <c r="L41" s="352"/>
      <c r="M41" s="352"/>
      <c r="N41" s="352"/>
      <c r="O41" s="352"/>
    </row>
    <row r="42" spans="1:29">
      <c r="A42" s="348" t="s">
        <v>33</v>
      </c>
      <c r="B42" s="348" t="s">
        <v>83</v>
      </c>
      <c r="C42" s="348" t="s">
        <v>91</v>
      </c>
      <c r="D42" s="348" t="s">
        <v>183</v>
      </c>
      <c r="E42" s="348" t="s">
        <v>182</v>
      </c>
      <c r="F42" s="517"/>
      <c r="G42" s="517"/>
      <c r="H42" s="517"/>
      <c r="I42" s="517"/>
      <c r="J42" s="517"/>
      <c r="K42" s="454"/>
      <c r="L42" s="352"/>
      <c r="M42" s="352"/>
      <c r="N42" s="352"/>
      <c r="O42" s="352"/>
    </row>
    <row r="43" spans="1:29">
      <c r="A43" s="348" t="s">
        <v>33</v>
      </c>
      <c r="B43" s="348" t="s">
        <v>84</v>
      </c>
      <c r="C43" s="348" t="s">
        <v>92</v>
      </c>
      <c r="D43" s="348" t="s">
        <v>183</v>
      </c>
      <c r="E43" s="348" t="s">
        <v>182</v>
      </c>
      <c r="F43" s="517"/>
      <c r="G43" s="517"/>
      <c r="H43" s="517"/>
      <c r="I43" s="517"/>
      <c r="J43" s="517"/>
      <c r="K43" s="454"/>
      <c r="L43" s="352"/>
      <c r="M43" s="352"/>
      <c r="N43" s="352"/>
      <c r="O43" s="352"/>
    </row>
    <row r="44" spans="1:29">
      <c r="A44" s="348" t="s">
        <v>33</v>
      </c>
      <c r="B44" s="348" t="s">
        <v>85</v>
      </c>
      <c r="C44" s="348" t="s">
        <v>93</v>
      </c>
      <c r="D44" s="348" t="s">
        <v>183</v>
      </c>
      <c r="E44" s="348" t="s">
        <v>182</v>
      </c>
      <c r="F44" s="517"/>
      <c r="G44" s="517"/>
      <c r="H44" s="517"/>
      <c r="I44" s="517"/>
      <c r="J44" s="517"/>
      <c r="K44" s="454"/>
      <c r="L44" s="352"/>
      <c r="M44" s="352"/>
      <c r="N44" s="352"/>
      <c r="O44" s="352"/>
    </row>
    <row r="45" spans="1:29">
      <c r="A45" s="348" t="s">
        <v>33</v>
      </c>
      <c r="B45" s="348" t="s">
        <v>86</v>
      </c>
      <c r="C45" s="348" t="s">
        <v>94</v>
      </c>
      <c r="D45" s="348" t="s">
        <v>183</v>
      </c>
      <c r="E45" s="348" t="s">
        <v>182</v>
      </c>
      <c r="F45" s="517"/>
      <c r="G45" s="517"/>
      <c r="H45" s="517"/>
      <c r="I45" s="517"/>
      <c r="J45" s="517"/>
      <c r="K45" s="454"/>
      <c r="L45" s="352"/>
      <c r="M45" s="352"/>
      <c r="N45" s="352"/>
      <c r="O45" s="352"/>
    </row>
    <row r="46" spans="1:29">
      <c r="A46" s="348" t="s">
        <v>33</v>
      </c>
      <c r="B46" s="348" t="s">
        <v>174</v>
      </c>
      <c r="C46" s="348" t="s">
        <v>184</v>
      </c>
      <c r="D46" s="348" t="s">
        <v>74</v>
      </c>
      <c r="E46" s="348" t="s">
        <v>182</v>
      </c>
      <c r="F46" s="517"/>
      <c r="G46" s="517"/>
      <c r="H46" s="517"/>
      <c r="I46" s="517"/>
      <c r="J46" s="517"/>
      <c r="K46" s="454"/>
      <c r="L46" s="352"/>
      <c r="M46" s="352"/>
      <c r="N46" s="352"/>
      <c r="O46" s="352"/>
    </row>
    <row r="47" spans="1:29">
      <c r="A47" s="348" t="s">
        <v>33</v>
      </c>
      <c r="B47" s="348" t="s">
        <v>156</v>
      </c>
      <c r="C47" s="348" t="s">
        <v>157</v>
      </c>
      <c r="D47" s="348" t="s">
        <v>74</v>
      </c>
      <c r="E47" s="348" t="s">
        <v>182</v>
      </c>
      <c r="F47" s="517"/>
      <c r="G47" s="517"/>
      <c r="H47" s="517"/>
      <c r="I47" s="350">
        <f>VLOOKUP($B47,'New costs and adjustments'!$D$833:$O$836,COLUMN()-3,FALSE)</f>
        <v>3.0130793167372873</v>
      </c>
      <c r="J47" s="517"/>
      <c r="K47" s="452">
        <f>VLOOKUP($B47,'New costs and adjustments'!$D$833:$O$836,COLUMN()-3,FALSE)</f>
        <v>3.5590107574764795</v>
      </c>
      <c r="L47" s="350">
        <f>VLOOKUP($B47,'New costs and adjustments'!$D$833:$O$836,COLUMN()-3,FALSE)</f>
        <v>3.5590107574764795</v>
      </c>
      <c r="M47" s="350">
        <f>VLOOKUP($B47,'New costs and adjustments'!$D$833:$O$836,COLUMN()-3,FALSE)</f>
        <v>3.5590107574764795</v>
      </c>
      <c r="N47" s="350">
        <f>VLOOKUP($B47,'New costs and adjustments'!$D$833:$O$836,COLUMN()-3,FALSE)</f>
        <v>3.5590107574764795</v>
      </c>
      <c r="O47" s="350">
        <f>VLOOKUP($B47,'New costs and adjustments'!$D$833:$O$836,COLUMN()-3,FALSE)</f>
        <v>3.5590107574764795</v>
      </c>
    </row>
    <row r="48" spans="1:29">
      <c r="A48" s="348" t="s">
        <v>33</v>
      </c>
      <c r="B48" s="348" t="s">
        <v>159</v>
      </c>
      <c r="C48" s="348" t="s">
        <v>158</v>
      </c>
      <c r="D48" s="348" t="s">
        <v>74</v>
      </c>
      <c r="E48" s="348" t="s">
        <v>182</v>
      </c>
      <c r="F48" s="517"/>
      <c r="G48" s="517"/>
      <c r="H48" s="517"/>
      <c r="I48" s="517"/>
      <c r="J48" s="517"/>
      <c r="K48" s="454"/>
      <c r="L48" s="352"/>
      <c r="M48" s="352"/>
      <c r="N48" s="352"/>
      <c r="O48" s="352"/>
    </row>
    <row r="49" spans="1:29">
      <c r="A49" s="348" t="s">
        <v>46</v>
      </c>
      <c r="B49" s="348" t="s">
        <v>78</v>
      </c>
      <c r="C49" s="348" t="s">
        <v>132</v>
      </c>
      <c r="D49" s="348" t="s">
        <v>74</v>
      </c>
      <c r="E49" s="348" t="s">
        <v>182</v>
      </c>
      <c r="F49" s="517"/>
      <c r="G49" s="517"/>
      <c r="H49" s="517"/>
      <c r="I49" s="350">
        <f ca="1">VLOOKUP($B49,'New costs and adjustments'!$D$837:$O$840,COLUMN()-3,FALSE)</f>
        <v>92.097702089302359</v>
      </c>
      <c r="J49" s="517"/>
      <c r="K49" s="452">
        <f ca="1">VLOOKUP($B49,'New costs and adjustments'!$D$837:$O$840,COLUMN()-3,FALSE)</f>
        <v>98.053489509747834</v>
      </c>
      <c r="L49" s="350">
        <f ca="1">VLOOKUP($B49,'New costs and adjustments'!$D$837:$O$840,COLUMN()-3,FALSE)</f>
        <v>100.19474781462728</v>
      </c>
      <c r="M49" s="350">
        <f ca="1">VLOOKUP($B49,'New costs and adjustments'!$D$837:$O$840,COLUMN()-3,FALSE)</f>
        <v>102.32478290592992</v>
      </c>
      <c r="N49" s="350">
        <f ca="1">VLOOKUP($B49,'New costs and adjustments'!$D$837:$O$840,COLUMN()-3,FALSE)</f>
        <v>105.29929858963773</v>
      </c>
      <c r="O49" s="350">
        <f ca="1">VLOOKUP($B49,'New costs and adjustments'!$D$837:$O$840,COLUMN()-3,FALSE)</f>
        <v>108.57733891418361</v>
      </c>
      <c r="AC49" s="351" t="s">
        <v>219</v>
      </c>
    </row>
    <row r="50" spans="1:29">
      <c r="A50" s="348" t="s">
        <v>46</v>
      </c>
      <c r="B50" s="348" t="s">
        <v>97</v>
      </c>
      <c r="C50" s="348" t="s">
        <v>99</v>
      </c>
      <c r="D50" s="348" t="s">
        <v>74</v>
      </c>
      <c r="E50" s="348" t="s">
        <v>182</v>
      </c>
      <c r="F50" s="517"/>
      <c r="G50" s="517"/>
      <c r="H50" s="517"/>
      <c r="I50" s="350">
        <f>VLOOKUP($B50,'New costs and adjustments'!$D$837:$O$840,COLUMN()-3,FALSE)</f>
        <v>13.828333668474309</v>
      </c>
      <c r="J50" s="517"/>
      <c r="K50" s="452">
        <f>VLOOKUP($B50,'New costs and adjustments'!$D$837:$O$840,COLUMN()-3,FALSE)</f>
        <v>8.3536031877957395</v>
      </c>
      <c r="L50" s="350">
        <f>VLOOKUP($B50,'New costs and adjustments'!$D$837:$O$840,COLUMN()-3,FALSE)</f>
        <v>5.6335636274567804</v>
      </c>
      <c r="M50" s="350">
        <f>VLOOKUP($B50,'New costs and adjustments'!$D$837:$O$840,COLUMN()-3,FALSE)</f>
        <v>4.8980841812096099</v>
      </c>
      <c r="N50" s="350">
        <f>VLOOKUP($B50,'New costs and adjustments'!$D$837:$O$840,COLUMN()-3,FALSE)</f>
        <v>3.9265854569158503</v>
      </c>
      <c r="O50" s="350">
        <f>VLOOKUP($B50,'New costs and adjustments'!$D$837:$O$840,COLUMN()-3,FALSE)</f>
        <v>3.2718876994738402</v>
      </c>
    </row>
    <row r="51" spans="1:29">
      <c r="A51" s="348" t="s">
        <v>46</v>
      </c>
      <c r="B51" s="348" t="s">
        <v>98</v>
      </c>
      <c r="C51" s="348" t="s">
        <v>100</v>
      </c>
      <c r="D51" s="348" t="s">
        <v>74</v>
      </c>
      <c r="E51" s="348" t="s">
        <v>182</v>
      </c>
      <c r="F51" s="517"/>
      <c r="G51" s="517"/>
      <c r="H51" s="517"/>
      <c r="I51" s="350">
        <f>VLOOKUP($B51,'New costs and adjustments'!$D$837:$O$840,COLUMN()-3,FALSE)</f>
        <v>0</v>
      </c>
      <c r="J51" s="517"/>
      <c r="K51" s="452">
        <f>VLOOKUP($B51,'New costs and adjustments'!$D$837:$O$840,COLUMN()-3,FALSE)</f>
        <v>0.48643053279879822</v>
      </c>
      <c r="L51" s="350">
        <f>VLOOKUP($B51,'New costs and adjustments'!$D$837:$O$840,COLUMN()-3,FALSE)</f>
        <v>1.5086743878745299</v>
      </c>
      <c r="M51" s="350">
        <f>VLOOKUP($B51,'New costs and adjustments'!$D$837:$O$840,COLUMN()-3,FALSE)</f>
        <v>2.7992490226720159</v>
      </c>
      <c r="N51" s="350">
        <f>VLOOKUP($B51,'New costs and adjustments'!$D$837:$O$840,COLUMN()-3,FALSE)</f>
        <v>4.5379626354587517</v>
      </c>
      <c r="O51" s="350">
        <f>VLOOKUP($B51,'New costs and adjustments'!$D$837:$O$840,COLUMN()-3,FALSE)</f>
        <v>5.6307036398897239</v>
      </c>
    </row>
    <row r="52" spans="1:29">
      <c r="A52" s="348" t="s">
        <v>46</v>
      </c>
      <c r="B52" s="348" t="s">
        <v>79</v>
      </c>
      <c r="C52" s="348" t="s">
        <v>135</v>
      </c>
      <c r="D52" s="348" t="s">
        <v>74</v>
      </c>
      <c r="E52" s="348" t="s">
        <v>182</v>
      </c>
      <c r="F52" s="517"/>
      <c r="G52" s="517"/>
      <c r="H52" s="517"/>
      <c r="I52" s="517"/>
      <c r="J52" s="517"/>
      <c r="K52" s="453"/>
      <c r="L52" s="349"/>
      <c r="M52" s="349"/>
      <c r="N52" s="349"/>
      <c r="O52" s="349"/>
    </row>
    <row r="53" spans="1:29">
      <c r="A53" s="348" t="s">
        <v>46</v>
      </c>
      <c r="B53" s="348" t="s">
        <v>80</v>
      </c>
      <c r="C53" s="348" t="s">
        <v>136</v>
      </c>
      <c r="D53" s="348" t="s">
        <v>74</v>
      </c>
      <c r="E53" s="348" t="s">
        <v>182</v>
      </c>
      <c r="F53" s="517"/>
      <c r="G53" s="517"/>
      <c r="H53" s="517"/>
      <c r="I53" s="517"/>
      <c r="J53" s="517"/>
      <c r="K53" s="454"/>
      <c r="L53" s="352"/>
      <c r="M53" s="352"/>
      <c r="N53" s="352"/>
      <c r="O53" s="352"/>
    </row>
    <row r="54" spans="1:29">
      <c r="A54" s="348" t="s">
        <v>46</v>
      </c>
      <c r="B54" s="348" t="s">
        <v>81</v>
      </c>
      <c r="C54" s="348" t="s">
        <v>137</v>
      </c>
      <c r="D54" s="348" t="s">
        <v>74</v>
      </c>
      <c r="E54" s="348" t="s">
        <v>182</v>
      </c>
      <c r="F54" s="517"/>
      <c r="G54" s="517"/>
      <c r="H54" s="517"/>
      <c r="I54" s="517"/>
      <c r="J54" s="517"/>
      <c r="K54" s="454"/>
      <c r="L54" s="352"/>
      <c r="M54" s="352"/>
      <c r="N54" s="352"/>
      <c r="O54" s="352"/>
    </row>
    <row r="55" spans="1:29">
      <c r="A55" s="348" t="s">
        <v>46</v>
      </c>
      <c r="B55" s="348" t="s">
        <v>82</v>
      </c>
      <c r="C55" s="348" t="s">
        <v>89</v>
      </c>
      <c r="D55" s="348" t="s">
        <v>183</v>
      </c>
      <c r="E55" s="348" t="s">
        <v>182</v>
      </c>
      <c r="F55" s="517"/>
      <c r="G55" s="517"/>
      <c r="H55" s="517"/>
      <c r="I55" s="517"/>
      <c r="J55" s="517"/>
      <c r="K55" s="454"/>
      <c r="L55" s="352"/>
      <c r="M55" s="352"/>
      <c r="N55" s="352"/>
      <c r="O55" s="352"/>
    </row>
    <row r="56" spans="1:29">
      <c r="A56" s="348" t="s">
        <v>46</v>
      </c>
      <c r="B56" s="348" t="s">
        <v>87</v>
      </c>
      <c r="C56" s="348" t="s">
        <v>90</v>
      </c>
      <c r="D56" s="348" t="s">
        <v>183</v>
      </c>
      <c r="E56" s="348" t="s">
        <v>182</v>
      </c>
      <c r="F56" s="517"/>
      <c r="G56" s="517"/>
      <c r="H56" s="517"/>
      <c r="I56" s="517"/>
      <c r="J56" s="517"/>
      <c r="K56" s="454"/>
      <c r="L56" s="352"/>
      <c r="M56" s="352"/>
      <c r="N56" s="352"/>
      <c r="O56" s="352"/>
    </row>
    <row r="57" spans="1:29">
      <c r="A57" s="348" t="s">
        <v>46</v>
      </c>
      <c r="B57" s="348" t="s">
        <v>83</v>
      </c>
      <c r="C57" s="348" t="s">
        <v>91</v>
      </c>
      <c r="D57" s="348" t="s">
        <v>183</v>
      </c>
      <c r="E57" s="348" t="s">
        <v>182</v>
      </c>
      <c r="F57" s="517"/>
      <c r="G57" s="517"/>
      <c r="H57" s="517"/>
      <c r="I57" s="517"/>
      <c r="J57" s="517"/>
      <c r="K57" s="454"/>
      <c r="L57" s="352"/>
      <c r="M57" s="352"/>
      <c r="N57" s="352"/>
      <c r="O57" s="352"/>
    </row>
    <row r="58" spans="1:29">
      <c r="A58" s="348" t="s">
        <v>46</v>
      </c>
      <c r="B58" s="348" t="s">
        <v>84</v>
      </c>
      <c r="C58" s="348" t="s">
        <v>92</v>
      </c>
      <c r="D58" s="348" t="s">
        <v>183</v>
      </c>
      <c r="E58" s="348" t="s">
        <v>182</v>
      </c>
      <c r="F58" s="517"/>
      <c r="G58" s="517"/>
      <c r="H58" s="517"/>
      <c r="I58" s="517"/>
      <c r="J58" s="517"/>
      <c r="K58" s="454"/>
      <c r="L58" s="352"/>
      <c r="M58" s="352"/>
      <c r="N58" s="352"/>
      <c r="O58" s="352"/>
    </row>
    <row r="59" spans="1:29">
      <c r="A59" s="348" t="s">
        <v>46</v>
      </c>
      <c r="B59" s="348" t="s">
        <v>85</v>
      </c>
      <c r="C59" s="348" t="s">
        <v>93</v>
      </c>
      <c r="D59" s="348" t="s">
        <v>183</v>
      </c>
      <c r="E59" s="348" t="s">
        <v>182</v>
      </c>
      <c r="F59" s="517"/>
      <c r="G59" s="517"/>
      <c r="H59" s="517"/>
      <c r="I59" s="517"/>
      <c r="J59" s="517"/>
      <c r="K59" s="454"/>
      <c r="L59" s="352"/>
      <c r="M59" s="352"/>
      <c r="N59" s="352"/>
      <c r="O59" s="352"/>
    </row>
    <row r="60" spans="1:29">
      <c r="A60" s="348" t="s">
        <v>46</v>
      </c>
      <c r="B60" s="348" t="s">
        <v>86</v>
      </c>
      <c r="C60" s="348" t="s">
        <v>94</v>
      </c>
      <c r="D60" s="348" t="s">
        <v>183</v>
      </c>
      <c r="E60" s="348" t="s">
        <v>182</v>
      </c>
      <c r="F60" s="517"/>
      <c r="G60" s="517"/>
      <c r="H60" s="517"/>
      <c r="I60" s="517"/>
      <c r="J60" s="517"/>
      <c r="K60" s="454"/>
      <c r="L60" s="352"/>
      <c r="M60" s="352"/>
      <c r="N60" s="352"/>
      <c r="O60" s="352"/>
    </row>
    <row r="61" spans="1:29">
      <c r="A61" s="348" t="s">
        <v>46</v>
      </c>
      <c r="B61" s="348" t="s">
        <v>174</v>
      </c>
      <c r="C61" s="348" t="s">
        <v>184</v>
      </c>
      <c r="D61" s="348" t="s">
        <v>74</v>
      </c>
      <c r="E61" s="348" t="s">
        <v>182</v>
      </c>
      <c r="F61" s="517"/>
      <c r="G61" s="517"/>
      <c r="H61" s="517"/>
      <c r="I61" s="517"/>
      <c r="J61" s="517"/>
      <c r="K61" s="454"/>
      <c r="L61" s="352"/>
      <c r="M61" s="352"/>
      <c r="N61" s="352"/>
      <c r="O61" s="352"/>
    </row>
    <row r="62" spans="1:29">
      <c r="A62" s="348" t="s">
        <v>46</v>
      </c>
      <c r="B62" s="348" t="s">
        <v>156</v>
      </c>
      <c r="C62" s="348" t="s">
        <v>157</v>
      </c>
      <c r="D62" s="348" t="s">
        <v>74</v>
      </c>
      <c r="E62" s="348" t="s">
        <v>182</v>
      </c>
      <c r="F62" s="517"/>
      <c r="G62" s="517"/>
      <c r="H62" s="517"/>
      <c r="I62" s="350">
        <f>VLOOKUP($B62,'New costs and adjustments'!$D$837:$O$840,COLUMN()-3,FALSE)</f>
        <v>0.75155692918620498</v>
      </c>
      <c r="J62" s="517"/>
      <c r="K62" s="452">
        <f>VLOOKUP($B62,'New costs and adjustments'!$D$837:$O$840,COLUMN()-3,FALSE)</f>
        <v>0.78641324815506974</v>
      </c>
      <c r="L62" s="350">
        <f>VLOOKUP($B62,'New costs and adjustments'!$D$837:$O$840,COLUMN()-3,FALSE)</f>
        <v>0.78641324815506974</v>
      </c>
      <c r="M62" s="350">
        <f>VLOOKUP($B62,'New costs and adjustments'!$D$837:$O$840,COLUMN()-3,FALSE)</f>
        <v>0.78641324815506974</v>
      </c>
      <c r="N62" s="350">
        <f>VLOOKUP($B62,'New costs and adjustments'!$D$837:$O$840,COLUMN()-3,FALSE)</f>
        <v>0.78641324815506974</v>
      </c>
      <c r="O62" s="350">
        <f>VLOOKUP($B62,'New costs and adjustments'!$D$837:$O$840,COLUMN()-3,FALSE)</f>
        <v>0.78641324815506974</v>
      </c>
    </row>
    <row r="63" spans="1:29">
      <c r="A63" s="348" t="s">
        <v>46</v>
      </c>
      <c r="B63" s="348" t="s">
        <v>159</v>
      </c>
      <c r="C63" s="348" t="s">
        <v>158</v>
      </c>
      <c r="D63" s="348" t="s">
        <v>74</v>
      </c>
      <c r="E63" s="348" t="s">
        <v>182</v>
      </c>
      <c r="F63" s="517"/>
      <c r="G63" s="517"/>
      <c r="H63" s="517"/>
      <c r="I63" s="517"/>
      <c r="J63" s="517"/>
      <c r="K63" s="454"/>
      <c r="L63" s="352"/>
      <c r="M63" s="352"/>
      <c r="N63" s="352"/>
      <c r="O63" s="352"/>
    </row>
    <row r="64" spans="1:29">
      <c r="A64" s="348" t="s">
        <v>47</v>
      </c>
      <c r="B64" s="348" t="s">
        <v>78</v>
      </c>
      <c r="C64" s="348" t="s">
        <v>132</v>
      </c>
      <c r="D64" s="348" t="s">
        <v>74</v>
      </c>
      <c r="E64" s="348" t="s">
        <v>182</v>
      </c>
      <c r="F64" s="517"/>
      <c r="G64" s="517"/>
      <c r="H64" s="517"/>
      <c r="I64" s="350">
        <f ca="1">VLOOKUP($B64,'New costs and adjustments'!$D$841:$O$844,COLUMN()-3,FALSE)</f>
        <v>21.615020292637702</v>
      </c>
      <c r="J64" s="517"/>
      <c r="K64" s="452">
        <f ca="1">VLOOKUP($B64,'New costs and adjustments'!$D$841:$O$844,COLUMN()-3,FALSE)</f>
        <v>19.744417174258427</v>
      </c>
      <c r="L64" s="350">
        <f ca="1">VLOOKUP($B64,'New costs and adjustments'!$D$841:$O$844,COLUMN()-3,FALSE)</f>
        <v>19.843557203389825</v>
      </c>
      <c r="M64" s="350">
        <f ca="1">VLOOKUP($B64,'New costs and adjustments'!$D$841:$O$844,COLUMN()-3,FALSE)</f>
        <v>19.907706634004228</v>
      </c>
      <c r="N64" s="350">
        <f ca="1">VLOOKUP($B64,'New costs and adjustments'!$D$841:$O$844,COLUMN()-3,FALSE)</f>
        <v>19.932005660752125</v>
      </c>
      <c r="O64" s="350">
        <f ca="1">VLOOKUP($B64,'New costs and adjustments'!$D$841:$O$844,COLUMN()-3,FALSE)</f>
        <v>19.935893505031725</v>
      </c>
      <c r="AC64" s="351" t="s">
        <v>220</v>
      </c>
    </row>
    <row r="65" spans="1:29">
      <c r="A65" s="348" t="s">
        <v>47</v>
      </c>
      <c r="B65" s="348" t="s">
        <v>97</v>
      </c>
      <c r="C65" s="348" t="s">
        <v>99</v>
      </c>
      <c r="D65" s="348" t="s">
        <v>74</v>
      </c>
      <c r="E65" s="348" t="s">
        <v>182</v>
      </c>
      <c r="F65" s="517"/>
      <c r="G65" s="517"/>
      <c r="H65" s="517"/>
      <c r="I65" s="350">
        <f>VLOOKUP($B65,'New costs and adjustments'!$D$841:$O$844,COLUMN()-3,FALSE)</f>
        <v>3.1705370100635601</v>
      </c>
      <c r="J65" s="517"/>
      <c r="K65" s="452">
        <f>VLOOKUP($B65,'New costs and adjustments'!$D$841:$O$844,COLUMN()-3,FALSE)</f>
        <v>1.9478099841101699</v>
      </c>
      <c r="L65" s="350">
        <f>VLOOKUP($B65,'New costs and adjustments'!$D$841:$O$844,COLUMN()-3,FALSE)</f>
        <v>1.36074549788136</v>
      </c>
      <c r="M65" s="350">
        <f>VLOOKUP($B65,'New costs and adjustments'!$D$841:$O$844,COLUMN()-3,FALSE)</f>
        <v>1.1585775953389801</v>
      </c>
      <c r="N65" s="350">
        <f>VLOOKUP($B65,'New costs and adjustments'!$D$841:$O$844,COLUMN()-3,FALSE)</f>
        <v>0.95446577065677995</v>
      </c>
      <c r="O65" s="350">
        <f>VLOOKUP($B65,'New costs and adjustments'!$D$841:$O$844,COLUMN()-3,FALSE)</f>
        <v>0.54721408236228797</v>
      </c>
    </row>
    <row r="66" spans="1:29">
      <c r="A66" s="348" t="s">
        <v>47</v>
      </c>
      <c r="B66" s="348" t="s">
        <v>98</v>
      </c>
      <c r="C66" s="348" t="s">
        <v>100</v>
      </c>
      <c r="D66" s="348" t="s">
        <v>74</v>
      </c>
      <c r="E66" s="348" t="s">
        <v>182</v>
      </c>
      <c r="F66" s="517"/>
      <c r="G66" s="517"/>
      <c r="H66" s="517"/>
      <c r="I66" s="350">
        <f>VLOOKUP($B66,'New costs and adjustments'!$D$841:$O$844,COLUMN()-3,FALSE)</f>
        <v>0</v>
      </c>
      <c r="J66" s="517"/>
      <c r="K66" s="452">
        <f>VLOOKUP($B66,'New costs and adjustments'!$D$841:$O$844,COLUMN()-3,FALSE)</f>
        <v>0.132186705508475</v>
      </c>
      <c r="L66" s="350">
        <f>VLOOKUP($B66,'New costs and adjustments'!$D$841:$O$844,COLUMN()-3,FALSE)</f>
        <v>0.42183110434322002</v>
      </c>
      <c r="M66" s="350">
        <f>VLOOKUP($B66,'New costs and adjustments'!$D$841:$O$844,COLUMN()-3,FALSE)</f>
        <v>0.68134471001059305</v>
      </c>
      <c r="N66" s="350">
        <f>VLOOKUP($B66,'New costs and adjustments'!$D$841:$O$844,COLUMN()-3,FALSE)</f>
        <v>0.89128830111228796</v>
      </c>
      <c r="O66" s="350">
        <f>VLOOKUP($B66,'New costs and adjustments'!$D$841:$O$844,COLUMN()-3,FALSE)</f>
        <v>1.08470855402542</v>
      </c>
    </row>
    <row r="67" spans="1:29">
      <c r="A67" s="348" t="s">
        <v>47</v>
      </c>
      <c r="B67" s="348" t="s">
        <v>79</v>
      </c>
      <c r="C67" s="348" t="s">
        <v>135</v>
      </c>
      <c r="D67" s="348" t="s">
        <v>74</v>
      </c>
      <c r="E67" s="348" t="s">
        <v>182</v>
      </c>
      <c r="F67" s="517"/>
      <c r="G67" s="517"/>
      <c r="H67" s="517"/>
      <c r="I67" s="517"/>
      <c r="J67" s="517"/>
      <c r="K67" s="453"/>
      <c r="L67" s="349"/>
      <c r="M67" s="349"/>
      <c r="N67" s="349"/>
      <c r="O67" s="349"/>
    </row>
    <row r="68" spans="1:29">
      <c r="A68" s="348" t="s">
        <v>47</v>
      </c>
      <c r="B68" s="348" t="s">
        <v>80</v>
      </c>
      <c r="C68" s="348" t="s">
        <v>136</v>
      </c>
      <c r="D68" s="348" t="s">
        <v>74</v>
      </c>
      <c r="E68" s="348" t="s">
        <v>182</v>
      </c>
      <c r="F68" s="517"/>
      <c r="G68" s="517"/>
      <c r="H68" s="517"/>
      <c r="I68" s="517"/>
      <c r="J68" s="517"/>
      <c r="K68" s="454"/>
      <c r="L68" s="352"/>
      <c r="M68" s="352"/>
      <c r="N68" s="352"/>
      <c r="O68" s="352"/>
    </row>
    <row r="69" spans="1:29">
      <c r="A69" s="348" t="s">
        <v>47</v>
      </c>
      <c r="B69" s="348" t="s">
        <v>81</v>
      </c>
      <c r="C69" s="348" t="s">
        <v>137</v>
      </c>
      <c r="D69" s="348" t="s">
        <v>74</v>
      </c>
      <c r="E69" s="348" t="s">
        <v>182</v>
      </c>
      <c r="F69" s="517"/>
      <c r="G69" s="517"/>
      <c r="H69" s="517"/>
      <c r="I69" s="517"/>
      <c r="J69" s="517"/>
      <c r="K69" s="454"/>
      <c r="L69" s="352"/>
      <c r="M69" s="352"/>
      <c r="N69" s="352"/>
      <c r="O69" s="352"/>
    </row>
    <row r="70" spans="1:29">
      <c r="A70" s="348" t="s">
        <v>47</v>
      </c>
      <c r="B70" s="348" t="s">
        <v>82</v>
      </c>
      <c r="C70" s="348" t="s">
        <v>89</v>
      </c>
      <c r="D70" s="348" t="s">
        <v>183</v>
      </c>
      <c r="E70" s="348" t="s">
        <v>182</v>
      </c>
      <c r="F70" s="517"/>
      <c r="G70" s="517"/>
      <c r="H70" s="517"/>
      <c r="I70" s="517"/>
      <c r="J70" s="517"/>
      <c r="K70" s="454"/>
      <c r="L70" s="352"/>
      <c r="M70" s="352"/>
      <c r="N70" s="352"/>
      <c r="O70" s="352"/>
    </row>
    <row r="71" spans="1:29">
      <c r="A71" s="348" t="s">
        <v>47</v>
      </c>
      <c r="B71" s="348" t="s">
        <v>87</v>
      </c>
      <c r="C71" s="348" t="s">
        <v>90</v>
      </c>
      <c r="D71" s="348" t="s">
        <v>183</v>
      </c>
      <c r="E71" s="348" t="s">
        <v>182</v>
      </c>
      <c r="F71" s="517"/>
      <c r="G71" s="517"/>
      <c r="H71" s="517"/>
      <c r="I71" s="517"/>
      <c r="J71" s="517"/>
      <c r="K71" s="454"/>
      <c r="L71" s="352"/>
      <c r="M71" s="352"/>
      <c r="N71" s="352"/>
      <c r="O71" s="352"/>
    </row>
    <row r="72" spans="1:29">
      <c r="A72" s="348" t="s">
        <v>47</v>
      </c>
      <c r="B72" s="348" t="s">
        <v>83</v>
      </c>
      <c r="C72" s="348" t="s">
        <v>91</v>
      </c>
      <c r="D72" s="348" t="s">
        <v>183</v>
      </c>
      <c r="E72" s="348" t="s">
        <v>182</v>
      </c>
      <c r="F72" s="517"/>
      <c r="G72" s="517"/>
      <c r="H72" s="517"/>
      <c r="I72" s="517"/>
      <c r="J72" s="517"/>
      <c r="K72" s="454"/>
      <c r="L72" s="352"/>
      <c r="M72" s="352"/>
      <c r="N72" s="352"/>
      <c r="O72" s="352"/>
    </row>
    <row r="73" spans="1:29">
      <c r="A73" s="348" t="s">
        <v>47</v>
      </c>
      <c r="B73" s="348" t="s">
        <v>84</v>
      </c>
      <c r="C73" s="348" t="s">
        <v>92</v>
      </c>
      <c r="D73" s="348" t="s">
        <v>183</v>
      </c>
      <c r="E73" s="348" t="s">
        <v>182</v>
      </c>
      <c r="F73" s="517"/>
      <c r="G73" s="517"/>
      <c r="H73" s="517"/>
      <c r="I73" s="517"/>
      <c r="J73" s="517"/>
      <c r="K73" s="454"/>
      <c r="L73" s="352"/>
      <c r="M73" s="352"/>
      <c r="N73" s="352"/>
      <c r="O73" s="352"/>
    </row>
    <row r="74" spans="1:29">
      <c r="A74" s="348" t="s">
        <v>47</v>
      </c>
      <c r="B74" s="348" t="s">
        <v>85</v>
      </c>
      <c r="C74" s="348" t="s">
        <v>93</v>
      </c>
      <c r="D74" s="348" t="s">
        <v>183</v>
      </c>
      <c r="E74" s="348" t="s">
        <v>182</v>
      </c>
      <c r="F74" s="517"/>
      <c r="G74" s="517"/>
      <c r="H74" s="517"/>
      <c r="I74" s="517"/>
      <c r="J74" s="517"/>
      <c r="K74" s="454"/>
      <c r="L74" s="352"/>
      <c r="M74" s="352"/>
      <c r="N74" s="352"/>
      <c r="O74" s="352"/>
    </row>
    <row r="75" spans="1:29">
      <c r="A75" s="348" t="s">
        <v>47</v>
      </c>
      <c r="B75" s="348" t="s">
        <v>86</v>
      </c>
      <c r="C75" s="348" t="s">
        <v>94</v>
      </c>
      <c r="D75" s="348" t="s">
        <v>183</v>
      </c>
      <c r="E75" s="348" t="s">
        <v>182</v>
      </c>
      <c r="F75" s="517"/>
      <c r="G75" s="517"/>
      <c r="H75" s="517"/>
      <c r="I75" s="517"/>
      <c r="J75" s="517"/>
      <c r="K75" s="454"/>
      <c r="L75" s="352"/>
      <c r="M75" s="352"/>
      <c r="N75" s="352"/>
      <c r="O75" s="352"/>
    </row>
    <row r="76" spans="1:29">
      <c r="A76" s="348" t="s">
        <v>47</v>
      </c>
      <c r="B76" s="348" t="s">
        <v>174</v>
      </c>
      <c r="C76" s="348" t="s">
        <v>184</v>
      </c>
      <c r="D76" s="348" t="s">
        <v>74</v>
      </c>
      <c r="E76" s="348" t="s">
        <v>182</v>
      </c>
      <c r="F76" s="517"/>
      <c r="G76" s="517"/>
      <c r="H76" s="517"/>
      <c r="I76" s="517"/>
      <c r="J76" s="517"/>
      <c r="K76" s="454"/>
      <c r="L76" s="352"/>
      <c r="M76" s="352"/>
      <c r="N76" s="352"/>
      <c r="O76" s="352"/>
    </row>
    <row r="77" spans="1:29">
      <c r="A77" s="348" t="s">
        <v>47</v>
      </c>
      <c r="B77" s="348" t="s">
        <v>156</v>
      </c>
      <c r="C77" s="348" t="s">
        <v>157</v>
      </c>
      <c r="D77" s="348" t="s">
        <v>74</v>
      </c>
      <c r="E77" s="348" t="s">
        <v>182</v>
      </c>
      <c r="F77" s="517"/>
      <c r="G77" s="517"/>
      <c r="H77" s="517"/>
      <c r="I77" s="350">
        <f>VLOOKUP($B77,'New costs and adjustments'!$D$841:$O$844,COLUMN()-3,FALSE)</f>
        <v>7.4630000000000001</v>
      </c>
      <c r="J77" s="517"/>
      <c r="K77" s="452">
        <f>VLOOKUP($B77,'New costs and adjustments'!$D$841:$O$844,COLUMN()-3,FALSE)</f>
        <v>7.4406169022196718</v>
      </c>
      <c r="L77" s="350">
        <f>VLOOKUP($B77,'New costs and adjustments'!$D$841:$O$844,COLUMN()-3,FALSE)</f>
        <v>7.4406169022196718</v>
      </c>
      <c r="M77" s="350">
        <f>VLOOKUP($B77,'New costs and adjustments'!$D$841:$O$844,COLUMN()-3,FALSE)</f>
        <v>7.4406169022196718</v>
      </c>
      <c r="N77" s="350">
        <f>VLOOKUP($B77,'New costs and adjustments'!$D$841:$O$844,COLUMN()-3,FALSE)</f>
        <v>7.4406169022196718</v>
      </c>
      <c r="O77" s="350">
        <f>VLOOKUP($B77,'New costs and adjustments'!$D$841:$O$844,COLUMN()-3,FALSE)</f>
        <v>7.4406169022196718</v>
      </c>
    </row>
    <row r="78" spans="1:29">
      <c r="A78" s="348" t="s">
        <v>47</v>
      </c>
      <c r="B78" s="348" t="s">
        <v>159</v>
      </c>
      <c r="C78" s="348" t="s">
        <v>158</v>
      </c>
      <c r="D78" s="348" t="s">
        <v>74</v>
      </c>
      <c r="E78" s="348" t="s">
        <v>182</v>
      </c>
      <c r="F78" s="517"/>
      <c r="G78" s="517"/>
      <c r="H78" s="517"/>
      <c r="I78" s="517"/>
      <c r="J78" s="517"/>
      <c r="K78" s="454"/>
      <c r="L78" s="352"/>
      <c r="M78" s="352"/>
      <c r="N78" s="352"/>
      <c r="O78" s="352"/>
    </row>
    <row r="79" spans="1:29">
      <c r="A79" s="348" t="s">
        <v>48</v>
      </c>
      <c r="B79" s="348" t="s">
        <v>78</v>
      </c>
      <c r="C79" s="348" t="s">
        <v>132</v>
      </c>
      <c r="D79" s="348" t="s">
        <v>74</v>
      </c>
      <c r="E79" s="348" t="s">
        <v>182</v>
      </c>
      <c r="F79" s="517"/>
      <c r="G79" s="517"/>
      <c r="H79" s="517"/>
      <c r="I79" s="588">
        <f ca="1">VLOOKUP($B79,'New costs and adjustments'!$D$845:$O$848,COLUMN()-3,FALSE)</f>
        <v>60.206751966730003</v>
      </c>
      <c r="J79" s="517"/>
      <c r="K79" s="452">
        <f ca="1">VLOOKUP($B79,'New costs and adjustments'!$D$845:$O$848,COLUMN()-3,FALSE)</f>
        <v>55.837097216242782</v>
      </c>
      <c r="L79" s="350">
        <f ca="1">VLOOKUP($B79,'New costs and adjustments'!$D$845:$O$848,COLUMN()-3,FALSE)</f>
        <v>57.063726443016641</v>
      </c>
      <c r="M79" s="350">
        <f ca="1">VLOOKUP($B79,'New costs and adjustments'!$D$845:$O$848,COLUMN()-3,FALSE)</f>
        <v>56.417695374883394</v>
      </c>
      <c r="N79" s="350">
        <f ca="1">VLOOKUP($B79,'New costs and adjustments'!$D$845:$O$848,COLUMN()-3,FALSE)</f>
        <v>52.170684363031512</v>
      </c>
      <c r="O79" s="350">
        <f ca="1">VLOOKUP($B79,'New costs and adjustments'!$D$845:$O$848,COLUMN()-3,FALSE)</f>
        <v>52.251083428382522</v>
      </c>
      <c r="AC79" s="351" t="s">
        <v>221</v>
      </c>
    </row>
    <row r="80" spans="1:29">
      <c r="A80" s="348" t="s">
        <v>48</v>
      </c>
      <c r="B80" s="348" t="s">
        <v>97</v>
      </c>
      <c r="C80" s="348" t="s">
        <v>99</v>
      </c>
      <c r="D80" s="348" t="s">
        <v>74</v>
      </c>
      <c r="E80" s="348" t="s">
        <v>182</v>
      </c>
      <c r="F80" s="517"/>
      <c r="G80" s="517"/>
      <c r="H80" s="517"/>
      <c r="I80" s="588">
        <f>VLOOKUP($B80,'New costs and adjustments'!$D$845:$O$848,COLUMN()-3,FALSE)</f>
        <v>10.425196680400001</v>
      </c>
      <c r="J80" s="517"/>
      <c r="K80" s="452">
        <f>VLOOKUP($B80,'New costs and adjustments'!$D$845:$O$848,COLUMN()-3,FALSE)</f>
        <v>7.3746752036279997</v>
      </c>
      <c r="L80" s="350">
        <f>VLOOKUP($B80,'New costs and adjustments'!$D$845:$O$848,COLUMN()-3,FALSE)</f>
        <v>6.5280863914739999</v>
      </c>
      <c r="M80" s="350">
        <f>VLOOKUP($B80,'New costs and adjustments'!$D$845:$O$848,COLUMN()-3,FALSE)</f>
        <v>5.6242219230900004</v>
      </c>
      <c r="N80" s="350">
        <f>VLOOKUP($B80,'New costs and adjustments'!$D$845:$O$848,COLUMN()-3,FALSE)</f>
        <v>4.794027253656</v>
      </c>
      <c r="O80" s="350">
        <f>VLOOKUP($B80,'New costs and adjustments'!$D$845:$O$848,COLUMN()-3,FALSE)</f>
        <v>3.9092800866980002</v>
      </c>
    </row>
    <row r="81" spans="1:29">
      <c r="A81" s="348" t="s">
        <v>48</v>
      </c>
      <c r="B81" s="348" t="s">
        <v>98</v>
      </c>
      <c r="C81" s="348" t="s">
        <v>100</v>
      </c>
      <c r="D81" s="348" t="s">
        <v>74</v>
      </c>
      <c r="E81" s="348" t="s">
        <v>182</v>
      </c>
      <c r="F81" s="517"/>
      <c r="G81" s="517"/>
      <c r="H81" s="517"/>
      <c r="I81" s="588">
        <f>VLOOKUP($B81,'New costs and adjustments'!$D$845:$O$848,COLUMN()-3,FALSE)</f>
        <v>0</v>
      </c>
      <c r="J81" s="517"/>
      <c r="K81" s="452">
        <f>VLOOKUP($B81,'New costs and adjustments'!$D$845:$O$848,COLUMN()-3,FALSE)</f>
        <v>0.26744038737173303</v>
      </c>
      <c r="L81" s="350">
        <f>VLOOKUP($B81,'New costs and adjustments'!$D$845:$O$848,COLUMN()-3,FALSE)</f>
        <v>0.80933481688000097</v>
      </c>
      <c r="M81" s="350">
        <f>VLOOKUP($B81,'New costs and adjustments'!$D$845:$O$848,COLUMN()-3,FALSE)</f>
        <v>1.356914119408005</v>
      </c>
      <c r="N81" s="350">
        <f>VLOOKUP($B81,'New costs and adjustments'!$D$845:$O$848,COLUMN()-3,FALSE)</f>
        <v>1.904493421936009</v>
      </c>
      <c r="O81" s="350">
        <f>VLOOKUP($B81,'New costs and adjustments'!$D$845:$O$848,COLUMN()-3,FALSE)</f>
        <v>2.4463878514442801</v>
      </c>
    </row>
    <row r="82" spans="1:29">
      <c r="A82" s="348" t="s">
        <v>48</v>
      </c>
      <c r="B82" s="348" t="s">
        <v>79</v>
      </c>
      <c r="C82" s="348" t="s">
        <v>135</v>
      </c>
      <c r="D82" s="348" t="s">
        <v>74</v>
      </c>
      <c r="E82" s="348" t="s">
        <v>182</v>
      </c>
      <c r="F82" s="517"/>
      <c r="G82" s="517"/>
      <c r="H82" s="517"/>
      <c r="I82" s="589"/>
      <c r="J82" s="517"/>
      <c r="K82" s="453"/>
      <c r="L82" s="349"/>
      <c r="M82" s="349"/>
      <c r="N82" s="349"/>
      <c r="O82" s="349"/>
    </row>
    <row r="83" spans="1:29">
      <c r="A83" s="348" t="s">
        <v>48</v>
      </c>
      <c r="B83" s="348" t="s">
        <v>80</v>
      </c>
      <c r="C83" s="348" t="s">
        <v>136</v>
      </c>
      <c r="D83" s="348" t="s">
        <v>74</v>
      </c>
      <c r="E83" s="348" t="s">
        <v>182</v>
      </c>
      <c r="F83" s="517"/>
      <c r="G83" s="517"/>
      <c r="H83" s="517"/>
      <c r="I83" s="589"/>
      <c r="J83" s="517"/>
      <c r="K83" s="454"/>
      <c r="L83" s="352"/>
      <c r="M83" s="352"/>
      <c r="N83" s="352"/>
      <c r="O83" s="352"/>
    </row>
    <row r="84" spans="1:29">
      <c r="A84" s="348" t="s">
        <v>48</v>
      </c>
      <c r="B84" s="348" t="s">
        <v>81</v>
      </c>
      <c r="C84" s="348" t="s">
        <v>137</v>
      </c>
      <c r="D84" s="348" t="s">
        <v>74</v>
      </c>
      <c r="E84" s="348" t="s">
        <v>182</v>
      </c>
      <c r="F84" s="517"/>
      <c r="G84" s="517"/>
      <c r="H84" s="517"/>
      <c r="I84" s="589"/>
      <c r="J84" s="517"/>
      <c r="K84" s="454"/>
      <c r="L84" s="352"/>
      <c r="M84" s="352"/>
      <c r="N84" s="352"/>
      <c r="O84" s="352"/>
    </row>
    <row r="85" spans="1:29">
      <c r="A85" s="348" t="s">
        <v>48</v>
      </c>
      <c r="B85" s="348" t="s">
        <v>82</v>
      </c>
      <c r="C85" s="348" t="s">
        <v>89</v>
      </c>
      <c r="D85" s="348" t="s">
        <v>183</v>
      </c>
      <c r="E85" s="348" t="s">
        <v>182</v>
      </c>
      <c r="F85" s="517"/>
      <c r="G85" s="517"/>
      <c r="H85" s="517"/>
      <c r="I85" s="589"/>
      <c r="J85" s="517"/>
      <c r="K85" s="454"/>
      <c r="L85" s="352"/>
      <c r="M85" s="352"/>
      <c r="N85" s="352"/>
      <c r="O85" s="352"/>
    </row>
    <row r="86" spans="1:29">
      <c r="A86" s="348" t="s">
        <v>48</v>
      </c>
      <c r="B86" s="348" t="s">
        <v>87</v>
      </c>
      <c r="C86" s="348" t="s">
        <v>90</v>
      </c>
      <c r="D86" s="348" t="s">
        <v>183</v>
      </c>
      <c r="E86" s="348" t="s">
        <v>182</v>
      </c>
      <c r="F86" s="517"/>
      <c r="G86" s="517"/>
      <c r="H86" s="517"/>
      <c r="I86" s="589"/>
      <c r="J86" s="517"/>
      <c r="K86" s="454"/>
      <c r="L86" s="352"/>
      <c r="M86" s="352"/>
      <c r="N86" s="352"/>
      <c r="O86" s="352"/>
    </row>
    <row r="87" spans="1:29">
      <c r="A87" s="348" t="s">
        <v>48</v>
      </c>
      <c r="B87" s="348" t="s">
        <v>83</v>
      </c>
      <c r="C87" s="348" t="s">
        <v>91</v>
      </c>
      <c r="D87" s="348" t="s">
        <v>183</v>
      </c>
      <c r="E87" s="348" t="s">
        <v>182</v>
      </c>
      <c r="F87" s="517"/>
      <c r="G87" s="517"/>
      <c r="H87" s="517"/>
      <c r="I87" s="589"/>
      <c r="J87" s="517"/>
      <c r="K87" s="454"/>
      <c r="L87" s="352"/>
      <c r="M87" s="352"/>
      <c r="N87" s="352"/>
      <c r="O87" s="352"/>
    </row>
    <row r="88" spans="1:29">
      <c r="A88" s="348" t="s">
        <v>48</v>
      </c>
      <c r="B88" s="348" t="s">
        <v>84</v>
      </c>
      <c r="C88" s="348" t="s">
        <v>92</v>
      </c>
      <c r="D88" s="348" t="s">
        <v>183</v>
      </c>
      <c r="E88" s="348" t="s">
        <v>182</v>
      </c>
      <c r="F88" s="517"/>
      <c r="G88" s="517"/>
      <c r="H88" s="517"/>
      <c r="I88" s="589"/>
      <c r="J88" s="517"/>
      <c r="K88" s="454"/>
      <c r="L88" s="352"/>
      <c r="M88" s="352"/>
      <c r="N88" s="352"/>
      <c r="O88" s="352"/>
    </row>
    <row r="89" spans="1:29">
      <c r="A89" s="348" t="s">
        <v>48</v>
      </c>
      <c r="B89" s="348" t="s">
        <v>85</v>
      </c>
      <c r="C89" s="348" t="s">
        <v>93</v>
      </c>
      <c r="D89" s="348" t="s">
        <v>183</v>
      </c>
      <c r="E89" s="348" t="s">
        <v>182</v>
      </c>
      <c r="F89" s="517"/>
      <c r="G89" s="517"/>
      <c r="H89" s="517"/>
      <c r="I89" s="589"/>
      <c r="J89" s="517"/>
      <c r="K89" s="454"/>
      <c r="L89" s="352"/>
      <c r="M89" s="352"/>
      <c r="N89" s="352"/>
      <c r="O89" s="352"/>
    </row>
    <row r="90" spans="1:29">
      <c r="A90" s="348" t="s">
        <v>48</v>
      </c>
      <c r="B90" s="348" t="s">
        <v>86</v>
      </c>
      <c r="C90" s="348" t="s">
        <v>94</v>
      </c>
      <c r="D90" s="348" t="s">
        <v>183</v>
      </c>
      <c r="E90" s="348" t="s">
        <v>182</v>
      </c>
      <c r="F90" s="517"/>
      <c r="G90" s="517"/>
      <c r="H90" s="517"/>
      <c r="I90" s="589"/>
      <c r="J90" s="517"/>
      <c r="K90" s="454"/>
      <c r="L90" s="352"/>
      <c r="M90" s="352"/>
      <c r="N90" s="352"/>
      <c r="O90" s="352"/>
    </row>
    <row r="91" spans="1:29">
      <c r="A91" s="348" t="s">
        <v>48</v>
      </c>
      <c r="B91" s="348" t="s">
        <v>174</v>
      </c>
      <c r="C91" s="348" t="s">
        <v>184</v>
      </c>
      <c r="D91" s="348" t="s">
        <v>74</v>
      </c>
      <c r="E91" s="348" t="s">
        <v>182</v>
      </c>
      <c r="F91" s="517"/>
      <c r="G91" s="517"/>
      <c r="H91" s="517"/>
      <c r="I91" s="589"/>
      <c r="J91" s="517"/>
      <c r="K91" s="454"/>
      <c r="L91" s="352"/>
      <c r="M91" s="352"/>
      <c r="N91" s="352"/>
      <c r="O91" s="352"/>
    </row>
    <row r="92" spans="1:29">
      <c r="A92" s="348" t="s">
        <v>48</v>
      </c>
      <c r="B92" s="348" t="s">
        <v>156</v>
      </c>
      <c r="C92" s="348" t="s">
        <v>157</v>
      </c>
      <c r="D92" s="348" t="s">
        <v>74</v>
      </c>
      <c r="E92" s="348" t="s">
        <v>182</v>
      </c>
      <c r="F92" s="517"/>
      <c r="G92" s="517"/>
      <c r="H92" s="517"/>
      <c r="I92" s="588">
        <f>VLOOKUP($B92,'New costs and adjustments'!$D$845:$O$848,COLUMN()-3,FALSE)</f>
        <v>1.2784</v>
      </c>
      <c r="J92" s="517"/>
      <c r="K92" s="452">
        <f>VLOOKUP($B92,'New costs and adjustments'!$D$845:$O$848,COLUMN()-3,FALSE)</f>
        <v>0.75496607880118127</v>
      </c>
      <c r="L92" s="350">
        <f>VLOOKUP($B92,'New costs and adjustments'!$D$845:$O$848,COLUMN()-3,FALSE)</f>
        <v>0.75496607880118127</v>
      </c>
      <c r="M92" s="350">
        <f>VLOOKUP($B92,'New costs and adjustments'!$D$845:$O$848,COLUMN()-3,FALSE)</f>
        <v>0.75496607880118127</v>
      </c>
      <c r="N92" s="350">
        <f>VLOOKUP($B92,'New costs and adjustments'!$D$845:$O$848,COLUMN()-3,FALSE)</f>
        <v>0.75496607880118127</v>
      </c>
      <c r="O92" s="350">
        <f>VLOOKUP($B92,'New costs and adjustments'!$D$845:$O$848,COLUMN()-3,FALSE)</f>
        <v>0.75496607880118127</v>
      </c>
    </row>
    <row r="93" spans="1:29">
      <c r="A93" s="348" t="s">
        <v>48</v>
      </c>
      <c r="B93" s="348" t="s">
        <v>159</v>
      </c>
      <c r="C93" s="348" t="s">
        <v>158</v>
      </c>
      <c r="D93" s="348" t="s">
        <v>74</v>
      </c>
      <c r="E93" s="348" t="s">
        <v>182</v>
      </c>
      <c r="F93" s="517"/>
      <c r="G93" s="517"/>
      <c r="H93" s="517"/>
      <c r="I93" s="517"/>
      <c r="J93" s="517"/>
      <c r="K93" s="454"/>
      <c r="L93" s="352"/>
      <c r="M93" s="352"/>
      <c r="N93" s="352"/>
      <c r="O93" s="352"/>
    </row>
    <row r="94" spans="1:29">
      <c r="A94" s="348" t="s">
        <v>49</v>
      </c>
      <c r="B94" s="348" t="s">
        <v>78</v>
      </c>
      <c r="C94" s="348" t="s">
        <v>132</v>
      </c>
      <c r="D94" s="348" t="s">
        <v>74</v>
      </c>
      <c r="E94" s="348" t="s">
        <v>182</v>
      </c>
      <c r="F94" s="517"/>
      <c r="G94" s="517"/>
      <c r="H94" s="517"/>
      <c r="I94" s="350">
        <f ca="1">VLOOKUP($B94,'New costs and adjustments'!$D$849:$O$852,COLUMN()-3,FALSE)</f>
        <v>143.80863444601991</v>
      </c>
      <c r="J94" s="517"/>
      <c r="K94" s="452">
        <f ca="1">VLOOKUP($B94,'New costs and adjustments'!$D$849:$O$852,COLUMN()-3,FALSE)</f>
        <v>146.21326931709376</v>
      </c>
      <c r="L94" s="350">
        <f ca="1">VLOOKUP($B94,'New costs and adjustments'!$D$849:$O$852,COLUMN()-3,FALSE)</f>
        <v>151.19846424584784</v>
      </c>
      <c r="M94" s="350">
        <f ca="1">VLOOKUP($B94,'New costs and adjustments'!$D$849:$O$852,COLUMN()-3,FALSE)</f>
        <v>151.50074453885617</v>
      </c>
      <c r="N94" s="350">
        <f ca="1">VLOOKUP($B94,'New costs and adjustments'!$D$849:$O$852,COLUMN()-3,FALSE)</f>
        <v>153.04227683696632</v>
      </c>
      <c r="O94" s="350">
        <f ca="1">VLOOKUP($B94,'New costs and adjustments'!$D$849:$O$852,COLUMN()-3,FALSE)</f>
        <v>148.83367983140838</v>
      </c>
      <c r="AC94" s="351" t="s">
        <v>222</v>
      </c>
    </row>
    <row r="95" spans="1:29">
      <c r="A95" s="348" t="s">
        <v>49</v>
      </c>
      <c r="B95" s="348" t="s">
        <v>97</v>
      </c>
      <c r="C95" s="348" t="s">
        <v>99</v>
      </c>
      <c r="D95" s="348" t="s">
        <v>74</v>
      </c>
      <c r="E95" s="348" t="s">
        <v>182</v>
      </c>
      <c r="F95" s="517"/>
      <c r="G95" s="517"/>
      <c r="H95" s="517"/>
      <c r="I95" s="350">
        <f>VLOOKUP($B95,'New costs and adjustments'!$D$849:$O$852,COLUMN()-3,FALSE)</f>
        <v>2.0080742294415099</v>
      </c>
      <c r="J95" s="517"/>
      <c r="K95" s="452">
        <f>VLOOKUP($B95,'New costs and adjustments'!$D$849:$O$852,COLUMN()-3,FALSE)</f>
        <v>7.4306522188191497</v>
      </c>
      <c r="L95" s="350">
        <f>VLOOKUP($B95,'New costs and adjustments'!$D$849:$O$852,COLUMN()-3,FALSE)</f>
        <v>6.9884093464106805</v>
      </c>
      <c r="M95" s="350">
        <f>VLOOKUP($B95,'New costs and adjustments'!$D$849:$O$852,COLUMN()-3,FALSE)</f>
        <v>4.2912138058975202</v>
      </c>
      <c r="N95" s="350">
        <f>VLOOKUP($B95,'New costs and adjustments'!$D$849:$O$852,COLUMN()-3,FALSE)</f>
        <v>2.6554011591646693</v>
      </c>
      <c r="O95" s="350">
        <f>VLOOKUP($B95,'New costs and adjustments'!$D$849:$O$852,COLUMN()-3,FALSE)</f>
        <v>0.68231757457305997</v>
      </c>
    </row>
    <row r="96" spans="1:29">
      <c r="A96" s="348" t="s">
        <v>49</v>
      </c>
      <c r="B96" s="348" t="s">
        <v>98</v>
      </c>
      <c r="C96" s="348" t="s">
        <v>100</v>
      </c>
      <c r="D96" s="348" t="s">
        <v>74</v>
      </c>
      <c r="E96" s="348" t="s">
        <v>182</v>
      </c>
      <c r="F96" s="517"/>
      <c r="G96" s="517"/>
      <c r="H96" s="517"/>
      <c r="I96" s="350">
        <f>VLOOKUP($B96,'New costs and adjustments'!$D$849:$O$852,COLUMN()-3,FALSE)</f>
        <v>0</v>
      </c>
      <c r="J96" s="517"/>
      <c r="K96" s="452">
        <f>VLOOKUP($B96,'New costs and adjustments'!$D$849:$O$852,COLUMN()-3,FALSE)</f>
        <v>0.72216803120766804</v>
      </c>
      <c r="L96" s="350">
        <f>VLOOKUP($B96,'New costs and adjustments'!$D$849:$O$852,COLUMN()-3,FALSE)</f>
        <v>2.7438497336463601</v>
      </c>
      <c r="M96" s="350">
        <f>VLOOKUP($B96,'New costs and adjustments'!$D$849:$O$852,COLUMN()-3,FALSE)</f>
        <v>5.6296059714062103</v>
      </c>
      <c r="N96" s="350">
        <f>VLOOKUP($B96,'New costs and adjustments'!$D$849:$O$852,COLUMN()-3,FALSE)</f>
        <v>8.4813435266731005</v>
      </c>
      <c r="O96" s="350">
        <f>VLOOKUP($B96,'New costs and adjustments'!$D$849:$O$852,COLUMN()-3,FALSE)</f>
        <v>10.0636982437742</v>
      </c>
    </row>
    <row r="97" spans="1:29">
      <c r="A97" s="348" t="s">
        <v>49</v>
      </c>
      <c r="B97" s="348" t="s">
        <v>79</v>
      </c>
      <c r="C97" s="348" t="s">
        <v>135</v>
      </c>
      <c r="D97" s="348" t="s">
        <v>74</v>
      </c>
      <c r="E97" s="348" t="s">
        <v>182</v>
      </c>
      <c r="F97" s="517"/>
      <c r="G97" s="517"/>
      <c r="H97" s="517"/>
      <c r="I97" s="517"/>
      <c r="J97" s="517"/>
      <c r="K97" s="453"/>
      <c r="L97" s="349"/>
      <c r="M97" s="349"/>
      <c r="N97" s="349"/>
      <c r="O97" s="349"/>
    </row>
    <row r="98" spans="1:29">
      <c r="A98" s="348" t="s">
        <v>49</v>
      </c>
      <c r="B98" s="348" t="s">
        <v>80</v>
      </c>
      <c r="C98" s="348" t="s">
        <v>136</v>
      </c>
      <c r="D98" s="348" t="s">
        <v>74</v>
      </c>
      <c r="E98" s="348" t="s">
        <v>182</v>
      </c>
      <c r="F98" s="517"/>
      <c r="G98" s="517"/>
      <c r="H98" s="517"/>
      <c r="I98" s="517"/>
      <c r="J98" s="517"/>
      <c r="K98" s="454"/>
      <c r="L98" s="352"/>
      <c r="M98" s="352"/>
      <c r="N98" s="352"/>
      <c r="O98" s="352"/>
    </row>
    <row r="99" spans="1:29">
      <c r="A99" s="348" t="s">
        <v>49</v>
      </c>
      <c r="B99" s="348" t="s">
        <v>81</v>
      </c>
      <c r="C99" s="348" t="s">
        <v>137</v>
      </c>
      <c r="D99" s="348" t="s">
        <v>74</v>
      </c>
      <c r="E99" s="348" t="s">
        <v>182</v>
      </c>
      <c r="F99" s="517"/>
      <c r="G99" s="517"/>
      <c r="H99" s="517"/>
      <c r="I99" s="517"/>
      <c r="J99" s="517"/>
      <c r="K99" s="454"/>
      <c r="L99" s="352"/>
      <c r="M99" s="352"/>
      <c r="N99" s="352"/>
      <c r="O99" s="352"/>
    </row>
    <row r="100" spans="1:29">
      <c r="A100" s="348" t="s">
        <v>49</v>
      </c>
      <c r="B100" s="348" t="s">
        <v>82</v>
      </c>
      <c r="C100" s="348" t="s">
        <v>89</v>
      </c>
      <c r="D100" s="348" t="s">
        <v>183</v>
      </c>
      <c r="E100" s="348" t="s">
        <v>182</v>
      </c>
      <c r="F100" s="517"/>
      <c r="G100" s="517"/>
      <c r="H100" s="517"/>
      <c r="I100" s="517"/>
      <c r="J100" s="517"/>
      <c r="K100" s="454"/>
      <c r="L100" s="352"/>
      <c r="M100" s="352"/>
      <c r="N100" s="352"/>
      <c r="O100" s="352"/>
    </row>
    <row r="101" spans="1:29">
      <c r="A101" s="348" t="s">
        <v>49</v>
      </c>
      <c r="B101" s="348" t="s">
        <v>87</v>
      </c>
      <c r="C101" s="348" t="s">
        <v>90</v>
      </c>
      <c r="D101" s="348" t="s">
        <v>183</v>
      </c>
      <c r="E101" s="348" t="s">
        <v>182</v>
      </c>
      <c r="F101" s="517"/>
      <c r="G101" s="517"/>
      <c r="H101" s="517"/>
      <c r="I101" s="517"/>
      <c r="J101" s="517"/>
      <c r="K101" s="454"/>
      <c r="L101" s="352"/>
      <c r="M101" s="352"/>
      <c r="N101" s="352"/>
      <c r="O101" s="352"/>
    </row>
    <row r="102" spans="1:29">
      <c r="A102" s="348" t="s">
        <v>49</v>
      </c>
      <c r="B102" s="348" t="s">
        <v>83</v>
      </c>
      <c r="C102" s="348" t="s">
        <v>91</v>
      </c>
      <c r="D102" s="348" t="s">
        <v>183</v>
      </c>
      <c r="E102" s="348" t="s">
        <v>182</v>
      </c>
      <c r="F102" s="517"/>
      <c r="G102" s="517"/>
      <c r="H102" s="517"/>
      <c r="I102" s="517"/>
      <c r="J102" s="517"/>
      <c r="K102" s="454"/>
      <c r="L102" s="352"/>
      <c r="M102" s="352"/>
      <c r="N102" s="352"/>
      <c r="O102" s="352"/>
    </row>
    <row r="103" spans="1:29">
      <c r="A103" s="348" t="s">
        <v>49</v>
      </c>
      <c r="B103" s="348" t="s">
        <v>84</v>
      </c>
      <c r="C103" s="348" t="s">
        <v>92</v>
      </c>
      <c r="D103" s="348" t="s">
        <v>183</v>
      </c>
      <c r="E103" s="348" t="s">
        <v>182</v>
      </c>
      <c r="F103" s="517"/>
      <c r="G103" s="517"/>
      <c r="H103" s="517"/>
      <c r="I103" s="517"/>
      <c r="J103" s="517"/>
      <c r="K103" s="454"/>
      <c r="L103" s="352"/>
      <c r="M103" s="352"/>
      <c r="N103" s="352"/>
      <c r="O103" s="352"/>
    </row>
    <row r="104" spans="1:29">
      <c r="A104" s="348" t="s">
        <v>49</v>
      </c>
      <c r="B104" s="348" t="s">
        <v>85</v>
      </c>
      <c r="C104" s="348" t="s">
        <v>93</v>
      </c>
      <c r="D104" s="348" t="s">
        <v>183</v>
      </c>
      <c r="E104" s="348" t="s">
        <v>182</v>
      </c>
      <c r="F104" s="517"/>
      <c r="G104" s="517"/>
      <c r="H104" s="517"/>
      <c r="I104" s="517"/>
      <c r="J104" s="517"/>
      <c r="K104" s="454"/>
      <c r="L104" s="352"/>
      <c r="M104" s="352"/>
      <c r="N104" s="352"/>
      <c r="O104" s="352"/>
    </row>
    <row r="105" spans="1:29">
      <c r="A105" s="348" t="s">
        <v>49</v>
      </c>
      <c r="B105" s="348" t="s">
        <v>86</v>
      </c>
      <c r="C105" s="348" t="s">
        <v>94</v>
      </c>
      <c r="D105" s="348" t="s">
        <v>183</v>
      </c>
      <c r="E105" s="348" t="s">
        <v>182</v>
      </c>
      <c r="F105" s="517"/>
      <c r="G105" s="517"/>
      <c r="H105" s="517"/>
      <c r="I105" s="517"/>
      <c r="J105" s="517"/>
      <c r="K105" s="454"/>
      <c r="L105" s="352"/>
      <c r="M105" s="352"/>
      <c r="N105" s="352"/>
      <c r="O105" s="352"/>
    </row>
    <row r="106" spans="1:29">
      <c r="A106" s="348" t="s">
        <v>49</v>
      </c>
      <c r="B106" s="348" t="s">
        <v>174</v>
      </c>
      <c r="C106" s="348" t="s">
        <v>184</v>
      </c>
      <c r="D106" s="348" t="s">
        <v>74</v>
      </c>
      <c r="E106" s="348" t="s">
        <v>182</v>
      </c>
      <c r="F106" s="517"/>
      <c r="G106" s="517"/>
      <c r="H106" s="517"/>
      <c r="I106" s="517"/>
      <c r="J106" s="517"/>
      <c r="K106" s="454"/>
      <c r="L106" s="352"/>
      <c r="M106" s="352"/>
      <c r="N106" s="352"/>
      <c r="O106" s="352"/>
    </row>
    <row r="107" spans="1:29">
      <c r="A107" s="348" t="s">
        <v>49</v>
      </c>
      <c r="B107" s="348" t="s">
        <v>156</v>
      </c>
      <c r="C107" s="348" t="s">
        <v>157</v>
      </c>
      <c r="D107" s="348" t="s">
        <v>74</v>
      </c>
      <c r="E107" s="348" t="s">
        <v>182</v>
      </c>
      <c r="F107" s="517"/>
      <c r="G107" s="517"/>
      <c r="H107" s="517"/>
      <c r="I107" s="350">
        <f>VLOOKUP($B107,'New costs and adjustments'!$D$849:$O$852,COLUMN()-3,FALSE)</f>
        <v>1.6</v>
      </c>
      <c r="J107" s="517"/>
      <c r="K107" s="452">
        <f>VLOOKUP($B107,'New costs and adjustments'!$D$849:$O$852,COLUMN()-3,FALSE)</f>
        <v>1.6273394076498013</v>
      </c>
      <c r="L107" s="350">
        <f>VLOOKUP($B107,'New costs and adjustments'!$D$849:$O$852,COLUMN()-3,FALSE)</f>
        <v>1.6273394076498013</v>
      </c>
      <c r="M107" s="350">
        <f>VLOOKUP($B107,'New costs and adjustments'!$D$849:$O$852,COLUMN()-3,FALSE)</f>
        <v>1.6273394076498013</v>
      </c>
      <c r="N107" s="350">
        <f>VLOOKUP($B107,'New costs and adjustments'!$D$849:$O$852,COLUMN()-3,FALSE)</f>
        <v>1.6273394076498013</v>
      </c>
      <c r="O107" s="350">
        <f>VLOOKUP($B107,'New costs and adjustments'!$D$849:$O$852,COLUMN()-3,FALSE)</f>
        <v>1.6273394076498013</v>
      </c>
    </row>
    <row r="108" spans="1:29">
      <c r="A108" s="348" t="s">
        <v>49</v>
      </c>
      <c r="B108" s="348" t="s">
        <v>159</v>
      </c>
      <c r="C108" s="348" t="s">
        <v>158</v>
      </c>
      <c r="D108" s="348" t="s">
        <v>74</v>
      </c>
      <c r="E108" s="348" t="s">
        <v>182</v>
      </c>
      <c r="F108" s="517"/>
      <c r="G108" s="517"/>
      <c r="H108" s="517"/>
      <c r="I108" s="517"/>
      <c r="J108" s="517"/>
      <c r="K108" s="454"/>
      <c r="L108" s="352"/>
      <c r="M108" s="352"/>
      <c r="N108" s="352"/>
      <c r="O108" s="352"/>
    </row>
    <row r="109" spans="1:29">
      <c r="A109" s="348" t="s">
        <v>50</v>
      </c>
      <c r="B109" s="348" t="s">
        <v>78</v>
      </c>
      <c r="C109" s="348" t="s">
        <v>132</v>
      </c>
      <c r="D109" s="348" t="s">
        <v>74</v>
      </c>
      <c r="E109" s="348" t="s">
        <v>182</v>
      </c>
      <c r="F109" s="517"/>
      <c r="G109" s="517"/>
      <c r="H109" s="517"/>
      <c r="I109" s="350">
        <f ca="1">VLOOKUP($B109,'New costs and adjustments'!$D$853:$O$856,COLUMN()-3,FALSE)</f>
        <v>96.044181517085306</v>
      </c>
      <c r="J109" s="517"/>
      <c r="K109" s="452">
        <f ca="1">VLOOKUP($B109,'New costs and adjustments'!$D$853:$O$856,COLUMN()-3,FALSE)</f>
        <v>98.57633261772753</v>
      </c>
      <c r="L109" s="350">
        <f ca="1">VLOOKUP($B109,'New costs and adjustments'!$D$853:$O$856,COLUMN()-3,FALSE)</f>
        <v>101.32390615971616</v>
      </c>
      <c r="M109" s="350">
        <f ca="1">VLOOKUP($B109,'New costs and adjustments'!$D$853:$O$856,COLUMN()-3,FALSE)</f>
        <v>102.93256070195426</v>
      </c>
      <c r="N109" s="350">
        <f ca="1">VLOOKUP($B109,'New costs and adjustments'!$D$853:$O$856,COLUMN()-3,FALSE)</f>
        <v>100.7083044664881</v>
      </c>
      <c r="O109" s="350">
        <f ca="1">VLOOKUP($B109,'New costs and adjustments'!$D$853:$O$856,COLUMN()-3,FALSE)</f>
        <v>101.11291446038078</v>
      </c>
      <c r="AC109" s="351" t="s">
        <v>223</v>
      </c>
    </row>
    <row r="110" spans="1:29">
      <c r="A110" s="348" t="s">
        <v>50</v>
      </c>
      <c r="B110" s="348" t="s">
        <v>97</v>
      </c>
      <c r="C110" s="348" t="s">
        <v>99</v>
      </c>
      <c r="D110" s="348" t="s">
        <v>74</v>
      </c>
      <c r="E110" s="348" t="s">
        <v>182</v>
      </c>
      <c r="F110" s="517"/>
      <c r="G110" s="517"/>
      <c r="H110" s="517"/>
      <c r="I110" s="350">
        <f>VLOOKUP($B110,'New costs and adjustments'!$D$853:$O$856,COLUMN()-3,FALSE)</f>
        <v>12.98621679740692</v>
      </c>
      <c r="J110" s="517"/>
      <c r="K110" s="452">
        <f>VLOOKUP($B110,'New costs and adjustments'!$D$853:$O$856,COLUMN()-3,FALSE)</f>
        <v>10.458663373944731</v>
      </c>
      <c r="L110" s="350">
        <f>VLOOKUP($B110,'New costs and adjustments'!$D$853:$O$856,COLUMN()-3,FALSE)</f>
        <v>9.2206384200923885</v>
      </c>
      <c r="M110" s="350">
        <f>VLOOKUP($B110,'New costs and adjustments'!$D$853:$O$856,COLUMN()-3,FALSE)</f>
        <v>8.7966878146498395</v>
      </c>
      <c r="N110" s="350">
        <f>VLOOKUP($B110,'New costs and adjustments'!$D$853:$O$856,COLUMN()-3,FALSE)</f>
        <v>7.0780145616657197</v>
      </c>
      <c r="O110" s="350">
        <f>VLOOKUP($B110,'New costs and adjustments'!$D$853:$O$856,COLUMN()-3,FALSE)</f>
        <v>5.3462616084032906</v>
      </c>
    </row>
    <row r="111" spans="1:29">
      <c r="A111" s="348" t="s">
        <v>50</v>
      </c>
      <c r="B111" s="348" t="s">
        <v>98</v>
      </c>
      <c r="C111" s="348" t="s">
        <v>100</v>
      </c>
      <c r="D111" s="348" t="s">
        <v>74</v>
      </c>
      <c r="E111" s="348" t="s">
        <v>182</v>
      </c>
      <c r="F111" s="517"/>
      <c r="G111" s="517"/>
      <c r="H111" s="517"/>
      <c r="I111" s="350">
        <f>VLOOKUP($B111,'New costs and adjustments'!$D$853:$O$856,COLUMN()-3,FALSE)</f>
        <v>0</v>
      </c>
      <c r="J111" s="517"/>
      <c r="K111" s="452">
        <f>VLOOKUP($B111,'New costs and adjustments'!$D$853:$O$856,COLUMN()-3,FALSE)</f>
        <v>1.0771538540932137</v>
      </c>
      <c r="L111" s="350">
        <f>VLOOKUP($B111,'New costs and adjustments'!$D$853:$O$856,COLUMN()-3,FALSE)</f>
        <v>2.4341750454482081</v>
      </c>
      <c r="M111" s="350">
        <f>VLOOKUP($B111,'New costs and adjustments'!$D$853:$O$856,COLUMN()-3,FALSE)</f>
        <v>3.543586485153682</v>
      </c>
      <c r="N111" s="350">
        <f>VLOOKUP($B111,'New costs and adjustments'!$D$853:$O$856,COLUMN()-3,FALSE)</f>
        <v>7.1392022125432195</v>
      </c>
      <c r="O111" s="350">
        <f>VLOOKUP($B111,'New costs and adjustments'!$D$853:$O$856,COLUMN()-3,FALSE)</f>
        <v>10.831931083424301</v>
      </c>
    </row>
    <row r="112" spans="1:29">
      <c r="A112" s="348" t="s">
        <v>50</v>
      </c>
      <c r="B112" s="348" t="s">
        <v>79</v>
      </c>
      <c r="C112" s="348" t="s">
        <v>135</v>
      </c>
      <c r="D112" s="348" t="s">
        <v>74</v>
      </c>
      <c r="E112" s="348" t="s">
        <v>182</v>
      </c>
      <c r="F112" s="517"/>
      <c r="G112" s="517"/>
      <c r="H112" s="517"/>
      <c r="I112" s="517"/>
      <c r="J112" s="517"/>
      <c r="K112" s="453"/>
      <c r="L112" s="349"/>
      <c r="M112" s="349"/>
      <c r="N112" s="349"/>
      <c r="O112" s="349"/>
    </row>
    <row r="113" spans="1:29">
      <c r="A113" s="348" t="s">
        <v>50</v>
      </c>
      <c r="B113" s="348" t="s">
        <v>80</v>
      </c>
      <c r="C113" s="348" t="s">
        <v>136</v>
      </c>
      <c r="D113" s="348" t="s">
        <v>74</v>
      </c>
      <c r="E113" s="348" t="s">
        <v>182</v>
      </c>
      <c r="F113" s="517"/>
      <c r="G113" s="517"/>
      <c r="H113" s="517"/>
      <c r="I113" s="517"/>
      <c r="J113" s="517"/>
      <c r="K113" s="454"/>
      <c r="L113" s="352"/>
      <c r="M113" s="352"/>
      <c r="N113" s="352"/>
      <c r="O113" s="352"/>
    </row>
    <row r="114" spans="1:29">
      <c r="A114" s="348" t="s">
        <v>50</v>
      </c>
      <c r="B114" s="348" t="s">
        <v>81</v>
      </c>
      <c r="C114" s="348" t="s">
        <v>137</v>
      </c>
      <c r="D114" s="348" t="s">
        <v>74</v>
      </c>
      <c r="E114" s="348" t="s">
        <v>182</v>
      </c>
      <c r="F114" s="517"/>
      <c r="G114" s="517"/>
      <c r="H114" s="517"/>
      <c r="I114" s="517"/>
      <c r="J114" s="517"/>
      <c r="K114" s="454"/>
      <c r="L114" s="352"/>
      <c r="M114" s="352"/>
      <c r="N114" s="352"/>
      <c r="O114" s="352"/>
    </row>
    <row r="115" spans="1:29">
      <c r="A115" s="348" t="s">
        <v>50</v>
      </c>
      <c r="B115" s="348" t="s">
        <v>82</v>
      </c>
      <c r="C115" s="348" t="s">
        <v>89</v>
      </c>
      <c r="D115" s="348" t="s">
        <v>183</v>
      </c>
      <c r="E115" s="348" t="s">
        <v>182</v>
      </c>
      <c r="F115" s="517"/>
      <c r="G115" s="517"/>
      <c r="H115" s="517"/>
      <c r="I115" s="517"/>
      <c r="J115" s="517"/>
      <c r="K115" s="454"/>
      <c r="L115" s="352"/>
      <c r="M115" s="352"/>
      <c r="N115" s="352"/>
      <c r="O115" s="352"/>
    </row>
    <row r="116" spans="1:29">
      <c r="A116" s="348" t="s">
        <v>50</v>
      </c>
      <c r="B116" s="348" t="s">
        <v>87</v>
      </c>
      <c r="C116" s="348" t="s">
        <v>90</v>
      </c>
      <c r="D116" s="348" t="s">
        <v>183</v>
      </c>
      <c r="E116" s="348" t="s">
        <v>182</v>
      </c>
      <c r="F116" s="517"/>
      <c r="G116" s="517"/>
      <c r="H116" s="517"/>
      <c r="I116" s="517"/>
      <c r="J116" s="517"/>
      <c r="K116" s="454"/>
      <c r="L116" s="352"/>
      <c r="M116" s="352"/>
      <c r="N116" s="352"/>
      <c r="O116" s="352"/>
    </row>
    <row r="117" spans="1:29">
      <c r="A117" s="348" t="s">
        <v>50</v>
      </c>
      <c r="B117" s="348" t="s">
        <v>83</v>
      </c>
      <c r="C117" s="348" t="s">
        <v>91</v>
      </c>
      <c r="D117" s="348" t="s">
        <v>183</v>
      </c>
      <c r="E117" s="348" t="s">
        <v>182</v>
      </c>
      <c r="F117" s="517"/>
      <c r="G117" s="517"/>
      <c r="H117" s="517"/>
      <c r="I117" s="517"/>
      <c r="J117" s="517"/>
      <c r="K117" s="454"/>
      <c r="L117" s="352"/>
      <c r="M117" s="352"/>
      <c r="N117" s="352"/>
      <c r="O117" s="352"/>
    </row>
    <row r="118" spans="1:29">
      <c r="A118" s="348" t="s">
        <v>50</v>
      </c>
      <c r="B118" s="348" t="s">
        <v>84</v>
      </c>
      <c r="C118" s="348" t="s">
        <v>92</v>
      </c>
      <c r="D118" s="348" t="s">
        <v>183</v>
      </c>
      <c r="E118" s="348" t="s">
        <v>182</v>
      </c>
      <c r="F118" s="517"/>
      <c r="G118" s="517"/>
      <c r="H118" s="517"/>
      <c r="I118" s="517"/>
      <c r="J118" s="517"/>
      <c r="K118" s="454"/>
      <c r="L118" s="352"/>
      <c r="M118" s="352"/>
      <c r="N118" s="352"/>
      <c r="O118" s="352"/>
    </row>
    <row r="119" spans="1:29">
      <c r="A119" s="348" t="s">
        <v>50</v>
      </c>
      <c r="B119" s="348" t="s">
        <v>85</v>
      </c>
      <c r="C119" s="348" t="s">
        <v>93</v>
      </c>
      <c r="D119" s="348" t="s">
        <v>183</v>
      </c>
      <c r="E119" s="348" t="s">
        <v>182</v>
      </c>
      <c r="F119" s="517"/>
      <c r="G119" s="517"/>
      <c r="H119" s="517"/>
      <c r="I119" s="517"/>
      <c r="J119" s="517"/>
      <c r="K119" s="454"/>
      <c r="L119" s="352"/>
      <c r="M119" s="352"/>
      <c r="N119" s="352"/>
      <c r="O119" s="352"/>
    </row>
    <row r="120" spans="1:29">
      <c r="A120" s="348" t="s">
        <v>50</v>
      </c>
      <c r="B120" s="348" t="s">
        <v>86</v>
      </c>
      <c r="C120" s="348" t="s">
        <v>94</v>
      </c>
      <c r="D120" s="348" t="s">
        <v>183</v>
      </c>
      <c r="E120" s="348" t="s">
        <v>182</v>
      </c>
      <c r="F120" s="517"/>
      <c r="G120" s="517"/>
      <c r="H120" s="517"/>
      <c r="I120" s="517"/>
      <c r="J120" s="517"/>
      <c r="K120" s="454"/>
      <c r="L120" s="352"/>
      <c r="M120" s="352"/>
      <c r="N120" s="352"/>
      <c r="O120" s="352"/>
    </row>
    <row r="121" spans="1:29">
      <c r="A121" s="348" t="s">
        <v>50</v>
      </c>
      <c r="B121" s="348" t="s">
        <v>174</v>
      </c>
      <c r="C121" s="348" t="s">
        <v>184</v>
      </c>
      <c r="D121" s="348" t="s">
        <v>74</v>
      </c>
      <c r="E121" s="348" t="s">
        <v>182</v>
      </c>
      <c r="F121" s="517"/>
      <c r="G121" s="517"/>
      <c r="H121" s="517"/>
      <c r="I121" s="517"/>
      <c r="J121" s="517"/>
      <c r="K121" s="454"/>
      <c r="L121" s="352"/>
      <c r="M121" s="352"/>
      <c r="N121" s="352"/>
      <c r="O121" s="352"/>
    </row>
    <row r="122" spans="1:29">
      <c r="A122" s="348" t="s">
        <v>50</v>
      </c>
      <c r="B122" s="348" t="s">
        <v>156</v>
      </c>
      <c r="C122" s="348" t="s">
        <v>157</v>
      </c>
      <c r="D122" s="348" t="s">
        <v>74</v>
      </c>
      <c r="E122" s="348" t="s">
        <v>182</v>
      </c>
      <c r="F122" s="517"/>
      <c r="G122" s="517"/>
      <c r="H122" s="517"/>
      <c r="I122" s="350">
        <f>VLOOKUP($B122,'New costs and adjustments'!$D$853:$O$856,COLUMN()-3,FALSE)</f>
        <v>19.400801224878901</v>
      </c>
      <c r="J122" s="517"/>
      <c r="K122" s="452">
        <f>VLOOKUP($B122,'New costs and adjustments'!$D$853:$O$856,COLUMN()-3,FALSE)</f>
        <v>20.66706265899241</v>
      </c>
      <c r="L122" s="350">
        <f>VLOOKUP($B122,'New costs and adjustments'!$D$853:$O$856,COLUMN()-3,FALSE)</f>
        <v>20.66706265899241</v>
      </c>
      <c r="M122" s="350">
        <f>VLOOKUP($B122,'New costs and adjustments'!$D$853:$O$856,COLUMN()-3,FALSE)</f>
        <v>20.66706265899241</v>
      </c>
      <c r="N122" s="350">
        <f>VLOOKUP($B122,'New costs and adjustments'!$D$853:$O$856,COLUMN()-3,FALSE)</f>
        <v>20.66706265899241</v>
      </c>
      <c r="O122" s="350">
        <f>VLOOKUP($B122,'New costs and adjustments'!$D$853:$O$856,COLUMN()-3,FALSE)</f>
        <v>20.66706265899241</v>
      </c>
    </row>
    <row r="123" spans="1:29">
      <c r="A123" s="348" t="s">
        <v>50</v>
      </c>
      <c r="B123" s="348" t="s">
        <v>159</v>
      </c>
      <c r="C123" s="348" t="s">
        <v>158</v>
      </c>
      <c r="D123" s="348" t="s">
        <v>74</v>
      </c>
      <c r="E123" s="348" t="s">
        <v>182</v>
      </c>
      <c r="F123" s="517"/>
      <c r="G123" s="517"/>
      <c r="H123" s="517"/>
      <c r="I123" s="517"/>
      <c r="J123" s="517"/>
      <c r="K123" s="454"/>
      <c r="L123" s="352"/>
      <c r="M123" s="352"/>
      <c r="N123" s="352"/>
      <c r="O123" s="352"/>
    </row>
    <row r="124" spans="1:29">
      <c r="A124" s="348" t="s">
        <v>51</v>
      </c>
      <c r="B124" s="348" t="s">
        <v>78</v>
      </c>
      <c r="C124" s="348" t="s">
        <v>132</v>
      </c>
      <c r="D124" s="348" t="s">
        <v>74</v>
      </c>
      <c r="E124" s="348" t="s">
        <v>182</v>
      </c>
      <c r="F124" s="517"/>
      <c r="G124" s="517"/>
      <c r="H124" s="517"/>
      <c r="I124" s="350">
        <f ca="1">VLOOKUP($B124,'New costs and adjustments'!$D$857:$O$860,COLUMN()-3,FALSE)</f>
        <v>25.757002458954499</v>
      </c>
      <c r="J124" s="517"/>
      <c r="K124" s="452">
        <f ca="1">VLOOKUP($B124,'New costs and adjustments'!$D$857:$O$860,COLUMN()-3,FALSE)</f>
        <v>26.746460138321201</v>
      </c>
      <c r="L124" s="350">
        <f ca="1">VLOOKUP($B124,'New costs and adjustments'!$D$857:$O$860,COLUMN()-3,FALSE)</f>
        <v>27.3228338159876</v>
      </c>
      <c r="M124" s="350">
        <f ca="1">VLOOKUP($B124,'New costs and adjustments'!$D$857:$O$860,COLUMN()-3,FALSE)</f>
        <v>27.8836560959429</v>
      </c>
      <c r="N124" s="350">
        <f ca="1">VLOOKUP($B124,'New costs and adjustments'!$D$857:$O$860,COLUMN()-3,FALSE)</f>
        <v>28.417263429903901</v>
      </c>
      <c r="O124" s="350">
        <f ca="1">VLOOKUP($B124,'New costs and adjustments'!$D$857:$O$860,COLUMN()-3,FALSE)</f>
        <v>28.925599742584399</v>
      </c>
      <c r="AC124" s="351" t="s">
        <v>224</v>
      </c>
    </row>
    <row r="125" spans="1:29">
      <c r="A125" s="348" t="s">
        <v>51</v>
      </c>
      <c r="B125" s="348" t="s">
        <v>97</v>
      </c>
      <c r="C125" s="348" t="s">
        <v>99</v>
      </c>
      <c r="D125" s="348" t="s">
        <v>74</v>
      </c>
      <c r="E125" s="348" t="s">
        <v>182</v>
      </c>
      <c r="F125" s="517"/>
      <c r="G125" s="517"/>
      <c r="H125" s="517"/>
      <c r="I125" s="350">
        <f>VLOOKUP($B125,'New costs and adjustments'!$D$857:$O$860,COLUMN()-3,FALSE)</f>
        <v>0.7046727087827187</v>
      </c>
      <c r="J125" s="517"/>
      <c r="K125" s="452">
        <f>VLOOKUP($B125,'New costs and adjustments'!$D$857:$O$860,COLUMN()-3,FALSE)</f>
        <v>0.80186894447688639</v>
      </c>
      <c r="L125" s="350">
        <f>VLOOKUP($B125,'New costs and adjustments'!$D$857:$O$860,COLUMN()-3,FALSE)</f>
        <v>0.80186894447688639</v>
      </c>
      <c r="M125" s="350">
        <f>VLOOKUP($B125,'New costs and adjustments'!$D$857:$O$860,COLUMN()-3,FALSE)</f>
        <v>0.80186894447688639</v>
      </c>
      <c r="N125" s="350">
        <f>VLOOKUP($B125,'New costs and adjustments'!$D$857:$O$860,COLUMN()-3,FALSE)</f>
        <v>0.80186894447688639</v>
      </c>
      <c r="O125" s="350">
        <f>VLOOKUP($B125,'New costs and adjustments'!$D$857:$O$860,COLUMN()-3,FALSE)</f>
        <v>0.80186894447688639</v>
      </c>
    </row>
    <row r="126" spans="1:29">
      <c r="A126" s="348" t="s">
        <v>51</v>
      </c>
      <c r="B126" s="348" t="s">
        <v>98</v>
      </c>
      <c r="C126" s="348" t="s">
        <v>100</v>
      </c>
      <c r="D126" s="348" t="s">
        <v>74</v>
      </c>
      <c r="E126" s="348" t="s">
        <v>182</v>
      </c>
      <c r="F126" s="517"/>
      <c r="G126" s="517"/>
      <c r="H126" s="517"/>
      <c r="I126" s="350">
        <f>VLOOKUP($B126,'New costs and adjustments'!$D$857:$O$860,COLUMN()-3,FALSE)</f>
        <v>0</v>
      </c>
      <c r="J126" s="517"/>
      <c r="K126" s="452">
        <f>VLOOKUP($B126,'New costs and adjustments'!$D$857:$O$860,COLUMN()-3,FALSE)</f>
        <v>0.48471688999645701</v>
      </c>
      <c r="L126" s="350">
        <f>VLOOKUP($B126,'New costs and adjustments'!$D$857:$O$860,COLUMN()-3,FALSE)</f>
        <v>0.46138910120443699</v>
      </c>
      <c r="M126" s="350">
        <f>VLOOKUP($B126,'New costs and adjustments'!$D$857:$O$860,COLUMN()-3,FALSE)</f>
        <v>0.58562784967460602</v>
      </c>
      <c r="N126" s="350">
        <f>VLOOKUP($B126,'New costs and adjustments'!$D$857:$O$860,COLUMN()-3,FALSE)</f>
        <v>0.56803855392144997</v>
      </c>
      <c r="O126" s="350">
        <f>VLOOKUP($B126,'New costs and adjustments'!$D$857:$O$860,COLUMN()-3,FALSE)</f>
        <v>0.52372990528111496</v>
      </c>
    </row>
    <row r="127" spans="1:29">
      <c r="A127" s="348" t="s">
        <v>51</v>
      </c>
      <c r="B127" s="348" t="s">
        <v>79</v>
      </c>
      <c r="C127" s="348" t="s">
        <v>135</v>
      </c>
      <c r="D127" s="348" t="s">
        <v>74</v>
      </c>
      <c r="E127" s="348" t="s">
        <v>182</v>
      </c>
      <c r="F127" s="517"/>
      <c r="G127" s="517"/>
      <c r="H127" s="517"/>
      <c r="I127" s="517"/>
      <c r="J127" s="517"/>
      <c r="K127" s="453"/>
      <c r="L127" s="349"/>
      <c r="M127" s="349"/>
      <c r="N127" s="349"/>
      <c r="O127" s="349"/>
    </row>
    <row r="128" spans="1:29">
      <c r="A128" s="348" t="s">
        <v>51</v>
      </c>
      <c r="B128" s="348" t="s">
        <v>80</v>
      </c>
      <c r="C128" s="348" t="s">
        <v>136</v>
      </c>
      <c r="D128" s="348" t="s">
        <v>74</v>
      </c>
      <c r="E128" s="348" t="s">
        <v>182</v>
      </c>
      <c r="F128" s="517"/>
      <c r="G128" s="517"/>
      <c r="H128" s="517"/>
      <c r="I128" s="517"/>
      <c r="J128" s="517"/>
      <c r="K128" s="454"/>
      <c r="L128" s="352"/>
      <c r="M128" s="352"/>
      <c r="N128" s="352"/>
      <c r="O128" s="352"/>
    </row>
    <row r="129" spans="1:29">
      <c r="A129" s="348" t="s">
        <v>51</v>
      </c>
      <c r="B129" s="348" t="s">
        <v>81</v>
      </c>
      <c r="C129" s="348" t="s">
        <v>137</v>
      </c>
      <c r="D129" s="348" t="s">
        <v>74</v>
      </c>
      <c r="E129" s="348" t="s">
        <v>182</v>
      </c>
      <c r="F129" s="517"/>
      <c r="G129" s="517"/>
      <c r="H129" s="517"/>
      <c r="I129" s="517"/>
      <c r="J129" s="517"/>
      <c r="K129" s="454"/>
      <c r="L129" s="352"/>
      <c r="M129" s="352"/>
      <c r="N129" s="352"/>
      <c r="O129" s="352"/>
    </row>
    <row r="130" spans="1:29">
      <c r="A130" s="348" t="s">
        <v>51</v>
      </c>
      <c r="B130" s="348" t="s">
        <v>82</v>
      </c>
      <c r="C130" s="348" t="s">
        <v>89</v>
      </c>
      <c r="D130" s="348" t="s">
        <v>183</v>
      </c>
      <c r="E130" s="348" t="s">
        <v>182</v>
      </c>
      <c r="F130" s="517"/>
      <c r="G130" s="517"/>
      <c r="H130" s="517"/>
      <c r="I130" s="517"/>
      <c r="J130" s="517"/>
      <c r="K130" s="454"/>
      <c r="L130" s="352"/>
      <c r="M130" s="352"/>
      <c r="N130" s="352"/>
      <c r="O130" s="352"/>
    </row>
    <row r="131" spans="1:29">
      <c r="A131" s="348" t="s">
        <v>51</v>
      </c>
      <c r="B131" s="348" t="s">
        <v>87</v>
      </c>
      <c r="C131" s="348" t="s">
        <v>90</v>
      </c>
      <c r="D131" s="348" t="s">
        <v>183</v>
      </c>
      <c r="E131" s="348" t="s">
        <v>182</v>
      </c>
      <c r="F131" s="517"/>
      <c r="G131" s="517"/>
      <c r="H131" s="517"/>
      <c r="I131" s="517"/>
      <c r="J131" s="517"/>
      <c r="K131" s="454"/>
      <c r="L131" s="352"/>
      <c r="M131" s="352"/>
      <c r="N131" s="352"/>
      <c r="O131" s="352"/>
    </row>
    <row r="132" spans="1:29">
      <c r="A132" s="348" t="s">
        <v>51</v>
      </c>
      <c r="B132" s="348" t="s">
        <v>83</v>
      </c>
      <c r="C132" s="348" t="s">
        <v>91</v>
      </c>
      <c r="D132" s="348" t="s">
        <v>183</v>
      </c>
      <c r="E132" s="348" t="s">
        <v>182</v>
      </c>
      <c r="F132" s="517"/>
      <c r="G132" s="517"/>
      <c r="H132" s="517"/>
      <c r="I132" s="517"/>
      <c r="J132" s="517"/>
      <c r="K132" s="454"/>
      <c r="L132" s="352"/>
      <c r="M132" s="352"/>
      <c r="N132" s="352"/>
      <c r="O132" s="352"/>
    </row>
    <row r="133" spans="1:29">
      <c r="A133" s="348" t="s">
        <v>51</v>
      </c>
      <c r="B133" s="348" t="s">
        <v>84</v>
      </c>
      <c r="C133" s="348" t="s">
        <v>92</v>
      </c>
      <c r="D133" s="348" t="s">
        <v>183</v>
      </c>
      <c r="E133" s="348" t="s">
        <v>182</v>
      </c>
      <c r="F133" s="517"/>
      <c r="G133" s="517"/>
      <c r="H133" s="517"/>
      <c r="I133" s="517"/>
      <c r="J133" s="517"/>
      <c r="K133" s="454"/>
      <c r="L133" s="352"/>
      <c r="M133" s="352"/>
      <c r="N133" s="352"/>
      <c r="O133" s="352"/>
    </row>
    <row r="134" spans="1:29">
      <c r="A134" s="348" t="s">
        <v>51</v>
      </c>
      <c r="B134" s="348" t="s">
        <v>85</v>
      </c>
      <c r="C134" s="348" t="s">
        <v>93</v>
      </c>
      <c r="D134" s="348" t="s">
        <v>183</v>
      </c>
      <c r="E134" s="348" t="s">
        <v>182</v>
      </c>
      <c r="F134" s="517"/>
      <c r="G134" s="517"/>
      <c r="H134" s="517"/>
      <c r="I134" s="517"/>
      <c r="J134" s="517"/>
      <c r="K134" s="454"/>
      <c r="L134" s="352"/>
      <c r="M134" s="352"/>
      <c r="N134" s="352"/>
      <c r="O134" s="352"/>
    </row>
    <row r="135" spans="1:29">
      <c r="A135" s="348" t="s">
        <v>51</v>
      </c>
      <c r="B135" s="348" t="s">
        <v>86</v>
      </c>
      <c r="C135" s="348" t="s">
        <v>94</v>
      </c>
      <c r="D135" s="348" t="s">
        <v>183</v>
      </c>
      <c r="E135" s="348" t="s">
        <v>182</v>
      </c>
      <c r="F135" s="517"/>
      <c r="G135" s="517"/>
      <c r="H135" s="517"/>
      <c r="I135" s="517"/>
      <c r="J135" s="517"/>
      <c r="K135" s="454"/>
      <c r="L135" s="352"/>
      <c r="M135" s="352"/>
      <c r="N135" s="352"/>
      <c r="O135" s="352"/>
    </row>
    <row r="136" spans="1:29">
      <c r="A136" s="348" t="s">
        <v>51</v>
      </c>
      <c r="B136" s="348" t="s">
        <v>174</v>
      </c>
      <c r="C136" s="348" t="s">
        <v>184</v>
      </c>
      <c r="D136" s="348" t="s">
        <v>74</v>
      </c>
      <c r="E136" s="348" t="s">
        <v>182</v>
      </c>
      <c r="F136" s="517"/>
      <c r="G136" s="517"/>
      <c r="H136" s="517"/>
      <c r="I136" s="517"/>
      <c r="J136" s="517"/>
      <c r="K136" s="454"/>
      <c r="L136" s="352"/>
      <c r="M136" s="352"/>
      <c r="N136" s="352"/>
      <c r="O136" s="352"/>
    </row>
    <row r="137" spans="1:29">
      <c r="A137" s="348" t="s">
        <v>51</v>
      </c>
      <c r="B137" s="348" t="s">
        <v>156</v>
      </c>
      <c r="C137" s="348" t="s">
        <v>157</v>
      </c>
      <c r="D137" s="348" t="s">
        <v>74</v>
      </c>
      <c r="E137" s="348" t="s">
        <v>182</v>
      </c>
      <c r="F137" s="517"/>
      <c r="G137" s="517"/>
      <c r="H137" s="517"/>
      <c r="I137" s="350">
        <f>VLOOKUP($B137,'New costs and adjustments'!$D$857:$O$860,COLUMN()-3,FALSE)</f>
        <v>0.43850276063668803</v>
      </c>
      <c r="J137" s="517"/>
      <c r="K137" s="452">
        <f>VLOOKUP($B137,'New costs and adjustments'!$D$857:$O$860,COLUMN()-3,FALSE)</f>
        <v>1.4811451683709884</v>
      </c>
      <c r="L137" s="350">
        <f>VLOOKUP($B137,'New costs and adjustments'!$D$857:$O$860,COLUMN()-3,FALSE)</f>
        <v>2.0847329927883615</v>
      </c>
      <c r="M137" s="350">
        <f>VLOOKUP($B137,'New costs and adjustments'!$D$857:$O$860,COLUMN()-3,FALSE)</f>
        <v>2.7301151432120898</v>
      </c>
      <c r="N137" s="350">
        <f>VLOOKUP($B137,'New costs and adjustments'!$D$857:$O$860,COLUMN()-3,FALSE)</f>
        <v>3.4163196585722595</v>
      </c>
      <c r="O137" s="350">
        <f>VLOOKUP($B137,'New costs and adjustments'!$D$857:$O$860,COLUMN()-3,FALSE)</f>
        <v>4.1423745777989547</v>
      </c>
    </row>
    <row r="138" spans="1:29">
      <c r="A138" s="348" t="s">
        <v>51</v>
      </c>
      <c r="B138" s="348" t="s">
        <v>159</v>
      </c>
      <c r="C138" s="348" t="s">
        <v>158</v>
      </c>
      <c r="D138" s="348" t="s">
        <v>74</v>
      </c>
      <c r="E138" s="348" t="s">
        <v>182</v>
      </c>
      <c r="F138" s="517"/>
      <c r="G138" s="517"/>
      <c r="H138" s="517"/>
      <c r="I138" s="517"/>
      <c r="J138" s="517"/>
      <c r="K138" s="454"/>
      <c r="L138" s="352"/>
      <c r="M138" s="352"/>
      <c r="N138" s="352"/>
      <c r="O138" s="352"/>
    </row>
    <row r="139" spans="1:29">
      <c r="A139" s="348" t="s">
        <v>52</v>
      </c>
      <c r="B139" s="348" t="s">
        <v>78</v>
      </c>
      <c r="C139" s="348" t="s">
        <v>132</v>
      </c>
      <c r="D139" s="348" t="s">
        <v>74</v>
      </c>
      <c r="E139" s="348" t="s">
        <v>182</v>
      </c>
      <c r="F139" s="517"/>
      <c r="G139" s="517"/>
      <c r="H139" s="517"/>
      <c r="I139" s="350">
        <f ca="1">VLOOKUP($B139,'New costs and adjustments'!$D$861:$O$864,COLUMN()-3,FALSE)</f>
        <v>47.366505005957698</v>
      </c>
      <c r="J139" s="517"/>
      <c r="K139" s="452">
        <f ca="1">VLOOKUP($B139,'New costs and adjustments'!$D$861:$O$864,COLUMN()-3,FALSE)</f>
        <v>47.542428198049599</v>
      </c>
      <c r="L139" s="350">
        <f ca="1">VLOOKUP($B139,'New costs and adjustments'!$D$861:$O$864,COLUMN()-3,FALSE)</f>
        <v>47.929086667268599</v>
      </c>
      <c r="M139" s="350">
        <f ca="1">VLOOKUP($B139,'New costs and adjustments'!$D$861:$O$864,COLUMN()-3,FALSE)</f>
        <v>48.470486532367502</v>
      </c>
      <c r="N139" s="350">
        <f ca="1">VLOOKUP($B139,'New costs and adjustments'!$D$861:$O$864,COLUMN()-3,FALSE)</f>
        <v>49.092938217841102</v>
      </c>
      <c r="O139" s="350">
        <f ca="1">VLOOKUP($B139,'New costs and adjustments'!$D$861:$O$864,COLUMN()-3,FALSE)</f>
        <v>49.732786361599501</v>
      </c>
      <c r="AC139" s="351" t="s">
        <v>225</v>
      </c>
    </row>
    <row r="140" spans="1:29">
      <c r="A140" s="348" t="s">
        <v>52</v>
      </c>
      <c r="B140" s="348" t="s">
        <v>97</v>
      </c>
      <c r="C140" s="348" t="s">
        <v>99</v>
      </c>
      <c r="D140" s="348" t="s">
        <v>74</v>
      </c>
      <c r="E140" s="348" t="s">
        <v>182</v>
      </c>
      <c r="F140" s="517"/>
      <c r="G140" s="517"/>
      <c r="H140" s="517"/>
      <c r="I140" s="350">
        <f>VLOOKUP($B140,'New costs and adjustments'!$D$861:$O$864,COLUMN()-3,FALSE)</f>
        <v>5.6357767745546798</v>
      </c>
      <c r="J140" s="517"/>
      <c r="K140" s="452">
        <f>VLOOKUP($B140,'New costs and adjustments'!$D$861:$O$864,COLUMN()-3,FALSE)</f>
        <v>4.6802277339418401</v>
      </c>
      <c r="L140" s="350">
        <f>VLOOKUP($B140,'New costs and adjustments'!$D$861:$O$864,COLUMN()-3,FALSE)</f>
        <v>4.2547540450388297</v>
      </c>
      <c r="M140" s="350">
        <f>VLOOKUP($B140,'New costs and adjustments'!$D$861:$O$864,COLUMN()-3,FALSE)</f>
        <v>3.5833639750016002</v>
      </c>
      <c r="N140" s="350">
        <f>VLOOKUP($B140,'New costs and adjustments'!$D$861:$O$864,COLUMN()-3,FALSE)</f>
        <v>1.7689514606562802</v>
      </c>
      <c r="O140" s="350">
        <f>VLOOKUP($B140,'New costs and adjustments'!$D$861:$O$864,COLUMN()-3,FALSE)</f>
        <v>1.7242527380335599</v>
      </c>
    </row>
    <row r="141" spans="1:29">
      <c r="A141" s="348" t="s">
        <v>52</v>
      </c>
      <c r="B141" s="348" t="s">
        <v>98</v>
      </c>
      <c r="C141" s="348" t="s">
        <v>100</v>
      </c>
      <c r="D141" s="348" t="s">
        <v>74</v>
      </c>
      <c r="E141" s="348" t="s">
        <v>182</v>
      </c>
      <c r="F141" s="517"/>
      <c r="G141" s="517"/>
      <c r="H141" s="517"/>
      <c r="I141" s="350">
        <f>VLOOKUP($B141,'New costs and adjustments'!$D$861:$O$864,COLUMN()-3,FALSE)</f>
        <v>0</v>
      </c>
      <c r="J141" s="517"/>
      <c r="K141" s="452">
        <f>VLOOKUP($B141,'New costs and adjustments'!$D$861:$O$864,COLUMN()-3,FALSE)</f>
        <v>6.86052144027961E-2</v>
      </c>
      <c r="L141" s="350">
        <f>VLOOKUP($B141,'New costs and adjustments'!$D$861:$O$864,COLUMN()-3,FALSE)</f>
        <v>0.21359065401496499</v>
      </c>
      <c r="M141" s="350">
        <f>VLOOKUP($B141,'New costs and adjustments'!$D$861:$O$864,COLUMN()-3,FALSE)</f>
        <v>0.37186765972028302</v>
      </c>
      <c r="N141" s="350">
        <f>VLOOKUP($B141,'New costs and adjustments'!$D$861:$O$864,COLUMN()-3,FALSE)</f>
        <v>0.53151454828199696</v>
      </c>
      <c r="O141" s="350">
        <f>VLOOKUP($B141,'New costs and adjustments'!$D$861:$O$864,COLUMN()-3,FALSE)</f>
        <v>0.68538571453025399</v>
      </c>
    </row>
    <row r="142" spans="1:29">
      <c r="A142" s="348" t="s">
        <v>52</v>
      </c>
      <c r="B142" s="348" t="s">
        <v>79</v>
      </c>
      <c r="C142" s="348" t="s">
        <v>135</v>
      </c>
      <c r="D142" s="348" t="s">
        <v>74</v>
      </c>
      <c r="E142" s="348" t="s">
        <v>182</v>
      </c>
      <c r="F142" s="517"/>
      <c r="G142" s="517"/>
      <c r="H142" s="517"/>
      <c r="I142" s="517"/>
      <c r="J142" s="517"/>
      <c r="K142" s="453"/>
      <c r="L142" s="349"/>
      <c r="M142" s="349"/>
      <c r="N142" s="349"/>
      <c r="O142" s="349"/>
    </row>
    <row r="143" spans="1:29">
      <c r="A143" s="348" t="s">
        <v>52</v>
      </c>
      <c r="B143" s="348" t="s">
        <v>80</v>
      </c>
      <c r="C143" s="348" t="s">
        <v>136</v>
      </c>
      <c r="D143" s="348" t="s">
        <v>74</v>
      </c>
      <c r="E143" s="348" t="s">
        <v>182</v>
      </c>
      <c r="F143" s="517"/>
      <c r="G143" s="517"/>
      <c r="H143" s="517"/>
      <c r="I143" s="517"/>
      <c r="J143" s="517"/>
      <c r="K143" s="454"/>
      <c r="L143" s="352"/>
      <c r="M143" s="352"/>
      <c r="N143" s="352"/>
      <c r="O143" s="352"/>
    </row>
    <row r="144" spans="1:29">
      <c r="A144" s="348" t="s">
        <v>52</v>
      </c>
      <c r="B144" s="348" t="s">
        <v>81</v>
      </c>
      <c r="C144" s="348" t="s">
        <v>137</v>
      </c>
      <c r="D144" s="348" t="s">
        <v>74</v>
      </c>
      <c r="E144" s="348" t="s">
        <v>182</v>
      </c>
      <c r="F144" s="517"/>
      <c r="G144" s="517"/>
      <c r="H144" s="517"/>
      <c r="I144" s="517"/>
      <c r="J144" s="517"/>
      <c r="K144" s="454"/>
      <c r="L144" s="352"/>
      <c r="M144" s="352"/>
      <c r="N144" s="352"/>
      <c r="O144" s="352"/>
    </row>
    <row r="145" spans="1:29">
      <c r="A145" s="348" t="s">
        <v>52</v>
      </c>
      <c r="B145" s="348" t="s">
        <v>82</v>
      </c>
      <c r="C145" s="348" t="s">
        <v>89</v>
      </c>
      <c r="D145" s="348" t="s">
        <v>183</v>
      </c>
      <c r="E145" s="348" t="s">
        <v>182</v>
      </c>
      <c r="F145" s="517"/>
      <c r="G145" s="517"/>
      <c r="H145" s="517"/>
      <c r="I145" s="517"/>
      <c r="J145" s="517"/>
      <c r="K145" s="454"/>
      <c r="L145" s="352"/>
      <c r="M145" s="352"/>
      <c r="N145" s="352"/>
      <c r="O145" s="352"/>
    </row>
    <row r="146" spans="1:29">
      <c r="A146" s="348" t="s">
        <v>52</v>
      </c>
      <c r="B146" s="348" t="s">
        <v>87</v>
      </c>
      <c r="C146" s="348" t="s">
        <v>90</v>
      </c>
      <c r="D146" s="348" t="s">
        <v>183</v>
      </c>
      <c r="E146" s="348" t="s">
        <v>182</v>
      </c>
      <c r="F146" s="517"/>
      <c r="G146" s="517"/>
      <c r="H146" s="517"/>
      <c r="I146" s="517"/>
      <c r="J146" s="517"/>
      <c r="K146" s="454"/>
      <c r="L146" s="352"/>
      <c r="M146" s="352"/>
      <c r="N146" s="352"/>
      <c r="O146" s="352"/>
    </row>
    <row r="147" spans="1:29">
      <c r="A147" s="348" t="s">
        <v>52</v>
      </c>
      <c r="B147" s="348" t="s">
        <v>83</v>
      </c>
      <c r="C147" s="348" t="s">
        <v>91</v>
      </c>
      <c r="D147" s="348" t="s">
        <v>183</v>
      </c>
      <c r="E147" s="348" t="s">
        <v>182</v>
      </c>
      <c r="F147" s="517"/>
      <c r="G147" s="517"/>
      <c r="H147" s="517"/>
      <c r="I147" s="517"/>
      <c r="J147" s="517"/>
      <c r="K147" s="454"/>
      <c r="L147" s="352"/>
      <c r="M147" s="352"/>
      <c r="N147" s="352"/>
      <c r="O147" s="352"/>
    </row>
    <row r="148" spans="1:29">
      <c r="A148" s="348" t="s">
        <v>52</v>
      </c>
      <c r="B148" s="348" t="s">
        <v>84</v>
      </c>
      <c r="C148" s="348" t="s">
        <v>92</v>
      </c>
      <c r="D148" s="348" t="s">
        <v>183</v>
      </c>
      <c r="E148" s="348" t="s">
        <v>182</v>
      </c>
      <c r="F148" s="517"/>
      <c r="G148" s="517"/>
      <c r="H148" s="517"/>
      <c r="I148" s="517"/>
      <c r="J148" s="517"/>
      <c r="K148" s="454"/>
      <c r="L148" s="352"/>
      <c r="M148" s="352"/>
      <c r="N148" s="352"/>
      <c r="O148" s="352"/>
    </row>
    <row r="149" spans="1:29">
      <c r="A149" s="348" t="s">
        <v>52</v>
      </c>
      <c r="B149" s="348" t="s">
        <v>85</v>
      </c>
      <c r="C149" s="348" t="s">
        <v>93</v>
      </c>
      <c r="D149" s="348" t="s">
        <v>183</v>
      </c>
      <c r="E149" s="348" t="s">
        <v>182</v>
      </c>
      <c r="F149" s="517"/>
      <c r="G149" s="517"/>
      <c r="H149" s="517"/>
      <c r="I149" s="517"/>
      <c r="J149" s="517"/>
      <c r="K149" s="454"/>
      <c r="L149" s="352"/>
      <c r="M149" s="352"/>
      <c r="N149" s="352"/>
      <c r="O149" s="352"/>
    </row>
    <row r="150" spans="1:29">
      <c r="A150" s="348" t="s">
        <v>52</v>
      </c>
      <c r="B150" s="348" t="s">
        <v>86</v>
      </c>
      <c r="C150" s="348" t="s">
        <v>94</v>
      </c>
      <c r="D150" s="348" t="s">
        <v>183</v>
      </c>
      <c r="E150" s="348" t="s">
        <v>182</v>
      </c>
      <c r="F150" s="517"/>
      <c r="G150" s="517"/>
      <c r="H150" s="517"/>
      <c r="I150" s="517"/>
      <c r="J150" s="517"/>
      <c r="K150" s="454"/>
      <c r="L150" s="352"/>
      <c r="M150" s="352"/>
      <c r="N150" s="352"/>
      <c r="O150" s="352"/>
    </row>
    <row r="151" spans="1:29">
      <c r="A151" s="348" t="s">
        <v>52</v>
      </c>
      <c r="B151" s="348" t="s">
        <v>174</v>
      </c>
      <c r="C151" s="348" t="s">
        <v>184</v>
      </c>
      <c r="D151" s="348" t="s">
        <v>74</v>
      </c>
      <c r="E151" s="348" t="s">
        <v>182</v>
      </c>
      <c r="F151" s="517"/>
      <c r="G151" s="517"/>
      <c r="H151" s="517"/>
      <c r="I151" s="517"/>
      <c r="J151" s="517"/>
      <c r="K151" s="454"/>
      <c r="L151" s="352"/>
      <c r="M151" s="352"/>
      <c r="N151" s="352"/>
      <c r="O151" s="352"/>
    </row>
    <row r="152" spans="1:29">
      <c r="A152" s="348" t="s">
        <v>52</v>
      </c>
      <c r="B152" s="348" t="s">
        <v>156</v>
      </c>
      <c r="C152" s="348" t="s">
        <v>157</v>
      </c>
      <c r="D152" s="348" t="s">
        <v>74</v>
      </c>
      <c r="E152" s="348" t="s">
        <v>182</v>
      </c>
      <c r="F152" s="517"/>
      <c r="G152" s="517"/>
      <c r="H152" s="517"/>
      <c r="I152" s="350">
        <f>VLOOKUP($B152,'New costs and adjustments'!$D$861:$O$864,COLUMN()-3,FALSE)</f>
        <v>0.95099999999999996</v>
      </c>
      <c r="J152" s="517"/>
      <c r="K152" s="452">
        <f>VLOOKUP($B152,'New costs and adjustments'!$D$861:$O$864,COLUMN()-3,FALSE)</f>
        <v>2.7108088620120232</v>
      </c>
      <c r="L152" s="350">
        <f>VLOOKUP($B152,'New costs and adjustments'!$D$861:$O$864,COLUMN()-3,FALSE)</f>
        <v>3.6205644234527008</v>
      </c>
      <c r="M152" s="350">
        <f>VLOOKUP($B152,'New costs and adjustments'!$D$861:$O$864,COLUMN()-3,FALSE)</f>
        <v>4.5711423498298194</v>
      </c>
      <c r="N152" s="350">
        <f>VLOOKUP($B152,'New costs and adjustments'!$D$861:$O$864,COLUMN()-3,FALSE)</f>
        <v>5.5664304854230409</v>
      </c>
      <c r="O152" s="350">
        <f>VLOOKUP($B152,'New costs and adjustments'!$D$861:$O$864,COLUMN()-3,FALSE)</f>
        <v>6.6044849080925321</v>
      </c>
    </row>
    <row r="153" spans="1:29">
      <c r="A153" s="348" t="s">
        <v>52</v>
      </c>
      <c r="B153" s="348" t="s">
        <v>159</v>
      </c>
      <c r="C153" s="348" t="s">
        <v>158</v>
      </c>
      <c r="D153" s="348" t="s">
        <v>74</v>
      </c>
      <c r="E153" s="348" t="s">
        <v>182</v>
      </c>
      <c r="F153" s="517"/>
      <c r="G153" s="517"/>
      <c r="H153" s="517"/>
      <c r="I153" s="517"/>
      <c r="J153" s="517"/>
      <c r="K153" s="454"/>
      <c r="L153" s="352"/>
      <c r="M153" s="352"/>
      <c r="N153" s="352"/>
      <c r="O153" s="352"/>
    </row>
    <row r="154" spans="1:29">
      <c r="A154" s="348" t="s">
        <v>53</v>
      </c>
      <c r="B154" s="348" t="s">
        <v>78</v>
      </c>
      <c r="C154" s="348" t="s">
        <v>132</v>
      </c>
      <c r="D154" s="348" t="s">
        <v>74</v>
      </c>
      <c r="E154" s="348" t="s">
        <v>182</v>
      </c>
      <c r="F154" s="517"/>
      <c r="G154" s="517"/>
      <c r="H154" s="517"/>
      <c r="I154" s="350">
        <f ca="1">VLOOKUP($B154,'New costs and adjustments'!$D$865:$O$868,COLUMN()-3,FALSE)</f>
        <v>25.726041713578699</v>
      </c>
      <c r="J154" s="517"/>
      <c r="K154" s="452">
        <f ca="1">VLOOKUP($B154,'New costs and adjustments'!$D$865:$O$868,COLUMN()-3,FALSE)</f>
        <v>25.682501961205801</v>
      </c>
      <c r="L154" s="350">
        <f ca="1">VLOOKUP($B154,'New costs and adjustments'!$D$865:$O$868,COLUMN()-3,FALSE)</f>
        <v>25.605795416325101</v>
      </c>
      <c r="M154" s="350">
        <f ca="1">VLOOKUP($B154,'New costs and adjustments'!$D$865:$O$868,COLUMN()-3,FALSE)</f>
        <v>25.520940419992701</v>
      </c>
      <c r="N154" s="350">
        <f ca="1">VLOOKUP($B154,'New costs and adjustments'!$D$865:$O$868,COLUMN()-3,FALSE)</f>
        <v>25.383547316923998</v>
      </c>
      <c r="O154" s="350">
        <f ca="1">VLOOKUP($B154,'New costs and adjustments'!$D$865:$O$868,COLUMN()-3,FALSE)</f>
        <v>25.2788321977138</v>
      </c>
      <c r="AC154" s="351" t="s">
        <v>226</v>
      </c>
    </row>
    <row r="155" spans="1:29">
      <c r="A155" s="348" t="s">
        <v>53</v>
      </c>
      <c r="B155" s="348" t="s">
        <v>97</v>
      </c>
      <c r="C155" s="348" t="s">
        <v>99</v>
      </c>
      <c r="D155" s="348" t="s">
        <v>74</v>
      </c>
      <c r="E155" s="348" t="s">
        <v>182</v>
      </c>
      <c r="F155" s="517"/>
      <c r="G155" s="517"/>
      <c r="H155" s="517"/>
      <c r="I155" s="350">
        <f>VLOOKUP($B155,'New costs and adjustments'!$D$865:$O$868,COLUMN()-3,FALSE)</f>
        <v>0.84294746377094099</v>
      </c>
      <c r="J155" s="517"/>
      <c r="K155" s="452">
        <f>VLOOKUP($B155,'New costs and adjustments'!$D$865:$O$868,COLUMN()-3,FALSE)</f>
        <v>1.7305229332185399</v>
      </c>
      <c r="L155" s="350">
        <f>VLOOKUP($B155,'New costs and adjustments'!$D$865:$O$868,COLUMN()-3,FALSE)</f>
        <v>1.6754468631596799</v>
      </c>
      <c r="M155" s="350">
        <f>VLOOKUP($B155,'New costs and adjustments'!$D$865:$O$868,COLUMN()-3,FALSE)</f>
        <v>1.6301293109941299</v>
      </c>
      <c r="N155" s="350">
        <f>VLOOKUP($B155,'New costs and adjustments'!$D$865:$O$868,COLUMN()-3,FALSE)</f>
        <v>1.1896396162524701</v>
      </c>
      <c r="O155" s="350">
        <f>VLOOKUP($B155,'New costs and adjustments'!$D$865:$O$868,COLUMN()-3,FALSE)</f>
        <v>0.16888299719754199</v>
      </c>
    </row>
    <row r="156" spans="1:29">
      <c r="A156" s="348" t="s">
        <v>53</v>
      </c>
      <c r="B156" s="348" t="s">
        <v>98</v>
      </c>
      <c r="C156" s="348" t="s">
        <v>100</v>
      </c>
      <c r="D156" s="348" t="s">
        <v>74</v>
      </c>
      <c r="E156" s="348" t="s">
        <v>182</v>
      </c>
      <c r="F156" s="517"/>
      <c r="G156" s="517"/>
      <c r="H156" s="517"/>
      <c r="I156" s="350">
        <f>VLOOKUP($B156,'New costs and adjustments'!$D$865:$O$868,COLUMN()-3,FALSE)</f>
        <v>0</v>
      </c>
      <c r="J156" s="517"/>
      <c r="K156" s="452">
        <f>VLOOKUP($B156,'New costs and adjustments'!$D$865:$O$868,COLUMN()-3,FALSE)</f>
        <v>0.22800000000000001</v>
      </c>
      <c r="L156" s="350">
        <f>VLOOKUP($B156,'New costs and adjustments'!$D$865:$O$868,COLUMN()-3,FALSE)</f>
        <v>0.45</v>
      </c>
      <c r="M156" s="350">
        <f>VLOOKUP($B156,'New costs and adjustments'!$D$865:$O$868,COLUMN()-3,FALSE)</f>
        <v>0.66600000000000004</v>
      </c>
      <c r="N156" s="350">
        <f>VLOOKUP($B156,'New costs and adjustments'!$D$865:$O$868,COLUMN()-3,FALSE)</f>
        <v>0.876</v>
      </c>
      <c r="O156" s="350">
        <f>VLOOKUP($B156,'New costs and adjustments'!$D$865:$O$868,COLUMN()-3,FALSE)</f>
        <v>1.081</v>
      </c>
    </row>
    <row r="157" spans="1:29">
      <c r="A157" s="348" t="s">
        <v>53</v>
      </c>
      <c r="B157" s="348" t="s">
        <v>79</v>
      </c>
      <c r="C157" s="348" t="s">
        <v>135</v>
      </c>
      <c r="D157" s="348" t="s">
        <v>74</v>
      </c>
      <c r="E157" s="348" t="s">
        <v>182</v>
      </c>
      <c r="F157" s="517"/>
      <c r="G157" s="517"/>
      <c r="H157" s="517"/>
      <c r="I157" s="517"/>
      <c r="J157" s="517"/>
      <c r="K157" s="453"/>
      <c r="L157" s="349"/>
      <c r="M157" s="349"/>
      <c r="N157" s="349"/>
      <c r="O157" s="349"/>
    </row>
    <row r="158" spans="1:29">
      <c r="A158" s="348" t="s">
        <v>53</v>
      </c>
      <c r="B158" s="348" t="s">
        <v>80</v>
      </c>
      <c r="C158" s="348" t="s">
        <v>136</v>
      </c>
      <c r="D158" s="348" t="s">
        <v>74</v>
      </c>
      <c r="E158" s="348" t="s">
        <v>182</v>
      </c>
      <c r="F158" s="517"/>
      <c r="G158" s="517"/>
      <c r="H158" s="517"/>
      <c r="I158" s="517"/>
      <c r="J158" s="517"/>
      <c r="K158" s="454"/>
      <c r="L158" s="352"/>
      <c r="M158" s="352"/>
      <c r="N158" s="352"/>
      <c r="O158" s="352"/>
    </row>
    <row r="159" spans="1:29">
      <c r="A159" s="348" t="s">
        <v>53</v>
      </c>
      <c r="B159" s="348" t="s">
        <v>81</v>
      </c>
      <c r="C159" s="348" t="s">
        <v>137</v>
      </c>
      <c r="D159" s="348" t="s">
        <v>74</v>
      </c>
      <c r="E159" s="348" t="s">
        <v>182</v>
      </c>
      <c r="F159" s="517"/>
      <c r="G159" s="517"/>
      <c r="H159" s="517"/>
      <c r="I159" s="517"/>
      <c r="J159" s="517"/>
      <c r="K159" s="454"/>
      <c r="L159" s="352"/>
      <c r="M159" s="352"/>
      <c r="N159" s="352"/>
      <c r="O159" s="352"/>
    </row>
    <row r="160" spans="1:29">
      <c r="A160" s="348" t="s">
        <v>53</v>
      </c>
      <c r="B160" s="348" t="s">
        <v>82</v>
      </c>
      <c r="C160" s="348" t="s">
        <v>89</v>
      </c>
      <c r="D160" s="348" t="s">
        <v>183</v>
      </c>
      <c r="E160" s="348" t="s">
        <v>182</v>
      </c>
      <c r="F160" s="517"/>
      <c r="G160" s="517"/>
      <c r="H160" s="517"/>
      <c r="I160" s="517"/>
      <c r="J160" s="517"/>
      <c r="K160" s="454"/>
      <c r="L160" s="352"/>
      <c r="M160" s="352"/>
      <c r="N160" s="352"/>
      <c r="O160" s="352"/>
    </row>
    <row r="161" spans="1:29">
      <c r="A161" s="348" t="s">
        <v>53</v>
      </c>
      <c r="B161" s="348" t="s">
        <v>87</v>
      </c>
      <c r="C161" s="348" t="s">
        <v>90</v>
      </c>
      <c r="D161" s="348" t="s">
        <v>183</v>
      </c>
      <c r="E161" s="348" t="s">
        <v>182</v>
      </c>
      <c r="F161" s="517"/>
      <c r="G161" s="517"/>
      <c r="H161" s="517"/>
      <c r="I161" s="517"/>
      <c r="J161" s="517"/>
      <c r="K161" s="454"/>
      <c r="L161" s="352"/>
      <c r="M161" s="352"/>
      <c r="N161" s="352"/>
      <c r="O161" s="352"/>
    </row>
    <row r="162" spans="1:29">
      <c r="A162" s="348" t="s">
        <v>53</v>
      </c>
      <c r="B162" s="348" t="s">
        <v>83</v>
      </c>
      <c r="C162" s="348" t="s">
        <v>91</v>
      </c>
      <c r="D162" s="348" t="s">
        <v>183</v>
      </c>
      <c r="E162" s="348" t="s">
        <v>182</v>
      </c>
      <c r="F162" s="517"/>
      <c r="G162" s="517"/>
      <c r="H162" s="517"/>
      <c r="I162" s="517"/>
      <c r="J162" s="517"/>
      <c r="K162" s="454"/>
      <c r="L162" s="352"/>
      <c r="M162" s="352"/>
      <c r="N162" s="352"/>
      <c r="O162" s="352"/>
    </row>
    <row r="163" spans="1:29">
      <c r="A163" s="348" t="s">
        <v>53</v>
      </c>
      <c r="B163" s="348" t="s">
        <v>84</v>
      </c>
      <c r="C163" s="348" t="s">
        <v>92</v>
      </c>
      <c r="D163" s="348" t="s">
        <v>183</v>
      </c>
      <c r="E163" s="348" t="s">
        <v>182</v>
      </c>
      <c r="F163" s="517"/>
      <c r="G163" s="517"/>
      <c r="H163" s="517"/>
      <c r="I163" s="517"/>
      <c r="J163" s="517"/>
      <c r="K163" s="454"/>
      <c r="L163" s="352"/>
      <c r="M163" s="352"/>
      <c r="N163" s="352"/>
      <c r="O163" s="352"/>
    </row>
    <row r="164" spans="1:29">
      <c r="A164" s="348" t="s">
        <v>53</v>
      </c>
      <c r="B164" s="348" t="s">
        <v>85</v>
      </c>
      <c r="C164" s="348" t="s">
        <v>93</v>
      </c>
      <c r="D164" s="348" t="s">
        <v>183</v>
      </c>
      <c r="E164" s="348" t="s">
        <v>182</v>
      </c>
      <c r="F164" s="517"/>
      <c r="G164" s="517"/>
      <c r="H164" s="517"/>
      <c r="I164" s="517"/>
      <c r="J164" s="517"/>
      <c r="K164" s="454"/>
      <c r="L164" s="352"/>
      <c r="M164" s="352"/>
      <c r="N164" s="352"/>
      <c r="O164" s="352"/>
    </row>
    <row r="165" spans="1:29">
      <c r="A165" s="348" t="s">
        <v>53</v>
      </c>
      <c r="B165" s="348" t="s">
        <v>86</v>
      </c>
      <c r="C165" s="348" t="s">
        <v>94</v>
      </c>
      <c r="D165" s="348" t="s">
        <v>183</v>
      </c>
      <c r="E165" s="348" t="s">
        <v>182</v>
      </c>
      <c r="F165" s="517"/>
      <c r="G165" s="517"/>
      <c r="H165" s="517"/>
      <c r="I165" s="517"/>
      <c r="J165" s="517"/>
      <c r="K165" s="454"/>
      <c r="L165" s="352"/>
      <c r="M165" s="352"/>
      <c r="N165" s="352"/>
      <c r="O165" s="352"/>
    </row>
    <row r="166" spans="1:29">
      <c r="A166" s="348" t="s">
        <v>53</v>
      </c>
      <c r="B166" s="348" t="s">
        <v>174</v>
      </c>
      <c r="C166" s="348" t="s">
        <v>184</v>
      </c>
      <c r="D166" s="348" t="s">
        <v>74</v>
      </c>
      <c r="E166" s="348" t="s">
        <v>182</v>
      </c>
      <c r="F166" s="517"/>
      <c r="G166" s="517"/>
      <c r="H166" s="517"/>
      <c r="I166" s="517"/>
      <c r="J166" s="517"/>
      <c r="K166" s="454"/>
      <c r="L166" s="352"/>
      <c r="M166" s="352"/>
      <c r="N166" s="352"/>
      <c r="O166" s="352"/>
    </row>
    <row r="167" spans="1:29">
      <c r="A167" s="348" t="s">
        <v>53</v>
      </c>
      <c r="B167" s="348" t="s">
        <v>156</v>
      </c>
      <c r="C167" s="348" t="s">
        <v>157</v>
      </c>
      <c r="D167" s="348" t="s">
        <v>74</v>
      </c>
      <c r="E167" s="348" t="s">
        <v>182</v>
      </c>
      <c r="F167" s="517"/>
      <c r="G167" s="517"/>
      <c r="H167" s="517"/>
      <c r="I167" s="350">
        <f>VLOOKUP($B167,'New costs and adjustments'!$D$865:$O$868,COLUMN()-3,FALSE)</f>
        <v>0.13566</v>
      </c>
      <c r="J167" s="517"/>
      <c r="K167" s="452">
        <f>VLOOKUP($B167,'New costs and adjustments'!$D$865:$O$868,COLUMN()-3,FALSE)</f>
        <v>0.11665052756737383</v>
      </c>
      <c r="L167" s="350">
        <f>VLOOKUP($B167,'New costs and adjustments'!$D$865:$O$868,COLUMN()-3,FALSE)</f>
        <v>0.11665052756737383</v>
      </c>
      <c r="M167" s="350">
        <f>VLOOKUP($B167,'New costs and adjustments'!$D$865:$O$868,COLUMN()-3,FALSE)</f>
        <v>0.11665052756737383</v>
      </c>
      <c r="N167" s="350">
        <f>VLOOKUP($B167,'New costs and adjustments'!$D$865:$O$868,COLUMN()-3,FALSE)</f>
        <v>0.11665052756737383</v>
      </c>
      <c r="O167" s="350">
        <f>VLOOKUP($B167,'New costs and adjustments'!$D$865:$O$868,COLUMN()-3,FALSE)</f>
        <v>0.11665052756737383</v>
      </c>
    </row>
    <row r="168" spans="1:29">
      <c r="A168" s="348" t="s">
        <v>53</v>
      </c>
      <c r="B168" s="348" t="s">
        <v>159</v>
      </c>
      <c r="C168" s="348" t="s">
        <v>158</v>
      </c>
      <c r="D168" s="348" t="s">
        <v>74</v>
      </c>
      <c r="E168" s="348" t="s">
        <v>182</v>
      </c>
      <c r="F168" s="517"/>
      <c r="G168" s="517"/>
      <c r="H168" s="517"/>
      <c r="I168" s="517"/>
      <c r="J168" s="517"/>
      <c r="K168" s="454"/>
      <c r="L168" s="352"/>
      <c r="M168" s="352"/>
      <c r="N168" s="352"/>
      <c r="O168" s="352"/>
    </row>
    <row r="169" spans="1:29">
      <c r="A169" s="348" t="s">
        <v>54</v>
      </c>
      <c r="B169" s="348" t="s">
        <v>78</v>
      </c>
      <c r="C169" s="348" t="s">
        <v>132</v>
      </c>
      <c r="D169" s="348" t="s">
        <v>74</v>
      </c>
      <c r="E169" s="348" t="s">
        <v>182</v>
      </c>
      <c r="F169" s="517"/>
      <c r="G169" s="517"/>
      <c r="H169" s="517"/>
      <c r="I169" s="350">
        <f ca="1">VLOOKUP($B169,'New costs and adjustments'!$D$869:$O$872,COLUMN()-3,FALSE)</f>
        <v>8.3352069717081392</v>
      </c>
      <c r="J169" s="517"/>
      <c r="K169" s="452">
        <f ca="1">VLOOKUP($B169,'New costs and adjustments'!$D$869:$O$872,COLUMN()-3,FALSE)</f>
        <v>8.6953489147138292</v>
      </c>
      <c r="L169" s="350">
        <f ca="1">VLOOKUP($B169,'New costs and adjustments'!$D$869:$O$872,COLUMN()-3,FALSE)</f>
        <v>8.89124314668633</v>
      </c>
      <c r="M169" s="350">
        <f ca="1">VLOOKUP($B169,'New costs and adjustments'!$D$869:$O$872,COLUMN()-3,FALSE)</f>
        <v>9.0769720854024492</v>
      </c>
      <c r="N169" s="350">
        <f ca="1">VLOOKUP($B169,'New costs and adjustments'!$D$869:$O$872,COLUMN()-3,FALSE)</f>
        <v>9.2535233828427792</v>
      </c>
      <c r="O169" s="350">
        <f ca="1">VLOOKUP($B169,'New costs and adjustments'!$D$869:$O$872,COLUMN()-3,FALSE)</f>
        <v>9.4209357314604407</v>
      </c>
      <c r="AC169" s="351" t="s">
        <v>227</v>
      </c>
    </row>
    <row r="170" spans="1:29">
      <c r="A170" s="348" t="s">
        <v>54</v>
      </c>
      <c r="B170" s="348" t="s">
        <v>97</v>
      </c>
      <c r="C170" s="348" t="s">
        <v>99</v>
      </c>
      <c r="D170" s="348" t="s">
        <v>74</v>
      </c>
      <c r="E170" s="348" t="s">
        <v>182</v>
      </c>
      <c r="F170" s="517"/>
      <c r="G170" s="517"/>
      <c r="H170" s="517"/>
      <c r="I170" s="350">
        <f>VLOOKUP($B170,'New costs and adjustments'!$D$869:$O$872,COLUMN()-3,FALSE)</f>
        <v>0.54740121471888303</v>
      </c>
      <c r="J170" s="517"/>
      <c r="K170" s="452">
        <f>VLOOKUP($B170,'New costs and adjustments'!$D$869:$O$872,COLUMN()-3,FALSE)</f>
        <v>0.64104512219362297</v>
      </c>
      <c r="L170" s="350">
        <f>VLOOKUP($B170,'New costs and adjustments'!$D$869:$O$872,COLUMN()-3,FALSE)</f>
        <v>0.58955967440942303</v>
      </c>
      <c r="M170" s="350">
        <f>VLOOKUP($B170,'New costs and adjustments'!$D$869:$O$872,COLUMN()-3,FALSE)</f>
        <v>0.46069831014932994</v>
      </c>
      <c r="N170" s="350">
        <f>VLOOKUP($B170,'New costs and adjustments'!$D$869:$O$872,COLUMN()-3,FALSE)</f>
        <v>0.29869711420328904</v>
      </c>
      <c r="O170" s="350">
        <f>VLOOKUP($B170,'New costs and adjustments'!$D$869:$O$872,COLUMN()-3,FALSE)</f>
        <v>0.14213225374133601</v>
      </c>
    </row>
    <row r="171" spans="1:29">
      <c r="A171" s="348" t="s">
        <v>54</v>
      </c>
      <c r="B171" s="348" t="s">
        <v>98</v>
      </c>
      <c r="C171" s="348" t="s">
        <v>100</v>
      </c>
      <c r="D171" s="348" t="s">
        <v>74</v>
      </c>
      <c r="E171" s="348" t="s">
        <v>182</v>
      </c>
      <c r="F171" s="517"/>
      <c r="G171" s="517"/>
      <c r="H171" s="517"/>
      <c r="I171" s="350">
        <f>VLOOKUP($B171,'New costs and adjustments'!$D$869:$O$872,COLUMN()-3,FALSE)</f>
        <v>0</v>
      </c>
      <c r="J171" s="517"/>
      <c r="K171" s="452">
        <f>VLOOKUP($B171,'New costs and adjustments'!$D$869:$O$872,COLUMN()-3,FALSE)</f>
        <v>9.5600645428745995E-2</v>
      </c>
      <c r="L171" s="350">
        <f>VLOOKUP($B171,'New costs and adjustments'!$D$869:$O$872,COLUMN()-3,FALSE)</f>
        <v>0.29231822374269001</v>
      </c>
      <c r="M171" s="350">
        <f>VLOOKUP($B171,'New costs and adjustments'!$D$869:$O$872,COLUMN()-3,FALSE)</f>
        <v>0.49640739054843097</v>
      </c>
      <c r="N171" s="350">
        <f>VLOOKUP($B171,'New costs and adjustments'!$D$869:$O$872,COLUMN()-3,FALSE)</f>
        <v>0.70755726879124703</v>
      </c>
      <c r="O171" s="350">
        <f>VLOOKUP($B171,'New costs and adjustments'!$D$869:$O$872,COLUMN()-3,FALSE)</f>
        <v>0.92609744938700311</v>
      </c>
    </row>
    <row r="172" spans="1:29">
      <c r="A172" s="348" t="s">
        <v>54</v>
      </c>
      <c r="B172" s="348" t="s">
        <v>79</v>
      </c>
      <c r="C172" s="348" t="s">
        <v>135</v>
      </c>
      <c r="D172" s="348" t="s">
        <v>74</v>
      </c>
      <c r="E172" s="348" t="s">
        <v>182</v>
      </c>
      <c r="F172" s="517"/>
      <c r="G172" s="517"/>
      <c r="H172" s="517"/>
      <c r="I172" s="517"/>
      <c r="J172" s="517"/>
      <c r="K172" s="453"/>
      <c r="L172" s="349"/>
      <c r="M172" s="349"/>
      <c r="N172" s="349"/>
      <c r="O172" s="349"/>
    </row>
    <row r="173" spans="1:29">
      <c r="A173" s="348" t="s">
        <v>54</v>
      </c>
      <c r="B173" s="348" t="s">
        <v>80</v>
      </c>
      <c r="C173" s="348" t="s">
        <v>136</v>
      </c>
      <c r="D173" s="348" t="s">
        <v>74</v>
      </c>
      <c r="E173" s="348" t="s">
        <v>182</v>
      </c>
      <c r="F173" s="517"/>
      <c r="G173" s="517"/>
      <c r="H173" s="517"/>
      <c r="I173" s="517"/>
      <c r="J173" s="517"/>
      <c r="K173" s="454"/>
      <c r="L173" s="352"/>
      <c r="M173" s="352"/>
      <c r="N173" s="352"/>
      <c r="O173" s="352"/>
    </row>
    <row r="174" spans="1:29">
      <c r="A174" s="348" t="s">
        <v>54</v>
      </c>
      <c r="B174" s="348" t="s">
        <v>81</v>
      </c>
      <c r="C174" s="348" t="s">
        <v>137</v>
      </c>
      <c r="D174" s="348" t="s">
        <v>74</v>
      </c>
      <c r="E174" s="348" t="s">
        <v>182</v>
      </c>
      <c r="F174" s="517"/>
      <c r="G174" s="517"/>
      <c r="H174" s="517"/>
      <c r="I174" s="517"/>
      <c r="J174" s="517"/>
      <c r="K174" s="454"/>
      <c r="L174" s="352"/>
      <c r="M174" s="352"/>
      <c r="N174" s="352"/>
      <c r="O174" s="352"/>
    </row>
    <row r="175" spans="1:29">
      <c r="A175" s="348" t="s">
        <v>54</v>
      </c>
      <c r="B175" s="348" t="s">
        <v>82</v>
      </c>
      <c r="C175" s="348" t="s">
        <v>89</v>
      </c>
      <c r="D175" s="348" t="s">
        <v>183</v>
      </c>
      <c r="E175" s="348" t="s">
        <v>182</v>
      </c>
      <c r="F175" s="517"/>
      <c r="G175" s="517"/>
      <c r="H175" s="517"/>
      <c r="I175" s="517"/>
      <c r="J175" s="517"/>
      <c r="K175" s="454"/>
      <c r="L175" s="352"/>
      <c r="M175" s="352"/>
      <c r="N175" s="352"/>
      <c r="O175" s="352"/>
    </row>
    <row r="176" spans="1:29">
      <c r="A176" s="348" t="s">
        <v>54</v>
      </c>
      <c r="B176" s="348" t="s">
        <v>87</v>
      </c>
      <c r="C176" s="348" t="s">
        <v>90</v>
      </c>
      <c r="D176" s="348" t="s">
        <v>183</v>
      </c>
      <c r="E176" s="348" t="s">
        <v>182</v>
      </c>
      <c r="F176" s="517"/>
      <c r="G176" s="517"/>
      <c r="H176" s="517"/>
      <c r="I176" s="517"/>
      <c r="J176" s="517"/>
      <c r="K176" s="454"/>
      <c r="L176" s="352"/>
      <c r="M176" s="352"/>
      <c r="N176" s="352"/>
      <c r="O176" s="352"/>
    </row>
    <row r="177" spans="1:29">
      <c r="A177" s="348" t="s">
        <v>54</v>
      </c>
      <c r="B177" s="348" t="s">
        <v>83</v>
      </c>
      <c r="C177" s="348" t="s">
        <v>91</v>
      </c>
      <c r="D177" s="348" t="s">
        <v>183</v>
      </c>
      <c r="E177" s="348" t="s">
        <v>182</v>
      </c>
      <c r="F177" s="517"/>
      <c r="G177" s="517"/>
      <c r="H177" s="517"/>
      <c r="I177" s="517"/>
      <c r="J177" s="517"/>
      <c r="K177" s="454"/>
      <c r="L177" s="352"/>
      <c r="M177" s="352"/>
      <c r="N177" s="352"/>
      <c r="O177" s="352"/>
    </row>
    <row r="178" spans="1:29">
      <c r="A178" s="348" t="s">
        <v>54</v>
      </c>
      <c r="B178" s="348" t="s">
        <v>84</v>
      </c>
      <c r="C178" s="348" t="s">
        <v>92</v>
      </c>
      <c r="D178" s="348" t="s">
        <v>183</v>
      </c>
      <c r="E178" s="348" t="s">
        <v>182</v>
      </c>
      <c r="F178" s="517"/>
      <c r="G178" s="517"/>
      <c r="H178" s="517"/>
      <c r="I178" s="517"/>
      <c r="J178" s="517"/>
      <c r="K178" s="454"/>
      <c r="L178" s="352"/>
      <c r="M178" s="352"/>
      <c r="N178" s="352"/>
      <c r="O178" s="352"/>
    </row>
    <row r="179" spans="1:29">
      <c r="A179" s="348" t="s">
        <v>54</v>
      </c>
      <c r="B179" s="348" t="s">
        <v>85</v>
      </c>
      <c r="C179" s="348" t="s">
        <v>93</v>
      </c>
      <c r="D179" s="348" t="s">
        <v>183</v>
      </c>
      <c r="E179" s="348" t="s">
        <v>182</v>
      </c>
      <c r="F179" s="517"/>
      <c r="G179" s="517"/>
      <c r="H179" s="517"/>
      <c r="I179" s="517"/>
      <c r="J179" s="517"/>
      <c r="K179" s="454"/>
      <c r="L179" s="352"/>
      <c r="M179" s="352"/>
      <c r="N179" s="352"/>
      <c r="O179" s="352"/>
    </row>
    <row r="180" spans="1:29">
      <c r="A180" s="348" t="s">
        <v>54</v>
      </c>
      <c r="B180" s="348" t="s">
        <v>86</v>
      </c>
      <c r="C180" s="348" t="s">
        <v>94</v>
      </c>
      <c r="D180" s="348" t="s">
        <v>183</v>
      </c>
      <c r="E180" s="348" t="s">
        <v>182</v>
      </c>
      <c r="F180" s="517"/>
      <c r="G180" s="517"/>
      <c r="H180" s="517"/>
      <c r="I180" s="517"/>
      <c r="J180" s="517"/>
      <c r="K180" s="454"/>
      <c r="L180" s="352"/>
      <c r="M180" s="352"/>
      <c r="N180" s="352"/>
      <c r="O180" s="352"/>
    </row>
    <row r="181" spans="1:29">
      <c r="A181" s="348" t="s">
        <v>54</v>
      </c>
      <c r="B181" s="348" t="s">
        <v>174</v>
      </c>
      <c r="C181" s="348" t="s">
        <v>184</v>
      </c>
      <c r="D181" s="348" t="s">
        <v>74</v>
      </c>
      <c r="E181" s="348" t="s">
        <v>182</v>
      </c>
      <c r="F181" s="517"/>
      <c r="G181" s="517"/>
      <c r="H181" s="517"/>
      <c r="I181" s="517"/>
      <c r="J181" s="517"/>
      <c r="K181" s="454"/>
      <c r="L181" s="352"/>
      <c r="M181" s="352"/>
      <c r="N181" s="352"/>
      <c r="O181" s="352"/>
    </row>
    <row r="182" spans="1:29">
      <c r="A182" s="348" t="s">
        <v>54</v>
      </c>
      <c r="B182" s="348" t="s">
        <v>156</v>
      </c>
      <c r="C182" s="348" t="s">
        <v>157</v>
      </c>
      <c r="D182" s="348" t="s">
        <v>74</v>
      </c>
      <c r="E182" s="348" t="s">
        <v>182</v>
      </c>
      <c r="F182" s="517"/>
      <c r="G182" s="517"/>
      <c r="H182" s="517"/>
      <c r="I182" s="350">
        <f>VLOOKUP($B182,'New costs and adjustments'!$D$869:$O$872,COLUMN()-3,FALSE)</f>
        <v>0.95099999999999996</v>
      </c>
      <c r="J182" s="517"/>
      <c r="K182" s="452">
        <f>VLOOKUP($B182,'New costs and adjustments'!$D$869:$O$872,COLUMN()-3,FALSE)</f>
        <v>0.62827546133535106</v>
      </c>
      <c r="L182" s="350">
        <f>VLOOKUP($B182,'New costs and adjustments'!$D$869:$O$872,COLUMN()-3,FALSE)</f>
        <v>0.81502220665825997</v>
      </c>
      <c r="M182" s="350">
        <f>VLOOKUP($B182,'New costs and adjustments'!$D$869:$O$872,COLUMN()-3,FALSE)</f>
        <v>1.0158234119497502</v>
      </c>
      <c r="N182" s="350">
        <f>VLOOKUP($B182,'New costs and adjustments'!$D$869:$O$872,COLUMN()-3,FALSE)</f>
        <v>1.2305586937934683</v>
      </c>
      <c r="O182" s="350">
        <f>VLOOKUP($B182,'New costs and adjustments'!$D$869:$O$872,COLUMN()-3,FALSE)</f>
        <v>1.4590090447323285</v>
      </c>
    </row>
    <row r="183" spans="1:29">
      <c r="A183" s="348" t="s">
        <v>54</v>
      </c>
      <c r="B183" s="348" t="s">
        <v>159</v>
      </c>
      <c r="C183" s="348" t="s">
        <v>158</v>
      </c>
      <c r="D183" s="348" t="s">
        <v>74</v>
      </c>
      <c r="E183" s="348" t="s">
        <v>182</v>
      </c>
      <c r="F183" s="517"/>
      <c r="G183" s="517"/>
      <c r="H183" s="517"/>
      <c r="I183" s="517"/>
      <c r="J183" s="517"/>
      <c r="K183" s="454"/>
      <c r="L183" s="352"/>
      <c r="M183" s="352"/>
      <c r="N183" s="352"/>
      <c r="O183" s="352"/>
    </row>
    <row r="184" spans="1:29">
      <c r="A184" s="348" t="s">
        <v>66</v>
      </c>
      <c r="B184" s="348" t="s">
        <v>78</v>
      </c>
      <c r="C184" s="348" t="s">
        <v>132</v>
      </c>
      <c r="D184" s="348" t="s">
        <v>74</v>
      </c>
      <c r="E184" s="348" t="s">
        <v>182</v>
      </c>
      <c r="F184" s="517"/>
      <c r="G184" s="517"/>
      <c r="H184" s="517"/>
      <c r="I184" s="350">
        <f ca="1">VLOOKUP($B184,'New costs and adjustments'!$D$889:$O$892,COLUMN()-3,FALSE)</f>
        <v>13.33819300188828</v>
      </c>
      <c r="J184" s="517"/>
      <c r="K184" s="452">
        <f ca="1">VLOOKUP($B184,'New costs and adjustments'!$D$889:$O$892,COLUMN()-3,FALSE)</f>
        <v>13.60124278370353</v>
      </c>
      <c r="L184" s="350">
        <f ca="1">VLOOKUP($B184,'New costs and adjustments'!$D$889:$O$892,COLUMN()-3,FALSE)</f>
        <v>13.735241310375237</v>
      </c>
      <c r="M184" s="350">
        <f ca="1">VLOOKUP($B184,'New costs and adjustments'!$D$889:$O$892,COLUMN()-3,FALSE)</f>
        <v>13.871586401869475</v>
      </c>
      <c r="N184" s="350">
        <f ca="1">VLOOKUP($B184,'New costs and adjustments'!$D$889:$O$892,COLUMN()-3,FALSE)</f>
        <v>14.009378580371443</v>
      </c>
      <c r="O184" s="350">
        <f ca="1">VLOOKUP($B184,'New costs and adjustments'!$D$889:$O$892,COLUMN()-3,FALSE)</f>
        <v>14.148131053182942</v>
      </c>
      <c r="AC184" s="351" t="s">
        <v>232</v>
      </c>
    </row>
    <row r="185" spans="1:29">
      <c r="A185" s="348" t="s">
        <v>66</v>
      </c>
      <c r="B185" s="348" t="s">
        <v>97</v>
      </c>
      <c r="C185" s="348" t="s">
        <v>99</v>
      </c>
      <c r="D185" s="348" t="s">
        <v>74</v>
      </c>
      <c r="E185" s="348" t="s">
        <v>182</v>
      </c>
      <c r="F185" s="517"/>
      <c r="G185" s="517"/>
      <c r="H185" s="517"/>
      <c r="I185" s="350">
        <f>VLOOKUP($B185,'New costs and adjustments'!$D$889:$O$892,COLUMN()-3,FALSE)</f>
        <v>1.7001286959343478</v>
      </c>
      <c r="J185" s="517"/>
      <c r="K185" s="452">
        <f>VLOOKUP($B185,'New costs and adjustments'!$D$889:$O$892,COLUMN()-3,FALSE)</f>
        <v>2.376568820234128</v>
      </c>
      <c r="L185" s="350">
        <f>VLOOKUP($B185,'New costs and adjustments'!$D$889:$O$892,COLUMN()-3,FALSE)</f>
        <v>2.1065484331065738</v>
      </c>
      <c r="M185" s="350">
        <f>VLOOKUP($B185,'New costs and adjustments'!$D$889:$O$892,COLUMN()-3,FALSE)</f>
        <v>1.6030268400139469</v>
      </c>
      <c r="N185" s="350">
        <f>VLOOKUP($B185,'New costs and adjustments'!$D$889:$O$892,COLUMN()-3,FALSE)</f>
        <v>0.78935398646813304</v>
      </c>
      <c r="O185" s="350">
        <f>VLOOKUP($B185,'New costs and adjustments'!$D$889:$O$892,COLUMN()-3,FALSE)</f>
        <v>0.26332200774655901</v>
      </c>
    </row>
    <row r="186" spans="1:29">
      <c r="A186" s="348" t="s">
        <v>66</v>
      </c>
      <c r="B186" s="348" t="s">
        <v>98</v>
      </c>
      <c r="C186" s="348" t="s">
        <v>100</v>
      </c>
      <c r="D186" s="348" t="s">
        <v>74</v>
      </c>
      <c r="E186" s="348" t="s">
        <v>182</v>
      </c>
      <c r="F186" s="517"/>
      <c r="G186" s="517"/>
      <c r="H186" s="517"/>
      <c r="I186" s="350">
        <f>VLOOKUP($B186,'New costs and adjustments'!$D$889:$O$892,COLUMN()-3,FALSE)</f>
        <v>0</v>
      </c>
      <c r="J186" s="517"/>
      <c r="K186" s="452">
        <f>VLOOKUP($B186,'New costs and adjustments'!$D$889:$O$892,COLUMN()-3,FALSE)</f>
        <v>0.20924913779915999</v>
      </c>
      <c r="L186" s="350">
        <f>VLOOKUP($B186,'New costs and adjustments'!$D$889:$O$892,COLUMN()-3,FALSE)</f>
        <v>0.41252552193052794</v>
      </c>
      <c r="M186" s="350">
        <f>VLOOKUP($B186,'New costs and adjustments'!$D$889:$O$892,COLUMN()-3,FALSE)</f>
        <v>0.62595563390783493</v>
      </c>
      <c r="N186" s="350">
        <f>VLOOKUP($B186,'New costs and adjustments'!$D$889:$O$892,COLUMN()-3,FALSE)</f>
        <v>0.81967952271444999</v>
      </c>
      <c r="O186" s="350">
        <f>VLOOKUP($B186,'New costs and adjustments'!$D$889:$O$892,COLUMN()-3,FALSE)</f>
        <v>0.95460579456879491</v>
      </c>
    </row>
    <row r="187" spans="1:29">
      <c r="A187" s="348" t="s">
        <v>66</v>
      </c>
      <c r="B187" s="348" t="s">
        <v>79</v>
      </c>
      <c r="C187" s="348" t="s">
        <v>135</v>
      </c>
      <c r="D187" s="348" t="s">
        <v>74</v>
      </c>
      <c r="E187" s="348" t="s">
        <v>182</v>
      </c>
      <c r="F187" s="517"/>
      <c r="G187" s="517"/>
      <c r="H187" s="517"/>
      <c r="I187" s="517"/>
      <c r="J187" s="517"/>
      <c r="K187" s="454"/>
      <c r="L187" s="352"/>
      <c r="M187" s="352"/>
      <c r="N187" s="352"/>
      <c r="O187" s="352"/>
    </row>
    <row r="188" spans="1:29">
      <c r="A188" s="348" t="s">
        <v>66</v>
      </c>
      <c r="B188" s="348" t="s">
        <v>80</v>
      </c>
      <c r="C188" s="348" t="s">
        <v>136</v>
      </c>
      <c r="D188" s="348" t="s">
        <v>74</v>
      </c>
      <c r="E188" s="348" t="s">
        <v>182</v>
      </c>
      <c r="F188" s="517"/>
      <c r="G188" s="517"/>
      <c r="H188" s="517"/>
      <c r="I188" s="517"/>
      <c r="J188" s="517"/>
      <c r="K188" s="454"/>
      <c r="L188" s="352"/>
      <c r="M188" s="352"/>
      <c r="N188" s="352"/>
      <c r="O188" s="352"/>
    </row>
    <row r="189" spans="1:29">
      <c r="A189" s="348" t="s">
        <v>66</v>
      </c>
      <c r="B189" s="348" t="s">
        <v>81</v>
      </c>
      <c r="C189" s="348" t="s">
        <v>137</v>
      </c>
      <c r="D189" s="348" t="s">
        <v>74</v>
      </c>
      <c r="E189" s="348" t="s">
        <v>182</v>
      </c>
      <c r="F189" s="517"/>
      <c r="G189" s="517"/>
      <c r="H189" s="517"/>
      <c r="I189" s="517"/>
      <c r="J189" s="517"/>
      <c r="K189" s="454"/>
      <c r="L189" s="352"/>
      <c r="M189" s="352"/>
      <c r="N189" s="352"/>
      <c r="O189" s="352"/>
    </row>
    <row r="190" spans="1:29">
      <c r="A190" s="348" t="s">
        <v>66</v>
      </c>
      <c r="B190" s="348" t="s">
        <v>82</v>
      </c>
      <c r="C190" s="348" t="s">
        <v>89</v>
      </c>
      <c r="D190" s="348" t="s">
        <v>183</v>
      </c>
      <c r="E190" s="348" t="s">
        <v>182</v>
      </c>
      <c r="F190" s="517"/>
      <c r="G190" s="517"/>
      <c r="H190" s="517"/>
      <c r="I190" s="517"/>
      <c r="J190" s="517"/>
      <c r="K190" s="454"/>
      <c r="L190" s="352"/>
      <c r="M190" s="352"/>
      <c r="N190" s="352"/>
      <c r="O190" s="352"/>
    </row>
    <row r="191" spans="1:29">
      <c r="A191" s="348" t="s">
        <v>66</v>
      </c>
      <c r="B191" s="348" t="s">
        <v>87</v>
      </c>
      <c r="C191" s="348" t="s">
        <v>90</v>
      </c>
      <c r="D191" s="348" t="s">
        <v>183</v>
      </c>
      <c r="E191" s="348" t="s">
        <v>182</v>
      </c>
      <c r="F191" s="517"/>
      <c r="G191" s="517"/>
      <c r="H191" s="517"/>
      <c r="I191" s="517"/>
      <c r="J191" s="517"/>
      <c r="K191" s="454"/>
      <c r="L191" s="352"/>
      <c r="M191" s="352"/>
      <c r="N191" s="352"/>
      <c r="O191" s="352"/>
    </row>
    <row r="192" spans="1:29">
      <c r="A192" s="348" t="s">
        <v>66</v>
      </c>
      <c r="B192" s="348" t="s">
        <v>83</v>
      </c>
      <c r="C192" s="348" t="s">
        <v>91</v>
      </c>
      <c r="D192" s="348" t="s">
        <v>183</v>
      </c>
      <c r="E192" s="348" t="s">
        <v>182</v>
      </c>
      <c r="F192" s="517"/>
      <c r="G192" s="517"/>
      <c r="H192" s="517"/>
      <c r="I192" s="517"/>
      <c r="J192" s="517"/>
      <c r="K192" s="454"/>
      <c r="L192" s="352"/>
      <c r="M192" s="352"/>
      <c r="N192" s="352"/>
      <c r="O192" s="352"/>
    </row>
    <row r="193" spans="1:29">
      <c r="A193" s="348" t="s">
        <v>66</v>
      </c>
      <c r="B193" s="348" t="s">
        <v>84</v>
      </c>
      <c r="C193" s="348" t="s">
        <v>92</v>
      </c>
      <c r="D193" s="348" t="s">
        <v>183</v>
      </c>
      <c r="E193" s="348" t="s">
        <v>182</v>
      </c>
      <c r="F193" s="517"/>
      <c r="G193" s="517"/>
      <c r="H193" s="517"/>
      <c r="I193" s="517"/>
      <c r="J193" s="517"/>
      <c r="K193" s="454"/>
      <c r="L193" s="352"/>
      <c r="M193" s="352"/>
      <c r="N193" s="352"/>
      <c r="O193" s="352"/>
    </row>
    <row r="194" spans="1:29">
      <c r="A194" s="348" t="s">
        <v>66</v>
      </c>
      <c r="B194" s="348" t="s">
        <v>85</v>
      </c>
      <c r="C194" s="348" t="s">
        <v>93</v>
      </c>
      <c r="D194" s="348" t="s">
        <v>183</v>
      </c>
      <c r="E194" s="348" t="s">
        <v>182</v>
      </c>
      <c r="F194" s="517"/>
      <c r="G194" s="517"/>
      <c r="H194" s="517"/>
      <c r="I194" s="517"/>
      <c r="J194" s="517"/>
      <c r="K194" s="454"/>
      <c r="L194" s="352"/>
      <c r="M194" s="352"/>
      <c r="N194" s="352"/>
      <c r="O194" s="352"/>
    </row>
    <row r="195" spans="1:29">
      <c r="A195" s="348" t="s">
        <v>66</v>
      </c>
      <c r="B195" s="348" t="s">
        <v>86</v>
      </c>
      <c r="C195" s="348" t="s">
        <v>94</v>
      </c>
      <c r="D195" s="348" t="s">
        <v>183</v>
      </c>
      <c r="E195" s="348" t="s">
        <v>182</v>
      </c>
      <c r="F195" s="517"/>
      <c r="G195" s="517"/>
      <c r="H195" s="517"/>
      <c r="I195" s="517"/>
      <c r="J195" s="517"/>
      <c r="K195" s="454"/>
      <c r="L195" s="352"/>
      <c r="M195" s="352"/>
      <c r="N195" s="352"/>
      <c r="O195" s="352"/>
    </row>
    <row r="196" spans="1:29">
      <c r="A196" s="348" t="s">
        <v>66</v>
      </c>
      <c r="B196" s="348" t="s">
        <v>174</v>
      </c>
      <c r="C196" s="348" t="s">
        <v>184</v>
      </c>
      <c r="D196" s="348" t="s">
        <v>74</v>
      </c>
      <c r="E196" s="348" t="s">
        <v>182</v>
      </c>
      <c r="F196" s="517"/>
      <c r="G196" s="517"/>
      <c r="H196" s="517"/>
      <c r="I196" s="517"/>
      <c r="J196" s="517"/>
      <c r="K196" s="454"/>
      <c r="L196" s="352"/>
      <c r="M196" s="352"/>
      <c r="N196" s="352"/>
      <c r="O196" s="352"/>
    </row>
    <row r="197" spans="1:29">
      <c r="A197" s="348" t="s">
        <v>66</v>
      </c>
      <c r="B197" s="348" t="s">
        <v>156</v>
      </c>
      <c r="C197" s="348" t="s">
        <v>157</v>
      </c>
      <c r="D197" s="348" t="s">
        <v>74</v>
      </c>
      <c r="E197" s="348" t="s">
        <v>182</v>
      </c>
      <c r="F197" s="517"/>
      <c r="G197" s="517"/>
      <c r="H197" s="517"/>
      <c r="I197" s="350">
        <f>VLOOKUP($B197,'New costs and adjustments'!$D$889:$O$892,COLUMN()-3,FALSE)</f>
        <v>0.39128733321794001</v>
      </c>
      <c r="J197" s="517"/>
      <c r="K197" s="452">
        <f>VLOOKUP($B197,'New costs and adjustments'!$D$889:$O$892,COLUMN()-3,FALSE)</f>
        <v>0.28781634921501137</v>
      </c>
      <c r="L197" s="350">
        <f>VLOOKUP($B197,'New costs and adjustments'!$D$889:$O$892,COLUMN()-3,FALSE)</f>
        <v>0.28781634921501137</v>
      </c>
      <c r="M197" s="350">
        <f>VLOOKUP($B197,'New costs and adjustments'!$D$889:$O$892,COLUMN()-3,FALSE)</f>
        <v>0.28781634921501137</v>
      </c>
      <c r="N197" s="350">
        <f>VLOOKUP($B197,'New costs and adjustments'!$D$889:$O$892,COLUMN()-3,FALSE)</f>
        <v>0.28781634921501137</v>
      </c>
      <c r="O197" s="350">
        <f>VLOOKUP($B197,'New costs and adjustments'!$D$889:$O$892,COLUMN()-3,FALSE)</f>
        <v>0.28781634921501137</v>
      </c>
    </row>
    <row r="198" spans="1:29">
      <c r="A198" s="348" t="s">
        <v>66</v>
      </c>
      <c r="B198" s="348" t="s">
        <v>159</v>
      </c>
      <c r="C198" s="348" t="s">
        <v>158</v>
      </c>
      <c r="D198" s="348" t="s">
        <v>74</v>
      </c>
      <c r="E198" s="348" t="s">
        <v>182</v>
      </c>
      <c r="F198" s="517"/>
      <c r="G198" s="517"/>
      <c r="H198" s="517"/>
      <c r="I198" s="517"/>
      <c r="J198" s="517"/>
      <c r="K198" s="454"/>
      <c r="L198" s="352"/>
      <c r="M198" s="352"/>
      <c r="N198" s="352"/>
      <c r="O198" s="352"/>
    </row>
    <row r="199" spans="1:29">
      <c r="A199" s="348" t="s">
        <v>55</v>
      </c>
      <c r="B199" s="348" t="s">
        <v>78</v>
      </c>
      <c r="C199" s="348" t="s">
        <v>132</v>
      </c>
      <c r="D199" s="348" t="s">
        <v>74</v>
      </c>
      <c r="E199" s="348" t="s">
        <v>182</v>
      </c>
      <c r="F199" s="517"/>
      <c r="G199" s="517"/>
      <c r="H199" s="517"/>
      <c r="I199" s="350">
        <f ca="1">VLOOKUP($B199,'New costs and adjustments'!$D$873:$O$876,COLUMN()-3,FALSE)</f>
        <v>2.5059999999999998</v>
      </c>
      <c r="J199" s="517"/>
      <c r="K199" s="452">
        <f ca="1">VLOOKUP($B199,'New costs and adjustments'!$D$873:$O$876,COLUMN()-3,FALSE)</f>
        <v>2.5740000000000003</v>
      </c>
      <c r="L199" s="350">
        <f ca="1">VLOOKUP($B199,'New costs and adjustments'!$D$873:$O$876,COLUMN()-3,FALSE)</f>
        <v>2.5730000000000004</v>
      </c>
      <c r="M199" s="350">
        <f ca="1">VLOOKUP($B199,'New costs and adjustments'!$D$873:$O$876,COLUMN()-3,FALSE)</f>
        <v>2.6040000000000001</v>
      </c>
      <c r="N199" s="350">
        <f ca="1">VLOOKUP($B199,'New costs and adjustments'!$D$873:$O$876,COLUMN()-3,FALSE)</f>
        <v>2.6080000000000001</v>
      </c>
      <c r="O199" s="350">
        <f ca="1">VLOOKUP($B199,'New costs and adjustments'!$D$873:$O$876,COLUMN()-3,FALSE)</f>
        <v>2.6140000000000003</v>
      </c>
      <c r="AC199" s="351" t="s">
        <v>245</v>
      </c>
    </row>
    <row r="200" spans="1:29">
      <c r="A200" s="348" t="s">
        <v>55</v>
      </c>
      <c r="B200" s="348" t="s">
        <v>97</v>
      </c>
      <c r="C200" s="348" t="s">
        <v>99</v>
      </c>
      <c r="D200" s="348" t="s">
        <v>74</v>
      </c>
      <c r="E200" s="348" t="s">
        <v>182</v>
      </c>
      <c r="F200" s="517"/>
      <c r="G200" s="517"/>
      <c r="H200" s="517"/>
      <c r="I200" s="350">
        <f>VLOOKUP($B200,'New costs and adjustments'!$D$873:$O$876,COLUMN()-3,FALSE)</f>
        <v>4.8000000000000001E-2</v>
      </c>
      <c r="J200" s="517"/>
      <c r="K200" s="452">
        <f>VLOOKUP($B200,'New costs and adjustments'!$D$873:$O$876,COLUMN()-3,FALSE)</f>
        <v>4.8000000000000001E-2</v>
      </c>
      <c r="L200" s="350">
        <f>VLOOKUP($B200,'New costs and adjustments'!$D$873:$O$876,COLUMN()-3,FALSE)</f>
        <v>4.8000000000000001E-2</v>
      </c>
      <c r="M200" s="350">
        <f>VLOOKUP($B200,'New costs and adjustments'!$D$873:$O$876,COLUMN()-3,FALSE)</f>
        <v>4.8000000000000001E-2</v>
      </c>
      <c r="N200" s="350">
        <f>VLOOKUP($B200,'New costs and adjustments'!$D$873:$O$876,COLUMN()-3,FALSE)</f>
        <v>4.8000000000000001E-2</v>
      </c>
      <c r="O200" s="350">
        <f>VLOOKUP($B200,'New costs and adjustments'!$D$873:$O$876,COLUMN()-3,FALSE)</f>
        <v>4.8000000000000001E-2</v>
      </c>
    </row>
    <row r="201" spans="1:29">
      <c r="A201" s="348" t="s">
        <v>55</v>
      </c>
      <c r="B201" s="348" t="s">
        <v>98</v>
      </c>
      <c r="C201" s="348" t="s">
        <v>100</v>
      </c>
      <c r="D201" s="348" t="s">
        <v>74</v>
      </c>
      <c r="E201" s="348" t="s">
        <v>182</v>
      </c>
      <c r="F201" s="517"/>
      <c r="G201" s="517"/>
      <c r="H201" s="517"/>
      <c r="I201" s="350">
        <f>VLOOKUP($B201,'New costs and adjustments'!$D$873:$O$876,COLUMN()-3,FALSE)</f>
        <v>0</v>
      </c>
      <c r="J201" s="517"/>
      <c r="K201" s="452">
        <f>VLOOKUP($B201,'New costs and adjustments'!$D$873:$O$876,COLUMN()-3,FALSE)</f>
        <v>3.4000000000000002E-2</v>
      </c>
      <c r="L201" s="350">
        <f>VLOOKUP($B201,'New costs and adjustments'!$D$873:$O$876,COLUMN()-3,FALSE)</f>
        <v>6.4000000000000001E-2</v>
      </c>
      <c r="M201" s="350">
        <f>VLOOKUP($B201,'New costs and adjustments'!$D$873:$O$876,COLUMN()-3,FALSE)</f>
        <v>8.3000000000000004E-2</v>
      </c>
      <c r="N201" s="350">
        <f>VLOOKUP($B201,'New costs and adjustments'!$D$873:$O$876,COLUMN()-3,FALSE)</f>
        <v>9.6000000000000002E-2</v>
      </c>
      <c r="O201" s="350">
        <f>VLOOKUP($B201,'New costs and adjustments'!$D$873:$O$876,COLUMN()-3,FALSE)</f>
        <v>0.11</v>
      </c>
    </row>
    <row r="202" spans="1:29">
      <c r="A202" s="348" t="s">
        <v>55</v>
      </c>
      <c r="B202" s="348" t="s">
        <v>79</v>
      </c>
      <c r="C202" s="348" t="s">
        <v>135</v>
      </c>
      <c r="D202" s="348" t="s">
        <v>74</v>
      </c>
      <c r="E202" s="348" t="s">
        <v>182</v>
      </c>
      <c r="F202" s="517"/>
      <c r="G202" s="517"/>
      <c r="H202" s="517"/>
      <c r="I202" s="517"/>
      <c r="J202" s="517"/>
      <c r="K202" s="454"/>
      <c r="L202" s="352"/>
      <c r="M202" s="352"/>
      <c r="N202" s="352"/>
      <c r="O202" s="352"/>
    </row>
    <row r="203" spans="1:29">
      <c r="A203" s="348" t="s">
        <v>55</v>
      </c>
      <c r="B203" s="348" t="s">
        <v>80</v>
      </c>
      <c r="C203" s="348" t="s">
        <v>136</v>
      </c>
      <c r="D203" s="348" t="s">
        <v>74</v>
      </c>
      <c r="E203" s="348" t="s">
        <v>182</v>
      </c>
      <c r="F203" s="517"/>
      <c r="G203" s="517"/>
      <c r="H203" s="517"/>
      <c r="I203" s="517"/>
      <c r="J203" s="517"/>
      <c r="K203" s="454"/>
      <c r="L203" s="352"/>
      <c r="M203" s="352"/>
      <c r="N203" s="352"/>
      <c r="O203" s="352"/>
    </row>
    <row r="204" spans="1:29">
      <c r="A204" s="348" t="s">
        <v>55</v>
      </c>
      <c r="B204" s="348" t="s">
        <v>81</v>
      </c>
      <c r="C204" s="348" t="s">
        <v>137</v>
      </c>
      <c r="D204" s="348" t="s">
        <v>74</v>
      </c>
      <c r="E204" s="348" t="s">
        <v>182</v>
      </c>
      <c r="F204" s="517"/>
      <c r="G204" s="517"/>
      <c r="H204" s="517"/>
      <c r="I204" s="517"/>
      <c r="J204" s="517"/>
      <c r="K204" s="454"/>
      <c r="L204" s="352"/>
      <c r="M204" s="352"/>
      <c r="N204" s="352"/>
      <c r="O204" s="352"/>
    </row>
    <row r="205" spans="1:29">
      <c r="A205" s="348" t="s">
        <v>55</v>
      </c>
      <c r="B205" s="348" t="s">
        <v>82</v>
      </c>
      <c r="C205" s="348" t="s">
        <v>89</v>
      </c>
      <c r="D205" s="348" t="s">
        <v>183</v>
      </c>
      <c r="E205" s="348" t="s">
        <v>182</v>
      </c>
      <c r="F205" s="517"/>
      <c r="G205" s="517"/>
      <c r="H205" s="517"/>
      <c r="I205" s="517"/>
      <c r="J205" s="517"/>
      <c r="K205" s="454"/>
      <c r="L205" s="352"/>
      <c r="M205" s="352"/>
      <c r="N205" s="352"/>
      <c r="O205" s="352"/>
    </row>
    <row r="206" spans="1:29">
      <c r="A206" s="348" t="s">
        <v>55</v>
      </c>
      <c r="B206" s="348" t="s">
        <v>87</v>
      </c>
      <c r="C206" s="348" t="s">
        <v>90</v>
      </c>
      <c r="D206" s="348" t="s">
        <v>183</v>
      </c>
      <c r="E206" s="348" t="s">
        <v>182</v>
      </c>
      <c r="F206" s="517"/>
      <c r="G206" s="517"/>
      <c r="H206" s="517"/>
      <c r="I206" s="517"/>
      <c r="J206" s="517"/>
      <c r="K206" s="454"/>
      <c r="L206" s="352"/>
      <c r="M206" s="352"/>
      <c r="N206" s="352"/>
      <c r="O206" s="352"/>
    </row>
    <row r="207" spans="1:29">
      <c r="A207" s="348" t="s">
        <v>55</v>
      </c>
      <c r="B207" s="348" t="s">
        <v>83</v>
      </c>
      <c r="C207" s="348" t="s">
        <v>91</v>
      </c>
      <c r="D207" s="348" t="s">
        <v>183</v>
      </c>
      <c r="E207" s="348" t="s">
        <v>182</v>
      </c>
      <c r="F207" s="517"/>
      <c r="G207" s="517"/>
      <c r="H207" s="517"/>
      <c r="I207" s="517"/>
      <c r="J207" s="517"/>
      <c r="K207" s="454"/>
      <c r="L207" s="352"/>
      <c r="M207" s="352"/>
      <c r="N207" s="352"/>
      <c r="O207" s="352"/>
    </row>
    <row r="208" spans="1:29">
      <c r="A208" s="348" t="s">
        <v>55</v>
      </c>
      <c r="B208" s="348" t="s">
        <v>84</v>
      </c>
      <c r="C208" s="348" t="s">
        <v>92</v>
      </c>
      <c r="D208" s="348" t="s">
        <v>183</v>
      </c>
      <c r="E208" s="348" t="s">
        <v>182</v>
      </c>
      <c r="F208" s="517"/>
      <c r="G208" s="517"/>
      <c r="H208" s="517"/>
      <c r="I208" s="517"/>
      <c r="J208" s="517"/>
      <c r="K208" s="454"/>
      <c r="L208" s="352"/>
      <c r="M208" s="352"/>
      <c r="N208" s="352"/>
      <c r="O208" s="352"/>
    </row>
    <row r="209" spans="1:29">
      <c r="A209" s="348" t="s">
        <v>55</v>
      </c>
      <c r="B209" s="348" t="s">
        <v>85</v>
      </c>
      <c r="C209" s="348" t="s">
        <v>93</v>
      </c>
      <c r="D209" s="348" t="s">
        <v>183</v>
      </c>
      <c r="E209" s="348" t="s">
        <v>182</v>
      </c>
      <c r="F209" s="517"/>
      <c r="G209" s="517"/>
      <c r="H209" s="517"/>
      <c r="I209" s="517"/>
      <c r="J209" s="517"/>
      <c r="K209" s="454"/>
      <c r="L209" s="352"/>
      <c r="M209" s="352"/>
      <c r="N209" s="352"/>
      <c r="O209" s="352"/>
    </row>
    <row r="210" spans="1:29">
      <c r="A210" s="348" t="s">
        <v>55</v>
      </c>
      <c r="B210" s="348" t="s">
        <v>86</v>
      </c>
      <c r="C210" s="348" t="s">
        <v>94</v>
      </c>
      <c r="D210" s="348" t="s">
        <v>183</v>
      </c>
      <c r="E210" s="348" t="s">
        <v>182</v>
      </c>
      <c r="F210" s="517"/>
      <c r="G210" s="517"/>
      <c r="H210" s="517"/>
      <c r="I210" s="517"/>
      <c r="J210" s="517"/>
      <c r="K210" s="454"/>
      <c r="L210" s="352"/>
      <c r="M210" s="352"/>
      <c r="N210" s="352"/>
      <c r="O210" s="352"/>
    </row>
    <row r="211" spans="1:29">
      <c r="A211" s="348" t="s">
        <v>55</v>
      </c>
      <c r="B211" s="348" t="s">
        <v>174</v>
      </c>
      <c r="C211" s="348" t="s">
        <v>184</v>
      </c>
      <c r="D211" s="348" t="s">
        <v>74</v>
      </c>
      <c r="E211" s="348" t="s">
        <v>182</v>
      </c>
      <c r="F211" s="517"/>
      <c r="G211" s="517"/>
      <c r="H211" s="517"/>
      <c r="I211" s="517"/>
      <c r="J211" s="517"/>
      <c r="K211" s="454"/>
      <c r="L211" s="352"/>
      <c r="M211" s="352"/>
      <c r="N211" s="352"/>
      <c r="O211" s="352"/>
    </row>
    <row r="212" spans="1:29">
      <c r="A212" s="348" t="s">
        <v>55</v>
      </c>
      <c r="B212" s="348" t="s">
        <v>156</v>
      </c>
      <c r="C212" s="348" t="s">
        <v>157</v>
      </c>
      <c r="D212" s="348" t="s">
        <v>74</v>
      </c>
      <c r="E212" s="348" t="s">
        <v>182</v>
      </c>
      <c r="F212" s="517"/>
      <c r="G212" s="517"/>
      <c r="H212" s="517"/>
      <c r="I212" s="350">
        <f>VLOOKUP($B212,'New costs and adjustments'!$D$873:$O$876,COLUMN()-3,FALSE)</f>
        <v>0.04</v>
      </c>
      <c r="J212" s="517"/>
      <c r="K212" s="452">
        <f>VLOOKUP($B212,'New costs and adjustments'!$D$873:$O$876,COLUMN()-3,FALSE)</f>
        <v>3.7356398550166127E-2</v>
      </c>
      <c r="L212" s="350">
        <f>VLOOKUP($B212,'New costs and adjustments'!$D$873:$O$876,COLUMN()-3,FALSE)</f>
        <v>3.7356398550166127E-2</v>
      </c>
      <c r="M212" s="350">
        <f>VLOOKUP($B212,'New costs and adjustments'!$D$873:$O$876,COLUMN()-3,FALSE)</f>
        <v>3.7356398550166127E-2</v>
      </c>
      <c r="N212" s="350">
        <f>VLOOKUP($B212,'New costs and adjustments'!$D$873:$O$876,COLUMN()-3,FALSE)</f>
        <v>3.7356398550166127E-2</v>
      </c>
      <c r="O212" s="350">
        <f>VLOOKUP($B212,'New costs and adjustments'!$D$873:$O$876,COLUMN()-3,FALSE)</f>
        <v>3.7356398550166127E-2</v>
      </c>
    </row>
    <row r="213" spans="1:29">
      <c r="A213" s="348" t="s">
        <v>55</v>
      </c>
      <c r="B213" s="348" t="s">
        <v>159</v>
      </c>
      <c r="C213" s="348" t="s">
        <v>158</v>
      </c>
      <c r="D213" s="348" t="s">
        <v>74</v>
      </c>
      <c r="E213" s="348" t="s">
        <v>182</v>
      </c>
      <c r="F213" s="517"/>
      <c r="G213" s="517"/>
      <c r="H213" s="517"/>
      <c r="I213" s="517"/>
      <c r="J213" s="517"/>
      <c r="K213" s="454"/>
      <c r="L213" s="352"/>
      <c r="M213" s="352"/>
      <c r="N213" s="352"/>
      <c r="O213" s="352"/>
    </row>
    <row r="214" spans="1:29">
      <c r="A214" s="348" t="s">
        <v>56</v>
      </c>
      <c r="B214" s="348" t="s">
        <v>78</v>
      </c>
      <c r="C214" s="348" t="s">
        <v>132</v>
      </c>
      <c r="D214" s="348" t="s">
        <v>74</v>
      </c>
      <c r="E214" s="348" t="s">
        <v>182</v>
      </c>
      <c r="F214" s="517"/>
      <c r="G214" s="517"/>
      <c r="H214" s="517"/>
      <c r="I214" s="350">
        <f ca="1">VLOOKUP($B214,'New costs and adjustments'!$D$877:$O$880,COLUMN()-3,FALSE)</f>
        <v>3.9390000000000001</v>
      </c>
      <c r="J214" s="517"/>
      <c r="K214" s="452">
        <f ca="1">VLOOKUP($B214,'New costs and adjustments'!$D$877:$O$880,COLUMN()-3,FALSE)</f>
        <v>4.0469999999999997</v>
      </c>
      <c r="L214" s="350">
        <f ca="1">VLOOKUP($B214,'New costs and adjustments'!$D$877:$O$880,COLUMN()-3,FALSE)</f>
        <v>4.0780000000000003</v>
      </c>
      <c r="M214" s="350">
        <f ca="1">VLOOKUP($B214,'New costs and adjustments'!$D$877:$O$880,COLUMN()-3,FALSE)</f>
        <v>4.109</v>
      </c>
      <c r="N214" s="350">
        <f ca="1">VLOOKUP($B214,'New costs and adjustments'!$D$877:$O$880,COLUMN()-3,FALSE)</f>
        <v>4.1429999999999998</v>
      </c>
      <c r="O214" s="350">
        <f ca="1">VLOOKUP($B214,'New costs and adjustments'!$D$877:$O$880,COLUMN()-3,FALSE)</f>
        <v>4.1760000000000002</v>
      </c>
      <c r="AC214" s="351" t="s">
        <v>229</v>
      </c>
    </row>
    <row r="215" spans="1:29">
      <c r="A215" s="348" t="s">
        <v>56</v>
      </c>
      <c r="B215" s="348" t="s">
        <v>97</v>
      </c>
      <c r="C215" s="348" t="s">
        <v>99</v>
      </c>
      <c r="D215" s="348" t="s">
        <v>74</v>
      </c>
      <c r="E215" s="348" t="s">
        <v>182</v>
      </c>
      <c r="F215" s="517"/>
      <c r="G215" s="517"/>
      <c r="H215" s="517"/>
      <c r="I215" s="350">
        <f>VLOOKUP($B215,'New costs and adjustments'!$D$877:$O$880,COLUMN()-3,FALSE)</f>
        <v>0.19600000000000001</v>
      </c>
      <c r="J215" s="517"/>
      <c r="K215" s="452">
        <f>VLOOKUP($B215,'New costs and adjustments'!$D$877:$O$880,COLUMN()-3,FALSE)</f>
        <v>0.17899999999999999</v>
      </c>
      <c r="L215" s="350">
        <f>VLOOKUP($B215,'New costs and adjustments'!$D$877:$O$880,COLUMN()-3,FALSE)</f>
        <v>0.17099999999999999</v>
      </c>
      <c r="M215" s="350">
        <f>VLOOKUP($B215,'New costs and adjustments'!$D$877:$O$880,COLUMN()-3,FALSE)</f>
        <v>0.13100000000000001</v>
      </c>
      <c r="N215" s="350">
        <f>VLOOKUP($B215,'New costs and adjustments'!$D$877:$O$880,COLUMN()-3,FALSE)</f>
        <v>0.107</v>
      </c>
      <c r="O215" s="350">
        <f>VLOOKUP($B215,'New costs and adjustments'!$D$877:$O$880,COLUMN()-3,FALSE)</f>
        <v>9.1999999999999998E-2</v>
      </c>
    </row>
    <row r="216" spans="1:29">
      <c r="A216" s="348" t="s">
        <v>56</v>
      </c>
      <c r="B216" s="348" t="s">
        <v>98</v>
      </c>
      <c r="C216" s="348" t="s">
        <v>100</v>
      </c>
      <c r="D216" s="348" t="s">
        <v>74</v>
      </c>
      <c r="E216" s="348" t="s">
        <v>182</v>
      </c>
      <c r="F216" s="517"/>
      <c r="G216" s="517"/>
      <c r="H216" s="517"/>
      <c r="I216" s="350">
        <f>VLOOKUP($B216,'New costs and adjustments'!$D$877:$O$880,COLUMN()-3,FALSE)</f>
        <v>0</v>
      </c>
      <c r="J216" s="517"/>
      <c r="K216" s="452">
        <f>VLOOKUP($B216,'New costs and adjustments'!$D$877:$O$880,COLUMN()-3,FALSE)</f>
        <v>1.2E-2</v>
      </c>
      <c r="L216" s="350">
        <f>VLOOKUP($B216,'New costs and adjustments'!$D$877:$O$880,COLUMN()-3,FALSE)</f>
        <v>2.4E-2</v>
      </c>
      <c r="M216" s="350">
        <f>VLOOKUP($B216,'New costs and adjustments'!$D$877:$O$880,COLUMN()-3,FALSE)</f>
        <v>3.6000000000000004E-2</v>
      </c>
      <c r="N216" s="350">
        <f>VLOOKUP($B216,'New costs and adjustments'!$D$877:$O$880,COLUMN()-3,FALSE)</f>
        <v>4.9000000000000002E-2</v>
      </c>
      <c r="O216" s="350">
        <f>VLOOKUP($B216,'New costs and adjustments'!$D$877:$O$880,COLUMN()-3,FALSE)</f>
        <v>6.0999999999999999E-2</v>
      </c>
    </row>
    <row r="217" spans="1:29">
      <c r="A217" s="348" t="s">
        <v>56</v>
      </c>
      <c r="B217" s="348" t="s">
        <v>79</v>
      </c>
      <c r="C217" s="348" t="s">
        <v>135</v>
      </c>
      <c r="D217" s="348" t="s">
        <v>74</v>
      </c>
      <c r="E217" s="348" t="s">
        <v>182</v>
      </c>
      <c r="F217" s="517"/>
      <c r="G217" s="517"/>
      <c r="H217" s="517"/>
      <c r="I217" s="517"/>
      <c r="J217" s="517"/>
      <c r="K217" s="453"/>
      <c r="L217" s="349"/>
      <c r="M217" s="349"/>
      <c r="N217" s="349"/>
      <c r="O217" s="349"/>
    </row>
    <row r="218" spans="1:29">
      <c r="A218" s="348" t="s">
        <v>56</v>
      </c>
      <c r="B218" s="348" t="s">
        <v>80</v>
      </c>
      <c r="C218" s="348" t="s">
        <v>136</v>
      </c>
      <c r="D218" s="348" t="s">
        <v>74</v>
      </c>
      <c r="E218" s="348" t="s">
        <v>182</v>
      </c>
      <c r="F218" s="517"/>
      <c r="G218" s="517"/>
      <c r="H218" s="517"/>
      <c r="I218" s="517"/>
      <c r="J218" s="517"/>
      <c r="K218" s="454"/>
      <c r="L218" s="352"/>
      <c r="M218" s="352"/>
      <c r="N218" s="352"/>
      <c r="O218" s="352"/>
    </row>
    <row r="219" spans="1:29">
      <c r="A219" s="348" t="s">
        <v>56</v>
      </c>
      <c r="B219" s="348" t="s">
        <v>81</v>
      </c>
      <c r="C219" s="348" t="s">
        <v>137</v>
      </c>
      <c r="D219" s="348" t="s">
        <v>74</v>
      </c>
      <c r="E219" s="348" t="s">
        <v>182</v>
      </c>
      <c r="F219" s="517"/>
      <c r="G219" s="517"/>
      <c r="H219" s="517"/>
      <c r="I219" s="517"/>
      <c r="J219" s="517"/>
      <c r="K219" s="454"/>
      <c r="L219" s="352"/>
      <c r="M219" s="352"/>
      <c r="N219" s="352"/>
      <c r="O219" s="352"/>
    </row>
    <row r="220" spans="1:29">
      <c r="A220" s="348" t="s">
        <v>56</v>
      </c>
      <c r="B220" s="348" t="s">
        <v>82</v>
      </c>
      <c r="C220" s="348" t="s">
        <v>89</v>
      </c>
      <c r="D220" s="348" t="s">
        <v>183</v>
      </c>
      <c r="E220" s="348" t="s">
        <v>182</v>
      </c>
      <c r="F220" s="517"/>
      <c r="G220" s="517"/>
      <c r="H220" s="517"/>
      <c r="I220" s="517"/>
      <c r="J220" s="517"/>
      <c r="K220" s="454"/>
      <c r="L220" s="352"/>
      <c r="M220" s="352"/>
      <c r="N220" s="352"/>
      <c r="O220" s="352"/>
    </row>
    <row r="221" spans="1:29">
      <c r="A221" s="348" t="s">
        <v>56</v>
      </c>
      <c r="B221" s="348" t="s">
        <v>87</v>
      </c>
      <c r="C221" s="348" t="s">
        <v>90</v>
      </c>
      <c r="D221" s="348" t="s">
        <v>183</v>
      </c>
      <c r="E221" s="348" t="s">
        <v>182</v>
      </c>
      <c r="F221" s="517"/>
      <c r="G221" s="517"/>
      <c r="H221" s="517"/>
      <c r="I221" s="517"/>
      <c r="J221" s="517"/>
      <c r="K221" s="454"/>
      <c r="L221" s="352"/>
      <c r="M221" s="352"/>
      <c r="N221" s="352"/>
      <c r="O221" s="352"/>
    </row>
    <row r="222" spans="1:29">
      <c r="A222" s="348" t="s">
        <v>56</v>
      </c>
      <c r="B222" s="348" t="s">
        <v>83</v>
      </c>
      <c r="C222" s="348" t="s">
        <v>91</v>
      </c>
      <c r="D222" s="348" t="s">
        <v>183</v>
      </c>
      <c r="E222" s="348" t="s">
        <v>182</v>
      </c>
      <c r="F222" s="517"/>
      <c r="G222" s="517"/>
      <c r="H222" s="517"/>
      <c r="I222" s="517"/>
      <c r="J222" s="517"/>
      <c r="K222" s="454"/>
      <c r="L222" s="352"/>
      <c r="M222" s="352"/>
      <c r="N222" s="352"/>
      <c r="O222" s="352"/>
    </row>
    <row r="223" spans="1:29">
      <c r="A223" s="348" t="s">
        <v>56</v>
      </c>
      <c r="B223" s="348" t="s">
        <v>84</v>
      </c>
      <c r="C223" s="348" t="s">
        <v>92</v>
      </c>
      <c r="D223" s="348" t="s">
        <v>183</v>
      </c>
      <c r="E223" s="348" t="s">
        <v>182</v>
      </c>
      <c r="F223" s="517"/>
      <c r="G223" s="517"/>
      <c r="H223" s="517"/>
      <c r="I223" s="517"/>
      <c r="J223" s="517"/>
      <c r="K223" s="454"/>
      <c r="L223" s="352"/>
      <c r="M223" s="352"/>
      <c r="N223" s="352"/>
      <c r="O223" s="352"/>
    </row>
    <row r="224" spans="1:29">
      <c r="A224" s="348" t="s">
        <v>56</v>
      </c>
      <c r="B224" s="348" t="s">
        <v>85</v>
      </c>
      <c r="C224" s="348" t="s">
        <v>93</v>
      </c>
      <c r="D224" s="348" t="s">
        <v>183</v>
      </c>
      <c r="E224" s="348" t="s">
        <v>182</v>
      </c>
      <c r="F224" s="517"/>
      <c r="G224" s="517"/>
      <c r="H224" s="517"/>
      <c r="I224" s="517"/>
      <c r="J224" s="517"/>
      <c r="K224" s="454"/>
      <c r="L224" s="352"/>
      <c r="M224" s="352"/>
      <c r="N224" s="352"/>
      <c r="O224" s="352"/>
    </row>
    <row r="225" spans="1:29">
      <c r="A225" s="348" t="s">
        <v>56</v>
      </c>
      <c r="B225" s="348" t="s">
        <v>86</v>
      </c>
      <c r="C225" s="348" t="s">
        <v>94</v>
      </c>
      <c r="D225" s="348" t="s">
        <v>183</v>
      </c>
      <c r="E225" s="348" t="s">
        <v>182</v>
      </c>
      <c r="F225" s="517"/>
      <c r="G225" s="517"/>
      <c r="H225" s="517"/>
      <c r="I225" s="517"/>
      <c r="J225" s="517"/>
      <c r="K225" s="454"/>
      <c r="L225" s="352"/>
      <c r="M225" s="352"/>
      <c r="N225" s="352"/>
      <c r="O225" s="352"/>
    </row>
    <row r="226" spans="1:29">
      <c r="A226" s="348" t="s">
        <v>56</v>
      </c>
      <c r="B226" s="348" t="s">
        <v>174</v>
      </c>
      <c r="C226" s="348" t="s">
        <v>184</v>
      </c>
      <c r="D226" s="348" t="s">
        <v>74</v>
      </c>
      <c r="E226" s="348" t="s">
        <v>182</v>
      </c>
      <c r="F226" s="517"/>
      <c r="G226" s="517"/>
      <c r="H226" s="517"/>
      <c r="I226" s="517"/>
      <c r="J226" s="517"/>
      <c r="K226" s="454"/>
      <c r="L226" s="352"/>
      <c r="M226" s="352"/>
      <c r="N226" s="352"/>
      <c r="O226" s="352"/>
    </row>
    <row r="227" spans="1:29">
      <c r="A227" s="348" t="s">
        <v>56</v>
      </c>
      <c r="B227" s="348" t="s">
        <v>156</v>
      </c>
      <c r="C227" s="348" t="s">
        <v>157</v>
      </c>
      <c r="D227" s="348" t="s">
        <v>74</v>
      </c>
      <c r="E227" s="348" t="s">
        <v>182</v>
      </c>
      <c r="F227" s="517"/>
      <c r="G227" s="517"/>
      <c r="H227" s="517"/>
      <c r="I227" s="350">
        <f>VLOOKUP($B227,'New costs and adjustments'!$D$877:$O$880,COLUMN()-3,FALSE)</f>
        <v>0</v>
      </c>
      <c r="J227" s="517"/>
      <c r="K227" s="452">
        <f>VLOOKUP($B227,'New costs and adjustments'!$D$877:$O$880,COLUMN()-3,FALSE)</f>
        <v>5.9289625264830503E-2</v>
      </c>
      <c r="L227" s="350">
        <f>VLOOKUP($B227,'New costs and adjustments'!$D$877:$O$880,COLUMN()-3,FALSE)</f>
        <v>8.9420418432203386E-2</v>
      </c>
      <c r="M227" s="350">
        <f>VLOOKUP($B227,'New costs and adjustments'!$D$877:$O$880,COLUMN()-3,FALSE)</f>
        <v>0.11955121159957627</v>
      </c>
      <c r="N227" s="350">
        <f>VLOOKUP($B227,'New costs and adjustments'!$D$877:$O$880,COLUMN()-3,FALSE)</f>
        <v>0.15065396583686441</v>
      </c>
      <c r="O227" s="350">
        <f>VLOOKUP($B227,'New costs and adjustments'!$D$877:$O$880,COLUMN()-3,FALSE)</f>
        <v>0.18175672007415253</v>
      </c>
    </row>
    <row r="228" spans="1:29">
      <c r="A228" s="348" t="s">
        <v>56</v>
      </c>
      <c r="B228" s="348" t="s">
        <v>159</v>
      </c>
      <c r="C228" s="348" t="s">
        <v>158</v>
      </c>
      <c r="D228" s="348" t="s">
        <v>74</v>
      </c>
      <c r="E228" s="348" t="s">
        <v>182</v>
      </c>
      <c r="F228" s="517"/>
      <c r="G228" s="517"/>
      <c r="H228" s="517"/>
      <c r="I228" s="517"/>
      <c r="J228" s="517"/>
      <c r="K228" s="454"/>
      <c r="L228" s="352"/>
      <c r="M228" s="352"/>
      <c r="N228" s="352"/>
      <c r="O228" s="352"/>
    </row>
    <row r="229" spans="1:29">
      <c r="A229" s="348" t="s">
        <v>57</v>
      </c>
      <c r="B229" s="348" t="s">
        <v>78</v>
      </c>
      <c r="C229" s="348" t="s">
        <v>132</v>
      </c>
      <c r="D229" s="348" t="s">
        <v>74</v>
      </c>
      <c r="E229" s="348" t="s">
        <v>182</v>
      </c>
      <c r="F229" s="517"/>
      <c r="G229" s="517"/>
      <c r="H229" s="517"/>
      <c r="I229" s="350">
        <f ca="1">VLOOKUP($B229,'New costs and adjustments'!$D$881:$O$884,COLUMN()-3,FALSE)</f>
        <v>4.0510000000000002</v>
      </c>
      <c r="J229" s="517"/>
      <c r="K229" s="452">
        <f ca="1">VLOOKUP($B229,'New costs and adjustments'!$D$881:$O$884,COLUMN()-3,FALSE)</f>
        <v>4.194</v>
      </c>
      <c r="L229" s="350">
        <f ca="1">VLOOKUP($B229,'New costs and adjustments'!$D$881:$O$884,COLUMN()-3,FALSE)</f>
        <v>4.2620000000000005</v>
      </c>
      <c r="M229" s="350">
        <f ca="1">VLOOKUP($B229,'New costs and adjustments'!$D$881:$O$884,COLUMN()-3,FALSE)</f>
        <v>4.33</v>
      </c>
      <c r="N229" s="350">
        <f ca="1">VLOOKUP($B229,'New costs and adjustments'!$D$881:$O$884,COLUMN()-3,FALSE)</f>
        <v>4.3929999999999998</v>
      </c>
      <c r="O229" s="350">
        <f ca="1">VLOOKUP($B229,'New costs and adjustments'!$D$881:$O$884,COLUMN()-3,FALSE)</f>
        <v>4.4530000000000003</v>
      </c>
      <c r="AC229" s="351" t="s">
        <v>230</v>
      </c>
    </row>
    <row r="230" spans="1:29">
      <c r="A230" s="348" t="s">
        <v>57</v>
      </c>
      <c r="B230" s="348" t="s">
        <v>97</v>
      </c>
      <c r="C230" s="348" t="s">
        <v>99</v>
      </c>
      <c r="D230" s="348" t="s">
        <v>74</v>
      </c>
      <c r="E230" s="348" t="s">
        <v>182</v>
      </c>
      <c r="F230" s="517"/>
      <c r="G230" s="517"/>
      <c r="H230" s="517"/>
      <c r="I230" s="350">
        <f>VLOOKUP($B230,'New costs and adjustments'!$D$881:$O$884,COLUMN()-3,FALSE)</f>
        <v>0.32100000000000001</v>
      </c>
      <c r="J230" s="517"/>
      <c r="K230" s="452">
        <f>VLOOKUP($B230,'New costs and adjustments'!$D$881:$O$884,COLUMN()-3,FALSE)</f>
        <v>0.48699999999999999</v>
      </c>
      <c r="L230" s="350">
        <f>VLOOKUP($B230,'New costs and adjustments'!$D$881:$O$884,COLUMN()-3,FALSE)</f>
        <v>0.47499999999999998</v>
      </c>
      <c r="M230" s="350">
        <f>VLOOKUP($B230,'New costs and adjustments'!$D$881:$O$884,COLUMN()-3,FALSE)</f>
        <v>0.40400000000000003</v>
      </c>
      <c r="N230" s="350">
        <f>VLOOKUP($B230,'New costs and adjustments'!$D$881:$O$884,COLUMN()-3,FALSE)</f>
        <v>0.30599999999999999</v>
      </c>
      <c r="O230" s="350">
        <f>VLOOKUP($B230,'New costs and adjustments'!$D$881:$O$884,COLUMN()-3,FALSE)</f>
        <v>0.21299999999999999</v>
      </c>
    </row>
    <row r="231" spans="1:29">
      <c r="A231" s="348" t="s">
        <v>57</v>
      </c>
      <c r="B231" s="348" t="s">
        <v>98</v>
      </c>
      <c r="C231" s="348" t="s">
        <v>100</v>
      </c>
      <c r="D231" s="348" t="s">
        <v>74</v>
      </c>
      <c r="E231" s="348" t="s">
        <v>182</v>
      </c>
      <c r="F231" s="517"/>
      <c r="G231" s="517"/>
      <c r="H231" s="517"/>
      <c r="I231" s="350">
        <f>VLOOKUP($B231,'New costs and adjustments'!$D$881:$O$884,COLUMN()-3,FALSE)</f>
        <v>0</v>
      </c>
      <c r="J231" s="517"/>
      <c r="K231" s="452">
        <f>VLOOKUP($B231,'New costs and adjustments'!$D$881:$O$884,COLUMN()-3,FALSE)</f>
        <v>5.5E-2</v>
      </c>
      <c r="L231" s="350">
        <f>VLOOKUP($B231,'New costs and adjustments'!$D$881:$O$884,COLUMN()-3,FALSE)</f>
        <v>0.112</v>
      </c>
      <c r="M231" s="350">
        <f>VLOOKUP($B231,'New costs and adjustments'!$D$881:$O$884,COLUMN()-3,FALSE)</f>
        <v>0.17499999999999999</v>
      </c>
      <c r="N231" s="350">
        <f>VLOOKUP($B231,'New costs and adjustments'!$D$881:$O$884,COLUMN()-3,FALSE)</f>
        <v>0.23799999999999999</v>
      </c>
      <c r="O231" s="350">
        <f>VLOOKUP($B231,'New costs and adjustments'!$D$881:$O$884,COLUMN()-3,FALSE)</f>
        <v>0.23500000000000001</v>
      </c>
    </row>
    <row r="232" spans="1:29">
      <c r="A232" s="348" t="s">
        <v>57</v>
      </c>
      <c r="B232" s="348" t="s">
        <v>79</v>
      </c>
      <c r="C232" s="348" t="s">
        <v>135</v>
      </c>
      <c r="D232" s="348" t="s">
        <v>74</v>
      </c>
      <c r="E232" s="348" t="s">
        <v>182</v>
      </c>
      <c r="F232" s="517"/>
      <c r="G232" s="517"/>
      <c r="H232" s="517"/>
      <c r="I232" s="517"/>
      <c r="J232" s="517"/>
      <c r="K232" s="453"/>
      <c r="L232" s="349"/>
      <c r="M232" s="349"/>
      <c r="N232" s="349"/>
      <c r="O232" s="349"/>
    </row>
    <row r="233" spans="1:29">
      <c r="A233" s="348" t="s">
        <v>57</v>
      </c>
      <c r="B233" s="348" t="s">
        <v>80</v>
      </c>
      <c r="C233" s="348" t="s">
        <v>136</v>
      </c>
      <c r="D233" s="348" t="s">
        <v>74</v>
      </c>
      <c r="E233" s="348" t="s">
        <v>182</v>
      </c>
      <c r="F233" s="517"/>
      <c r="G233" s="517"/>
      <c r="H233" s="517"/>
      <c r="I233" s="517"/>
      <c r="J233" s="517"/>
      <c r="K233" s="454"/>
      <c r="L233" s="352"/>
      <c r="M233" s="352"/>
      <c r="N233" s="352"/>
      <c r="O233" s="352"/>
    </row>
    <row r="234" spans="1:29">
      <c r="A234" s="348" t="s">
        <v>57</v>
      </c>
      <c r="B234" s="348" t="s">
        <v>81</v>
      </c>
      <c r="C234" s="348" t="s">
        <v>137</v>
      </c>
      <c r="D234" s="348" t="s">
        <v>74</v>
      </c>
      <c r="E234" s="348" t="s">
        <v>182</v>
      </c>
      <c r="F234" s="517"/>
      <c r="G234" s="517"/>
      <c r="H234" s="517"/>
      <c r="I234" s="517"/>
      <c r="J234" s="517"/>
      <c r="K234" s="454"/>
      <c r="L234" s="352"/>
      <c r="M234" s="352"/>
      <c r="N234" s="352"/>
      <c r="O234" s="352"/>
    </row>
    <row r="235" spans="1:29">
      <c r="A235" s="348" t="s">
        <v>57</v>
      </c>
      <c r="B235" s="348" t="s">
        <v>82</v>
      </c>
      <c r="C235" s="348" t="s">
        <v>89</v>
      </c>
      <c r="D235" s="348" t="s">
        <v>183</v>
      </c>
      <c r="E235" s="348" t="s">
        <v>182</v>
      </c>
      <c r="F235" s="517"/>
      <c r="G235" s="517"/>
      <c r="H235" s="517"/>
      <c r="I235" s="517"/>
      <c r="J235" s="517"/>
      <c r="K235" s="454"/>
      <c r="L235" s="352"/>
      <c r="M235" s="352"/>
      <c r="N235" s="352"/>
      <c r="O235" s="352"/>
    </row>
    <row r="236" spans="1:29">
      <c r="A236" s="348" t="s">
        <v>57</v>
      </c>
      <c r="B236" s="348" t="s">
        <v>87</v>
      </c>
      <c r="C236" s="348" t="s">
        <v>90</v>
      </c>
      <c r="D236" s="348" t="s">
        <v>183</v>
      </c>
      <c r="E236" s="348" t="s">
        <v>182</v>
      </c>
      <c r="F236" s="517"/>
      <c r="G236" s="517"/>
      <c r="H236" s="517"/>
      <c r="I236" s="517"/>
      <c r="J236" s="517"/>
      <c r="K236" s="454"/>
      <c r="L236" s="352"/>
      <c r="M236" s="352"/>
      <c r="N236" s="352"/>
      <c r="O236" s="352"/>
    </row>
    <row r="237" spans="1:29">
      <c r="A237" s="348" t="s">
        <v>57</v>
      </c>
      <c r="B237" s="348" t="s">
        <v>83</v>
      </c>
      <c r="C237" s="348" t="s">
        <v>91</v>
      </c>
      <c r="D237" s="348" t="s">
        <v>183</v>
      </c>
      <c r="E237" s="348" t="s">
        <v>182</v>
      </c>
      <c r="F237" s="517"/>
      <c r="G237" s="517"/>
      <c r="H237" s="517"/>
      <c r="I237" s="517"/>
      <c r="J237" s="517"/>
      <c r="K237" s="454"/>
      <c r="L237" s="352"/>
      <c r="M237" s="352"/>
      <c r="N237" s="352"/>
      <c r="O237" s="352"/>
    </row>
    <row r="238" spans="1:29">
      <c r="A238" s="348" t="s">
        <v>57</v>
      </c>
      <c r="B238" s="348" t="s">
        <v>84</v>
      </c>
      <c r="C238" s="348" t="s">
        <v>92</v>
      </c>
      <c r="D238" s="348" t="s">
        <v>183</v>
      </c>
      <c r="E238" s="348" t="s">
        <v>182</v>
      </c>
      <c r="F238" s="517"/>
      <c r="G238" s="517"/>
      <c r="H238" s="517"/>
      <c r="I238" s="517"/>
      <c r="J238" s="517"/>
      <c r="K238" s="454"/>
      <c r="L238" s="352"/>
      <c r="M238" s="352"/>
      <c r="N238" s="352"/>
      <c r="O238" s="352"/>
    </row>
    <row r="239" spans="1:29">
      <c r="A239" s="348" t="s">
        <v>57</v>
      </c>
      <c r="B239" s="348" t="s">
        <v>85</v>
      </c>
      <c r="C239" s="348" t="s">
        <v>93</v>
      </c>
      <c r="D239" s="348" t="s">
        <v>183</v>
      </c>
      <c r="E239" s="348" t="s">
        <v>182</v>
      </c>
      <c r="F239" s="517"/>
      <c r="G239" s="517"/>
      <c r="H239" s="517"/>
      <c r="I239" s="517"/>
      <c r="J239" s="517"/>
      <c r="K239" s="454"/>
      <c r="L239" s="352"/>
      <c r="M239" s="352"/>
      <c r="N239" s="352"/>
      <c r="O239" s="352"/>
    </row>
    <row r="240" spans="1:29">
      <c r="A240" s="348" t="s">
        <v>57</v>
      </c>
      <c r="B240" s="348" t="s">
        <v>86</v>
      </c>
      <c r="C240" s="348" t="s">
        <v>94</v>
      </c>
      <c r="D240" s="348" t="s">
        <v>183</v>
      </c>
      <c r="E240" s="348" t="s">
        <v>182</v>
      </c>
      <c r="F240" s="517"/>
      <c r="G240" s="517"/>
      <c r="H240" s="517"/>
      <c r="I240" s="517"/>
      <c r="J240" s="517"/>
      <c r="K240" s="454"/>
      <c r="L240" s="352"/>
      <c r="M240" s="352"/>
      <c r="N240" s="352"/>
      <c r="O240" s="352"/>
    </row>
    <row r="241" spans="1:29">
      <c r="A241" s="348" t="s">
        <v>57</v>
      </c>
      <c r="B241" s="348" t="s">
        <v>174</v>
      </c>
      <c r="C241" s="348" t="s">
        <v>184</v>
      </c>
      <c r="D241" s="348" t="s">
        <v>74</v>
      </c>
      <c r="E241" s="348" t="s">
        <v>182</v>
      </c>
      <c r="F241" s="517"/>
      <c r="G241" s="517"/>
      <c r="H241" s="517"/>
      <c r="I241" s="517"/>
      <c r="J241" s="517"/>
      <c r="K241" s="454"/>
      <c r="L241" s="352"/>
      <c r="M241" s="352"/>
      <c r="N241" s="352"/>
      <c r="O241" s="352"/>
    </row>
    <row r="242" spans="1:29">
      <c r="A242" s="348" t="s">
        <v>57</v>
      </c>
      <c r="B242" s="348" t="s">
        <v>156</v>
      </c>
      <c r="C242" s="348" t="s">
        <v>157</v>
      </c>
      <c r="D242" s="348" t="s">
        <v>74</v>
      </c>
      <c r="E242" s="348" t="s">
        <v>182</v>
      </c>
      <c r="F242" s="517"/>
      <c r="G242" s="517"/>
      <c r="H242" s="517"/>
      <c r="I242" s="350">
        <f>VLOOKUP($B242,'New costs and adjustments'!$D$881:$O$884,COLUMN()-3,FALSE)</f>
        <v>0.14099999999999999</v>
      </c>
      <c r="J242" s="517"/>
      <c r="K242" s="452">
        <f>VLOOKUP($B242,'New costs and adjustments'!$D$881:$O$884,COLUMN()-3,FALSE)</f>
        <v>7.9898744193178897E-2</v>
      </c>
      <c r="L242" s="350">
        <f>VLOOKUP($B242,'New costs and adjustments'!$D$881:$O$884,COLUMN()-3,FALSE)</f>
        <v>7.9898744193178897E-2</v>
      </c>
      <c r="M242" s="350">
        <f>VLOOKUP($B242,'New costs and adjustments'!$D$881:$O$884,COLUMN()-3,FALSE)</f>
        <v>7.9898744193178897E-2</v>
      </c>
      <c r="N242" s="350">
        <f>VLOOKUP($B242,'New costs and adjustments'!$D$881:$O$884,COLUMN()-3,FALSE)</f>
        <v>7.9898744193178897E-2</v>
      </c>
      <c r="O242" s="350">
        <f>VLOOKUP($B242,'New costs and adjustments'!$D$881:$O$884,COLUMN()-3,FALSE)</f>
        <v>7.9898744193178897E-2</v>
      </c>
    </row>
    <row r="243" spans="1:29">
      <c r="A243" s="348" t="s">
        <v>57</v>
      </c>
      <c r="B243" s="348" t="s">
        <v>159</v>
      </c>
      <c r="C243" s="348" t="s">
        <v>158</v>
      </c>
      <c r="D243" s="348" t="s">
        <v>74</v>
      </c>
      <c r="E243" s="348" t="s">
        <v>182</v>
      </c>
      <c r="F243" s="517"/>
      <c r="G243" s="517"/>
      <c r="H243" s="517"/>
      <c r="I243" s="517"/>
      <c r="J243" s="517"/>
      <c r="K243" s="454"/>
      <c r="L243" s="352"/>
      <c r="M243" s="352"/>
      <c r="N243" s="352"/>
      <c r="O243" s="352"/>
    </row>
    <row r="244" spans="1:29">
      <c r="A244" s="348" t="s">
        <v>58</v>
      </c>
      <c r="B244" s="348" t="s">
        <v>78</v>
      </c>
      <c r="C244" s="348" t="s">
        <v>132</v>
      </c>
      <c r="D244" s="348" t="s">
        <v>74</v>
      </c>
      <c r="E244" s="348" t="s">
        <v>182</v>
      </c>
      <c r="F244" s="517"/>
      <c r="G244" s="517"/>
      <c r="H244" s="517"/>
      <c r="I244" s="350">
        <f ca="1">VLOOKUP($B244,'New costs and adjustments'!$D$885:$O$888,COLUMN()-3,FALSE)</f>
        <v>18.156073774429</v>
      </c>
      <c r="J244" s="517"/>
      <c r="K244" s="452">
        <f ca="1">VLOOKUP($B244,'New costs and adjustments'!$D$885:$O$888,COLUMN()-3,FALSE)</f>
        <v>17.654438681453399</v>
      </c>
      <c r="L244" s="350">
        <f ca="1">VLOOKUP($B244,'New costs and adjustments'!$D$885:$O$888,COLUMN()-3,FALSE)</f>
        <v>18.118219651960199</v>
      </c>
      <c r="M244" s="350">
        <f ca="1">VLOOKUP($B244,'New costs and adjustments'!$D$885:$O$888,COLUMN()-3,FALSE)</f>
        <v>18.582875139426299</v>
      </c>
      <c r="N244" s="350">
        <f ca="1">VLOOKUP($B244,'New costs and adjustments'!$D$885:$O$888,COLUMN()-3,FALSE)</f>
        <v>19.029397152657001</v>
      </c>
      <c r="O244" s="350">
        <f ca="1">VLOOKUP($B244,'New costs and adjustments'!$D$885:$O$888,COLUMN()-3,FALSE)</f>
        <v>19.4714279377629</v>
      </c>
      <c r="AC244" s="351" t="s">
        <v>246</v>
      </c>
    </row>
    <row r="245" spans="1:29">
      <c r="A245" s="348" t="s">
        <v>58</v>
      </c>
      <c r="B245" s="348" t="s">
        <v>97</v>
      </c>
      <c r="C245" s="348" t="s">
        <v>99</v>
      </c>
      <c r="D245" s="348" t="s">
        <v>74</v>
      </c>
      <c r="E245" s="348" t="s">
        <v>182</v>
      </c>
      <c r="F245" s="517"/>
      <c r="G245" s="517"/>
      <c r="H245" s="517"/>
      <c r="I245" s="350">
        <f>VLOOKUP($B245,'New costs and adjustments'!$D$885:$O$888,COLUMN()-3,FALSE)</f>
        <v>1.4307266949152539</v>
      </c>
      <c r="J245" s="517"/>
      <c r="K245" s="452">
        <f>VLOOKUP($B245,'New costs and adjustments'!$D$885:$O$888,COLUMN()-3,FALSE)</f>
        <v>1.4787598248128699</v>
      </c>
      <c r="L245" s="350">
        <f>VLOOKUP($B245,'New costs and adjustments'!$D$885:$O$888,COLUMN()-3,FALSE)</f>
        <v>1.3009226195572561</v>
      </c>
      <c r="M245" s="350">
        <f>VLOOKUP($B245,'New costs and adjustments'!$D$885:$O$888,COLUMN()-3,FALSE)</f>
        <v>0.72516422936402003</v>
      </c>
      <c r="N245" s="350">
        <f>VLOOKUP($B245,'New costs and adjustments'!$D$885:$O$888,COLUMN()-3,FALSE)</f>
        <v>0.39699656679548001</v>
      </c>
      <c r="O245" s="350">
        <f>VLOOKUP($B245,'New costs and adjustments'!$D$885:$O$888,COLUMN()-3,FALSE)</f>
        <v>0.25126823189967201</v>
      </c>
    </row>
    <row r="246" spans="1:29">
      <c r="A246" s="348" t="s">
        <v>58</v>
      </c>
      <c r="B246" s="348" t="s">
        <v>98</v>
      </c>
      <c r="C246" s="348" t="s">
        <v>100</v>
      </c>
      <c r="D246" s="348" t="s">
        <v>74</v>
      </c>
      <c r="E246" s="348" t="s">
        <v>182</v>
      </c>
      <c r="F246" s="517"/>
      <c r="G246" s="517"/>
      <c r="H246" s="517"/>
      <c r="I246" s="350">
        <f>VLOOKUP($B246,'New costs and adjustments'!$D$885:$O$888,COLUMN()-3,FALSE)</f>
        <v>0</v>
      </c>
      <c r="J246" s="517"/>
      <c r="K246" s="452">
        <f>VLOOKUP($B246,'New costs and adjustments'!$D$885:$O$888,COLUMN()-3,FALSE)</f>
        <v>0.1000388866249205</v>
      </c>
      <c r="L246" s="350">
        <f>VLOOKUP($B246,'New costs and adjustments'!$D$885:$O$888,COLUMN()-3,FALSE)</f>
        <v>0.36473472829814702</v>
      </c>
      <c r="M246" s="350">
        <f>VLOOKUP($B246,'New costs and adjustments'!$D$885:$O$888,COLUMN()-3,FALSE)</f>
        <v>0.63728497469505396</v>
      </c>
      <c r="N246" s="350">
        <f>VLOOKUP($B246,'New costs and adjustments'!$D$885:$O$888,COLUMN()-3,FALSE)</f>
        <v>0.83914530030431</v>
      </c>
      <c r="O246" s="350">
        <f>VLOOKUP($B246,'New costs and adjustments'!$D$885:$O$888,COLUMN()-3,FALSE)</f>
        <v>1.05418669333882</v>
      </c>
    </row>
    <row r="247" spans="1:29">
      <c r="A247" s="348" t="s">
        <v>58</v>
      </c>
      <c r="B247" s="348" t="s">
        <v>79</v>
      </c>
      <c r="C247" s="348" t="s">
        <v>135</v>
      </c>
      <c r="D247" s="348" t="s">
        <v>74</v>
      </c>
      <c r="E247" s="348" t="s">
        <v>182</v>
      </c>
      <c r="F247" s="517"/>
      <c r="G247" s="517"/>
      <c r="H247" s="517"/>
      <c r="I247" s="517"/>
      <c r="J247" s="517"/>
      <c r="K247" s="453"/>
      <c r="L247" s="349"/>
      <c r="M247" s="349"/>
      <c r="N247" s="349"/>
      <c r="O247" s="349"/>
    </row>
    <row r="248" spans="1:29">
      <c r="A248" s="348" t="s">
        <v>58</v>
      </c>
      <c r="B248" s="348" t="s">
        <v>80</v>
      </c>
      <c r="C248" s="348" t="s">
        <v>136</v>
      </c>
      <c r="D248" s="348" t="s">
        <v>74</v>
      </c>
      <c r="E248" s="348" t="s">
        <v>182</v>
      </c>
      <c r="F248" s="517"/>
      <c r="G248" s="517"/>
      <c r="H248" s="517"/>
      <c r="I248" s="517"/>
      <c r="J248" s="517"/>
      <c r="K248" s="454"/>
      <c r="L248" s="352"/>
      <c r="M248" s="352"/>
      <c r="N248" s="352"/>
      <c r="O248" s="352"/>
    </row>
    <row r="249" spans="1:29">
      <c r="A249" s="348" t="s">
        <v>58</v>
      </c>
      <c r="B249" s="348" t="s">
        <v>81</v>
      </c>
      <c r="C249" s="348" t="s">
        <v>137</v>
      </c>
      <c r="D249" s="348" t="s">
        <v>74</v>
      </c>
      <c r="E249" s="348" t="s">
        <v>182</v>
      </c>
      <c r="F249" s="517"/>
      <c r="G249" s="517"/>
      <c r="H249" s="517"/>
      <c r="I249" s="517"/>
      <c r="J249" s="517"/>
      <c r="K249" s="454"/>
      <c r="L249" s="352"/>
      <c r="M249" s="352"/>
      <c r="N249" s="352"/>
      <c r="O249" s="352"/>
    </row>
    <row r="250" spans="1:29">
      <c r="A250" s="348" t="s">
        <v>58</v>
      </c>
      <c r="B250" s="348" t="s">
        <v>82</v>
      </c>
      <c r="C250" s="348" t="s">
        <v>89</v>
      </c>
      <c r="D250" s="348" t="s">
        <v>183</v>
      </c>
      <c r="E250" s="348" t="s">
        <v>182</v>
      </c>
      <c r="F250" s="517"/>
      <c r="G250" s="517"/>
      <c r="H250" s="517"/>
      <c r="I250" s="517"/>
      <c r="J250" s="517"/>
      <c r="K250" s="454"/>
      <c r="L250" s="352"/>
      <c r="M250" s="352"/>
      <c r="N250" s="352"/>
      <c r="O250" s="352"/>
    </row>
    <row r="251" spans="1:29">
      <c r="A251" s="348" t="s">
        <v>58</v>
      </c>
      <c r="B251" s="348" t="s">
        <v>87</v>
      </c>
      <c r="C251" s="348" t="s">
        <v>90</v>
      </c>
      <c r="D251" s="348" t="s">
        <v>183</v>
      </c>
      <c r="E251" s="348" t="s">
        <v>182</v>
      </c>
      <c r="F251" s="517"/>
      <c r="G251" s="517"/>
      <c r="H251" s="517"/>
      <c r="I251" s="517"/>
      <c r="J251" s="517"/>
      <c r="K251" s="454"/>
      <c r="L251" s="352"/>
      <c r="M251" s="352"/>
      <c r="N251" s="352"/>
      <c r="O251" s="352"/>
    </row>
    <row r="252" spans="1:29">
      <c r="A252" s="348" t="s">
        <v>58</v>
      </c>
      <c r="B252" s="348" t="s">
        <v>83</v>
      </c>
      <c r="C252" s="348" t="s">
        <v>91</v>
      </c>
      <c r="D252" s="348" t="s">
        <v>183</v>
      </c>
      <c r="E252" s="348" t="s">
        <v>182</v>
      </c>
      <c r="F252" s="517"/>
      <c r="G252" s="517"/>
      <c r="H252" s="517"/>
      <c r="I252" s="517"/>
      <c r="J252" s="517"/>
      <c r="K252" s="454"/>
      <c r="L252" s="352"/>
      <c r="M252" s="352"/>
      <c r="N252" s="352"/>
      <c r="O252" s="352"/>
    </row>
    <row r="253" spans="1:29">
      <c r="A253" s="348" t="s">
        <v>58</v>
      </c>
      <c r="B253" s="348" t="s">
        <v>84</v>
      </c>
      <c r="C253" s="348" t="s">
        <v>92</v>
      </c>
      <c r="D253" s="348" t="s">
        <v>183</v>
      </c>
      <c r="E253" s="348" t="s">
        <v>182</v>
      </c>
      <c r="F253" s="517"/>
      <c r="G253" s="517"/>
      <c r="H253" s="517"/>
      <c r="I253" s="517"/>
      <c r="J253" s="517"/>
      <c r="K253" s="454"/>
      <c r="L253" s="352"/>
      <c r="M253" s="352"/>
      <c r="N253" s="352"/>
      <c r="O253" s="352"/>
    </row>
    <row r="254" spans="1:29">
      <c r="A254" s="348" t="s">
        <v>58</v>
      </c>
      <c r="B254" s="348" t="s">
        <v>85</v>
      </c>
      <c r="C254" s="348" t="s">
        <v>93</v>
      </c>
      <c r="D254" s="348" t="s">
        <v>183</v>
      </c>
      <c r="E254" s="348" t="s">
        <v>182</v>
      </c>
      <c r="F254" s="517"/>
      <c r="G254" s="517"/>
      <c r="H254" s="517"/>
      <c r="I254" s="517"/>
      <c r="J254" s="517"/>
      <c r="K254" s="454"/>
      <c r="L254" s="352"/>
      <c r="M254" s="352"/>
      <c r="N254" s="352"/>
      <c r="O254" s="352"/>
    </row>
    <row r="255" spans="1:29">
      <c r="A255" s="348" t="s">
        <v>58</v>
      </c>
      <c r="B255" s="348" t="s">
        <v>86</v>
      </c>
      <c r="C255" s="348" t="s">
        <v>94</v>
      </c>
      <c r="D255" s="348" t="s">
        <v>183</v>
      </c>
      <c r="E255" s="348" t="s">
        <v>182</v>
      </c>
      <c r="F255" s="517"/>
      <c r="G255" s="517"/>
      <c r="H255" s="517"/>
      <c r="I255" s="517"/>
      <c r="J255" s="517"/>
      <c r="K255" s="454"/>
      <c r="L255" s="352"/>
      <c r="M255" s="352"/>
      <c r="N255" s="352"/>
      <c r="O255" s="352"/>
    </row>
    <row r="256" spans="1:29">
      <c r="A256" s="348" t="s">
        <v>58</v>
      </c>
      <c r="B256" s="348" t="s">
        <v>174</v>
      </c>
      <c r="C256" s="348" t="s">
        <v>184</v>
      </c>
      <c r="D256" s="348" t="s">
        <v>74</v>
      </c>
      <c r="E256" s="348" t="s">
        <v>182</v>
      </c>
      <c r="F256" s="517"/>
      <c r="G256" s="517"/>
      <c r="H256" s="517"/>
      <c r="I256" s="517"/>
      <c r="J256" s="517"/>
      <c r="K256" s="454"/>
      <c r="L256" s="352"/>
      <c r="M256" s="352"/>
      <c r="N256" s="352"/>
      <c r="O256" s="352"/>
    </row>
    <row r="257" spans="1:29">
      <c r="A257" s="348" t="s">
        <v>58</v>
      </c>
      <c r="B257" s="348" t="s">
        <v>156</v>
      </c>
      <c r="C257" s="348" t="s">
        <v>157</v>
      </c>
      <c r="D257" s="348" t="s">
        <v>74</v>
      </c>
      <c r="E257" s="348" t="s">
        <v>182</v>
      </c>
      <c r="F257" s="517"/>
      <c r="G257" s="517"/>
      <c r="H257" s="517"/>
      <c r="I257" s="350">
        <f>VLOOKUP($B257,'New costs and adjustments'!$D$885:$O$888,COLUMN()-3,FALSE)</f>
        <v>0.64600000000000002</v>
      </c>
      <c r="J257" s="517"/>
      <c r="K257" s="452">
        <f>VLOOKUP($B257,'New costs and adjustments'!$D$885:$O$888,COLUMN()-3,FALSE)</f>
        <v>0.5981496564423604</v>
      </c>
      <c r="L257" s="350">
        <f>VLOOKUP($B257,'New costs and adjustments'!$D$885:$O$888,COLUMN()-3,FALSE)</f>
        <v>0.5981496564423604</v>
      </c>
      <c r="M257" s="350">
        <f>VLOOKUP($B257,'New costs and adjustments'!$D$885:$O$888,COLUMN()-3,FALSE)</f>
        <v>0.5981496564423604</v>
      </c>
      <c r="N257" s="350">
        <f>VLOOKUP($B257,'New costs and adjustments'!$D$885:$O$888,COLUMN()-3,FALSE)</f>
        <v>0.5981496564423604</v>
      </c>
      <c r="O257" s="350">
        <f>VLOOKUP($B257,'New costs and adjustments'!$D$885:$O$888,COLUMN()-3,FALSE)</f>
        <v>0.5981496564423604</v>
      </c>
    </row>
    <row r="258" spans="1:29">
      <c r="A258" s="348" t="s">
        <v>58</v>
      </c>
      <c r="B258" s="348" t="s">
        <v>159</v>
      </c>
      <c r="C258" s="348" t="s">
        <v>158</v>
      </c>
      <c r="D258" s="348" t="s">
        <v>74</v>
      </c>
      <c r="E258" s="348" t="s">
        <v>182</v>
      </c>
      <c r="F258" s="517"/>
      <c r="G258" s="517"/>
      <c r="H258" s="517"/>
      <c r="I258" s="517"/>
      <c r="J258" s="517"/>
      <c r="K258" s="454"/>
      <c r="L258" s="352"/>
      <c r="M258" s="352"/>
      <c r="N258" s="352"/>
      <c r="O258" s="352"/>
    </row>
    <row r="259" spans="1:29">
      <c r="A259" s="348" t="s">
        <v>59</v>
      </c>
      <c r="B259" s="348" t="s">
        <v>78</v>
      </c>
      <c r="C259" s="348" t="s">
        <v>132</v>
      </c>
      <c r="D259" s="348" t="s">
        <v>74</v>
      </c>
      <c r="E259" s="348" t="s">
        <v>182</v>
      </c>
      <c r="F259" s="517"/>
      <c r="G259" s="517"/>
      <c r="H259" s="517"/>
      <c r="I259" s="350">
        <f ca="1">VLOOKUP($B259,'New costs and adjustments'!$D$893:$O$896,COLUMN()-3,FALSE)</f>
        <v>5.6407428778167397</v>
      </c>
      <c r="J259" s="517"/>
      <c r="K259" s="452">
        <f ca="1">VLOOKUP($B259,'New costs and adjustments'!$D$893:$O$896,COLUMN()-3,FALSE)</f>
        <v>5.1704651658058394</v>
      </c>
      <c r="L259" s="350">
        <f ca="1">VLOOKUP($B259,'New costs and adjustments'!$D$893:$O$896,COLUMN()-3,FALSE)</f>
        <v>5.1622962552040299</v>
      </c>
      <c r="M259" s="350">
        <f ca="1">VLOOKUP($B259,'New costs and adjustments'!$D$893:$O$896,COLUMN()-3,FALSE)</f>
        <v>5.3813125872751195</v>
      </c>
      <c r="N259" s="350">
        <f ca="1">VLOOKUP($B259,'New costs and adjustments'!$D$893:$O$896,COLUMN()-3,FALSE)</f>
        <v>5.3711260166270094</v>
      </c>
      <c r="O259" s="350">
        <f ca="1">VLOOKUP($B259,'New costs and adjustments'!$D$893:$O$896,COLUMN()-3,FALSE)</f>
        <v>5.3318049825085199</v>
      </c>
      <c r="AC259" s="351" t="s">
        <v>233</v>
      </c>
    </row>
    <row r="260" spans="1:29">
      <c r="A260" s="348" t="s">
        <v>59</v>
      </c>
      <c r="B260" s="348" t="s">
        <v>97</v>
      </c>
      <c r="C260" s="348" t="s">
        <v>99</v>
      </c>
      <c r="D260" s="348" t="s">
        <v>74</v>
      </c>
      <c r="E260" s="348" t="s">
        <v>182</v>
      </c>
      <c r="F260" s="517"/>
      <c r="G260" s="517"/>
      <c r="H260" s="517"/>
      <c r="I260" s="350">
        <f>VLOOKUP($B260,'New costs and adjustments'!$D$893:$O$896,COLUMN()-3,FALSE)</f>
        <v>0.21058359999999998</v>
      </c>
      <c r="J260" s="517"/>
      <c r="K260" s="452">
        <f>VLOOKUP($B260,'New costs and adjustments'!$D$893:$O$896,COLUMN()-3,FALSE)</f>
        <v>0.19486053822223701</v>
      </c>
      <c r="L260" s="350">
        <f>VLOOKUP($B260,'New costs and adjustments'!$D$893:$O$896,COLUMN()-3,FALSE)</f>
        <v>0.16154316981037792</v>
      </c>
      <c r="M260" s="350">
        <f>VLOOKUP($B260,'New costs and adjustments'!$D$893:$O$896,COLUMN()-3,FALSE)</f>
        <v>0.14083293548626941</v>
      </c>
      <c r="N260" s="350">
        <f>VLOOKUP($B260,'New costs and adjustments'!$D$893:$O$896,COLUMN()-3,FALSE)</f>
        <v>0.1092909382391917</v>
      </c>
      <c r="O260" s="350">
        <f>VLOOKUP($B260,'New costs and adjustments'!$D$893:$O$896,COLUMN()-3,FALSE)</f>
        <v>8.3231045270833415E-2</v>
      </c>
    </row>
    <row r="261" spans="1:29">
      <c r="A261" s="348" t="s">
        <v>59</v>
      </c>
      <c r="B261" s="348" t="s">
        <v>98</v>
      </c>
      <c r="C261" s="348" t="s">
        <v>100</v>
      </c>
      <c r="D261" s="348" t="s">
        <v>74</v>
      </c>
      <c r="E261" s="348" t="s">
        <v>182</v>
      </c>
      <c r="F261" s="517"/>
      <c r="G261" s="517"/>
      <c r="H261" s="517"/>
      <c r="I261" s="350">
        <f>VLOOKUP($B261,'New costs and adjustments'!$D$893:$O$896,COLUMN()-3,FALSE)</f>
        <v>0</v>
      </c>
      <c r="J261" s="517"/>
      <c r="K261" s="452">
        <f>VLOOKUP($B261,'New costs and adjustments'!$D$893:$O$896,COLUMN()-3,FALSE)</f>
        <v>3.4606137609889995E-2</v>
      </c>
      <c r="L261" s="350">
        <f>VLOOKUP($B261,'New costs and adjustments'!$D$893:$O$896,COLUMN()-3,FALSE)</f>
        <v>9.8518713665266905E-2</v>
      </c>
      <c r="M261" s="350">
        <f>VLOOKUP($B261,'New costs and adjustments'!$D$893:$O$896,COLUMN()-3,FALSE)</f>
        <v>0.15204333542185081</v>
      </c>
      <c r="N261" s="350">
        <f>VLOOKUP($B261,'New costs and adjustments'!$D$893:$O$896,COLUMN()-3,FALSE)</f>
        <v>0.195222026921055</v>
      </c>
      <c r="O261" s="350">
        <f>VLOOKUP($B261,'New costs and adjustments'!$D$893:$O$896,COLUMN()-3,FALSE)</f>
        <v>0.22937174227118298</v>
      </c>
    </row>
    <row r="262" spans="1:29">
      <c r="A262" s="348" t="s">
        <v>59</v>
      </c>
      <c r="B262" s="348" t="s">
        <v>79</v>
      </c>
      <c r="C262" s="348" t="s">
        <v>135</v>
      </c>
      <c r="D262" s="348" t="s">
        <v>74</v>
      </c>
      <c r="E262" s="348" t="s">
        <v>182</v>
      </c>
      <c r="F262" s="517"/>
      <c r="G262" s="517"/>
      <c r="H262" s="517"/>
      <c r="I262" s="517"/>
      <c r="J262" s="517"/>
      <c r="K262" s="453"/>
      <c r="L262" s="349"/>
      <c r="M262" s="349"/>
      <c r="N262" s="349"/>
      <c r="O262" s="349"/>
    </row>
    <row r="263" spans="1:29">
      <c r="A263" s="348" t="s">
        <v>59</v>
      </c>
      <c r="B263" s="348" t="s">
        <v>80</v>
      </c>
      <c r="C263" s="348" t="s">
        <v>136</v>
      </c>
      <c r="D263" s="348" t="s">
        <v>74</v>
      </c>
      <c r="E263" s="348" t="s">
        <v>182</v>
      </c>
      <c r="F263" s="517"/>
      <c r="G263" s="517"/>
      <c r="H263" s="517"/>
      <c r="I263" s="517"/>
      <c r="J263" s="517"/>
      <c r="K263" s="454"/>
      <c r="L263" s="352"/>
      <c r="M263" s="352"/>
      <c r="N263" s="352"/>
      <c r="O263" s="352"/>
    </row>
    <row r="264" spans="1:29">
      <c r="A264" s="348" t="s">
        <v>59</v>
      </c>
      <c r="B264" s="348" t="s">
        <v>81</v>
      </c>
      <c r="C264" s="348" t="s">
        <v>137</v>
      </c>
      <c r="D264" s="348" t="s">
        <v>74</v>
      </c>
      <c r="E264" s="348" t="s">
        <v>182</v>
      </c>
      <c r="F264" s="517"/>
      <c r="G264" s="517"/>
      <c r="H264" s="517"/>
      <c r="I264" s="517"/>
      <c r="J264" s="517"/>
      <c r="K264" s="454"/>
      <c r="L264" s="352"/>
      <c r="M264" s="352"/>
      <c r="N264" s="352"/>
      <c r="O264" s="352"/>
    </row>
    <row r="265" spans="1:29">
      <c r="A265" s="348" t="s">
        <v>59</v>
      </c>
      <c r="B265" s="348" t="s">
        <v>82</v>
      </c>
      <c r="C265" s="348" t="s">
        <v>89</v>
      </c>
      <c r="D265" s="348" t="s">
        <v>183</v>
      </c>
      <c r="E265" s="348" t="s">
        <v>182</v>
      </c>
      <c r="F265" s="517"/>
      <c r="G265" s="517"/>
      <c r="H265" s="517"/>
      <c r="I265" s="517"/>
      <c r="J265" s="517"/>
      <c r="K265" s="454"/>
      <c r="L265" s="352"/>
      <c r="M265" s="352"/>
      <c r="N265" s="352"/>
      <c r="O265" s="352"/>
    </row>
    <row r="266" spans="1:29">
      <c r="A266" s="348" t="s">
        <v>59</v>
      </c>
      <c r="B266" s="348" t="s">
        <v>87</v>
      </c>
      <c r="C266" s="348" t="s">
        <v>90</v>
      </c>
      <c r="D266" s="348" t="s">
        <v>183</v>
      </c>
      <c r="E266" s="348" t="s">
        <v>182</v>
      </c>
      <c r="F266" s="517"/>
      <c r="G266" s="517"/>
      <c r="H266" s="517"/>
      <c r="I266" s="517"/>
      <c r="J266" s="517"/>
      <c r="K266" s="454"/>
      <c r="L266" s="352"/>
      <c r="M266" s="352"/>
      <c r="N266" s="352"/>
      <c r="O266" s="352"/>
    </row>
    <row r="267" spans="1:29">
      <c r="A267" s="348" t="s">
        <v>59</v>
      </c>
      <c r="B267" s="348" t="s">
        <v>83</v>
      </c>
      <c r="C267" s="348" t="s">
        <v>91</v>
      </c>
      <c r="D267" s="348" t="s">
        <v>183</v>
      </c>
      <c r="E267" s="348" t="s">
        <v>182</v>
      </c>
      <c r="F267" s="517"/>
      <c r="G267" s="517"/>
      <c r="H267" s="517"/>
      <c r="I267" s="517"/>
      <c r="J267" s="517"/>
      <c r="K267" s="454"/>
      <c r="L267" s="352"/>
      <c r="M267" s="352"/>
      <c r="N267" s="352"/>
      <c r="O267" s="352"/>
    </row>
    <row r="268" spans="1:29">
      <c r="A268" s="348" t="s">
        <v>59</v>
      </c>
      <c r="B268" s="348" t="s">
        <v>84</v>
      </c>
      <c r="C268" s="348" t="s">
        <v>92</v>
      </c>
      <c r="D268" s="348" t="s">
        <v>183</v>
      </c>
      <c r="E268" s="348" t="s">
        <v>182</v>
      </c>
      <c r="F268" s="517"/>
      <c r="G268" s="517"/>
      <c r="H268" s="517"/>
      <c r="I268" s="517"/>
      <c r="J268" s="517"/>
      <c r="K268" s="454"/>
      <c r="L268" s="352"/>
      <c r="M268" s="352"/>
      <c r="N268" s="352"/>
      <c r="O268" s="352"/>
    </row>
    <row r="269" spans="1:29">
      <c r="A269" s="348" t="s">
        <v>59</v>
      </c>
      <c r="B269" s="348" t="s">
        <v>85</v>
      </c>
      <c r="C269" s="348" t="s">
        <v>93</v>
      </c>
      <c r="D269" s="348" t="s">
        <v>183</v>
      </c>
      <c r="E269" s="348" t="s">
        <v>182</v>
      </c>
      <c r="F269" s="517"/>
      <c r="G269" s="517"/>
      <c r="H269" s="517"/>
      <c r="I269" s="517"/>
      <c r="J269" s="517"/>
      <c r="K269" s="454"/>
      <c r="L269" s="352"/>
      <c r="M269" s="352"/>
      <c r="N269" s="352"/>
      <c r="O269" s="352"/>
    </row>
    <row r="270" spans="1:29">
      <c r="A270" s="348" t="s">
        <v>59</v>
      </c>
      <c r="B270" s="348" t="s">
        <v>86</v>
      </c>
      <c r="C270" s="348" t="s">
        <v>94</v>
      </c>
      <c r="D270" s="348" t="s">
        <v>183</v>
      </c>
      <c r="E270" s="348" t="s">
        <v>182</v>
      </c>
      <c r="F270" s="517"/>
      <c r="G270" s="517"/>
      <c r="H270" s="517"/>
      <c r="I270" s="517"/>
      <c r="J270" s="517"/>
      <c r="K270" s="454"/>
      <c r="L270" s="352"/>
      <c r="M270" s="352"/>
      <c r="N270" s="352"/>
      <c r="O270" s="352"/>
    </row>
    <row r="271" spans="1:29">
      <c r="A271" s="348" t="s">
        <v>59</v>
      </c>
      <c r="B271" s="348" t="s">
        <v>174</v>
      </c>
      <c r="C271" s="348" t="s">
        <v>184</v>
      </c>
      <c r="D271" s="348" t="s">
        <v>74</v>
      </c>
      <c r="E271" s="348" t="s">
        <v>182</v>
      </c>
      <c r="F271" s="517"/>
      <c r="G271" s="517"/>
      <c r="H271" s="517"/>
      <c r="I271" s="517"/>
      <c r="J271" s="517"/>
      <c r="K271" s="454"/>
      <c r="L271" s="352"/>
      <c r="M271" s="352"/>
      <c r="N271" s="352"/>
      <c r="O271" s="352"/>
    </row>
    <row r="272" spans="1:29">
      <c r="A272" s="348" t="s">
        <v>59</v>
      </c>
      <c r="B272" s="348" t="s">
        <v>156</v>
      </c>
      <c r="C272" s="348" t="s">
        <v>157</v>
      </c>
      <c r="D272" s="348" t="s">
        <v>74</v>
      </c>
      <c r="E272" s="348" t="s">
        <v>182</v>
      </c>
      <c r="F272" s="517"/>
      <c r="G272" s="517"/>
      <c r="H272" s="517"/>
      <c r="I272" s="350">
        <f>VLOOKUP($B272,'New costs and adjustments'!$D$893:$O$896,COLUMN()-3,FALSE)</f>
        <v>2.1567183963990499E-2</v>
      </c>
      <c r="J272" s="517"/>
      <c r="K272" s="452">
        <f>VLOOKUP($B272,'New costs and adjustments'!$D$893:$O$896,COLUMN()-3,FALSE)</f>
        <v>7.9276964372798943E-3</v>
      </c>
      <c r="L272" s="350">
        <f>VLOOKUP($B272,'New costs and adjustments'!$D$893:$O$896,COLUMN()-3,FALSE)</f>
        <v>7.9276964372798943E-3</v>
      </c>
      <c r="M272" s="350">
        <f>VLOOKUP($B272,'New costs and adjustments'!$D$893:$O$896,COLUMN()-3,FALSE)</f>
        <v>7.9276964372798943E-3</v>
      </c>
      <c r="N272" s="350">
        <f>VLOOKUP($B272,'New costs and adjustments'!$D$893:$O$896,COLUMN()-3,FALSE)</f>
        <v>7.9276964372798943E-3</v>
      </c>
      <c r="O272" s="350">
        <f>VLOOKUP($B272,'New costs and adjustments'!$D$893:$O$896,COLUMN()-3,FALSE)</f>
        <v>7.9276964372798943E-3</v>
      </c>
    </row>
    <row r="273" spans="1:15">
      <c r="A273" s="348" t="s">
        <v>59</v>
      </c>
      <c r="B273" s="348" t="s">
        <v>159</v>
      </c>
      <c r="C273" s="348" t="s">
        <v>158</v>
      </c>
      <c r="D273" s="348" t="s">
        <v>74</v>
      </c>
      <c r="E273" s="348" t="s">
        <v>182</v>
      </c>
      <c r="F273" s="517"/>
      <c r="G273" s="517"/>
      <c r="H273" s="517"/>
      <c r="I273" s="517"/>
      <c r="J273" s="517"/>
      <c r="K273" s="454"/>
      <c r="L273" s="352"/>
      <c r="M273" s="352"/>
      <c r="N273" s="352"/>
      <c r="O273" s="352"/>
    </row>
  </sheetData>
  <pageMargins left="0.70866141732283472" right="0.70866141732283472" top="0.74803149606299213" bottom="0.74803149606299213" header="0.31496062992125984" footer="0.31496062992125984"/>
  <pageSetup paperSize="9" scale="11" orientation="portrait" r:id="rId1"/>
  <headerFooter>
    <oddFooter>&amp;L&amp;Z
&amp;F&amp;R&amp;D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FD273"/>
  <sheetViews>
    <sheetView showGridLines="0" zoomScale="85" zoomScaleNormal="85" workbookViewId="0">
      <pane xSplit="5" ySplit="2" topLeftCell="F3" activePane="bottomRight" state="frozen"/>
      <selection activeCell="B43" sqref="B43:M43"/>
      <selection pane="topRight" activeCell="B43" sqref="B43:M43"/>
      <selection pane="bottomLeft" activeCell="B43" sqref="B43:M43"/>
      <selection pane="bottomRight" activeCell="K23" sqref="K23"/>
    </sheetView>
  </sheetViews>
  <sheetFormatPr defaultColWidth="9.140625" defaultRowHeight="12.75"/>
  <cols>
    <col min="1" max="1" width="4.85546875" customWidth="1"/>
    <col min="2" max="2" width="6.42578125" customWidth="1"/>
    <col min="3" max="3" width="71.42578125" customWidth="1"/>
    <col min="4" max="4" width="3.5703125" customWidth="1"/>
    <col min="5" max="5" width="19.140625" customWidth="1"/>
    <col min="6" max="10" width="7.85546875" customWidth="1"/>
    <col min="11" max="11" width="7.85546875" style="449" customWidth="1"/>
    <col min="12" max="15" width="7.85546875" customWidth="1"/>
  </cols>
  <sheetData>
    <row r="1" spans="1:16384" s="14" customFormat="1" ht="33.75">
      <c r="A1" s="76"/>
      <c r="B1" s="108"/>
      <c r="C1" s="76"/>
      <c r="D1" s="77"/>
      <c r="E1" s="438" t="s">
        <v>423</v>
      </c>
      <c r="F1" s="119"/>
      <c r="G1" s="119"/>
      <c r="H1" s="119"/>
      <c r="I1" s="119"/>
      <c r="J1" s="444"/>
      <c r="K1" s="455"/>
      <c r="L1" s="436"/>
      <c r="M1" s="436"/>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c r="FA1" s="437"/>
      <c r="FB1" s="437"/>
      <c r="FC1" s="437"/>
      <c r="FD1" s="437"/>
      <c r="FE1" s="437"/>
      <c r="FF1" s="437"/>
      <c r="FG1" s="437"/>
      <c r="FH1" s="437"/>
      <c r="FI1" s="437"/>
      <c r="FJ1" s="437"/>
      <c r="FK1" s="437"/>
      <c r="FL1" s="437"/>
      <c r="FM1" s="437"/>
      <c r="FN1" s="437"/>
      <c r="FO1" s="437"/>
      <c r="FP1" s="437"/>
      <c r="FQ1" s="437"/>
      <c r="FR1" s="437"/>
      <c r="FS1" s="437"/>
      <c r="FT1" s="437"/>
      <c r="FU1" s="437"/>
      <c r="FV1" s="437"/>
      <c r="FW1" s="437"/>
      <c r="FX1" s="437"/>
      <c r="FY1" s="437"/>
      <c r="FZ1" s="437"/>
      <c r="GA1" s="437"/>
      <c r="GB1" s="437"/>
      <c r="GC1" s="437"/>
      <c r="GD1" s="437"/>
      <c r="GE1" s="437"/>
      <c r="GF1" s="437"/>
      <c r="GG1" s="437"/>
      <c r="GH1" s="437"/>
      <c r="GI1" s="437"/>
      <c r="GJ1" s="437"/>
      <c r="GK1" s="437"/>
      <c r="GL1" s="437"/>
      <c r="GM1" s="437"/>
      <c r="GN1" s="437"/>
      <c r="GO1" s="437"/>
      <c r="GP1" s="437"/>
      <c r="GQ1" s="437"/>
      <c r="GR1" s="437"/>
      <c r="GS1" s="437"/>
      <c r="GT1" s="437"/>
      <c r="GU1" s="437"/>
      <c r="GV1" s="437"/>
      <c r="GW1" s="437"/>
      <c r="GX1" s="437"/>
      <c r="GY1" s="437"/>
      <c r="GZ1" s="437"/>
      <c r="HA1" s="437"/>
      <c r="HB1" s="437"/>
      <c r="HC1" s="437"/>
      <c r="HD1" s="437"/>
      <c r="HE1" s="437"/>
      <c r="HF1" s="437"/>
      <c r="HG1" s="437"/>
      <c r="HH1" s="437"/>
      <c r="HI1" s="437"/>
      <c r="HJ1" s="437"/>
      <c r="HK1" s="437"/>
      <c r="HL1" s="437"/>
      <c r="HM1" s="437"/>
      <c r="HN1" s="437"/>
      <c r="HO1" s="437"/>
      <c r="HP1" s="437"/>
      <c r="HQ1" s="437"/>
      <c r="HR1" s="437"/>
      <c r="HS1" s="437"/>
      <c r="HT1" s="437"/>
      <c r="HU1" s="437"/>
      <c r="HV1" s="437"/>
      <c r="HW1" s="437"/>
      <c r="HX1" s="437"/>
      <c r="HY1" s="437"/>
      <c r="HZ1" s="437"/>
      <c r="IA1" s="437"/>
      <c r="IB1" s="437"/>
      <c r="IC1" s="437"/>
      <c r="ID1" s="437"/>
      <c r="IE1" s="437"/>
      <c r="IF1" s="437"/>
      <c r="IG1" s="437"/>
      <c r="IH1" s="437"/>
      <c r="II1" s="437"/>
      <c r="IJ1" s="437"/>
      <c r="IK1" s="437"/>
      <c r="IL1" s="437"/>
      <c r="IM1" s="437"/>
      <c r="IN1" s="437"/>
      <c r="IO1" s="437"/>
      <c r="IP1" s="437"/>
      <c r="IQ1" s="437"/>
      <c r="IR1" s="437"/>
      <c r="IS1" s="437"/>
      <c r="IT1" s="437"/>
      <c r="IU1" s="437"/>
      <c r="IV1" s="437"/>
      <c r="IW1" s="437"/>
      <c r="IX1" s="437"/>
      <c r="IY1" s="437"/>
      <c r="IZ1" s="437"/>
      <c r="JA1" s="437"/>
      <c r="JB1" s="437"/>
      <c r="JC1" s="437"/>
      <c r="JD1" s="437"/>
      <c r="JE1" s="437"/>
      <c r="JF1" s="437"/>
      <c r="JG1" s="437"/>
      <c r="JH1" s="437"/>
      <c r="JI1" s="437"/>
      <c r="JJ1" s="437"/>
      <c r="JK1" s="437"/>
      <c r="JL1" s="437"/>
      <c r="JM1" s="437"/>
      <c r="JN1" s="437"/>
      <c r="JO1" s="437"/>
      <c r="JP1" s="437"/>
      <c r="JQ1" s="437"/>
      <c r="JR1" s="437"/>
      <c r="JS1" s="437"/>
      <c r="JT1" s="437"/>
      <c r="JU1" s="437"/>
      <c r="JV1" s="437"/>
      <c r="JW1" s="437"/>
      <c r="JX1" s="437"/>
      <c r="JY1" s="437"/>
      <c r="JZ1" s="437"/>
      <c r="KA1" s="437"/>
      <c r="KB1" s="437"/>
      <c r="KC1" s="437"/>
      <c r="KD1" s="437"/>
      <c r="KE1" s="437"/>
      <c r="KF1" s="437"/>
      <c r="KG1" s="437"/>
      <c r="KH1" s="437"/>
      <c r="KI1" s="437"/>
      <c r="KJ1" s="437"/>
      <c r="KK1" s="437"/>
      <c r="KL1" s="437"/>
      <c r="KM1" s="437"/>
      <c r="KN1" s="437"/>
      <c r="KO1" s="437"/>
      <c r="KP1" s="437"/>
      <c r="KQ1" s="437"/>
      <c r="KR1" s="437"/>
      <c r="KS1" s="437"/>
      <c r="KT1" s="437"/>
      <c r="KU1" s="437"/>
      <c r="KV1" s="437"/>
      <c r="KW1" s="437"/>
      <c r="KX1" s="437"/>
      <c r="KY1" s="437"/>
      <c r="KZ1" s="437"/>
      <c r="LA1" s="437"/>
      <c r="LB1" s="437"/>
      <c r="LC1" s="437"/>
      <c r="LD1" s="437"/>
      <c r="LE1" s="437"/>
      <c r="LF1" s="437"/>
      <c r="LG1" s="437"/>
      <c r="LH1" s="437"/>
      <c r="LI1" s="437"/>
      <c r="LJ1" s="437"/>
      <c r="LK1" s="437"/>
      <c r="LL1" s="437"/>
      <c r="LM1" s="437"/>
      <c r="LN1" s="437"/>
      <c r="LO1" s="437"/>
      <c r="LP1" s="437"/>
      <c r="LQ1" s="437"/>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OM1" s="437"/>
      <c r="ON1" s="437"/>
      <c r="OO1" s="437"/>
      <c r="OP1" s="437"/>
      <c r="OQ1" s="437"/>
      <c r="OR1" s="437"/>
      <c r="OS1" s="437"/>
      <c r="OT1" s="437"/>
      <c r="OU1" s="437"/>
      <c r="OV1" s="437"/>
      <c r="OW1" s="437"/>
      <c r="OX1" s="437"/>
      <c r="OY1" s="437"/>
      <c r="OZ1" s="437"/>
      <c r="PA1" s="437"/>
      <c r="PB1" s="437"/>
      <c r="PC1" s="437"/>
      <c r="PD1" s="437"/>
      <c r="PE1" s="437"/>
      <c r="PF1" s="437"/>
      <c r="PG1" s="437"/>
      <c r="PH1" s="437"/>
      <c r="PI1" s="437"/>
      <c r="PJ1" s="437"/>
      <c r="PK1" s="437"/>
      <c r="PL1" s="437"/>
      <c r="PM1" s="437"/>
      <c r="PN1" s="437"/>
      <c r="PO1" s="437"/>
      <c r="PP1" s="437"/>
      <c r="PQ1" s="437"/>
      <c r="PR1" s="437"/>
      <c r="PS1" s="437"/>
      <c r="PT1" s="437"/>
      <c r="PU1" s="437"/>
      <c r="PV1" s="437"/>
      <c r="PW1" s="437"/>
      <c r="PX1" s="437"/>
      <c r="PY1" s="437"/>
      <c r="PZ1" s="437"/>
      <c r="QA1" s="437"/>
      <c r="QB1" s="437"/>
      <c r="QC1" s="437"/>
      <c r="QD1" s="437"/>
      <c r="QE1" s="437"/>
      <c r="QF1" s="437"/>
      <c r="QG1" s="437"/>
      <c r="QH1" s="437"/>
      <c r="QI1" s="437"/>
      <c r="QJ1" s="437"/>
      <c r="QK1" s="437"/>
      <c r="QL1" s="437"/>
      <c r="QM1" s="437"/>
      <c r="QN1" s="437"/>
      <c r="QO1" s="437"/>
      <c r="QP1" s="437"/>
      <c r="QQ1" s="437"/>
      <c r="QR1" s="437"/>
      <c r="QS1" s="437"/>
      <c r="QT1" s="437"/>
      <c r="QU1" s="437"/>
      <c r="QV1" s="437"/>
      <c r="QW1" s="437"/>
      <c r="QX1" s="437"/>
      <c r="QY1" s="437"/>
      <c r="QZ1" s="437"/>
      <c r="RA1" s="437"/>
      <c r="RB1" s="437"/>
      <c r="RC1" s="437"/>
      <c r="RD1" s="437"/>
      <c r="RE1" s="437"/>
      <c r="RF1" s="437"/>
      <c r="RG1" s="437"/>
      <c r="RH1" s="437"/>
      <c r="RI1" s="437"/>
      <c r="RJ1" s="437"/>
      <c r="RK1" s="437"/>
      <c r="RL1" s="437"/>
      <c r="RM1" s="437"/>
      <c r="RN1" s="437"/>
      <c r="RO1" s="437"/>
      <c r="RP1" s="437"/>
      <c r="RQ1" s="437"/>
      <c r="RR1" s="437"/>
      <c r="RS1" s="437"/>
      <c r="RT1" s="437"/>
      <c r="RU1" s="437"/>
      <c r="RV1" s="437"/>
      <c r="RW1" s="437"/>
      <c r="RX1" s="437"/>
      <c r="RY1" s="437"/>
      <c r="RZ1" s="437"/>
      <c r="SA1" s="437"/>
      <c r="SB1" s="437"/>
      <c r="SC1" s="437"/>
      <c r="SD1" s="437"/>
      <c r="SE1" s="437"/>
      <c r="SF1" s="437"/>
      <c r="SG1" s="437"/>
      <c r="SH1" s="437"/>
      <c r="SI1" s="437"/>
      <c r="SJ1" s="437"/>
      <c r="SK1" s="437"/>
      <c r="SL1" s="437"/>
      <c r="SM1" s="437"/>
      <c r="SN1" s="437"/>
      <c r="SO1" s="437"/>
      <c r="SP1" s="437"/>
      <c r="SQ1" s="437"/>
      <c r="SR1" s="437"/>
      <c r="SS1" s="437"/>
      <c r="ST1" s="437"/>
      <c r="SU1" s="437"/>
      <c r="SV1" s="437"/>
      <c r="SW1" s="437"/>
      <c r="SX1" s="437"/>
      <c r="SY1" s="437"/>
      <c r="SZ1" s="437"/>
      <c r="TA1" s="437"/>
      <c r="TB1" s="437"/>
      <c r="TC1" s="437"/>
      <c r="TD1" s="437"/>
      <c r="TE1" s="437"/>
      <c r="TF1" s="437"/>
      <c r="TG1" s="437"/>
      <c r="TH1" s="437"/>
      <c r="TI1" s="437"/>
      <c r="TJ1" s="437"/>
      <c r="TK1" s="437"/>
      <c r="TL1" s="437"/>
      <c r="TM1" s="437"/>
      <c r="TN1" s="437"/>
      <c r="TO1" s="437"/>
      <c r="TP1" s="437"/>
      <c r="TQ1" s="437"/>
      <c r="TR1" s="437"/>
      <c r="TS1" s="437"/>
      <c r="TT1" s="437"/>
      <c r="TU1" s="437"/>
      <c r="TV1" s="437"/>
      <c r="TW1" s="437"/>
      <c r="TX1" s="437"/>
      <c r="TY1" s="437"/>
      <c r="TZ1" s="437"/>
      <c r="UA1" s="437"/>
      <c r="UB1" s="437"/>
      <c r="UC1" s="437"/>
      <c r="UD1" s="437"/>
      <c r="UE1" s="437"/>
      <c r="UF1" s="437"/>
      <c r="UG1" s="437"/>
      <c r="UH1" s="437"/>
      <c r="UI1" s="437"/>
      <c r="UJ1" s="437"/>
      <c r="UK1" s="437"/>
      <c r="UL1" s="437"/>
      <c r="UM1" s="437"/>
      <c r="UN1" s="437"/>
      <c r="UO1" s="437"/>
      <c r="UP1" s="437"/>
      <c r="UQ1" s="437"/>
      <c r="UR1" s="437"/>
      <c r="US1" s="437"/>
      <c r="UT1" s="437"/>
      <c r="UU1" s="437"/>
      <c r="UV1" s="437"/>
      <c r="UW1" s="437"/>
      <c r="UX1" s="437"/>
      <c r="UY1" s="437"/>
      <c r="UZ1" s="437"/>
      <c r="VA1" s="437"/>
      <c r="VB1" s="437"/>
      <c r="VC1" s="437"/>
      <c r="VD1" s="437"/>
      <c r="VE1" s="437"/>
      <c r="VF1" s="437"/>
      <c r="VG1" s="437"/>
      <c r="VH1" s="437"/>
      <c r="VI1" s="437"/>
      <c r="VJ1" s="437"/>
      <c r="VK1" s="437"/>
      <c r="VL1" s="437"/>
      <c r="VM1" s="437"/>
      <c r="VN1" s="437"/>
      <c r="VO1" s="437"/>
      <c r="VP1" s="437"/>
      <c r="VQ1" s="437"/>
      <c r="VR1" s="437"/>
      <c r="VS1" s="437"/>
      <c r="VT1" s="437"/>
      <c r="VU1" s="437"/>
      <c r="VV1" s="437"/>
      <c r="VW1" s="437"/>
      <c r="VX1" s="437"/>
      <c r="VY1" s="437"/>
      <c r="VZ1" s="437"/>
      <c r="WA1" s="437"/>
      <c r="WB1" s="437"/>
      <c r="WC1" s="437"/>
      <c r="WD1" s="437"/>
      <c r="WE1" s="437"/>
      <c r="WF1" s="437"/>
      <c r="WG1" s="437"/>
      <c r="WH1" s="437"/>
      <c r="WI1" s="437"/>
      <c r="WJ1" s="437"/>
      <c r="WK1" s="437"/>
      <c r="WL1" s="437"/>
      <c r="WM1" s="437"/>
      <c r="WN1" s="437"/>
      <c r="WO1" s="437"/>
      <c r="WP1" s="437"/>
      <c r="WQ1" s="437"/>
      <c r="WR1" s="437"/>
      <c r="WS1" s="437"/>
      <c r="WT1" s="437"/>
      <c r="WU1" s="437"/>
      <c r="WV1" s="437"/>
      <c r="WW1" s="437"/>
      <c r="WX1" s="437"/>
      <c r="WY1" s="437"/>
      <c r="WZ1" s="437"/>
      <c r="XA1" s="437"/>
      <c r="XB1" s="437"/>
      <c r="XC1" s="437"/>
      <c r="XD1" s="437"/>
      <c r="XE1" s="437"/>
      <c r="XF1" s="437"/>
      <c r="XG1" s="437"/>
      <c r="XH1" s="437"/>
      <c r="XI1" s="437"/>
      <c r="XJ1" s="437"/>
      <c r="XK1" s="437"/>
      <c r="XL1" s="437"/>
      <c r="XM1" s="437"/>
      <c r="XN1" s="437"/>
      <c r="XO1" s="437"/>
      <c r="XP1" s="437"/>
      <c r="XQ1" s="437"/>
      <c r="XR1" s="437"/>
      <c r="XS1" s="437"/>
      <c r="XT1" s="437"/>
      <c r="XU1" s="437"/>
      <c r="XV1" s="437"/>
      <c r="XW1" s="437"/>
      <c r="XX1" s="437"/>
      <c r="XY1" s="437"/>
      <c r="XZ1" s="437"/>
      <c r="YA1" s="437"/>
      <c r="YB1" s="437"/>
      <c r="YC1" s="437"/>
      <c r="YD1" s="437"/>
      <c r="YE1" s="437"/>
      <c r="YF1" s="437"/>
      <c r="YG1" s="437"/>
      <c r="YH1" s="437"/>
      <c r="YI1" s="437"/>
      <c r="YJ1" s="437"/>
      <c r="YK1" s="437"/>
      <c r="YL1" s="437"/>
      <c r="YM1" s="437"/>
      <c r="YN1" s="437"/>
      <c r="YO1" s="437"/>
      <c r="YP1" s="437"/>
      <c r="YQ1" s="437"/>
      <c r="YR1" s="437"/>
      <c r="YS1" s="437"/>
      <c r="YT1" s="437"/>
      <c r="YU1" s="437"/>
      <c r="YV1" s="437"/>
      <c r="YW1" s="437"/>
      <c r="YX1" s="437"/>
      <c r="YY1" s="437"/>
      <c r="YZ1" s="437"/>
      <c r="ZA1" s="437"/>
      <c r="ZB1" s="437"/>
      <c r="ZC1" s="437"/>
      <c r="ZD1" s="437"/>
      <c r="ZE1" s="437"/>
      <c r="ZF1" s="437"/>
      <c r="ZG1" s="437"/>
      <c r="ZH1" s="437"/>
      <c r="ZI1" s="437"/>
      <c r="ZJ1" s="437"/>
      <c r="ZK1" s="437"/>
      <c r="ZL1" s="437"/>
      <c r="ZM1" s="437"/>
      <c r="ZN1" s="437"/>
      <c r="ZO1" s="437"/>
      <c r="ZP1" s="437"/>
      <c r="ZQ1" s="437"/>
      <c r="ZR1" s="437"/>
      <c r="ZS1" s="437"/>
      <c r="ZT1" s="437"/>
      <c r="ZU1" s="437"/>
      <c r="ZV1" s="437"/>
      <c r="ZW1" s="437"/>
      <c r="ZX1" s="437"/>
      <c r="ZY1" s="437"/>
      <c r="ZZ1" s="437"/>
      <c r="AAA1" s="437"/>
      <c r="AAB1" s="437"/>
      <c r="AAC1" s="437"/>
      <c r="AAD1" s="437"/>
      <c r="AAE1" s="437"/>
      <c r="AAF1" s="437"/>
      <c r="AAG1" s="437"/>
      <c r="AAH1" s="437"/>
      <c r="AAI1" s="437"/>
      <c r="AAJ1" s="437"/>
      <c r="AAK1" s="437"/>
      <c r="AAL1" s="437"/>
      <c r="AAM1" s="437"/>
      <c r="AAN1" s="437"/>
      <c r="AAO1" s="437"/>
      <c r="AAP1" s="437"/>
      <c r="AAQ1" s="437"/>
      <c r="AAR1" s="437"/>
      <c r="AAS1" s="437"/>
      <c r="AAT1" s="437"/>
      <c r="AAU1" s="437"/>
      <c r="AAV1" s="437"/>
      <c r="AAW1" s="437"/>
      <c r="AAX1" s="437"/>
      <c r="AAY1" s="437"/>
      <c r="AAZ1" s="437"/>
      <c r="ABA1" s="437"/>
      <c r="ABB1" s="437"/>
      <c r="ABC1" s="437"/>
      <c r="ABD1" s="437"/>
      <c r="ABE1" s="437"/>
      <c r="ABF1" s="437"/>
      <c r="ABG1" s="437"/>
      <c r="ABH1" s="437"/>
      <c r="ABI1" s="437"/>
      <c r="ABJ1" s="437"/>
      <c r="ABK1" s="437"/>
      <c r="ABL1" s="437"/>
      <c r="ABM1" s="437"/>
      <c r="ABN1" s="437"/>
      <c r="ABO1" s="437"/>
      <c r="ABP1" s="437"/>
      <c r="ABQ1" s="437"/>
      <c r="ABR1" s="437"/>
      <c r="ABS1" s="437"/>
      <c r="ABT1" s="437"/>
      <c r="ABU1" s="437"/>
      <c r="ABV1" s="437"/>
      <c r="ABW1" s="437"/>
      <c r="ABX1" s="437"/>
      <c r="ABY1" s="437"/>
      <c r="ABZ1" s="437"/>
      <c r="ACA1" s="437"/>
      <c r="ACB1" s="437"/>
      <c r="ACC1" s="437"/>
      <c r="ACD1" s="437"/>
      <c r="ACE1" s="437"/>
      <c r="ACF1" s="437"/>
      <c r="ACG1" s="437"/>
      <c r="ACH1" s="437"/>
      <c r="ACI1" s="437"/>
      <c r="ACJ1" s="437"/>
      <c r="ACK1" s="437"/>
      <c r="ACL1" s="437"/>
      <c r="ACM1" s="437"/>
      <c r="ACN1" s="437"/>
      <c r="ACO1" s="437"/>
      <c r="ACP1" s="437"/>
      <c r="ACQ1" s="437"/>
      <c r="ACR1" s="437"/>
      <c r="ACS1" s="437"/>
      <c r="ACT1" s="437"/>
      <c r="ACU1" s="437"/>
      <c r="ACV1" s="437"/>
      <c r="ACW1" s="437"/>
      <c r="ACX1" s="437"/>
      <c r="ACY1" s="437"/>
      <c r="ACZ1" s="437"/>
      <c r="ADA1" s="437"/>
      <c r="ADB1" s="437"/>
      <c r="ADC1" s="437"/>
      <c r="ADD1" s="437"/>
      <c r="ADE1" s="437"/>
      <c r="ADF1" s="437"/>
      <c r="ADG1" s="437"/>
      <c r="ADH1" s="437"/>
      <c r="ADI1" s="437"/>
      <c r="ADJ1" s="437"/>
      <c r="ADK1" s="437"/>
      <c r="ADL1" s="437"/>
      <c r="ADM1" s="437"/>
      <c r="ADN1" s="437"/>
      <c r="ADO1" s="437"/>
      <c r="ADP1" s="437"/>
      <c r="ADQ1" s="437"/>
      <c r="ADR1" s="437"/>
      <c r="ADS1" s="437"/>
      <c r="ADT1" s="437"/>
      <c r="ADU1" s="437"/>
      <c r="ADV1" s="437"/>
      <c r="ADW1" s="437"/>
      <c r="ADX1" s="437"/>
      <c r="ADY1" s="437"/>
      <c r="ADZ1" s="437"/>
      <c r="AEA1" s="437"/>
      <c r="AEB1" s="437"/>
      <c r="AEC1" s="437"/>
      <c r="AED1" s="437"/>
      <c r="AEE1" s="437"/>
      <c r="AEF1" s="437"/>
      <c r="AEG1" s="437"/>
      <c r="AEH1" s="437"/>
      <c r="AEI1" s="437"/>
      <c r="AEJ1" s="437"/>
      <c r="AEK1" s="437"/>
      <c r="AEL1" s="437"/>
      <c r="AEM1" s="437"/>
      <c r="AEN1" s="437"/>
      <c r="AEO1" s="437"/>
      <c r="AEP1" s="437"/>
      <c r="AEQ1" s="437"/>
      <c r="AER1" s="437"/>
      <c r="AES1" s="437"/>
      <c r="AET1" s="437"/>
      <c r="AEU1" s="437"/>
      <c r="AEV1" s="437"/>
      <c r="AEW1" s="437"/>
      <c r="AEX1" s="437"/>
      <c r="AEY1" s="437"/>
      <c r="AEZ1" s="437"/>
      <c r="AFA1" s="437"/>
      <c r="AFB1" s="437"/>
      <c r="AFC1" s="437"/>
      <c r="AFD1" s="437"/>
      <c r="AFE1" s="437"/>
      <c r="AFF1" s="437"/>
      <c r="AFG1" s="437"/>
      <c r="AFH1" s="437"/>
      <c r="AFI1" s="437"/>
      <c r="AFJ1" s="437"/>
      <c r="AFK1" s="437"/>
      <c r="AFL1" s="437"/>
      <c r="AFM1" s="437"/>
      <c r="AFN1" s="437"/>
      <c r="AFO1" s="437"/>
      <c r="AFP1" s="437"/>
      <c r="AFQ1" s="437"/>
      <c r="AFR1" s="437"/>
      <c r="AFS1" s="437"/>
      <c r="AFT1" s="437"/>
      <c r="AFU1" s="437"/>
      <c r="AFV1" s="437"/>
      <c r="AFW1" s="437"/>
      <c r="AFX1" s="437"/>
      <c r="AFY1" s="437"/>
      <c r="AFZ1" s="437"/>
      <c r="AGA1" s="437"/>
      <c r="AGB1" s="437"/>
      <c r="AGC1" s="437"/>
      <c r="AGD1" s="437"/>
      <c r="AGE1" s="437"/>
      <c r="AGF1" s="437"/>
      <c r="AGG1" s="437"/>
      <c r="AGH1" s="437"/>
      <c r="AGI1" s="437"/>
      <c r="AGJ1" s="437"/>
      <c r="AGK1" s="437"/>
      <c r="AGL1" s="437"/>
      <c r="AGM1" s="437"/>
      <c r="AGN1" s="437"/>
      <c r="AGO1" s="437"/>
      <c r="AGP1" s="437"/>
      <c r="AGQ1" s="437"/>
      <c r="AGR1" s="437"/>
      <c r="AGS1" s="437"/>
      <c r="AGT1" s="437"/>
      <c r="AGU1" s="437"/>
      <c r="AGV1" s="437"/>
      <c r="AGW1" s="437"/>
      <c r="AGX1" s="437"/>
      <c r="AGY1" s="437"/>
      <c r="AGZ1" s="437"/>
      <c r="AHA1" s="437"/>
      <c r="AHB1" s="437"/>
      <c r="AHC1" s="437"/>
      <c r="AHD1" s="437"/>
      <c r="AHE1" s="437"/>
      <c r="AHF1" s="437"/>
      <c r="AHG1" s="437"/>
      <c r="AHH1" s="437"/>
      <c r="AHI1" s="437"/>
      <c r="AHJ1" s="437"/>
      <c r="AHK1" s="437"/>
      <c r="AHL1" s="437"/>
      <c r="AHM1" s="437"/>
      <c r="AHN1" s="437"/>
      <c r="AHO1" s="437"/>
      <c r="AHP1" s="437"/>
      <c r="AHQ1" s="437"/>
      <c r="AHR1" s="437"/>
      <c r="AHS1" s="437"/>
      <c r="AHT1" s="437"/>
      <c r="AHU1" s="437"/>
      <c r="AHV1" s="437"/>
      <c r="AHW1" s="437"/>
      <c r="AHX1" s="437"/>
      <c r="AHY1" s="437"/>
      <c r="AHZ1" s="437"/>
      <c r="AIA1" s="437"/>
      <c r="AIB1" s="437"/>
      <c r="AIC1" s="437"/>
      <c r="AID1" s="437"/>
      <c r="AIE1" s="437"/>
      <c r="AIF1" s="437"/>
      <c r="AIG1" s="437"/>
      <c r="AIH1" s="437"/>
      <c r="AII1" s="437"/>
      <c r="AIJ1" s="437"/>
      <c r="AIK1" s="437"/>
      <c r="AIL1" s="437"/>
      <c r="AIM1" s="437"/>
      <c r="AIN1" s="437"/>
      <c r="AIO1" s="437"/>
      <c r="AIP1" s="437"/>
      <c r="AIQ1" s="437"/>
      <c r="AIR1" s="437"/>
      <c r="AIS1" s="437"/>
      <c r="AIT1" s="437"/>
      <c r="AIU1" s="437"/>
      <c r="AIV1" s="437"/>
      <c r="AIW1" s="437"/>
      <c r="AIX1" s="437"/>
      <c r="AIY1" s="437"/>
      <c r="AIZ1" s="437"/>
      <c r="AJA1" s="437"/>
      <c r="AJB1" s="437"/>
      <c r="AJC1" s="437"/>
      <c r="AJD1" s="437"/>
      <c r="AJE1" s="437"/>
      <c r="AJF1" s="437"/>
      <c r="AJG1" s="437"/>
      <c r="AJH1" s="437"/>
      <c r="AJI1" s="437"/>
      <c r="AJJ1" s="437"/>
      <c r="AJK1" s="437"/>
      <c r="AJL1" s="437"/>
      <c r="AJM1" s="437"/>
      <c r="AJN1" s="437"/>
      <c r="AJO1" s="437"/>
      <c r="AJP1" s="437"/>
      <c r="AJQ1" s="437"/>
      <c r="AJR1" s="437"/>
      <c r="AJS1" s="437"/>
      <c r="AJT1" s="437"/>
      <c r="AJU1" s="437"/>
      <c r="AJV1" s="437"/>
      <c r="AJW1" s="437"/>
      <c r="AJX1" s="437"/>
      <c r="AJY1" s="437"/>
      <c r="AJZ1" s="437"/>
      <c r="AKA1" s="437"/>
      <c r="AKB1" s="437"/>
      <c r="AKC1" s="437"/>
      <c r="AKD1" s="437"/>
      <c r="AKE1" s="437"/>
      <c r="AKF1" s="437"/>
      <c r="AKG1" s="437"/>
      <c r="AKH1" s="437"/>
      <c r="AKI1" s="437"/>
      <c r="AKJ1" s="437"/>
      <c r="AKK1" s="437"/>
      <c r="AKL1" s="437"/>
      <c r="AKM1" s="437"/>
      <c r="AKN1" s="437"/>
      <c r="AKO1" s="437"/>
      <c r="AKP1" s="437"/>
      <c r="AKQ1" s="437"/>
      <c r="AKR1" s="437"/>
      <c r="AKS1" s="437"/>
      <c r="AKT1" s="437"/>
      <c r="AKU1" s="437"/>
      <c r="AKV1" s="437"/>
      <c r="AKW1" s="437"/>
      <c r="AKX1" s="437"/>
      <c r="AKY1" s="437"/>
      <c r="AKZ1" s="437"/>
      <c r="ALA1" s="437"/>
      <c r="ALB1" s="437"/>
      <c r="ALC1" s="437"/>
      <c r="ALD1" s="437"/>
      <c r="ALE1" s="437"/>
      <c r="ALF1" s="437"/>
      <c r="ALG1" s="437"/>
      <c r="ALH1" s="437"/>
      <c r="ALI1" s="437"/>
      <c r="ALJ1" s="437"/>
      <c r="ALK1" s="437"/>
      <c r="ALL1" s="437"/>
      <c r="ALM1" s="437"/>
      <c r="ALN1" s="437"/>
      <c r="ALO1" s="437"/>
      <c r="ALP1" s="437"/>
      <c r="ALQ1" s="437"/>
      <c r="ALR1" s="437"/>
      <c r="ALS1" s="437"/>
      <c r="ALT1" s="437"/>
      <c r="ALU1" s="437"/>
      <c r="ALV1" s="437"/>
      <c r="ALW1" s="437"/>
      <c r="ALX1" s="437"/>
      <c r="ALY1" s="437"/>
      <c r="ALZ1" s="437"/>
      <c r="AMA1" s="437"/>
      <c r="AMB1" s="437"/>
      <c r="AMC1" s="437"/>
      <c r="AMD1" s="437"/>
      <c r="AME1" s="437"/>
      <c r="AMF1" s="437"/>
      <c r="AMG1" s="437"/>
      <c r="AMH1" s="437"/>
      <c r="AMI1" s="437"/>
      <c r="AMJ1" s="437"/>
      <c r="AMK1" s="437"/>
      <c r="AML1" s="437"/>
      <c r="AMM1" s="437"/>
      <c r="AMN1" s="437"/>
      <c r="AMO1" s="437"/>
      <c r="AMP1" s="437"/>
      <c r="AMQ1" s="437"/>
      <c r="AMR1" s="437"/>
      <c r="AMS1" s="437"/>
      <c r="AMT1" s="437"/>
      <c r="AMU1" s="437"/>
      <c r="AMV1" s="437"/>
      <c r="AMW1" s="437"/>
      <c r="AMX1" s="437"/>
      <c r="AMY1" s="437"/>
      <c r="AMZ1" s="437"/>
      <c r="ANA1" s="437"/>
      <c r="ANB1" s="437"/>
      <c r="ANC1" s="437"/>
      <c r="AND1" s="437"/>
      <c r="ANE1" s="437"/>
      <c r="ANF1" s="437"/>
      <c r="ANG1" s="437"/>
      <c r="ANH1" s="437"/>
      <c r="ANI1" s="437"/>
      <c r="ANJ1" s="437"/>
      <c r="ANK1" s="437"/>
      <c r="ANL1" s="437"/>
      <c r="ANM1" s="437"/>
      <c r="ANN1" s="437"/>
      <c r="ANO1" s="437"/>
      <c r="ANP1" s="437"/>
      <c r="ANQ1" s="437"/>
      <c r="ANR1" s="437"/>
      <c r="ANS1" s="437"/>
      <c r="ANT1" s="437"/>
      <c r="ANU1" s="437"/>
      <c r="ANV1" s="437"/>
      <c r="ANW1" s="437"/>
      <c r="ANX1" s="437"/>
      <c r="ANY1" s="437"/>
      <c r="ANZ1" s="437"/>
      <c r="AOA1" s="437"/>
      <c r="AOB1" s="437"/>
      <c r="AOC1" s="437"/>
      <c r="AOD1" s="437"/>
      <c r="AOE1" s="437"/>
      <c r="AOF1" s="437"/>
      <c r="AOG1" s="437"/>
      <c r="AOH1" s="437"/>
      <c r="AOI1" s="437"/>
      <c r="AOJ1" s="437"/>
      <c r="AOK1" s="437"/>
      <c r="AOL1" s="437"/>
      <c r="AOM1" s="437"/>
      <c r="AON1" s="437"/>
      <c r="AOO1" s="437"/>
      <c r="AOP1" s="437"/>
      <c r="AOQ1" s="437"/>
      <c r="AOR1" s="437"/>
      <c r="AOS1" s="437"/>
      <c r="AOT1" s="437"/>
      <c r="AOU1" s="437"/>
      <c r="AOV1" s="437"/>
      <c r="AOW1" s="437"/>
      <c r="AOX1" s="437"/>
      <c r="AOY1" s="437"/>
      <c r="AOZ1" s="437"/>
      <c r="APA1" s="437"/>
      <c r="APB1" s="437"/>
      <c r="APC1" s="437"/>
      <c r="APD1" s="437"/>
      <c r="APE1" s="437"/>
      <c r="APF1" s="437"/>
      <c r="APG1" s="437"/>
      <c r="APH1" s="437"/>
      <c r="API1" s="437"/>
      <c r="APJ1" s="437"/>
      <c r="APK1" s="437"/>
      <c r="APL1" s="437"/>
      <c r="APM1" s="437"/>
      <c r="APN1" s="437"/>
      <c r="APO1" s="437"/>
      <c r="APP1" s="437"/>
      <c r="APQ1" s="437"/>
      <c r="APR1" s="437"/>
      <c r="APS1" s="437"/>
      <c r="APT1" s="437"/>
      <c r="APU1" s="437"/>
      <c r="APV1" s="437"/>
      <c r="APW1" s="437"/>
      <c r="APX1" s="437"/>
      <c r="APY1" s="437"/>
      <c r="APZ1" s="437"/>
      <c r="AQA1" s="437"/>
      <c r="AQB1" s="437"/>
      <c r="AQC1" s="437"/>
      <c r="AQD1" s="437"/>
      <c r="AQE1" s="437"/>
      <c r="AQF1" s="437"/>
      <c r="AQG1" s="437"/>
      <c r="AQH1" s="437"/>
      <c r="AQI1" s="437"/>
      <c r="AQJ1" s="437"/>
      <c r="AQK1" s="437"/>
      <c r="AQL1" s="437"/>
      <c r="AQM1" s="437"/>
      <c r="AQN1" s="437"/>
      <c r="AQO1" s="437"/>
      <c r="AQP1" s="437"/>
      <c r="AQQ1" s="437"/>
      <c r="AQR1" s="437"/>
      <c r="AQS1" s="437"/>
      <c r="AQT1" s="437"/>
      <c r="AQU1" s="437"/>
      <c r="AQV1" s="437"/>
      <c r="AQW1" s="437"/>
      <c r="AQX1" s="437"/>
      <c r="AQY1" s="437"/>
      <c r="AQZ1" s="437"/>
      <c r="ARA1" s="437"/>
      <c r="ARB1" s="437"/>
      <c r="ARC1" s="437"/>
      <c r="ARD1" s="437"/>
      <c r="ARE1" s="437"/>
      <c r="ARF1" s="437"/>
      <c r="ARG1" s="437"/>
      <c r="ARH1" s="437"/>
      <c r="ARI1" s="437"/>
      <c r="ARJ1" s="437"/>
      <c r="ARK1" s="437"/>
      <c r="ARL1" s="437"/>
      <c r="ARM1" s="437"/>
      <c r="ARN1" s="437"/>
      <c r="ARO1" s="437"/>
      <c r="ARP1" s="437"/>
      <c r="ARQ1" s="437"/>
      <c r="ARR1" s="437"/>
      <c r="ARS1" s="437"/>
      <c r="ART1" s="437"/>
      <c r="ARU1" s="437"/>
      <c r="ARV1" s="437"/>
      <c r="ARW1" s="437"/>
      <c r="ARX1" s="437"/>
      <c r="ARY1" s="437"/>
      <c r="ARZ1" s="437"/>
      <c r="ASA1" s="437"/>
      <c r="ASB1" s="437"/>
      <c r="ASC1" s="437"/>
      <c r="ASD1" s="437"/>
      <c r="ASE1" s="437"/>
      <c r="ASF1" s="437"/>
      <c r="ASG1" s="437"/>
      <c r="ASH1" s="437"/>
      <c r="ASI1" s="437"/>
      <c r="ASJ1" s="437"/>
      <c r="ASK1" s="437"/>
      <c r="ASL1" s="437"/>
      <c r="ASM1" s="437"/>
      <c r="ASN1" s="437"/>
      <c r="ASO1" s="437"/>
      <c r="ASP1" s="437"/>
      <c r="ASQ1" s="437"/>
      <c r="ASR1" s="437"/>
      <c r="ASS1" s="437"/>
      <c r="AST1" s="437"/>
      <c r="ASU1" s="437"/>
      <c r="ASV1" s="437"/>
      <c r="ASW1" s="437"/>
      <c r="ASX1" s="437"/>
      <c r="ASY1" s="437"/>
      <c r="ASZ1" s="437"/>
      <c r="ATA1" s="437"/>
      <c r="ATB1" s="437"/>
      <c r="ATC1" s="437"/>
      <c r="ATD1" s="437"/>
      <c r="ATE1" s="437"/>
      <c r="ATF1" s="437"/>
      <c r="ATG1" s="437"/>
      <c r="ATH1" s="437"/>
      <c r="ATI1" s="437"/>
      <c r="ATJ1" s="437"/>
      <c r="ATK1" s="437"/>
      <c r="ATL1" s="437"/>
      <c r="ATM1" s="437"/>
      <c r="ATN1" s="437"/>
      <c r="ATO1" s="437"/>
      <c r="ATP1" s="437"/>
      <c r="ATQ1" s="437"/>
      <c r="ATR1" s="437"/>
      <c r="ATS1" s="437"/>
      <c r="ATT1" s="437"/>
      <c r="ATU1" s="437"/>
      <c r="ATV1" s="437"/>
      <c r="ATW1" s="437"/>
      <c r="ATX1" s="437"/>
      <c r="ATY1" s="437"/>
      <c r="ATZ1" s="437"/>
      <c r="AUA1" s="437"/>
      <c r="AUB1" s="437"/>
      <c r="AUC1" s="437"/>
      <c r="AUD1" s="437"/>
      <c r="AUE1" s="437"/>
      <c r="AUF1" s="437"/>
      <c r="AUG1" s="437"/>
      <c r="AUH1" s="437"/>
      <c r="AUI1" s="437"/>
      <c r="AUJ1" s="437"/>
      <c r="AUK1" s="437"/>
      <c r="AUL1" s="437"/>
      <c r="AUM1" s="437"/>
      <c r="AUN1" s="437"/>
      <c r="AUO1" s="437"/>
      <c r="AUP1" s="437"/>
      <c r="AUQ1" s="437"/>
      <c r="AUR1" s="437"/>
      <c r="AUS1" s="437"/>
      <c r="AUT1" s="437"/>
      <c r="AUU1" s="437"/>
      <c r="AUV1" s="437"/>
      <c r="AUW1" s="437"/>
      <c r="AUX1" s="437"/>
      <c r="AUY1" s="437"/>
      <c r="AUZ1" s="437"/>
      <c r="AVA1" s="437"/>
      <c r="AVB1" s="437"/>
      <c r="AVC1" s="437"/>
      <c r="AVD1" s="437"/>
      <c r="AVE1" s="437"/>
      <c r="AVF1" s="437"/>
      <c r="AVG1" s="437"/>
      <c r="AVH1" s="437"/>
      <c r="AVI1" s="437"/>
      <c r="AVJ1" s="437"/>
      <c r="AVK1" s="437"/>
      <c r="AVL1" s="437"/>
      <c r="AVM1" s="437"/>
      <c r="AVN1" s="437"/>
      <c r="AVO1" s="437"/>
      <c r="AVP1" s="437"/>
      <c r="AVQ1" s="437"/>
      <c r="AVR1" s="437"/>
      <c r="AVS1" s="437"/>
      <c r="AVT1" s="437"/>
      <c r="AVU1" s="437"/>
      <c r="AVV1" s="437"/>
      <c r="AVW1" s="437"/>
      <c r="AVX1" s="437"/>
      <c r="AVY1" s="437"/>
      <c r="AVZ1" s="437"/>
      <c r="AWA1" s="437"/>
      <c r="AWB1" s="437"/>
      <c r="AWC1" s="437"/>
      <c r="AWD1" s="437"/>
      <c r="AWE1" s="437"/>
      <c r="AWF1" s="437"/>
      <c r="AWG1" s="437"/>
      <c r="AWH1" s="437"/>
      <c r="AWI1" s="437"/>
      <c r="AWJ1" s="437"/>
      <c r="AWK1" s="437"/>
      <c r="AWL1" s="437"/>
      <c r="AWM1" s="437"/>
      <c r="AWN1" s="437"/>
      <c r="AWO1" s="437"/>
      <c r="AWP1" s="437"/>
      <c r="AWQ1" s="437"/>
      <c r="AWR1" s="437"/>
      <c r="AWS1" s="437"/>
      <c r="AWT1" s="437"/>
      <c r="AWU1" s="437"/>
      <c r="AWV1" s="437"/>
      <c r="AWW1" s="437"/>
      <c r="AWX1" s="437"/>
      <c r="AWY1" s="437"/>
      <c r="AWZ1" s="437"/>
      <c r="AXA1" s="437"/>
      <c r="AXB1" s="437"/>
      <c r="AXC1" s="437"/>
      <c r="AXD1" s="437"/>
      <c r="AXE1" s="437"/>
      <c r="AXF1" s="437"/>
      <c r="AXG1" s="437"/>
      <c r="AXH1" s="437"/>
      <c r="AXI1" s="437"/>
      <c r="AXJ1" s="437"/>
      <c r="AXK1" s="437"/>
      <c r="AXL1" s="437"/>
      <c r="AXM1" s="437"/>
      <c r="AXN1" s="437"/>
      <c r="AXO1" s="437"/>
      <c r="AXP1" s="437"/>
      <c r="AXQ1" s="437"/>
      <c r="AXR1" s="437"/>
      <c r="AXS1" s="437"/>
      <c r="AXT1" s="437"/>
      <c r="AXU1" s="437"/>
      <c r="AXV1" s="437"/>
      <c r="AXW1" s="437"/>
      <c r="AXX1" s="437"/>
      <c r="AXY1" s="437"/>
      <c r="AXZ1" s="437"/>
      <c r="AYA1" s="437"/>
      <c r="AYB1" s="437"/>
      <c r="AYC1" s="437"/>
      <c r="AYD1" s="437"/>
      <c r="AYE1" s="437"/>
      <c r="AYF1" s="437"/>
      <c r="AYG1" s="437"/>
      <c r="AYH1" s="437"/>
      <c r="AYI1" s="437"/>
      <c r="AYJ1" s="437"/>
      <c r="AYK1" s="437"/>
      <c r="AYL1" s="437"/>
      <c r="AYM1" s="437"/>
      <c r="AYN1" s="437"/>
      <c r="AYO1" s="437"/>
      <c r="AYP1" s="437"/>
      <c r="AYQ1" s="437"/>
      <c r="AYR1" s="437"/>
      <c r="AYS1" s="437"/>
      <c r="AYT1" s="437"/>
      <c r="AYU1" s="437"/>
      <c r="AYV1" s="437"/>
      <c r="AYW1" s="437"/>
      <c r="AYX1" s="437"/>
      <c r="AYY1" s="437"/>
      <c r="AYZ1" s="437"/>
      <c r="AZA1" s="437"/>
      <c r="AZB1" s="437"/>
      <c r="AZC1" s="437"/>
      <c r="AZD1" s="437"/>
      <c r="AZE1" s="437"/>
      <c r="AZF1" s="437"/>
      <c r="AZG1" s="437"/>
      <c r="AZH1" s="437"/>
      <c r="AZI1" s="437"/>
      <c r="AZJ1" s="437"/>
      <c r="AZK1" s="437"/>
      <c r="AZL1" s="437"/>
      <c r="AZM1" s="437"/>
      <c r="AZN1" s="437"/>
      <c r="AZO1" s="437"/>
      <c r="AZP1" s="437"/>
      <c r="AZQ1" s="437"/>
      <c r="AZR1" s="437"/>
      <c r="AZS1" s="437"/>
      <c r="AZT1" s="437"/>
      <c r="AZU1" s="437"/>
      <c r="AZV1" s="437"/>
      <c r="AZW1" s="437"/>
      <c r="AZX1" s="437"/>
      <c r="AZY1" s="437"/>
      <c r="AZZ1" s="437"/>
      <c r="BAA1" s="437"/>
      <c r="BAB1" s="437"/>
      <c r="BAC1" s="437"/>
      <c r="BAD1" s="437"/>
      <c r="BAE1" s="437"/>
      <c r="BAF1" s="437"/>
      <c r="BAG1" s="437"/>
      <c r="BAH1" s="437"/>
      <c r="BAI1" s="437"/>
      <c r="BAJ1" s="437"/>
      <c r="BAK1" s="437"/>
      <c r="BAL1" s="437"/>
      <c r="BAM1" s="437"/>
      <c r="BAN1" s="437"/>
      <c r="BAO1" s="437"/>
      <c r="BAP1" s="437"/>
      <c r="BAQ1" s="437"/>
      <c r="BAR1" s="437"/>
      <c r="BAS1" s="437"/>
      <c r="BAT1" s="437"/>
      <c r="BAU1" s="437"/>
      <c r="BAV1" s="437"/>
      <c r="BAW1" s="437"/>
      <c r="BAX1" s="437"/>
      <c r="BAY1" s="437"/>
      <c r="BAZ1" s="437"/>
      <c r="BBA1" s="437"/>
      <c r="BBB1" s="437"/>
      <c r="BBC1" s="437"/>
      <c r="BBD1" s="437"/>
      <c r="BBE1" s="437"/>
      <c r="BBF1" s="437"/>
      <c r="BBG1" s="437"/>
      <c r="BBH1" s="437"/>
      <c r="BBI1" s="437"/>
      <c r="BBJ1" s="437"/>
      <c r="BBK1" s="437"/>
      <c r="BBL1" s="437"/>
      <c r="BBM1" s="437"/>
      <c r="BBN1" s="437"/>
      <c r="BBO1" s="437"/>
      <c r="BBP1" s="437"/>
      <c r="BBQ1" s="437"/>
      <c r="BBR1" s="437"/>
      <c r="BBS1" s="437"/>
      <c r="BBT1" s="437"/>
      <c r="BBU1" s="437"/>
      <c r="BBV1" s="437"/>
      <c r="BBW1" s="437"/>
      <c r="BBX1" s="437"/>
      <c r="BBY1" s="437"/>
      <c r="BBZ1" s="437"/>
      <c r="BCA1" s="437"/>
      <c r="BCB1" s="437"/>
      <c r="BCC1" s="437"/>
      <c r="BCD1" s="437"/>
      <c r="BCE1" s="437"/>
      <c r="BCF1" s="437"/>
      <c r="BCG1" s="437"/>
      <c r="BCH1" s="437"/>
      <c r="BCI1" s="437"/>
      <c r="BCJ1" s="437"/>
      <c r="BCK1" s="437"/>
      <c r="BCL1" s="437"/>
      <c r="BCM1" s="437"/>
      <c r="BCN1" s="437"/>
      <c r="BCO1" s="437"/>
      <c r="BCP1" s="437"/>
      <c r="BCQ1" s="437"/>
      <c r="BCR1" s="437"/>
      <c r="BCS1" s="437"/>
      <c r="BCT1" s="437"/>
      <c r="BCU1" s="437"/>
      <c r="BCV1" s="437"/>
      <c r="BCW1" s="437"/>
      <c r="BCX1" s="437"/>
      <c r="BCY1" s="437"/>
      <c r="BCZ1" s="437"/>
      <c r="BDA1" s="437"/>
      <c r="BDB1" s="437"/>
      <c r="BDC1" s="437"/>
      <c r="BDD1" s="437"/>
      <c r="BDE1" s="437"/>
      <c r="BDF1" s="437"/>
      <c r="BDG1" s="437"/>
      <c r="BDH1" s="437"/>
      <c r="BDI1" s="437"/>
      <c r="BDJ1" s="437"/>
      <c r="BDK1" s="437"/>
      <c r="BDL1" s="437"/>
      <c r="BDM1" s="437"/>
      <c r="BDN1" s="437"/>
      <c r="BDO1" s="437"/>
      <c r="BDP1" s="437"/>
      <c r="BDQ1" s="437"/>
      <c r="BDR1" s="437"/>
      <c r="BDS1" s="437"/>
      <c r="BDT1" s="437"/>
      <c r="BDU1" s="437"/>
      <c r="BDV1" s="437"/>
      <c r="BDW1" s="437"/>
      <c r="BDX1" s="437"/>
      <c r="BDY1" s="437"/>
      <c r="BDZ1" s="437"/>
      <c r="BEA1" s="437"/>
      <c r="BEB1" s="437"/>
      <c r="BEC1" s="437"/>
      <c r="BED1" s="437"/>
      <c r="BEE1" s="437"/>
      <c r="BEF1" s="437"/>
      <c r="BEG1" s="437"/>
      <c r="BEH1" s="437"/>
      <c r="BEI1" s="437"/>
      <c r="BEJ1" s="437"/>
      <c r="BEK1" s="437"/>
      <c r="BEL1" s="437"/>
      <c r="BEM1" s="437"/>
      <c r="BEN1" s="437"/>
      <c r="BEO1" s="437"/>
      <c r="BEP1" s="437"/>
      <c r="BEQ1" s="437"/>
      <c r="BER1" s="437"/>
      <c r="BES1" s="437"/>
      <c r="BET1" s="437"/>
      <c r="BEU1" s="437"/>
      <c r="BEV1" s="437"/>
      <c r="BEW1" s="437"/>
      <c r="BEX1" s="437"/>
      <c r="BEY1" s="437"/>
      <c r="BEZ1" s="437"/>
      <c r="BFA1" s="437"/>
      <c r="BFB1" s="437"/>
      <c r="BFC1" s="437"/>
      <c r="BFD1" s="437"/>
      <c r="BFE1" s="437"/>
      <c r="BFF1" s="437"/>
      <c r="BFG1" s="437"/>
      <c r="BFH1" s="437"/>
      <c r="BFI1" s="437"/>
      <c r="BFJ1" s="437"/>
      <c r="BFK1" s="437"/>
      <c r="BFL1" s="437"/>
      <c r="BFM1" s="437"/>
      <c r="BFN1" s="437"/>
      <c r="BFO1" s="437"/>
      <c r="BFP1" s="437"/>
      <c r="BFQ1" s="437"/>
      <c r="BFR1" s="437"/>
      <c r="BFS1" s="437"/>
      <c r="BFT1" s="437"/>
      <c r="BFU1" s="437"/>
      <c r="BFV1" s="437"/>
      <c r="BFW1" s="437"/>
      <c r="BFX1" s="437"/>
      <c r="BFY1" s="437"/>
      <c r="BFZ1" s="437"/>
      <c r="BGA1" s="437"/>
      <c r="BGB1" s="437"/>
      <c r="BGC1" s="437"/>
      <c r="BGD1" s="437"/>
      <c r="BGE1" s="437"/>
      <c r="BGF1" s="437"/>
      <c r="BGG1" s="437"/>
      <c r="BGH1" s="437"/>
      <c r="BGI1" s="437"/>
      <c r="BGJ1" s="437"/>
      <c r="BGK1" s="437"/>
      <c r="BGL1" s="437"/>
      <c r="BGM1" s="437"/>
      <c r="BGN1" s="437"/>
      <c r="BGO1" s="437"/>
      <c r="BGP1" s="437"/>
      <c r="BGQ1" s="437"/>
      <c r="BGR1" s="437"/>
      <c r="BGS1" s="437"/>
      <c r="BGT1" s="437"/>
      <c r="BGU1" s="437"/>
      <c r="BGV1" s="437"/>
      <c r="BGW1" s="437"/>
      <c r="BGX1" s="437"/>
      <c r="BGY1" s="437"/>
      <c r="BGZ1" s="437"/>
      <c r="BHA1" s="437"/>
      <c r="BHB1" s="437"/>
      <c r="BHC1" s="437"/>
      <c r="BHD1" s="437"/>
      <c r="BHE1" s="437"/>
      <c r="BHF1" s="437"/>
      <c r="BHG1" s="437"/>
      <c r="BHH1" s="437"/>
      <c r="BHI1" s="437"/>
      <c r="BHJ1" s="437"/>
      <c r="BHK1" s="437"/>
      <c r="BHL1" s="437"/>
      <c r="BHM1" s="437"/>
      <c r="BHN1" s="437"/>
      <c r="BHO1" s="437"/>
      <c r="BHP1" s="437"/>
      <c r="BHQ1" s="437"/>
      <c r="BHR1" s="437"/>
      <c r="BHS1" s="437"/>
      <c r="BHT1" s="437"/>
      <c r="BHU1" s="437"/>
      <c r="BHV1" s="437"/>
      <c r="BHW1" s="437"/>
      <c r="BHX1" s="437"/>
      <c r="BHY1" s="437"/>
      <c r="BHZ1" s="437"/>
      <c r="BIA1" s="437"/>
      <c r="BIB1" s="437"/>
      <c r="BIC1" s="437"/>
      <c r="BID1" s="437"/>
      <c r="BIE1" s="437"/>
      <c r="BIF1" s="437"/>
      <c r="BIG1" s="437"/>
      <c r="BIH1" s="437"/>
      <c r="BII1" s="437"/>
      <c r="BIJ1" s="437"/>
      <c r="BIK1" s="437"/>
      <c r="BIL1" s="437"/>
      <c r="BIM1" s="437"/>
      <c r="BIN1" s="437"/>
      <c r="BIO1" s="437"/>
      <c r="BIP1" s="437"/>
      <c r="BIQ1" s="437"/>
      <c r="BIR1" s="437"/>
      <c r="BIS1" s="437"/>
      <c r="BIT1" s="437"/>
      <c r="BIU1" s="437"/>
      <c r="BIV1" s="437"/>
      <c r="BIW1" s="437"/>
      <c r="BIX1" s="437"/>
      <c r="BIY1" s="437"/>
      <c r="BIZ1" s="437"/>
      <c r="BJA1" s="437"/>
      <c r="BJB1" s="437"/>
      <c r="BJC1" s="437"/>
      <c r="BJD1" s="437"/>
      <c r="BJE1" s="437"/>
      <c r="BJF1" s="437"/>
      <c r="BJG1" s="437"/>
      <c r="BJH1" s="437"/>
      <c r="BJI1" s="437"/>
      <c r="BJJ1" s="437"/>
      <c r="BJK1" s="437"/>
      <c r="BJL1" s="437"/>
      <c r="BJM1" s="437"/>
      <c r="BJN1" s="437"/>
      <c r="BJO1" s="437"/>
      <c r="BJP1" s="437"/>
      <c r="BJQ1" s="437"/>
      <c r="BJR1" s="437"/>
      <c r="BJS1" s="437"/>
      <c r="BJT1" s="437"/>
      <c r="BJU1" s="437"/>
      <c r="BJV1" s="437"/>
      <c r="BJW1" s="437"/>
      <c r="BJX1" s="437"/>
      <c r="BJY1" s="437"/>
      <c r="BJZ1" s="437"/>
      <c r="BKA1" s="437"/>
      <c r="BKB1" s="437"/>
      <c r="BKC1" s="437"/>
      <c r="BKD1" s="437"/>
      <c r="BKE1" s="437"/>
      <c r="BKF1" s="437"/>
      <c r="BKG1" s="437"/>
      <c r="BKH1" s="437"/>
      <c r="BKI1" s="437"/>
      <c r="BKJ1" s="437"/>
      <c r="BKK1" s="437"/>
      <c r="BKL1" s="437"/>
      <c r="BKM1" s="437"/>
      <c r="BKN1" s="437"/>
      <c r="BKO1" s="437"/>
      <c r="BKP1" s="437"/>
      <c r="BKQ1" s="437"/>
      <c r="BKR1" s="437"/>
      <c r="BKS1" s="437"/>
      <c r="BKT1" s="437"/>
      <c r="BKU1" s="437"/>
      <c r="BKV1" s="437"/>
      <c r="BKW1" s="437"/>
      <c r="BKX1" s="437"/>
      <c r="BKY1" s="437"/>
      <c r="BKZ1" s="437"/>
      <c r="BLA1" s="437"/>
      <c r="BLB1" s="437"/>
      <c r="BLC1" s="437"/>
      <c r="BLD1" s="437"/>
      <c r="BLE1" s="437"/>
      <c r="BLF1" s="437"/>
      <c r="BLG1" s="437"/>
      <c r="BLH1" s="437"/>
      <c r="BLI1" s="437"/>
      <c r="BLJ1" s="437"/>
      <c r="BLK1" s="437"/>
      <c r="BLL1" s="437"/>
      <c r="BLM1" s="437"/>
      <c r="BLN1" s="437"/>
      <c r="BLO1" s="437"/>
      <c r="BLP1" s="437"/>
      <c r="BLQ1" s="437"/>
      <c r="BLR1" s="437"/>
      <c r="BLS1" s="437"/>
      <c r="BLT1" s="437"/>
      <c r="BLU1" s="437"/>
      <c r="BLV1" s="437"/>
      <c r="BLW1" s="437"/>
      <c r="BLX1" s="437"/>
      <c r="BLY1" s="437"/>
      <c r="BLZ1" s="437"/>
      <c r="BMA1" s="437"/>
      <c r="BMB1" s="437"/>
      <c r="BMC1" s="437"/>
      <c r="BMD1" s="437"/>
      <c r="BME1" s="437"/>
      <c r="BMF1" s="437"/>
      <c r="BMG1" s="437"/>
      <c r="BMH1" s="437"/>
      <c r="BMI1" s="437"/>
      <c r="BMJ1" s="437"/>
      <c r="BMK1" s="437"/>
      <c r="BML1" s="437"/>
      <c r="BMM1" s="437"/>
      <c r="BMN1" s="437"/>
      <c r="BMO1" s="437"/>
      <c r="BMP1" s="437"/>
      <c r="BMQ1" s="437"/>
      <c r="BMR1" s="437"/>
      <c r="BMS1" s="437"/>
      <c r="BMT1" s="437"/>
      <c r="BMU1" s="437"/>
      <c r="BMV1" s="437"/>
      <c r="BMW1" s="437"/>
      <c r="BMX1" s="437"/>
      <c r="BMY1" s="437"/>
      <c r="BMZ1" s="437"/>
      <c r="BNA1" s="437"/>
      <c r="BNB1" s="437"/>
      <c r="BNC1" s="437"/>
      <c r="BND1" s="437"/>
      <c r="BNE1" s="437"/>
      <c r="BNF1" s="437"/>
      <c r="BNG1" s="437"/>
      <c r="BNH1" s="437"/>
      <c r="BNI1" s="437"/>
      <c r="BNJ1" s="437"/>
      <c r="BNK1" s="437"/>
      <c r="BNL1" s="437"/>
      <c r="BNM1" s="437"/>
      <c r="BNN1" s="437"/>
      <c r="BNO1" s="437"/>
      <c r="BNP1" s="437"/>
      <c r="BNQ1" s="437"/>
      <c r="BNR1" s="437"/>
      <c r="BNS1" s="437"/>
      <c r="BNT1" s="437"/>
      <c r="BNU1" s="437"/>
      <c r="BNV1" s="437"/>
      <c r="BNW1" s="437"/>
      <c r="BNX1" s="437"/>
      <c r="BNY1" s="437"/>
      <c r="BNZ1" s="437"/>
      <c r="BOA1" s="437"/>
      <c r="BOB1" s="437"/>
      <c r="BOC1" s="437"/>
      <c r="BOD1" s="437"/>
      <c r="BOE1" s="437"/>
      <c r="BOF1" s="437"/>
      <c r="BOG1" s="437"/>
      <c r="BOH1" s="437"/>
      <c r="BOI1" s="437"/>
      <c r="BOJ1" s="437"/>
      <c r="BOK1" s="437"/>
      <c r="BOL1" s="437"/>
      <c r="BOM1" s="437"/>
      <c r="BON1" s="437"/>
      <c r="BOO1" s="437"/>
      <c r="BOP1" s="437"/>
      <c r="BOQ1" s="437"/>
      <c r="BOR1" s="437"/>
      <c r="BOS1" s="437"/>
      <c r="BOT1" s="437"/>
      <c r="BOU1" s="437"/>
      <c r="BOV1" s="437"/>
      <c r="BOW1" s="437"/>
      <c r="BOX1" s="437"/>
      <c r="BOY1" s="437"/>
      <c r="BOZ1" s="437"/>
      <c r="BPA1" s="437"/>
      <c r="BPB1" s="437"/>
      <c r="BPC1" s="437"/>
      <c r="BPD1" s="437"/>
      <c r="BPE1" s="437"/>
      <c r="BPF1" s="437"/>
      <c r="BPG1" s="437"/>
      <c r="BPH1" s="437"/>
      <c r="BPI1" s="437"/>
      <c r="BPJ1" s="437"/>
      <c r="BPK1" s="437"/>
      <c r="BPL1" s="437"/>
      <c r="BPM1" s="437"/>
      <c r="BPN1" s="437"/>
      <c r="BPO1" s="437"/>
      <c r="BPP1" s="437"/>
      <c r="BPQ1" s="437"/>
      <c r="BPR1" s="437"/>
      <c r="BPS1" s="437"/>
      <c r="BPT1" s="437"/>
      <c r="BPU1" s="437"/>
      <c r="BPV1" s="437"/>
      <c r="BPW1" s="437"/>
      <c r="BPX1" s="437"/>
      <c r="BPY1" s="437"/>
      <c r="BPZ1" s="437"/>
      <c r="BQA1" s="437"/>
      <c r="BQB1" s="437"/>
      <c r="BQC1" s="437"/>
      <c r="BQD1" s="437"/>
      <c r="BQE1" s="437"/>
      <c r="BQF1" s="437"/>
      <c r="BQG1" s="437"/>
      <c r="BQH1" s="437"/>
      <c r="BQI1" s="437"/>
      <c r="BQJ1" s="437"/>
      <c r="BQK1" s="437"/>
      <c r="BQL1" s="437"/>
      <c r="BQM1" s="437"/>
      <c r="BQN1" s="437"/>
      <c r="BQO1" s="437"/>
      <c r="BQP1" s="437"/>
      <c r="BQQ1" s="437"/>
      <c r="BQR1" s="437"/>
      <c r="BQS1" s="437"/>
      <c r="BQT1" s="437"/>
      <c r="BQU1" s="437"/>
      <c r="BQV1" s="437"/>
      <c r="BQW1" s="437"/>
      <c r="BQX1" s="437"/>
      <c r="BQY1" s="437"/>
      <c r="BQZ1" s="437"/>
      <c r="BRA1" s="437"/>
      <c r="BRB1" s="437"/>
      <c r="BRC1" s="437"/>
      <c r="BRD1" s="437"/>
      <c r="BRE1" s="437"/>
      <c r="BRF1" s="437"/>
      <c r="BRG1" s="437"/>
      <c r="BRH1" s="437"/>
      <c r="BRI1" s="437"/>
      <c r="BRJ1" s="437"/>
      <c r="BRK1" s="437"/>
      <c r="BRL1" s="437"/>
      <c r="BRM1" s="437"/>
      <c r="BRN1" s="437"/>
      <c r="BRO1" s="437"/>
      <c r="BRP1" s="437"/>
      <c r="BRQ1" s="437"/>
      <c r="BRR1" s="437"/>
      <c r="BRS1" s="437"/>
      <c r="BRT1" s="437"/>
      <c r="BRU1" s="437"/>
      <c r="BRV1" s="437"/>
      <c r="BRW1" s="437"/>
      <c r="BRX1" s="437"/>
      <c r="BRY1" s="437"/>
      <c r="BRZ1" s="437"/>
      <c r="BSA1" s="437"/>
      <c r="BSB1" s="437"/>
      <c r="BSC1" s="437"/>
      <c r="BSD1" s="437"/>
      <c r="BSE1" s="437"/>
      <c r="BSF1" s="437"/>
      <c r="BSG1" s="437"/>
      <c r="BSH1" s="437"/>
      <c r="BSI1" s="437"/>
      <c r="BSJ1" s="437"/>
      <c r="BSK1" s="437"/>
      <c r="BSL1" s="437"/>
      <c r="BSM1" s="437"/>
      <c r="BSN1" s="437"/>
      <c r="BSO1" s="437"/>
      <c r="BSP1" s="437"/>
      <c r="BSQ1" s="437"/>
      <c r="BSR1" s="437"/>
      <c r="BSS1" s="437"/>
      <c r="BST1" s="437"/>
      <c r="BSU1" s="437"/>
      <c r="BSV1" s="437"/>
      <c r="BSW1" s="437"/>
      <c r="BSX1" s="437"/>
      <c r="BSY1" s="437"/>
      <c r="BSZ1" s="437"/>
      <c r="BTA1" s="437"/>
      <c r="BTB1" s="437"/>
      <c r="BTC1" s="437"/>
      <c r="BTD1" s="437"/>
      <c r="BTE1" s="437"/>
      <c r="BTF1" s="437"/>
      <c r="BTG1" s="437"/>
      <c r="BTH1" s="437"/>
      <c r="BTI1" s="437"/>
      <c r="BTJ1" s="437"/>
      <c r="BTK1" s="437"/>
      <c r="BTL1" s="437"/>
      <c r="BTM1" s="437"/>
      <c r="BTN1" s="437"/>
      <c r="BTO1" s="437"/>
      <c r="BTP1" s="437"/>
      <c r="BTQ1" s="437"/>
      <c r="BTR1" s="437"/>
      <c r="BTS1" s="437"/>
      <c r="BTT1" s="437"/>
      <c r="BTU1" s="437"/>
      <c r="BTV1" s="437"/>
      <c r="BTW1" s="437"/>
      <c r="BTX1" s="437"/>
      <c r="BTY1" s="437"/>
      <c r="BTZ1" s="437"/>
      <c r="BUA1" s="437"/>
      <c r="BUB1" s="437"/>
      <c r="BUC1" s="437"/>
      <c r="BUD1" s="437"/>
      <c r="BUE1" s="437"/>
      <c r="BUF1" s="437"/>
      <c r="BUG1" s="437"/>
      <c r="BUH1" s="437"/>
      <c r="BUI1" s="437"/>
      <c r="BUJ1" s="437"/>
      <c r="BUK1" s="437"/>
      <c r="BUL1" s="437"/>
      <c r="BUM1" s="437"/>
      <c r="BUN1" s="437"/>
      <c r="BUO1" s="437"/>
      <c r="BUP1" s="437"/>
      <c r="BUQ1" s="437"/>
      <c r="BUR1" s="437"/>
      <c r="BUS1" s="437"/>
      <c r="BUT1" s="437"/>
      <c r="BUU1" s="437"/>
      <c r="BUV1" s="437"/>
      <c r="BUW1" s="437"/>
      <c r="BUX1" s="437"/>
      <c r="BUY1" s="437"/>
      <c r="BUZ1" s="437"/>
      <c r="BVA1" s="437"/>
      <c r="BVB1" s="437"/>
      <c r="BVC1" s="437"/>
      <c r="BVD1" s="437"/>
      <c r="BVE1" s="437"/>
      <c r="BVF1" s="437"/>
      <c r="BVG1" s="437"/>
      <c r="BVH1" s="437"/>
      <c r="BVI1" s="437"/>
      <c r="BVJ1" s="437"/>
      <c r="BVK1" s="437"/>
      <c r="BVL1" s="437"/>
      <c r="BVM1" s="437"/>
      <c r="BVN1" s="437"/>
      <c r="BVO1" s="437"/>
      <c r="BVP1" s="437"/>
      <c r="BVQ1" s="437"/>
      <c r="BVR1" s="437"/>
      <c r="BVS1" s="437"/>
      <c r="BVT1" s="437"/>
      <c r="BVU1" s="437"/>
      <c r="BVV1" s="437"/>
      <c r="BVW1" s="437"/>
      <c r="BVX1" s="437"/>
      <c r="BVY1" s="437"/>
      <c r="BVZ1" s="437"/>
      <c r="BWA1" s="437"/>
      <c r="BWB1" s="437"/>
      <c r="BWC1" s="437"/>
      <c r="BWD1" s="437"/>
      <c r="BWE1" s="437"/>
      <c r="BWF1" s="437"/>
      <c r="BWG1" s="437"/>
      <c r="BWH1" s="437"/>
      <c r="BWI1" s="437"/>
      <c r="BWJ1" s="437"/>
      <c r="BWK1" s="437"/>
      <c r="BWL1" s="437"/>
      <c r="BWM1" s="437"/>
      <c r="BWN1" s="437"/>
      <c r="BWO1" s="437"/>
      <c r="BWP1" s="437"/>
      <c r="BWQ1" s="437"/>
      <c r="BWR1" s="437"/>
      <c r="BWS1" s="437"/>
      <c r="BWT1" s="437"/>
      <c r="BWU1" s="437"/>
      <c r="BWV1" s="437"/>
      <c r="BWW1" s="437"/>
      <c r="BWX1" s="437"/>
      <c r="BWY1" s="437"/>
      <c r="BWZ1" s="437"/>
      <c r="BXA1" s="437"/>
      <c r="BXB1" s="437"/>
      <c r="BXC1" s="437"/>
      <c r="BXD1" s="437"/>
      <c r="BXE1" s="437"/>
      <c r="BXF1" s="437"/>
      <c r="BXG1" s="437"/>
      <c r="BXH1" s="437"/>
      <c r="BXI1" s="437"/>
      <c r="BXJ1" s="437"/>
      <c r="BXK1" s="437"/>
      <c r="BXL1" s="437"/>
      <c r="BXM1" s="437"/>
      <c r="BXN1" s="437"/>
      <c r="BXO1" s="437"/>
      <c r="BXP1" s="437"/>
      <c r="BXQ1" s="437"/>
      <c r="BXR1" s="437"/>
      <c r="BXS1" s="437"/>
      <c r="BXT1" s="437"/>
      <c r="BXU1" s="437"/>
      <c r="BXV1" s="437"/>
      <c r="BXW1" s="437"/>
      <c r="BXX1" s="437"/>
      <c r="BXY1" s="437"/>
      <c r="BXZ1" s="437"/>
      <c r="BYA1" s="437"/>
      <c r="BYB1" s="437"/>
      <c r="BYC1" s="437"/>
      <c r="BYD1" s="437"/>
      <c r="BYE1" s="437"/>
      <c r="BYF1" s="437"/>
      <c r="BYG1" s="437"/>
      <c r="BYH1" s="437"/>
      <c r="BYI1" s="437"/>
      <c r="BYJ1" s="437"/>
      <c r="BYK1" s="437"/>
      <c r="BYL1" s="437"/>
      <c r="BYM1" s="437"/>
      <c r="BYN1" s="437"/>
      <c r="BYO1" s="437"/>
      <c r="BYP1" s="437"/>
      <c r="BYQ1" s="437"/>
      <c r="BYR1" s="437"/>
      <c r="BYS1" s="437"/>
      <c r="BYT1" s="437"/>
      <c r="BYU1" s="437"/>
      <c r="BYV1" s="437"/>
      <c r="BYW1" s="437"/>
      <c r="BYX1" s="437"/>
      <c r="BYY1" s="437"/>
      <c r="BYZ1" s="437"/>
      <c r="BZA1" s="437"/>
      <c r="BZB1" s="437"/>
      <c r="BZC1" s="437"/>
      <c r="BZD1" s="437"/>
      <c r="BZE1" s="437"/>
      <c r="BZF1" s="437"/>
      <c r="BZG1" s="437"/>
      <c r="BZH1" s="437"/>
      <c r="BZI1" s="437"/>
      <c r="BZJ1" s="437"/>
      <c r="BZK1" s="437"/>
      <c r="BZL1" s="437"/>
      <c r="BZM1" s="437"/>
      <c r="BZN1" s="437"/>
      <c r="BZO1" s="437"/>
      <c r="BZP1" s="437"/>
      <c r="BZQ1" s="437"/>
      <c r="BZR1" s="437"/>
      <c r="BZS1" s="437"/>
      <c r="BZT1" s="437"/>
      <c r="BZU1" s="437"/>
      <c r="BZV1" s="437"/>
      <c r="BZW1" s="437"/>
      <c r="BZX1" s="437"/>
      <c r="BZY1" s="437"/>
      <c r="BZZ1" s="437"/>
      <c r="CAA1" s="437"/>
      <c r="CAB1" s="437"/>
      <c r="CAC1" s="437"/>
      <c r="CAD1" s="437"/>
      <c r="CAE1" s="437"/>
      <c r="CAF1" s="437"/>
      <c r="CAG1" s="437"/>
      <c r="CAH1" s="437"/>
      <c r="CAI1" s="437"/>
      <c r="CAJ1" s="437"/>
      <c r="CAK1" s="437"/>
      <c r="CAL1" s="437"/>
      <c r="CAM1" s="437"/>
      <c r="CAN1" s="437"/>
      <c r="CAO1" s="437"/>
      <c r="CAP1" s="437"/>
      <c r="CAQ1" s="437"/>
      <c r="CAR1" s="437"/>
      <c r="CAS1" s="437"/>
      <c r="CAT1" s="437"/>
      <c r="CAU1" s="437"/>
      <c r="CAV1" s="437"/>
      <c r="CAW1" s="437"/>
      <c r="CAX1" s="437"/>
      <c r="CAY1" s="437"/>
      <c r="CAZ1" s="437"/>
      <c r="CBA1" s="437"/>
      <c r="CBB1" s="437"/>
      <c r="CBC1" s="437"/>
      <c r="CBD1" s="437"/>
      <c r="CBE1" s="437"/>
      <c r="CBF1" s="437"/>
      <c r="CBG1" s="437"/>
      <c r="CBH1" s="437"/>
      <c r="CBI1" s="437"/>
      <c r="CBJ1" s="437"/>
      <c r="CBK1" s="437"/>
      <c r="CBL1" s="437"/>
      <c r="CBM1" s="437"/>
      <c r="CBN1" s="437"/>
      <c r="CBO1" s="437"/>
      <c r="CBP1" s="437"/>
      <c r="CBQ1" s="437"/>
      <c r="CBR1" s="437"/>
      <c r="CBS1" s="437"/>
      <c r="CBT1" s="437"/>
      <c r="CBU1" s="437"/>
      <c r="CBV1" s="437"/>
      <c r="CBW1" s="437"/>
      <c r="CBX1" s="437"/>
      <c r="CBY1" s="437"/>
      <c r="CBZ1" s="437"/>
      <c r="CCA1" s="437"/>
      <c r="CCB1" s="437"/>
      <c r="CCC1" s="437"/>
      <c r="CCD1" s="437"/>
      <c r="CCE1" s="437"/>
      <c r="CCF1" s="437"/>
      <c r="CCG1" s="437"/>
      <c r="CCH1" s="437"/>
      <c r="CCI1" s="437"/>
      <c r="CCJ1" s="437"/>
      <c r="CCK1" s="437"/>
      <c r="CCL1" s="437"/>
      <c r="CCM1" s="437"/>
      <c r="CCN1" s="437"/>
      <c r="CCO1" s="437"/>
      <c r="CCP1" s="437"/>
      <c r="CCQ1" s="437"/>
      <c r="CCR1" s="437"/>
      <c r="CCS1" s="437"/>
      <c r="CCT1" s="437"/>
      <c r="CCU1" s="437"/>
      <c r="CCV1" s="437"/>
      <c r="CCW1" s="437"/>
      <c r="CCX1" s="437"/>
      <c r="CCY1" s="437"/>
      <c r="CCZ1" s="437"/>
      <c r="CDA1" s="437"/>
      <c r="CDB1" s="437"/>
      <c r="CDC1" s="437"/>
      <c r="CDD1" s="437"/>
      <c r="CDE1" s="437"/>
      <c r="CDF1" s="437"/>
      <c r="CDG1" s="437"/>
      <c r="CDH1" s="437"/>
      <c r="CDI1" s="437"/>
      <c r="CDJ1" s="437"/>
      <c r="CDK1" s="437"/>
      <c r="CDL1" s="437"/>
      <c r="CDM1" s="437"/>
      <c r="CDN1" s="437"/>
      <c r="CDO1" s="437"/>
      <c r="CDP1" s="437"/>
      <c r="CDQ1" s="437"/>
      <c r="CDR1" s="437"/>
      <c r="CDS1" s="437"/>
      <c r="CDT1" s="437"/>
      <c r="CDU1" s="437"/>
      <c r="CDV1" s="437"/>
      <c r="CDW1" s="437"/>
      <c r="CDX1" s="437"/>
      <c r="CDY1" s="437"/>
      <c r="CDZ1" s="437"/>
      <c r="CEA1" s="437"/>
      <c r="CEB1" s="437"/>
      <c r="CEC1" s="437"/>
      <c r="CED1" s="437"/>
      <c r="CEE1" s="437"/>
      <c r="CEF1" s="437"/>
      <c r="CEG1" s="437"/>
      <c r="CEH1" s="437"/>
      <c r="CEI1" s="437"/>
      <c r="CEJ1" s="437"/>
      <c r="CEK1" s="437"/>
      <c r="CEL1" s="437"/>
      <c r="CEM1" s="437"/>
      <c r="CEN1" s="437"/>
      <c r="CEO1" s="437"/>
      <c r="CEP1" s="437"/>
      <c r="CEQ1" s="437"/>
      <c r="CER1" s="437"/>
      <c r="CES1" s="437"/>
      <c r="CET1" s="437"/>
      <c r="CEU1" s="437"/>
      <c r="CEV1" s="437"/>
      <c r="CEW1" s="437"/>
      <c r="CEX1" s="437"/>
      <c r="CEY1" s="437"/>
      <c r="CEZ1" s="437"/>
      <c r="CFA1" s="437"/>
      <c r="CFB1" s="437"/>
      <c r="CFC1" s="437"/>
      <c r="CFD1" s="437"/>
      <c r="CFE1" s="437"/>
      <c r="CFF1" s="437"/>
      <c r="CFG1" s="437"/>
      <c r="CFH1" s="437"/>
      <c r="CFI1" s="437"/>
      <c r="CFJ1" s="437"/>
      <c r="CFK1" s="437"/>
      <c r="CFL1" s="437"/>
      <c r="CFM1" s="437"/>
      <c r="CFN1" s="437"/>
      <c r="CFO1" s="437"/>
      <c r="CFP1" s="437"/>
      <c r="CFQ1" s="437"/>
      <c r="CFR1" s="437"/>
      <c r="CFS1" s="437"/>
      <c r="CFT1" s="437"/>
      <c r="CFU1" s="437"/>
      <c r="CFV1" s="437"/>
      <c r="CFW1" s="437"/>
      <c r="CFX1" s="437"/>
      <c r="CFY1" s="437"/>
      <c r="CFZ1" s="437"/>
      <c r="CGA1" s="437"/>
      <c r="CGB1" s="437"/>
      <c r="CGC1" s="437"/>
      <c r="CGD1" s="437"/>
      <c r="CGE1" s="437"/>
      <c r="CGF1" s="437"/>
      <c r="CGG1" s="437"/>
      <c r="CGH1" s="437"/>
      <c r="CGI1" s="437"/>
      <c r="CGJ1" s="437"/>
      <c r="CGK1" s="437"/>
      <c r="CGL1" s="437"/>
      <c r="CGM1" s="437"/>
      <c r="CGN1" s="437"/>
      <c r="CGO1" s="437"/>
      <c r="CGP1" s="437"/>
      <c r="CGQ1" s="437"/>
      <c r="CGR1" s="437"/>
      <c r="CGS1" s="437"/>
      <c r="CGT1" s="437"/>
      <c r="CGU1" s="437"/>
      <c r="CGV1" s="437"/>
      <c r="CGW1" s="437"/>
      <c r="CGX1" s="437"/>
      <c r="CGY1" s="437"/>
      <c r="CGZ1" s="437"/>
      <c r="CHA1" s="437"/>
      <c r="CHB1" s="437"/>
      <c r="CHC1" s="437"/>
      <c r="CHD1" s="437"/>
      <c r="CHE1" s="437"/>
      <c r="CHF1" s="437"/>
      <c r="CHG1" s="437"/>
      <c r="CHH1" s="437"/>
      <c r="CHI1" s="437"/>
      <c r="CHJ1" s="437"/>
      <c r="CHK1" s="437"/>
      <c r="CHL1" s="437"/>
      <c r="CHM1" s="437"/>
      <c r="CHN1" s="437"/>
      <c r="CHO1" s="437"/>
      <c r="CHP1" s="437"/>
      <c r="CHQ1" s="437"/>
      <c r="CHR1" s="437"/>
      <c r="CHS1" s="437"/>
      <c r="CHT1" s="437"/>
      <c r="CHU1" s="437"/>
      <c r="CHV1" s="437"/>
      <c r="CHW1" s="437"/>
      <c r="CHX1" s="437"/>
      <c r="CHY1" s="437"/>
      <c r="CHZ1" s="437"/>
      <c r="CIA1" s="437"/>
      <c r="CIB1" s="437"/>
      <c r="CIC1" s="437"/>
      <c r="CID1" s="437"/>
      <c r="CIE1" s="437"/>
      <c r="CIF1" s="437"/>
      <c r="CIG1" s="437"/>
      <c r="CIH1" s="437"/>
      <c r="CII1" s="437"/>
      <c r="CIJ1" s="437"/>
      <c r="CIK1" s="437"/>
      <c r="CIL1" s="437"/>
      <c r="CIM1" s="437"/>
      <c r="CIN1" s="437"/>
      <c r="CIO1" s="437"/>
      <c r="CIP1" s="437"/>
      <c r="CIQ1" s="437"/>
      <c r="CIR1" s="437"/>
      <c r="CIS1" s="437"/>
      <c r="CIT1" s="437"/>
      <c r="CIU1" s="437"/>
      <c r="CIV1" s="437"/>
      <c r="CIW1" s="437"/>
      <c r="CIX1" s="437"/>
      <c r="CIY1" s="437"/>
      <c r="CIZ1" s="437"/>
      <c r="CJA1" s="437"/>
      <c r="CJB1" s="437"/>
      <c r="CJC1" s="437"/>
      <c r="CJD1" s="437"/>
      <c r="CJE1" s="437"/>
      <c r="CJF1" s="437"/>
      <c r="CJG1" s="437"/>
      <c r="CJH1" s="437"/>
      <c r="CJI1" s="437"/>
      <c r="CJJ1" s="437"/>
      <c r="CJK1" s="437"/>
      <c r="CJL1" s="437"/>
      <c r="CJM1" s="437"/>
      <c r="CJN1" s="437"/>
      <c r="CJO1" s="437"/>
      <c r="CJP1" s="437"/>
      <c r="CJQ1" s="437"/>
      <c r="CJR1" s="437"/>
      <c r="CJS1" s="437"/>
      <c r="CJT1" s="437"/>
      <c r="CJU1" s="437"/>
      <c r="CJV1" s="437"/>
      <c r="CJW1" s="437"/>
      <c r="CJX1" s="437"/>
      <c r="CJY1" s="437"/>
      <c r="CJZ1" s="437"/>
      <c r="CKA1" s="437"/>
      <c r="CKB1" s="437"/>
      <c r="CKC1" s="437"/>
      <c r="CKD1" s="437"/>
      <c r="CKE1" s="437"/>
      <c r="CKF1" s="437"/>
      <c r="CKG1" s="437"/>
      <c r="CKH1" s="437"/>
      <c r="CKI1" s="437"/>
      <c r="CKJ1" s="437"/>
      <c r="CKK1" s="437"/>
      <c r="CKL1" s="437"/>
      <c r="CKM1" s="437"/>
      <c r="CKN1" s="437"/>
      <c r="CKO1" s="437"/>
      <c r="CKP1" s="437"/>
      <c r="CKQ1" s="437"/>
      <c r="CKR1" s="437"/>
      <c r="CKS1" s="437"/>
      <c r="CKT1" s="437"/>
      <c r="CKU1" s="437"/>
      <c r="CKV1" s="437"/>
      <c r="CKW1" s="437"/>
      <c r="CKX1" s="437"/>
      <c r="CKY1" s="437"/>
      <c r="CKZ1" s="437"/>
      <c r="CLA1" s="437"/>
      <c r="CLB1" s="437"/>
      <c r="CLC1" s="437"/>
      <c r="CLD1" s="437"/>
      <c r="CLE1" s="437"/>
      <c r="CLF1" s="437"/>
      <c r="CLG1" s="437"/>
      <c r="CLH1" s="437"/>
      <c r="CLI1" s="437"/>
      <c r="CLJ1" s="437"/>
      <c r="CLK1" s="437"/>
      <c r="CLL1" s="437"/>
      <c r="CLM1" s="437"/>
      <c r="CLN1" s="437"/>
      <c r="CLO1" s="437"/>
      <c r="CLP1" s="437"/>
      <c r="CLQ1" s="437"/>
      <c r="CLR1" s="437"/>
      <c r="CLS1" s="437"/>
      <c r="CLT1" s="437"/>
      <c r="CLU1" s="437"/>
      <c r="CLV1" s="437"/>
      <c r="CLW1" s="437"/>
      <c r="CLX1" s="437"/>
      <c r="CLY1" s="437"/>
      <c r="CLZ1" s="437"/>
      <c r="CMA1" s="437"/>
      <c r="CMB1" s="437"/>
      <c r="CMC1" s="437"/>
      <c r="CMD1" s="437"/>
      <c r="CME1" s="437"/>
      <c r="CMF1" s="437"/>
      <c r="CMG1" s="437"/>
      <c r="CMH1" s="437"/>
      <c r="CMI1" s="437"/>
      <c r="CMJ1" s="437"/>
      <c r="CMK1" s="437"/>
      <c r="CML1" s="437"/>
      <c r="CMM1" s="437"/>
      <c r="CMN1" s="437"/>
      <c r="CMO1" s="437"/>
      <c r="CMP1" s="437"/>
      <c r="CMQ1" s="437"/>
      <c r="CMR1" s="437"/>
      <c r="CMS1" s="437"/>
      <c r="CMT1" s="437"/>
      <c r="CMU1" s="437"/>
      <c r="CMV1" s="437"/>
      <c r="CMW1" s="437"/>
      <c r="CMX1" s="437"/>
      <c r="CMY1" s="437"/>
      <c r="CMZ1" s="437"/>
      <c r="CNA1" s="437"/>
      <c r="CNB1" s="437"/>
      <c r="CNC1" s="437"/>
      <c r="CND1" s="437"/>
      <c r="CNE1" s="437"/>
      <c r="CNF1" s="437"/>
      <c r="CNG1" s="437"/>
      <c r="CNH1" s="437"/>
      <c r="CNI1" s="437"/>
      <c r="CNJ1" s="437"/>
      <c r="CNK1" s="437"/>
      <c r="CNL1" s="437"/>
      <c r="CNM1" s="437"/>
      <c r="CNN1" s="437"/>
      <c r="CNO1" s="437"/>
      <c r="CNP1" s="437"/>
      <c r="CNQ1" s="437"/>
      <c r="CNR1" s="437"/>
      <c r="CNS1" s="437"/>
      <c r="CNT1" s="437"/>
      <c r="CNU1" s="437"/>
      <c r="CNV1" s="437"/>
      <c r="CNW1" s="437"/>
      <c r="CNX1" s="437"/>
      <c r="CNY1" s="437"/>
      <c r="CNZ1" s="437"/>
      <c r="COA1" s="437"/>
      <c r="COB1" s="437"/>
      <c r="COC1" s="437"/>
      <c r="COD1" s="437"/>
      <c r="COE1" s="437"/>
      <c r="COF1" s="437"/>
      <c r="COG1" s="437"/>
      <c r="COH1" s="437"/>
      <c r="COI1" s="437"/>
      <c r="COJ1" s="437"/>
      <c r="COK1" s="437"/>
      <c r="COL1" s="437"/>
      <c r="COM1" s="437"/>
      <c r="CON1" s="437"/>
      <c r="COO1" s="437"/>
      <c r="COP1" s="437"/>
      <c r="COQ1" s="437"/>
      <c r="COR1" s="437"/>
      <c r="COS1" s="437"/>
      <c r="COT1" s="437"/>
      <c r="COU1" s="437"/>
      <c r="COV1" s="437"/>
      <c r="COW1" s="437"/>
      <c r="COX1" s="437"/>
      <c r="COY1" s="437"/>
      <c r="COZ1" s="437"/>
      <c r="CPA1" s="437"/>
      <c r="CPB1" s="437"/>
      <c r="CPC1" s="437"/>
      <c r="CPD1" s="437"/>
      <c r="CPE1" s="437"/>
      <c r="CPF1" s="437"/>
      <c r="CPG1" s="437"/>
      <c r="CPH1" s="437"/>
      <c r="CPI1" s="437"/>
      <c r="CPJ1" s="437"/>
      <c r="CPK1" s="437"/>
      <c r="CPL1" s="437"/>
      <c r="CPM1" s="437"/>
      <c r="CPN1" s="437"/>
      <c r="CPO1" s="437"/>
      <c r="CPP1" s="437"/>
      <c r="CPQ1" s="437"/>
      <c r="CPR1" s="437"/>
      <c r="CPS1" s="437"/>
      <c r="CPT1" s="437"/>
      <c r="CPU1" s="437"/>
      <c r="CPV1" s="437"/>
      <c r="CPW1" s="437"/>
      <c r="CPX1" s="437"/>
      <c r="CPY1" s="437"/>
      <c r="CPZ1" s="437"/>
      <c r="CQA1" s="437"/>
      <c r="CQB1" s="437"/>
      <c r="CQC1" s="437"/>
      <c r="CQD1" s="437"/>
      <c r="CQE1" s="437"/>
      <c r="CQF1" s="437"/>
      <c r="CQG1" s="437"/>
      <c r="CQH1" s="437"/>
      <c r="CQI1" s="437"/>
      <c r="CQJ1" s="437"/>
      <c r="CQK1" s="437"/>
      <c r="CQL1" s="437"/>
      <c r="CQM1" s="437"/>
      <c r="CQN1" s="437"/>
      <c r="CQO1" s="437"/>
      <c r="CQP1" s="437"/>
      <c r="CQQ1" s="437"/>
      <c r="CQR1" s="437"/>
      <c r="CQS1" s="437"/>
      <c r="CQT1" s="437"/>
      <c r="CQU1" s="437"/>
      <c r="CQV1" s="437"/>
      <c r="CQW1" s="437"/>
      <c r="CQX1" s="437"/>
      <c r="CQY1" s="437"/>
      <c r="CQZ1" s="437"/>
      <c r="CRA1" s="437"/>
      <c r="CRB1" s="437"/>
      <c r="CRC1" s="437"/>
      <c r="CRD1" s="437"/>
      <c r="CRE1" s="437"/>
      <c r="CRF1" s="437"/>
      <c r="CRG1" s="437"/>
      <c r="CRH1" s="437"/>
      <c r="CRI1" s="437"/>
      <c r="CRJ1" s="437"/>
      <c r="CRK1" s="437"/>
      <c r="CRL1" s="437"/>
      <c r="CRM1" s="437"/>
      <c r="CRN1" s="437"/>
      <c r="CRO1" s="437"/>
      <c r="CRP1" s="437"/>
      <c r="CRQ1" s="437"/>
      <c r="CRR1" s="437"/>
      <c r="CRS1" s="437"/>
      <c r="CRT1" s="437"/>
      <c r="CRU1" s="437"/>
      <c r="CRV1" s="437"/>
      <c r="CRW1" s="437"/>
      <c r="CRX1" s="437"/>
      <c r="CRY1" s="437"/>
      <c r="CRZ1" s="437"/>
      <c r="CSA1" s="437"/>
      <c r="CSB1" s="437"/>
      <c r="CSC1" s="437"/>
      <c r="CSD1" s="437"/>
      <c r="CSE1" s="437"/>
      <c r="CSF1" s="437"/>
      <c r="CSG1" s="437"/>
      <c r="CSH1" s="437"/>
      <c r="CSI1" s="437"/>
      <c r="CSJ1" s="437"/>
      <c r="CSK1" s="437"/>
      <c r="CSL1" s="437"/>
      <c r="CSM1" s="437"/>
      <c r="CSN1" s="437"/>
      <c r="CSO1" s="437"/>
      <c r="CSP1" s="437"/>
      <c r="CSQ1" s="437"/>
      <c r="CSR1" s="437"/>
      <c r="CSS1" s="437"/>
      <c r="CST1" s="437"/>
      <c r="CSU1" s="437"/>
      <c r="CSV1" s="437"/>
      <c r="CSW1" s="437"/>
      <c r="CSX1" s="437"/>
      <c r="CSY1" s="437"/>
      <c r="CSZ1" s="437"/>
      <c r="CTA1" s="437"/>
      <c r="CTB1" s="437"/>
      <c r="CTC1" s="437"/>
      <c r="CTD1" s="437"/>
      <c r="CTE1" s="437"/>
      <c r="CTF1" s="437"/>
      <c r="CTG1" s="437"/>
      <c r="CTH1" s="437"/>
      <c r="CTI1" s="437"/>
      <c r="CTJ1" s="437"/>
      <c r="CTK1" s="437"/>
      <c r="CTL1" s="437"/>
      <c r="CTM1" s="437"/>
      <c r="CTN1" s="437"/>
      <c r="CTO1" s="437"/>
      <c r="CTP1" s="437"/>
      <c r="CTQ1" s="437"/>
      <c r="CTR1" s="437"/>
      <c r="CTS1" s="437"/>
      <c r="CTT1" s="437"/>
      <c r="CTU1" s="437"/>
      <c r="CTV1" s="437"/>
      <c r="CTW1" s="437"/>
      <c r="CTX1" s="437"/>
      <c r="CTY1" s="437"/>
      <c r="CTZ1" s="437"/>
      <c r="CUA1" s="437"/>
      <c r="CUB1" s="437"/>
      <c r="CUC1" s="437"/>
      <c r="CUD1" s="437"/>
      <c r="CUE1" s="437"/>
      <c r="CUF1" s="437"/>
      <c r="CUG1" s="437"/>
      <c r="CUH1" s="437"/>
      <c r="CUI1" s="437"/>
      <c r="CUJ1" s="437"/>
      <c r="CUK1" s="437"/>
      <c r="CUL1" s="437"/>
      <c r="CUM1" s="437"/>
      <c r="CUN1" s="437"/>
      <c r="CUO1" s="437"/>
      <c r="CUP1" s="437"/>
      <c r="CUQ1" s="437"/>
      <c r="CUR1" s="437"/>
      <c r="CUS1" s="437"/>
      <c r="CUT1" s="437"/>
      <c r="CUU1" s="437"/>
      <c r="CUV1" s="437"/>
      <c r="CUW1" s="437"/>
      <c r="CUX1" s="437"/>
      <c r="CUY1" s="437"/>
      <c r="CUZ1" s="437"/>
      <c r="CVA1" s="437"/>
      <c r="CVB1" s="437"/>
      <c r="CVC1" s="437"/>
      <c r="CVD1" s="437"/>
      <c r="CVE1" s="437"/>
      <c r="CVF1" s="437"/>
      <c r="CVG1" s="437"/>
      <c r="CVH1" s="437"/>
      <c r="CVI1" s="437"/>
      <c r="CVJ1" s="437"/>
      <c r="CVK1" s="437"/>
      <c r="CVL1" s="437"/>
      <c r="CVM1" s="437"/>
      <c r="CVN1" s="437"/>
      <c r="CVO1" s="437"/>
      <c r="CVP1" s="437"/>
      <c r="CVQ1" s="437"/>
      <c r="CVR1" s="437"/>
      <c r="CVS1" s="437"/>
      <c r="CVT1" s="437"/>
      <c r="CVU1" s="437"/>
      <c r="CVV1" s="437"/>
      <c r="CVW1" s="437"/>
      <c r="CVX1" s="437"/>
      <c r="CVY1" s="437"/>
      <c r="CVZ1" s="437"/>
      <c r="CWA1" s="437"/>
      <c r="CWB1" s="437"/>
      <c r="CWC1" s="437"/>
      <c r="CWD1" s="437"/>
      <c r="CWE1" s="437"/>
      <c r="CWF1" s="437"/>
      <c r="CWG1" s="437"/>
      <c r="CWH1" s="437"/>
      <c r="CWI1" s="437"/>
      <c r="CWJ1" s="437"/>
      <c r="CWK1" s="437"/>
      <c r="CWL1" s="437"/>
      <c r="CWM1" s="437"/>
      <c r="CWN1" s="437"/>
      <c r="CWO1" s="437"/>
      <c r="CWP1" s="437"/>
      <c r="CWQ1" s="437"/>
      <c r="CWR1" s="437"/>
      <c r="CWS1" s="437"/>
      <c r="CWT1" s="437"/>
      <c r="CWU1" s="437"/>
      <c r="CWV1" s="437"/>
      <c r="CWW1" s="437"/>
      <c r="CWX1" s="437"/>
      <c r="CWY1" s="437"/>
      <c r="CWZ1" s="437"/>
      <c r="CXA1" s="437"/>
      <c r="CXB1" s="437"/>
      <c r="CXC1" s="437"/>
      <c r="CXD1" s="437"/>
      <c r="CXE1" s="437"/>
      <c r="CXF1" s="437"/>
      <c r="CXG1" s="437"/>
      <c r="CXH1" s="437"/>
      <c r="CXI1" s="437"/>
      <c r="CXJ1" s="437"/>
      <c r="CXK1" s="437"/>
      <c r="CXL1" s="437"/>
      <c r="CXM1" s="437"/>
      <c r="CXN1" s="437"/>
      <c r="CXO1" s="437"/>
      <c r="CXP1" s="437"/>
      <c r="CXQ1" s="437"/>
      <c r="CXR1" s="437"/>
      <c r="CXS1" s="437"/>
      <c r="CXT1" s="437"/>
      <c r="CXU1" s="437"/>
      <c r="CXV1" s="437"/>
      <c r="CXW1" s="437"/>
      <c r="CXX1" s="437"/>
      <c r="CXY1" s="437"/>
      <c r="CXZ1" s="437"/>
      <c r="CYA1" s="437"/>
      <c r="CYB1" s="437"/>
      <c r="CYC1" s="437"/>
      <c r="CYD1" s="437"/>
      <c r="CYE1" s="437"/>
      <c r="CYF1" s="437"/>
      <c r="CYG1" s="437"/>
      <c r="CYH1" s="437"/>
      <c r="CYI1" s="437"/>
      <c r="CYJ1" s="437"/>
      <c r="CYK1" s="437"/>
      <c r="CYL1" s="437"/>
      <c r="CYM1" s="437"/>
      <c r="CYN1" s="437"/>
      <c r="CYO1" s="437"/>
      <c r="CYP1" s="437"/>
      <c r="CYQ1" s="437"/>
      <c r="CYR1" s="437"/>
      <c r="CYS1" s="437"/>
      <c r="CYT1" s="437"/>
      <c r="CYU1" s="437"/>
      <c r="CYV1" s="437"/>
      <c r="CYW1" s="437"/>
      <c r="CYX1" s="437"/>
      <c r="CYY1" s="437"/>
      <c r="CYZ1" s="437"/>
      <c r="CZA1" s="437"/>
      <c r="CZB1" s="437"/>
      <c r="CZC1" s="437"/>
      <c r="CZD1" s="437"/>
      <c r="CZE1" s="437"/>
      <c r="CZF1" s="437"/>
      <c r="CZG1" s="437"/>
      <c r="CZH1" s="437"/>
      <c r="CZI1" s="437"/>
      <c r="CZJ1" s="437"/>
      <c r="CZK1" s="437"/>
      <c r="CZL1" s="437"/>
      <c r="CZM1" s="437"/>
      <c r="CZN1" s="437"/>
      <c r="CZO1" s="437"/>
      <c r="CZP1" s="437"/>
      <c r="CZQ1" s="437"/>
      <c r="CZR1" s="437"/>
      <c r="CZS1" s="437"/>
      <c r="CZT1" s="437"/>
      <c r="CZU1" s="437"/>
      <c r="CZV1" s="437"/>
      <c r="CZW1" s="437"/>
      <c r="CZX1" s="437"/>
      <c r="CZY1" s="437"/>
      <c r="CZZ1" s="437"/>
      <c r="DAA1" s="437"/>
      <c r="DAB1" s="437"/>
      <c r="DAC1" s="437"/>
      <c r="DAD1" s="437"/>
      <c r="DAE1" s="437"/>
      <c r="DAF1" s="437"/>
      <c r="DAG1" s="437"/>
      <c r="DAH1" s="437"/>
      <c r="DAI1" s="437"/>
      <c r="DAJ1" s="437"/>
      <c r="DAK1" s="437"/>
      <c r="DAL1" s="437"/>
      <c r="DAM1" s="437"/>
      <c r="DAN1" s="437"/>
      <c r="DAO1" s="437"/>
      <c r="DAP1" s="437"/>
      <c r="DAQ1" s="437"/>
      <c r="DAR1" s="437"/>
      <c r="DAS1" s="437"/>
      <c r="DAT1" s="437"/>
      <c r="DAU1" s="437"/>
      <c r="DAV1" s="437"/>
      <c r="DAW1" s="437"/>
      <c r="DAX1" s="437"/>
      <c r="DAY1" s="437"/>
      <c r="DAZ1" s="437"/>
      <c r="DBA1" s="437"/>
      <c r="DBB1" s="437"/>
      <c r="DBC1" s="437"/>
      <c r="DBD1" s="437"/>
      <c r="DBE1" s="437"/>
      <c r="DBF1" s="437"/>
      <c r="DBG1" s="437"/>
      <c r="DBH1" s="437"/>
      <c r="DBI1" s="437"/>
      <c r="DBJ1" s="437"/>
      <c r="DBK1" s="437"/>
      <c r="DBL1" s="437"/>
      <c r="DBM1" s="437"/>
      <c r="DBN1" s="437"/>
      <c r="DBO1" s="437"/>
      <c r="DBP1" s="437"/>
      <c r="DBQ1" s="437"/>
      <c r="DBR1" s="437"/>
      <c r="DBS1" s="437"/>
      <c r="DBT1" s="437"/>
      <c r="DBU1" s="437"/>
      <c r="DBV1" s="437"/>
      <c r="DBW1" s="437"/>
      <c r="DBX1" s="437"/>
      <c r="DBY1" s="437"/>
      <c r="DBZ1" s="437"/>
      <c r="DCA1" s="437"/>
      <c r="DCB1" s="437"/>
      <c r="DCC1" s="437"/>
      <c r="DCD1" s="437"/>
      <c r="DCE1" s="437"/>
      <c r="DCF1" s="437"/>
      <c r="DCG1" s="437"/>
      <c r="DCH1" s="437"/>
      <c r="DCI1" s="437"/>
      <c r="DCJ1" s="437"/>
      <c r="DCK1" s="437"/>
      <c r="DCL1" s="437"/>
      <c r="DCM1" s="437"/>
      <c r="DCN1" s="437"/>
      <c r="DCO1" s="437"/>
      <c r="DCP1" s="437"/>
      <c r="DCQ1" s="437"/>
      <c r="DCR1" s="437"/>
      <c r="DCS1" s="437"/>
      <c r="DCT1" s="437"/>
      <c r="DCU1" s="437"/>
      <c r="DCV1" s="437"/>
      <c r="DCW1" s="437"/>
      <c r="DCX1" s="437"/>
      <c r="DCY1" s="437"/>
      <c r="DCZ1" s="437"/>
      <c r="DDA1" s="437"/>
      <c r="DDB1" s="437"/>
      <c r="DDC1" s="437"/>
      <c r="DDD1" s="437"/>
      <c r="DDE1" s="437"/>
      <c r="DDF1" s="437"/>
      <c r="DDG1" s="437"/>
      <c r="DDH1" s="437"/>
      <c r="DDI1" s="437"/>
      <c r="DDJ1" s="437"/>
      <c r="DDK1" s="437"/>
      <c r="DDL1" s="437"/>
      <c r="DDM1" s="437"/>
      <c r="DDN1" s="437"/>
      <c r="DDO1" s="437"/>
      <c r="DDP1" s="437"/>
      <c r="DDQ1" s="437"/>
      <c r="DDR1" s="437"/>
      <c r="DDS1" s="437"/>
      <c r="DDT1" s="437"/>
      <c r="DDU1" s="437"/>
      <c r="DDV1" s="437"/>
      <c r="DDW1" s="437"/>
      <c r="DDX1" s="437"/>
      <c r="DDY1" s="437"/>
      <c r="DDZ1" s="437"/>
      <c r="DEA1" s="437"/>
      <c r="DEB1" s="437"/>
      <c r="DEC1" s="437"/>
      <c r="DED1" s="437"/>
      <c r="DEE1" s="437"/>
      <c r="DEF1" s="437"/>
      <c r="DEG1" s="437"/>
      <c r="DEH1" s="437"/>
      <c r="DEI1" s="437"/>
      <c r="DEJ1" s="437"/>
      <c r="DEK1" s="437"/>
      <c r="DEL1" s="437"/>
      <c r="DEM1" s="437"/>
      <c r="DEN1" s="437"/>
      <c r="DEO1" s="437"/>
      <c r="DEP1" s="437"/>
      <c r="DEQ1" s="437"/>
      <c r="DER1" s="437"/>
      <c r="DES1" s="437"/>
      <c r="DET1" s="437"/>
      <c r="DEU1" s="437"/>
      <c r="DEV1" s="437"/>
      <c r="DEW1" s="437"/>
      <c r="DEX1" s="437"/>
      <c r="DEY1" s="437"/>
      <c r="DEZ1" s="437"/>
      <c r="DFA1" s="437"/>
      <c r="DFB1" s="437"/>
      <c r="DFC1" s="437"/>
      <c r="DFD1" s="437"/>
      <c r="DFE1" s="437"/>
      <c r="DFF1" s="437"/>
      <c r="DFG1" s="437"/>
      <c r="DFH1" s="437"/>
      <c r="DFI1" s="437"/>
      <c r="DFJ1" s="437"/>
      <c r="DFK1" s="437"/>
      <c r="DFL1" s="437"/>
      <c r="DFM1" s="437"/>
      <c r="DFN1" s="437"/>
      <c r="DFO1" s="437"/>
      <c r="DFP1" s="437"/>
      <c r="DFQ1" s="437"/>
      <c r="DFR1" s="437"/>
      <c r="DFS1" s="437"/>
      <c r="DFT1" s="437"/>
      <c r="DFU1" s="437"/>
      <c r="DFV1" s="437"/>
      <c r="DFW1" s="437"/>
      <c r="DFX1" s="437"/>
      <c r="DFY1" s="437"/>
      <c r="DFZ1" s="437"/>
      <c r="DGA1" s="437"/>
      <c r="DGB1" s="437"/>
      <c r="DGC1" s="437"/>
      <c r="DGD1" s="437"/>
      <c r="DGE1" s="437"/>
      <c r="DGF1" s="437"/>
      <c r="DGG1" s="437"/>
      <c r="DGH1" s="437"/>
      <c r="DGI1" s="437"/>
      <c r="DGJ1" s="437"/>
      <c r="DGK1" s="437"/>
      <c r="DGL1" s="437"/>
      <c r="DGM1" s="437"/>
      <c r="DGN1" s="437"/>
      <c r="DGO1" s="437"/>
      <c r="DGP1" s="437"/>
      <c r="DGQ1" s="437"/>
      <c r="DGR1" s="437"/>
      <c r="DGS1" s="437"/>
      <c r="DGT1" s="437"/>
      <c r="DGU1" s="437"/>
      <c r="DGV1" s="437"/>
      <c r="DGW1" s="437"/>
      <c r="DGX1" s="437"/>
      <c r="DGY1" s="437"/>
      <c r="DGZ1" s="437"/>
      <c r="DHA1" s="437"/>
      <c r="DHB1" s="437"/>
      <c r="DHC1" s="437"/>
      <c r="DHD1" s="437"/>
      <c r="DHE1" s="437"/>
      <c r="DHF1" s="437"/>
      <c r="DHG1" s="437"/>
      <c r="DHH1" s="437"/>
      <c r="DHI1" s="437"/>
      <c r="DHJ1" s="437"/>
      <c r="DHK1" s="437"/>
      <c r="DHL1" s="437"/>
      <c r="DHM1" s="437"/>
      <c r="DHN1" s="437"/>
      <c r="DHO1" s="437"/>
      <c r="DHP1" s="437"/>
      <c r="DHQ1" s="437"/>
      <c r="DHR1" s="437"/>
      <c r="DHS1" s="437"/>
      <c r="DHT1" s="437"/>
      <c r="DHU1" s="437"/>
      <c r="DHV1" s="437"/>
      <c r="DHW1" s="437"/>
      <c r="DHX1" s="437"/>
      <c r="DHY1" s="437"/>
      <c r="DHZ1" s="437"/>
      <c r="DIA1" s="437"/>
      <c r="DIB1" s="437"/>
      <c r="DIC1" s="437"/>
      <c r="DID1" s="437"/>
      <c r="DIE1" s="437"/>
      <c r="DIF1" s="437"/>
      <c r="DIG1" s="437"/>
      <c r="DIH1" s="437"/>
      <c r="DII1" s="437"/>
      <c r="DIJ1" s="437"/>
      <c r="DIK1" s="437"/>
      <c r="DIL1" s="437"/>
      <c r="DIM1" s="437"/>
      <c r="DIN1" s="437"/>
      <c r="DIO1" s="437"/>
      <c r="DIP1" s="437"/>
      <c r="DIQ1" s="437"/>
      <c r="DIR1" s="437"/>
      <c r="DIS1" s="437"/>
      <c r="DIT1" s="437"/>
      <c r="DIU1" s="437"/>
      <c r="DIV1" s="437"/>
      <c r="DIW1" s="437"/>
      <c r="DIX1" s="437"/>
      <c r="DIY1" s="437"/>
      <c r="DIZ1" s="437"/>
      <c r="DJA1" s="437"/>
      <c r="DJB1" s="437"/>
      <c r="DJC1" s="437"/>
      <c r="DJD1" s="437"/>
      <c r="DJE1" s="437"/>
      <c r="DJF1" s="437"/>
      <c r="DJG1" s="437"/>
      <c r="DJH1" s="437"/>
      <c r="DJI1" s="437"/>
      <c r="DJJ1" s="437"/>
      <c r="DJK1" s="437"/>
      <c r="DJL1" s="437"/>
      <c r="DJM1" s="437"/>
      <c r="DJN1" s="437"/>
      <c r="DJO1" s="437"/>
      <c r="DJP1" s="437"/>
      <c r="DJQ1" s="437"/>
      <c r="DJR1" s="437"/>
      <c r="DJS1" s="437"/>
      <c r="DJT1" s="437"/>
      <c r="DJU1" s="437"/>
      <c r="DJV1" s="437"/>
      <c r="DJW1" s="437"/>
      <c r="DJX1" s="437"/>
      <c r="DJY1" s="437"/>
      <c r="DJZ1" s="437"/>
      <c r="DKA1" s="437"/>
      <c r="DKB1" s="437"/>
      <c r="DKC1" s="437"/>
      <c r="DKD1" s="437"/>
      <c r="DKE1" s="437"/>
      <c r="DKF1" s="437"/>
      <c r="DKG1" s="437"/>
      <c r="DKH1" s="437"/>
      <c r="DKI1" s="437"/>
      <c r="DKJ1" s="437"/>
      <c r="DKK1" s="437"/>
      <c r="DKL1" s="437"/>
      <c r="DKM1" s="437"/>
      <c r="DKN1" s="437"/>
      <c r="DKO1" s="437"/>
      <c r="DKP1" s="437"/>
      <c r="DKQ1" s="437"/>
      <c r="DKR1" s="437"/>
      <c r="DKS1" s="437"/>
      <c r="DKT1" s="437"/>
      <c r="DKU1" s="437"/>
      <c r="DKV1" s="437"/>
      <c r="DKW1" s="437"/>
      <c r="DKX1" s="437"/>
      <c r="DKY1" s="437"/>
      <c r="DKZ1" s="437"/>
      <c r="DLA1" s="437"/>
      <c r="DLB1" s="437"/>
      <c r="DLC1" s="437"/>
      <c r="DLD1" s="437"/>
      <c r="DLE1" s="437"/>
      <c r="DLF1" s="437"/>
      <c r="DLG1" s="437"/>
      <c r="DLH1" s="437"/>
      <c r="DLI1" s="437"/>
      <c r="DLJ1" s="437"/>
      <c r="DLK1" s="437"/>
      <c r="DLL1" s="437"/>
      <c r="DLM1" s="437"/>
      <c r="DLN1" s="437"/>
      <c r="DLO1" s="437"/>
      <c r="DLP1" s="437"/>
      <c r="DLQ1" s="437"/>
      <c r="DLR1" s="437"/>
      <c r="DLS1" s="437"/>
      <c r="DLT1" s="437"/>
      <c r="DLU1" s="437"/>
      <c r="DLV1" s="437"/>
      <c r="DLW1" s="437"/>
      <c r="DLX1" s="437"/>
      <c r="DLY1" s="437"/>
      <c r="DLZ1" s="437"/>
      <c r="DMA1" s="437"/>
      <c r="DMB1" s="437"/>
      <c r="DMC1" s="437"/>
      <c r="DMD1" s="437"/>
      <c r="DME1" s="437"/>
      <c r="DMF1" s="437"/>
      <c r="DMG1" s="437"/>
      <c r="DMH1" s="437"/>
      <c r="DMI1" s="437"/>
      <c r="DMJ1" s="437"/>
      <c r="DMK1" s="437"/>
      <c r="DML1" s="437"/>
      <c r="DMM1" s="437"/>
      <c r="DMN1" s="437"/>
      <c r="DMO1" s="437"/>
      <c r="DMP1" s="437"/>
      <c r="DMQ1" s="437"/>
      <c r="DMR1" s="437"/>
      <c r="DMS1" s="437"/>
      <c r="DMT1" s="437"/>
      <c r="DMU1" s="437"/>
      <c r="DMV1" s="437"/>
      <c r="DMW1" s="437"/>
      <c r="DMX1" s="437"/>
      <c r="DMY1" s="437"/>
      <c r="DMZ1" s="437"/>
      <c r="DNA1" s="437"/>
      <c r="DNB1" s="437"/>
      <c r="DNC1" s="437"/>
      <c r="DND1" s="437"/>
      <c r="DNE1" s="437"/>
      <c r="DNF1" s="437"/>
      <c r="DNG1" s="437"/>
      <c r="DNH1" s="437"/>
      <c r="DNI1" s="437"/>
      <c r="DNJ1" s="437"/>
      <c r="DNK1" s="437"/>
      <c r="DNL1" s="437"/>
      <c r="DNM1" s="437"/>
      <c r="DNN1" s="437"/>
      <c r="DNO1" s="437"/>
      <c r="DNP1" s="437"/>
      <c r="DNQ1" s="437"/>
      <c r="DNR1" s="437"/>
      <c r="DNS1" s="437"/>
      <c r="DNT1" s="437"/>
      <c r="DNU1" s="437"/>
      <c r="DNV1" s="437"/>
      <c r="DNW1" s="437"/>
      <c r="DNX1" s="437"/>
      <c r="DNY1" s="437"/>
      <c r="DNZ1" s="437"/>
      <c r="DOA1" s="437"/>
      <c r="DOB1" s="437"/>
      <c r="DOC1" s="437"/>
      <c r="DOD1" s="437"/>
      <c r="DOE1" s="437"/>
      <c r="DOF1" s="437"/>
      <c r="DOG1" s="437"/>
      <c r="DOH1" s="437"/>
      <c r="DOI1" s="437"/>
      <c r="DOJ1" s="437"/>
      <c r="DOK1" s="437"/>
      <c r="DOL1" s="437"/>
      <c r="DOM1" s="437"/>
      <c r="DON1" s="437"/>
      <c r="DOO1" s="437"/>
      <c r="DOP1" s="437"/>
      <c r="DOQ1" s="437"/>
      <c r="DOR1" s="437"/>
      <c r="DOS1" s="437"/>
      <c r="DOT1" s="437"/>
      <c r="DOU1" s="437"/>
      <c r="DOV1" s="437"/>
      <c r="DOW1" s="437"/>
      <c r="DOX1" s="437"/>
      <c r="DOY1" s="437"/>
      <c r="DOZ1" s="437"/>
      <c r="DPA1" s="437"/>
      <c r="DPB1" s="437"/>
      <c r="DPC1" s="437"/>
      <c r="DPD1" s="437"/>
      <c r="DPE1" s="437"/>
      <c r="DPF1" s="437"/>
      <c r="DPG1" s="437"/>
      <c r="DPH1" s="437"/>
      <c r="DPI1" s="437"/>
      <c r="DPJ1" s="437"/>
      <c r="DPK1" s="437"/>
      <c r="DPL1" s="437"/>
      <c r="DPM1" s="437"/>
      <c r="DPN1" s="437"/>
      <c r="DPO1" s="437"/>
      <c r="DPP1" s="437"/>
      <c r="DPQ1" s="437"/>
      <c r="DPR1" s="437"/>
      <c r="DPS1" s="437"/>
      <c r="DPT1" s="437"/>
      <c r="DPU1" s="437"/>
      <c r="DPV1" s="437"/>
      <c r="DPW1" s="437"/>
      <c r="DPX1" s="437"/>
      <c r="DPY1" s="437"/>
      <c r="DPZ1" s="437"/>
      <c r="DQA1" s="437"/>
      <c r="DQB1" s="437"/>
      <c r="DQC1" s="437"/>
      <c r="DQD1" s="437"/>
      <c r="DQE1" s="437"/>
      <c r="DQF1" s="437"/>
      <c r="DQG1" s="437"/>
      <c r="DQH1" s="437"/>
      <c r="DQI1" s="437"/>
      <c r="DQJ1" s="437"/>
      <c r="DQK1" s="437"/>
      <c r="DQL1" s="437"/>
      <c r="DQM1" s="437"/>
      <c r="DQN1" s="437"/>
      <c r="DQO1" s="437"/>
      <c r="DQP1" s="437"/>
      <c r="DQQ1" s="437"/>
      <c r="DQR1" s="437"/>
      <c r="DQS1" s="437"/>
      <c r="DQT1" s="437"/>
      <c r="DQU1" s="437"/>
      <c r="DQV1" s="437"/>
      <c r="DQW1" s="437"/>
      <c r="DQX1" s="437"/>
      <c r="DQY1" s="437"/>
      <c r="DQZ1" s="437"/>
      <c r="DRA1" s="437"/>
      <c r="DRB1" s="437"/>
      <c r="DRC1" s="437"/>
      <c r="DRD1" s="437"/>
      <c r="DRE1" s="437"/>
      <c r="DRF1" s="437"/>
      <c r="DRG1" s="437"/>
      <c r="DRH1" s="437"/>
      <c r="DRI1" s="437"/>
      <c r="DRJ1" s="437"/>
      <c r="DRK1" s="437"/>
      <c r="DRL1" s="437"/>
      <c r="DRM1" s="437"/>
      <c r="DRN1" s="437"/>
      <c r="DRO1" s="437"/>
      <c r="DRP1" s="437"/>
      <c r="DRQ1" s="437"/>
      <c r="DRR1" s="437"/>
      <c r="DRS1" s="437"/>
      <c r="DRT1" s="437"/>
      <c r="DRU1" s="437"/>
      <c r="DRV1" s="437"/>
      <c r="DRW1" s="437"/>
      <c r="DRX1" s="437"/>
      <c r="DRY1" s="437"/>
      <c r="DRZ1" s="437"/>
      <c r="DSA1" s="437"/>
      <c r="DSB1" s="437"/>
      <c r="DSC1" s="437"/>
      <c r="DSD1" s="437"/>
      <c r="DSE1" s="437"/>
      <c r="DSF1" s="437"/>
      <c r="DSG1" s="437"/>
      <c r="DSH1" s="437"/>
      <c r="DSI1" s="437"/>
      <c r="DSJ1" s="437"/>
      <c r="DSK1" s="437"/>
      <c r="DSL1" s="437"/>
      <c r="DSM1" s="437"/>
      <c r="DSN1" s="437"/>
      <c r="DSO1" s="437"/>
      <c r="DSP1" s="437"/>
      <c r="DSQ1" s="437"/>
      <c r="DSR1" s="437"/>
      <c r="DSS1" s="437"/>
      <c r="DST1" s="437"/>
      <c r="DSU1" s="437"/>
      <c r="DSV1" s="437"/>
      <c r="DSW1" s="437"/>
      <c r="DSX1" s="437"/>
      <c r="DSY1" s="437"/>
      <c r="DSZ1" s="437"/>
      <c r="DTA1" s="437"/>
      <c r="DTB1" s="437"/>
      <c r="DTC1" s="437"/>
      <c r="DTD1" s="437"/>
      <c r="DTE1" s="437"/>
      <c r="DTF1" s="437"/>
      <c r="DTG1" s="437"/>
      <c r="DTH1" s="437"/>
      <c r="DTI1" s="437"/>
      <c r="DTJ1" s="437"/>
      <c r="DTK1" s="437"/>
      <c r="DTL1" s="437"/>
      <c r="DTM1" s="437"/>
      <c r="DTN1" s="437"/>
      <c r="DTO1" s="437"/>
      <c r="DTP1" s="437"/>
      <c r="DTQ1" s="437"/>
      <c r="DTR1" s="437"/>
      <c r="DTS1" s="437"/>
      <c r="DTT1" s="437"/>
      <c r="DTU1" s="437"/>
      <c r="DTV1" s="437"/>
      <c r="DTW1" s="437"/>
      <c r="DTX1" s="437"/>
      <c r="DTY1" s="437"/>
      <c r="DTZ1" s="437"/>
      <c r="DUA1" s="437"/>
      <c r="DUB1" s="437"/>
      <c r="DUC1" s="437"/>
      <c r="DUD1" s="437"/>
      <c r="DUE1" s="437"/>
      <c r="DUF1" s="437"/>
      <c r="DUG1" s="437"/>
      <c r="DUH1" s="437"/>
      <c r="DUI1" s="437"/>
      <c r="DUJ1" s="437"/>
      <c r="DUK1" s="437"/>
      <c r="DUL1" s="437"/>
      <c r="DUM1" s="437"/>
      <c r="DUN1" s="437"/>
      <c r="DUO1" s="437"/>
      <c r="DUP1" s="437"/>
      <c r="DUQ1" s="437"/>
      <c r="DUR1" s="437"/>
      <c r="DUS1" s="437"/>
      <c r="DUT1" s="437"/>
      <c r="DUU1" s="437"/>
      <c r="DUV1" s="437"/>
      <c r="DUW1" s="437"/>
      <c r="DUX1" s="437"/>
      <c r="DUY1" s="437"/>
      <c r="DUZ1" s="437"/>
      <c r="DVA1" s="437"/>
      <c r="DVB1" s="437"/>
      <c r="DVC1" s="437"/>
      <c r="DVD1" s="437"/>
      <c r="DVE1" s="437"/>
      <c r="DVF1" s="437"/>
      <c r="DVG1" s="437"/>
      <c r="DVH1" s="437"/>
      <c r="DVI1" s="437"/>
      <c r="DVJ1" s="437"/>
      <c r="DVK1" s="437"/>
      <c r="DVL1" s="437"/>
      <c r="DVM1" s="437"/>
      <c r="DVN1" s="437"/>
      <c r="DVO1" s="437"/>
      <c r="DVP1" s="437"/>
      <c r="DVQ1" s="437"/>
      <c r="DVR1" s="437"/>
      <c r="DVS1" s="437"/>
      <c r="DVT1" s="437"/>
      <c r="DVU1" s="437"/>
      <c r="DVV1" s="437"/>
      <c r="DVW1" s="437"/>
      <c r="DVX1" s="437"/>
      <c r="DVY1" s="437"/>
      <c r="DVZ1" s="437"/>
      <c r="DWA1" s="437"/>
      <c r="DWB1" s="437"/>
      <c r="DWC1" s="437"/>
      <c r="DWD1" s="437"/>
      <c r="DWE1" s="437"/>
      <c r="DWF1" s="437"/>
      <c r="DWG1" s="437"/>
      <c r="DWH1" s="437"/>
      <c r="DWI1" s="437"/>
      <c r="DWJ1" s="437"/>
      <c r="DWK1" s="437"/>
      <c r="DWL1" s="437"/>
      <c r="DWM1" s="437"/>
      <c r="DWN1" s="437"/>
      <c r="DWO1" s="437"/>
      <c r="DWP1" s="437"/>
      <c r="DWQ1" s="437"/>
      <c r="DWR1" s="437"/>
      <c r="DWS1" s="437"/>
      <c r="DWT1" s="437"/>
      <c r="DWU1" s="437"/>
      <c r="DWV1" s="437"/>
      <c r="DWW1" s="437"/>
      <c r="DWX1" s="437"/>
      <c r="DWY1" s="437"/>
      <c r="DWZ1" s="437"/>
      <c r="DXA1" s="437"/>
      <c r="DXB1" s="437"/>
      <c r="DXC1" s="437"/>
      <c r="DXD1" s="437"/>
      <c r="DXE1" s="437"/>
      <c r="DXF1" s="437"/>
      <c r="DXG1" s="437"/>
      <c r="DXH1" s="437"/>
      <c r="DXI1" s="437"/>
      <c r="DXJ1" s="437"/>
      <c r="DXK1" s="437"/>
      <c r="DXL1" s="437"/>
      <c r="DXM1" s="437"/>
      <c r="DXN1" s="437"/>
      <c r="DXO1" s="437"/>
      <c r="DXP1" s="437"/>
      <c r="DXQ1" s="437"/>
      <c r="DXR1" s="437"/>
      <c r="DXS1" s="437"/>
      <c r="DXT1" s="437"/>
      <c r="DXU1" s="437"/>
      <c r="DXV1" s="437"/>
      <c r="DXW1" s="437"/>
      <c r="DXX1" s="437"/>
      <c r="DXY1" s="437"/>
      <c r="DXZ1" s="437"/>
      <c r="DYA1" s="437"/>
      <c r="DYB1" s="437"/>
      <c r="DYC1" s="437"/>
      <c r="DYD1" s="437"/>
      <c r="DYE1" s="437"/>
      <c r="DYF1" s="437"/>
      <c r="DYG1" s="437"/>
      <c r="DYH1" s="437"/>
      <c r="DYI1" s="437"/>
      <c r="DYJ1" s="437"/>
      <c r="DYK1" s="437"/>
      <c r="DYL1" s="437"/>
      <c r="DYM1" s="437"/>
      <c r="DYN1" s="437"/>
      <c r="DYO1" s="437"/>
      <c r="DYP1" s="437"/>
      <c r="DYQ1" s="437"/>
      <c r="DYR1" s="437"/>
      <c r="DYS1" s="437"/>
      <c r="DYT1" s="437"/>
      <c r="DYU1" s="437"/>
      <c r="DYV1" s="437"/>
      <c r="DYW1" s="437"/>
      <c r="DYX1" s="437"/>
      <c r="DYY1" s="437"/>
      <c r="DYZ1" s="437"/>
      <c r="DZA1" s="437"/>
      <c r="DZB1" s="437"/>
      <c r="DZC1" s="437"/>
      <c r="DZD1" s="437"/>
      <c r="DZE1" s="437"/>
      <c r="DZF1" s="437"/>
      <c r="DZG1" s="437"/>
      <c r="DZH1" s="437"/>
      <c r="DZI1" s="437"/>
      <c r="DZJ1" s="437"/>
      <c r="DZK1" s="437"/>
      <c r="DZL1" s="437"/>
      <c r="DZM1" s="437"/>
      <c r="DZN1" s="437"/>
      <c r="DZO1" s="437"/>
      <c r="DZP1" s="437"/>
      <c r="DZQ1" s="437"/>
      <c r="DZR1" s="437"/>
      <c r="DZS1" s="437"/>
      <c r="DZT1" s="437"/>
      <c r="DZU1" s="437"/>
      <c r="DZV1" s="437"/>
      <c r="DZW1" s="437"/>
      <c r="DZX1" s="437"/>
      <c r="DZY1" s="437"/>
      <c r="DZZ1" s="437"/>
      <c r="EAA1" s="437"/>
      <c r="EAB1" s="437"/>
      <c r="EAC1" s="437"/>
      <c r="EAD1" s="437"/>
      <c r="EAE1" s="437"/>
      <c r="EAF1" s="437"/>
      <c r="EAG1" s="437"/>
      <c r="EAH1" s="437"/>
      <c r="EAI1" s="437"/>
      <c r="EAJ1" s="437"/>
      <c r="EAK1" s="437"/>
      <c r="EAL1" s="437"/>
      <c r="EAM1" s="437"/>
      <c r="EAN1" s="437"/>
      <c r="EAO1" s="437"/>
      <c r="EAP1" s="437"/>
      <c r="EAQ1" s="437"/>
      <c r="EAR1" s="437"/>
      <c r="EAS1" s="437"/>
      <c r="EAT1" s="437"/>
      <c r="EAU1" s="437"/>
      <c r="EAV1" s="437"/>
      <c r="EAW1" s="437"/>
      <c r="EAX1" s="437"/>
      <c r="EAY1" s="437"/>
      <c r="EAZ1" s="437"/>
      <c r="EBA1" s="437"/>
      <c r="EBB1" s="437"/>
      <c r="EBC1" s="437"/>
      <c r="EBD1" s="437"/>
      <c r="EBE1" s="437"/>
      <c r="EBF1" s="437"/>
      <c r="EBG1" s="437"/>
      <c r="EBH1" s="437"/>
      <c r="EBI1" s="437"/>
      <c r="EBJ1" s="437"/>
      <c r="EBK1" s="437"/>
      <c r="EBL1" s="437"/>
      <c r="EBM1" s="437"/>
      <c r="EBN1" s="437"/>
      <c r="EBO1" s="437"/>
      <c r="EBP1" s="437"/>
      <c r="EBQ1" s="437"/>
      <c r="EBR1" s="437"/>
      <c r="EBS1" s="437"/>
      <c r="EBT1" s="437"/>
      <c r="EBU1" s="437"/>
      <c r="EBV1" s="437"/>
      <c r="EBW1" s="437"/>
      <c r="EBX1" s="437"/>
      <c r="EBY1" s="437"/>
      <c r="EBZ1" s="437"/>
      <c r="ECA1" s="437"/>
      <c r="ECB1" s="437"/>
      <c r="ECC1" s="437"/>
      <c r="ECD1" s="437"/>
      <c r="ECE1" s="437"/>
      <c r="ECF1" s="437"/>
      <c r="ECG1" s="437"/>
      <c r="ECH1" s="437"/>
      <c r="ECI1" s="437"/>
      <c r="ECJ1" s="437"/>
      <c r="ECK1" s="437"/>
      <c r="ECL1" s="437"/>
      <c r="ECM1" s="437"/>
      <c r="ECN1" s="437"/>
      <c r="ECO1" s="437"/>
      <c r="ECP1" s="437"/>
      <c r="ECQ1" s="437"/>
      <c r="ECR1" s="437"/>
      <c r="ECS1" s="437"/>
      <c r="ECT1" s="437"/>
      <c r="ECU1" s="437"/>
      <c r="ECV1" s="437"/>
      <c r="ECW1" s="437"/>
      <c r="ECX1" s="437"/>
      <c r="ECY1" s="437"/>
      <c r="ECZ1" s="437"/>
      <c r="EDA1" s="437"/>
      <c r="EDB1" s="437"/>
      <c r="EDC1" s="437"/>
      <c r="EDD1" s="437"/>
      <c r="EDE1" s="437"/>
      <c r="EDF1" s="437"/>
      <c r="EDG1" s="437"/>
      <c r="EDH1" s="437"/>
      <c r="EDI1" s="437"/>
      <c r="EDJ1" s="437"/>
      <c r="EDK1" s="437"/>
      <c r="EDL1" s="437"/>
      <c r="EDM1" s="437"/>
      <c r="EDN1" s="437"/>
      <c r="EDO1" s="437"/>
      <c r="EDP1" s="437"/>
      <c r="EDQ1" s="437"/>
      <c r="EDR1" s="437"/>
      <c r="EDS1" s="437"/>
      <c r="EDT1" s="437"/>
      <c r="EDU1" s="437"/>
      <c r="EDV1" s="437"/>
      <c r="EDW1" s="437"/>
      <c r="EDX1" s="437"/>
      <c r="EDY1" s="437"/>
      <c r="EDZ1" s="437"/>
      <c r="EEA1" s="437"/>
      <c r="EEB1" s="437"/>
      <c r="EEC1" s="437"/>
      <c r="EED1" s="437"/>
      <c r="EEE1" s="437"/>
      <c r="EEF1" s="437"/>
      <c r="EEG1" s="437"/>
      <c r="EEH1" s="437"/>
      <c r="EEI1" s="437"/>
      <c r="EEJ1" s="437"/>
      <c r="EEK1" s="437"/>
      <c r="EEL1" s="437"/>
      <c r="EEM1" s="437"/>
      <c r="EEN1" s="437"/>
      <c r="EEO1" s="437"/>
      <c r="EEP1" s="437"/>
      <c r="EEQ1" s="437"/>
      <c r="EER1" s="437"/>
      <c r="EES1" s="437"/>
      <c r="EET1" s="437"/>
      <c r="EEU1" s="437"/>
      <c r="EEV1" s="437"/>
      <c r="EEW1" s="437"/>
      <c r="EEX1" s="437"/>
      <c r="EEY1" s="437"/>
      <c r="EEZ1" s="437"/>
      <c r="EFA1" s="437"/>
      <c r="EFB1" s="437"/>
      <c r="EFC1" s="437"/>
      <c r="EFD1" s="437"/>
      <c r="EFE1" s="437"/>
      <c r="EFF1" s="437"/>
      <c r="EFG1" s="437"/>
      <c r="EFH1" s="437"/>
      <c r="EFI1" s="437"/>
      <c r="EFJ1" s="437"/>
      <c r="EFK1" s="437"/>
      <c r="EFL1" s="437"/>
      <c r="EFM1" s="437"/>
      <c r="EFN1" s="437"/>
      <c r="EFO1" s="437"/>
      <c r="EFP1" s="437"/>
      <c r="EFQ1" s="437"/>
      <c r="EFR1" s="437"/>
      <c r="EFS1" s="437"/>
      <c r="EFT1" s="437"/>
      <c r="EFU1" s="437"/>
      <c r="EFV1" s="437"/>
      <c r="EFW1" s="437"/>
      <c r="EFX1" s="437"/>
      <c r="EFY1" s="437"/>
      <c r="EFZ1" s="437"/>
      <c r="EGA1" s="437"/>
      <c r="EGB1" s="437"/>
      <c r="EGC1" s="437"/>
      <c r="EGD1" s="437"/>
      <c r="EGE1" s="437"/>
      <c r="EGF1" s="437"/>
      <c r="EGG1" s="437"/>
      <c r="EGH1" s="437"/>
      <c r="EGI1" s="437"/>
      <c r="EGJ1" s="437"/>
      <c r="EGK1" s="437"/>
      <c r="EGL1" s="437"/>
      <c r="EGM1" s="437"/>
      <c r="EGN1" s="437"/>
      <c r="EGO1" s="437"/>
      <c r="EGP1" s="437"/>
      <c r="EGQ1" s="437"/>
      <c r="EGR1" s="437"/>
      <c r="EGS1" s="437"/>
      <c r="EGT1" s="437"/>
      <c r="EGU1" s="437"/>
      <c r="EGV1" s="437"/>
      <c r="EGW1" s="437"/>
      <c r="EGX1" s="437"/>
      <c r="EGY1" s="437"/>
      <c r="EGZ1" s="437"/>
      <c r="EHA1" s="437"/>
      <c r="EHB1" s="437"/>
      <c r="EHC1" s="437"/>
      <c r="EHD1" s="437"/>
      <c r="EHE1" s="437"/>
      <c r="EHF1" s="437"/>
      <c r="EHG1" s="437"/>
      <c r="EHH1" s="437"/>
      <c r="EHI1" s="437"/>
      <c r="EHJ1" s="437"/>
      <c r="EHK1" s="437"/>
      <c r="EHL1" s="437"/>
      <c r="EHM1" s="437"/>
      <c r="EHN1" s="437"/>
      <c r="EHO1" s="437"/>
      <c r="EHP1" s="437"/>
      <c r="EHQ1" s="437"/>
      <c r="EHR1" s="437"/>
      <c r="EHS1" s="437"/>
      <c r="EHT1" s="437"/>
      <c r="EHU1" s="437"/>
      <c r="EHV1" s="437"/>
      <c r="EHW1" s="437"/>
      <c r="EHX1" s="437"/>
      <c r="EHY1" s="437"/>
      <c r="EHZ1" s="437"/>
      <c r="EIA1" s="437"/>
      <c r="EIB1" s="437"/>
      <c r="EIC1" s="437"/>
      <c r="EID1" s="437"/>
      <c r="EIE1" s="437"/>
      <c r="EIF1" s="437"/>
      <c r="EIG1" s="437"/>
      <c r="EIH1" s="437"/>
      <c r="EII1" s="437"/>
      <c r="EIJ1" s="437"/>
      <c r="EIK1" s="437"/>
      <c r="EIL1" s="437"/>
      <c r="EIM1" s="437"/>
      <c r="EIN1" s="437"/>
      <c r="EIO1" s="437"/>
      <c r="EIP1" s="437"/>
      <c r="EIQ1" s="437"/>
      <c r="EIR1" s="437"/>
      <c r="EIS1" s="437"/>
      <c r="EIT1" s="437"/>
      <c r="EIU1" s="437"/>
      <c r="EIV1" s="437"/>
      <c r="EIW1" s="437"/>
      <c r="EIX1" s="437"/>
      <c r="EIY1" s="437"/>
      <c r="EIZ1" s="437"/>
      <c r="EJA1" s="437"/>
      <c r="EJB1" s="437"/>
      <c r="EJC1" s="437"/>
      <c r="EJD1" s="437"/>
      <c r="EJE1" s="437"/>
      <c r="EJF1" s="437"/>
      <c r="EJG1" s="437"/>
      <c r="EJH1" s="437"/>
      <c r="EJI1" s="437"/>
      <c r="EJJ1" s="437"/>
      <c r="EJK1" s="437"/>
      <c r="EJL1" s="437"/>
      <c r="EJM1" s="437"/>
      <c r="EJN1" s="437"/>
      <c r="EJO1" s="437"/>
      <c r="EJP1" s="437"/>
      <c r="EJQ1" s="437"/>
      <c r="EJR1" s="437"/>
      <c r="EJS1" s="437"/>
      <c r="EJT1" s="437"/>
      <c r="EJU1" s="437"/>
      <c r="EJV1" s="437"/>
      <c r="EJW1" s="437"/>
      <c r="EJX1" s="437"/>
      <c r="EJY1" s="437"/>
      <c r="EJZ1" s="437"/>
      <c r="EKA1" s="437"/>
      <c r="EKB1" s="437"/>
      <c r="EKC1" s="437"/>
      <c r="EKD1" s="437"/>
      <c r="EKE1" s="437"/>
      <c r="EKF1" s="437"/>
      <c r="EKG1" s="437"/>
      <c r="EKH1" s="437"/>
      <c r="EKI1" s="437"/>
      <c r="EKJ1" s="437"/>
      <c r="EKK1" s="437"/>
      <c r="EKL1" s="437"/>
      <c r="EKM1" s="437"/>
      <c r="EKN1" s="437"/>
      <c r="EKO1" s="437"/>
      <c r="EKP1" s="437"/>
      <c r="EKQ1" s="437"/>
      <c r="EKR1" s="437"/>
      <c r="EKS1" s="437"/>
      <c r="EKT1" s="437"/>
      <c r="EKU1" s="437"/>
      <c r="EKV1" s="437"/>
      <c r="EKW1" s="437"/>
      <c r="EKX1" s="437"/>
      <c r="EKY1" s="437"/>
      <c r="EKZ1" s="437"/>
      <c r="ELA1" s="437"/>
      <c r="ELB1" s="437"/>
      <c r="ELC1" s="437"/>
      <c r="ELD1" s="437"/>
      <c r="ELE1" s="437"/>
      <c r="ELF1" s="437"/>
      <c r="ELG1" s="437"/>
      <c r="ELH1" s="437"/>
      <c r="ELI1" s="437"/>
      <c r="ELJ1" s="437"/>
      <c r="ELK1" s="437"/>
      <c r="ELL1" s="437"/>
      <c r="ELM1" s="437"/>
      <c r="ELN1" s="437"/>
      <c r="ELO1" s="437"/>
      <c r="ELP1" s="437"/>
      <c r="ELQ1" s="437"/>
      <c r="ELR1" s="437"/>
      <c r="ELS1" s="437"/>
      <c r="ELT1" s="437"/>
      <c r="ELU1" s="437"/>
      <c r="ELV1" s="437"/>
      <c r="ELW1" s="437"/>
      <c r="ELX1" s="437"/>
      <c r="ELY1" s="437"/>
      <c r="ELZ1" s="437"/>
      <c r="EMA1" s="437"/>
      <c r="EMB1" s="437"/>
      <c r="EMC1" s="437"/>
      <c r="EMD1" s="437"/>
      <c r="EME1" s="437"/>
      <c r="EMF1" s="437"/>
      <c r="EMG1" s="437"/>
      <c r="EMH1" s="437"/>
      <c r="EMI1" s="437"/>
      <c r="EMJ1" s="437"/>
      <c r="EMK1" s="437"/>
      <c r="EML1" s="437"/>
      <c r="EMM1" s="437"/>
      <c r="EMN1" s="437"/>
      <c r="EMO1" s="437"/>
      <c r="EMP1" s="437"/>
      <c r="EMQ1" s="437"/>
      <c r="EMR1" s="437"/>
      <c r="EMS1" s="437"/>
      <c r="EMT1" s="437"/>
      <c r="EMU1" s="437"/>
      <c r="EMV1" s="437"/>
      <c r="EMW1" s="437"/>
      <c r="EMX1" s="437"/>
      <c r="EMY1" s="437"/>
      <c r="EMZ1" s="437"/>
      <c r="ENA1" s="437"/>
      <c r="ENB1" s="437"/>
      <c r="ENC1" s="437"/>
      <c r="END1" s="437"/>
      <c r="ENE1" s="437"/>
      <c r="ENF1" s="437"/>
      <c r="ENG1" s="437"/>
      <c r="ENH1" s="437"/>
      <c r="ENI1" s="437"/>
      <c r="ENJ1" s="437"/>
      <c r="ENK1" s="437"/>
      <c r="ENL1" s="437"/>
      <c r="ENM1" s="437"/>
      <c r="ENN1" s="437"/>
      <c r="ENO1" s="437"/>
      <c r="ENP1" s="437"/>
      <c r="ENQ1" s="437"/>
      <c r="ENR1" s="437"/>
      <c r="ENS1" s="437"/>
      <c r="ENT1" s="437"/>
      <c r="ENU1" s="437"/>
      <c r="ENV1" s="437"/>
      <c r="ENW1" s="437"/>
      <c r="ENX1" s="437"/>
      <c r="ENY1" s="437"/>
      <c r="ENZ1" s="437"/>
      <c r="EOA1" s="437"/>
      <c r="EOB1" s="437"/>
      <c r="EOC1" s="437"/>
      <c r="EOD1" s="437"/>
      <c r="EOE1" s="437"/>
      <c r="EOF1" s="437"/>
      <c r="EOG1" s="437"/>
      <c r="EOH1" s="437"/>
      <c r="EOI1" s="437"/>
      <c r="EOJ1" s="437"/>
      <c r="EOK1" s="437"/>
      <c r="EOL1" s="437"/>
      <c r="EOM1" s="437"/>
      <c r="EON1" s="437"/>
      <c r="EOO1" s="437"/>
      <c r="EOP1" s="437"/>
      <c r="EOQ1" s="437"/>
      <c r="EOR1" s="437"/>
      <c r="EOS1" s="437"/>
      <c r="EOT1" s="437"/>
      <c r="EOU1" s="437"/>
      <c r="EOV1" s="437"/>
      <c r="EOW1" s="437"/>
      <c r="EOX1" s="437"/>
      <c r="EOY1" s="437"/>
      <c r="EOZ1" s="437"/>
      <c r="EPA1" s="437"/>
      <c r="EPB1" s="437"/>
      <c r="EPC1" s="437"/>
      <c r="EPD1" s="437"/>
      <c r="EPE1" s="437"/>
      <c r="EPF1" s="437"/>
      <c r="EPG1" s="437"/>
      <c r="EPH1" s="437"/>
      <c r="EPI1" s="437"/>
      <c r="EPJ1" s="437"/>
      <c r="EPK1" s="437"/>
      <c r="EPL1" s="437"/>
      <c r="EPM1" s="437"/>
      <c r="EPN1" s="437"/>
      <c r="EPO1" s="437"/>
      <c r="EPP1" s="437"/>
      <c r="EPQ1" s="437"/>
      <c r="EPR1" s="437"/>
      <c r="EPS1" s="437"/>
      <c r="EPT1" s="437"/>
      <c r="EPU1" s="437"/>
      <c r="EPV1" s="437"/>
      <c r="EPW1" s="437"/>
      <c r="EPX1" s="437"/>
      <c r="EPY1" s="437"/>
      <c r="EPZ1" s="437"/>
      <c r="EQA1" s="437"/>
      <c r="EQB1" s="437"/>
      <c r="EQC1" s="437"/>
      <c r="EQD1" s="437"/>
      <c r="EQE1" s="437"/>
      <c r="EQF1" s="437"/>
      <c r="EQG1" s="437"/>
      <c r="EQH1" s="437"/>
      <c r="EQI1" s="437"/>
      <c r="EQJ1" s="437"/>
      <c r="EQK1" s="437"/>
      <c r="EQL1" s="437"/>
      <c r="EQM1" s="437"/>
      <c r="EQN1" s="437"/>
      <c r="EQO1" s="437"/>
      <c r="EQP1" s="437"/>
      <c r="EQQ1" s="437"/>
      <c r="EQR1" s="437"/>
      <c r="EQS1" s="437"/>
      <c r="EQT1" s="437"/>
      <c r="EQU1" s="437"/>
      <c r="EQV1" s="437"/>
      <c r="EQW1" s="437"/>
      <c r="EQX1" s="437"/>
      <c r="EQY1" s="437"/>
      <c r="EQZ1" s="437"/>
      <c r="ERA1" s="437"/>
      <c r="ERB1" s="437"/>
      <c r="ERC1" s="437"/>
      <c r="ERD1" s="437"/>
      <c r="ERE1" s="437"/>
      <c r="ERF1" s="437"/>
      <c r="ERG1" s="437"/>
      <c r="ERH1" s="437"/>
      <c r="ERI1" s="437"/>
      <c r="ERJ1" s="437"/>
      <c r="ERK1" s="437"/>
      <c r="ERL1" s="437"/>
      <c r="ERM1" s="437"/>
      <c r="ERN1" s="437"/>
      <c r="ERO1" s="437"/>
      <c r="ERP1" s="437"/>
      <c r="ERQ1" s="437"/>
      <c r="ERR1" s="437"/>
      <c r="ERS1" s="437"/>
      <c r="ERT1" s="437"/>
      <c r="ERU1" s="437"/>
      <c r="ERV1" s="437"/>
      <c r="ERW1" s="437"/>
      <c r="ERX1" s="437"/>
      <c r="ERY1" s="437"/>
      <c r="ERZ1" s="437"/>
      <c r="ESA1" s="437"/>
      <c r="ESB1" s="437"/>
      <c r="ESC1" s="437"/>
      <c r="ESD1" s="437"/>
      <c r="ESE1" s="437"/>
      <c r="ESF1" s="437"/>
      <c r="ESG1" s="437"/>
      <c r="ESH1" s="437"/>
      <c r="ESI1" s="437"/>
      <c r="ESJ1" s="437"/>
      <c r="ESK1" s="437"/>
      <c r="ESL1" s="437"/>
      <c r="ESM1" s="437"/>
      <c r="ESN1" s="437"/>
      <c r="ESO1" s="437"/>
      <c r="ESP1" s="437"/>
      <c r="ESQ1" s="437"/>
      <c r="ESR1" s="437"/>
      <c r="ESS1" s="437"/>
      <c r="EST1" s="437"/>
      <c r="ESU1" s="437"/>
      <c r="ESV1" s="437"/>
      <c r="ESW1" s="437"/>
      <c r="ESX1" s="437"/>
      <c r="ESY1" s="437"/>
      <c r="ESZ1" s="437"/>
      <c r="ETA1" s="437"/>
      <c r="ETB1" s="437"/>
      <c r="ETC1" s="437"/>
      <c r="ETD1" s="437"/>
      <c r="ETE1" s="437"/>
      <c r="ETF1" s="437"/>
      <c r="ETG1" s="437"/>
      <c r="ETH1" s="437"/>
      <c r="ETI1" s="437"/>
      <c r="ETJ1" s="437"/>
      <c r="ETK1" s="437"/>
      <c r="ETL1" s="437"/>
      <c r="ETM1" s="437"/>
      <c r="ETN1" s="437"/>
      <c r="ETO1" s="437"/>
      <c r="ETP1" s="437"/>
      <c r="ETQ1" s="437"/>
      <c r="ETR1" s="437"/>
      <c r="ETS1" s="437"/>
      <c r="ETT1" s="437"/>
      <c r="ETU1" s="437"/>
      <c r="ETV1" s="437"/>
      <c r="ETW1" s="437"/>
      <c r="ETX1" s="437"/>
      <c r="ETY1" s="437"/>
      <c r="ETZ1" s="437"/>
      <c r="EUA1" s="437"/>
      <c r="EUB1" s="437"/>
      <c r="EUC1" s="437"/>
      <c r="EUD1" s="437"/>
      <c r="EUE1" s="437"/>
      <c r="EUF1" s="437"/>
      <c r="EUG1" s="437"/>
      <c r="EUH1" s="437"/>
      <c r="EUI1" s="437"/>
      <c r="EUJ1" s="437"/>
      <c r="EUK1" s="437"/>
      <c r="EUL1" s="437"/>
      <c r="EUM1" s="437"/>
      <c r="EUN1" s="437"/>
      <c r="EUO1" s="437"/>
      <c r="EUP1" s="437"/>
      <c r="EUQ1" s="437"/>
      <c r="EUR1" s="437"/>
      <c r="EUS1" s="437"/>
      <c r="EUT1" s="437"/>
      <c r="EUU1" s="437"/>
      <c r="EUV1" s="437"/>
      <c r="EUW1" s="437"/>
      <c r="EUX1" s="437"/>
      <c r="EUY1" s="437"/>
      <c r="EUZ1" s="437"/>
      <c r="EVA1" s="437"/>
      <c r="EVB1" s="437"/>
      <c r="EVC1" s="437"/>
      <c r="EVD1" s="437"/>
      <c r="EVE1" s="437"/>
      <c r="EVF1" s="437"/>
      <c r="EVG1" s="437"/>
      <c r="EVH1" s="437"/>
      <c r="EVI1" s="437"/>
      <c r="EVJ1" s="437"/>
      <c r="EVK1" s="437"/>
      <c r="EVL1" s="437"/>
      <c r="EVM1" s="437"/>
      <c r="EVN1" s="437"/>
      <c r="EVO1" s="437"/>
      <c r="EVP1" s="437"/>
      <c r="EVQ1" s="437"/>
      <c r="EVR1" s="437"/>
      <c r="EVS1" s="437"/>
      <c r="EVT1" s="437"/>
      <c r="EVU1" s="437"/>
      <c r="EVV1" s="437"/>
      <c r="EVW1" s="437"/>
      <c r="EVX1" s="437"/>
      <c r="EVY1" s="437"/>
      <c r="EVZ1" s="437"/>
      <c r="EWA1" s="437"/>
      <c r="EWB1" s="437"/>
      <c r="EWC1" s="437"/>
      <c r="EWD1" s="437"/>
      <c r="EWE1" s="437"/>
      <c r="EWF1" s="437"/>
      <c r="EWG1" s="437"/>
      <c r="EWH1" s="437"/>
      <c r="EWI1" s="437"/>
      <c r="EWJ1" s="437"/>
      <c r="EWK1" s="437"/>
      <c r="EWL1" s="437"/>
      <c r="EWM1" s="437"/>
      <c r="EWN1" s="437"/>
      <c r="EWO1" s="437"/>
      <c r="EWP1" s="437"/>
      <c r="EWQ1" s="437"/>
      <c r="EWR1" s="437"/>
      <c r="EWS1" s="437"/>
      <c r="EWT1" s="437"/>
      <c r="EWU1" s="437"/>
      <c r="EWV1" s="437"/>
      <c r="EWW1" s="437"/>
      <c r="EWX1" s="437"/>
      <c r="EWY1" s="437"/>
      <c r="EWZ1" s="437"/>
      <c r="EXA1" s="437"/>
      <c r="EXB1" s="437"/>
      <c r="EXC1" s="437"/>
      <c r="EXD1" s="437"/>
      <c r="EXE1" s="437"/>
      <c r="EXF1" s="437"/>
      <c r="EXG1" s="437"/>
      <c r="EXH1" s="437"/>
      <c r="EXI1" s="437"/>
      <c r="EXJ1" s="437"/>
      <c r="EXK1" s="437"/>
      <c r="EXL1" s="437"/>
      <c r="EXM1" s="437"/>
      <c r="EXN1" s="437"/>
      <c r="EXO1" s="437"/>
      <c r="EXP1" s="437"/>
      <c r="EXQ1" s="437"/>
      <c r="EXR1" s="437"/>
      <c r="EXS1" s="437"/>
      <c r="EXT1" s="437"/>
      <c r="EXU1" s="437"/>
      <c r="EXV1" s="437"/>
      <c r="EXW1" s="437"/>
      <c r="EXX1" s="437"/>
      <c r="EXY1" s="437"/>
      <c r="EXZ1" s="437"/>
      <c r="EYA1" s="437"/>
      <c r="EYB1" s="437"/>
      <c r="EYC1" s="437"/>
      <c r="EYD1" s="437"/>
      <c r="EYE1" s="437"/>
      <c r="EYF1" s="437"/>
      <c r="EYG1" s="437"/>
      <c r="EYH1" s="437"/>
      <c r="EYI1" s="437"/>
      <c r="EYJ1" s="437"/>
      <c r="EYK1" s="437"/>
      <c r="EYL1" s="437"/>
      <c r="EYM1" s="437"/>
      <c r="EYN1" s="437"/>
      <c r="EYO1" s="437"/>
      <c r="EYP1" s="437"/>
      <c r="EYQ1" s="437"/>
      <c r="EYR1" s="437"/>
      <c r="EYS1" s="437"/>
      <c r="EYT1" s="437"/>
      <c r="EYU1" s="437"/>
      <c r="EYV1" s="437"/>
      <c r="EYW1" s="437"/>
      <c r="EYX1" s="437"/>
      <c r="EYY1" s="437"/>
      <c r="EYZ1" s="437"/>
      <c r="EZA1" s="437"/>
      <c r="EZB1" s="437"/>
      <c r="EZC1" s="437"/>
      <c r="EZD1" s="437"/>
      <c r="EZE1" s="437"/>
      <c r="EZF1" s="437"/>
      <c r="EZG1" s="437"/>
      <c r="EZH1" s="437"/>
      <c r="EZI1" s="437"/>
      <c r="EZJ1" s="437"/>
      <c r="EZK1" s="437"/>
      <c r="EZL1" s="437"/>
      <c r="EZM1" s="437"/>
      <c r="EZN1" s="437"/>
      <c r="EZO1" s="437"/>
      <c r="EZP1" s="437"/>
      <c r="EZQ1" s="437"/>
      <c r="EZR1" s="437"/>
      <c r="EZS1" s="437"/>
      <c r="EZT1" s="437"/>
      <c r="EZU1" s="437"/>
      <c r="EZV1" s="437"/>
      <c r="EZW1" s="437"/>
      <c r="EZX1" s="437"/>
      <c r="EZY1" s="437"/>
      <c r="EZZ1" s="437"/>
      <c r="FAA1" s="437"/>
      <c r="FAB1" s="437"/>
      <c r="FAC1" s="437"/>
      <c r="FAD1" s="437"/>
      <c r="FAE1" s="437"/>
      <c r="FAF1" s="437"/>
      <c r="FAG1" s="437"/>
      <c r="FAH1" s="437"/>
      <c r="FAI1" s="437"/>
      <c r="FAJ1" s="437"/>
      <c r="FAK1" s="437"/>
      <c r="FAL1" s="437"/>
      <c r="FAM1" s="437"/>
      <c r="FAN1" s="437"/>
      <c r="FAO1" s="437"/>
      <c r="FAP1" s="437"/>
      <c r="FAQ1" s="437"/>
      <c r="FAR1" s="437"/>
      <c r="FAS1" s="437"/>
      <c r="FAT1" s="437"/>
      <c r="FAU1" s="437"/>
      <c r="FAV1" s="437"/>
      <c r="FAW1" s="437"/>
      <c r="FAX1" s="437"/>
      <c r="FAY1" s="437"/>
      <c r="FAZ1" s="437"/>
      <c r="FBA1" s="437"/>
      <c r="FBB1" s="437"/>
      <c r="FBC1" s="437"/>
      <c r="FBD1" s="437"/>
      <c r="FBE1" s="437"/>
      <c r="FBF1" s="437"/>
      <c r="FBG1" s="437"/>
      <c r="FBH1" s="437"/>
      <c r="FBI1" s="437"/>
      <c r="FBJ1" s="437"/>
      <c r="FBK1" s="437"/>
      <c r="FBL1" s="437"/>
      <c r="FBM1" s="437"/>
      <c r="FBN1" s="437"/>
      <c r="FBO1" s="437"/>
      <c r="FBP1" s="437"/>
      <c r="FBQ1" s="437"/>
      <c r="FBR1" s="437"/>
      <c r="FBS1" s="437"/>
      <c r="FBT1" s="437"/>
      <c r="FBU1" s="437"/>
      <c r="FBV1" s="437"/>
      <c r="FBW1" s="437"/>
      <c r="FBX1" s="437"/>
      <c r="FBY1" s="437"/>
      <c r="FBZ1" s="437"/>
      <c r="FCA1" s="437"/>
      <c r="FCB1" s="437"/>
      <c r="FCC1" s="437"/>
      <c r="FCD1" s="437"/>
      <c r="FCE1" s="437"/>
      <c r="FCF1" s="437"/>
      <c r="FCG1" s="437"/>
      <c r="FCH1" s="437"/>
      <c r="FCI1" s="437"/>
      <c r="FCJ1" s="437"/>
      <c r="FCK1" s="437"/>
      <c r="FCL1" s="437"/>
      <c r="FCM1" s="437"/>
      <c r="FCN1" s="437"/>
      <c r="FCO1" s="437"/>
      <c r="FCP1" s="437"/>
      <c r="FCQ1" s="437"/>
      <c r="FCR1" s="437"/>
      <c r="FCS1" s="437"/>
      <c r="FCT1" s="437"/>
      <c r="FCU1" s="437"/>
      <c r="FCV1" s="437"/>
      <c r="FCW1" s="437"/>
      <c r="FCX1" s="437"/>
      <c r="FCY1" s="437"/>
      <c r="FCZ1" s="437"/>
      <c r="FDA1" s="437"/>
      <c r="FDB1" s="437"/>
      <c r="FDC1" s="437"/>
      <c r="FDD1" s="437"/>
      <c r="FDE1" s="437"/>
      <c r="FDF1" s="437"/>
      <c r="FDG1" s="437"/>
      <c r="FDH1" s="437"/>
      <c r="FDI1" s="437"/>
      <c r="FDJ1" s="437"/>
      <c r="FDK1" s="437"/>
      <c r="FDL1" s="437"/>
      <c r="FDM1" s="437"/>
      <c r="FDN1" s="437"/>
      <c r="FDO1" s="437"/>
      <c r="FDP1" s="437"/>
      <c r="FDQ1" s="437"/>
      <c r="FDR1" s="437"/>
      <c r="FDS1" s="437"/>
      <c r="FDT1" s="437"/>
      <c r="FDU1" s="437"/>
      <c r="FDV1" s="437"/>
      <c r="FDW1" s="437"/>
      <c r="FDX1" s="437"/>
      <c r="FDY1" s="437"/>
      <c r="FDZ1" s="437"/>
      <c r="FEA1" s="437"/>
      <c r="FEB1" s="437"/>
      <c r="FEC1" s="437"/>
      <c r="FED1" s="437"/>
      <c r="FEE1" s="437"/>
      <c r="FEF1" s="437"/>
      <c r="FEG1" s="437"/>
      <c r="FEH1" s="437"/>
      <c r="FEI1" s="437"/>
      <c r="FEJ1" s="437"/>
      <c r="FEK1" s="437"/>
      <c r="FEL1" s="437"/>
      <c r="FEM1" s="437"/>
      <c r="FEN1" s="437"/>
      <c r="FEO1" s="437"/>
      <c r="FEP1" s="437"/>
      <c r="FEQ1" s="437"/>
      <c r="FER1" s="437"/>
      <c r="FES1" s="437"/>
      <c r="FET1" s="437"/>
      <c r="FEU1" s="437"/>
      <c r="FEV1" s="437"/>
      <c r="FEW1" s="437"/>
      <c r="FEX1" s="437"/>
      <c r="FEY1" s="437"/>
      <c r="FEZ1" s="437"/>
      <c r="FFA1" s="437"/>
      <c r="FFB1" s="437"/>
      <c r="FFC1" s="437"/>
      <c r="FFD1" s="437"/>
      <c r="FFE1" s="437"/>
      <c r="FFF1" s="437"/>
      <c r="FFG1" s="437"/>
      <c r="FFH1" s="437"/>
      <c r="FFI1" s="437"/>
      <c r="FFJ1" s="437"/>
      <c r="FFK1" s="437"/>
      <c r="FFL1" s="437"/>
      <c r="FFM1" s="437"/>
      <c r="FFN1" s="437"/>
      <c r="FFO1" s="437"/>
      <c r="FFP1" s="437"/>
      <c r="FFQ1" s="437"/>
      <c r="FFR1" s="437"/>
      <c r="FFS1" s="437"/>
      <c r="FFT1" s="437"/>
      <c r="FFU1" s="437"/>
      <c r="FFV1" s="437"/>
      <c r="FFW1" s="437"/>
      <c r="FFX1" s="437"/>
      <c r="FFY1" s="437"/>
      <c r="FFZ1" s="437"/>
      <c r="FGA1" s="437"/>
      <c r="FGB1" s="437"/>
      <c r="FGC1" s="437"/>
      <c r="FGD1" s="437"/>
      <c r="FGE1" s="437"/>
      <c r="FGF1" s="437"/>
      <c r="FGG1" s="437"/>
      <c r="FGH1" s="437"/>
      <c r="FGI1" s="437"/>
      <c r="FGJ1" s="437"/>
      <c r="FGK1" s="437"/>
      <c r="FGL1" s="437"/>
      <c r="FGM1" s="437"/>
      <c r="FGN1" s="437"/>
      <c r="FGO1" s="437"/>
      <c r="FGP1" s="437"/>
      <c r="FGQ1" s="437"/>
      <c r="FGR1" s="437"/>
      <c r="FGS1" s="437"/>
      <c r="FGT1" s="437"/>
      <c r="FGU1" s="437"/>
      <c r="FGV1" s="437"/>
      <c r="FGW1" s="437"/>
      <c r="FGX1" s="437"/>
      <c r="FGY1" s="437"/>
      <c r="FGZ1" s="437"/>
      <c r="FHA1" s="437"/>
      <c r="FHB1" s="437"/>
      <c r="FHC1" s="437"/>
      <c r="FHD1" s="437"/>
      <c r="FHE1" s="437"/>
      <c r="FHF1" s="437"/>
      <c r="FHG1" s="437"/>
      <c r="FHH1" s="437"/>
      <c r="FHI1" s="437"/>
      <c r="FHJ1" s="437"/>
      <c r="FHK1" s="437"/>
      <c r="FHL1" s="437"/>
      <c r="FHM1" s="437"/>
      <c r="FHN1" s="437"/>
      <c r="FHO1" s="437"/>
      <c r="FHP1" s="437"/>
      <c r="FHQ1" s="437"/>
      <c r="FHR1" s="437"/>
      <c r="FHS1" s="437"/>
      <c r="FHT1" s="437"/>
      <c r="FHU1" s="437"/>
      <c r="FHV1" s="437"/>
      <c r="FHW1" s="437"/>
      <c r="FHX1" s="437"/>
      <c r="FHY1" s="437"/>
      <c r="FHZ1" s="437"/>
      <c r="FIA1" s="437"/>
      <c r="FIB1" s="437"/>
      <c r="FIC1" s="437"/>
      <c r="FID1" s="437"/>
      <c r="FIE1" s="437"/>
      <c r="FIF1" s="437"/>
      <c r="FIG1" s="437"/>
      <c r="FIH1" s="437"/>
      <c r="FII1" s="437"/>
      <c r="FIJ1" s="437"/>
      <c r="FIK1" s="437"/>
      <c r="FIL1" s="437"/>
      <c r="FIM1" s="437"/>
      <c r="FIN1" s="437"/>
      <c r="FIO1" s="437"/>
      <c r="FIP1" s="437"/>
      <c r="FIQ1" s="437"/>
      <c r="FIR1" s="437"/>
      <c r="FIS1" s="437"/>
      <c r="FIT1" s="437"/>
      <c r="FIU1" s="437"/>
      <c r="FIV1" s="437"/>
      <c r="FIW1" s="437"/>
      <c r="FIX1" s="437"/>
      <c r="FIY1" s="437"/>
      <c r="FIZ1" s="437"/>
      <c r="FJA1" s="437"/>
      <c r="FJB1" s="437"/>
      <c r="FJC1" s="437"/>
      <c r="FJD1" s="437"/>
      <c r="FJE1" s="437"/>
      <c r="FJF1" s="437"/>
      <c r="FJG1" s="437"/>
      <c r="FJH1" s="437"/>
      <c r="FJI1" s="437"/>
      <c r="FJJ1" s="437"/>
      <c r="FJK1" s="437"/>
      <c r="FJL1" s="437"/>
      <c r="FJM1" s="437"/>
      <c r="FJN1" s="437"/>
      <c r="FJO1" s="437"/>
      <c r="FJP1" s="437"/>
      <c r="FJQ1" s="437"/>
      <c r="FJR1" s="437"/>
      <c r="FJS1" s="437"/>
      <c r="FJT1" s="437"/>
      <c r="FJU1" s="437"/>
      <c r="FJV1" s="437"/>
      <c r="FJW1" s="437"/>
      <c r="FJX1" s="437"/>
      <c r="FJY1" s="437"/>
      <c r="FJZ1" s="437"/>
      <c r="FKA1" s="437"/>
      <c r="FKB1" s="437"/>
      <c r="FKC1" s="437"/>
      <c r="FKD1" s="437"/>
      <c r="FKE1" s="437"/>
      <c r="FKF1" s="437"/>
      <c r="FKG1" s="437"/>
      <c r="FKH1" s="437"/>
      <c r="FKI1" s="437"/>
      <c r="FKJ1" s="437"/>
      <c r="FKK1" s="437"/>
      <c r="FKL1" s="437"/>
      <c r="FKM1" s="437"/>
      <c r="FKN1" s="437"/>
      <c r="FKO1" s="437"/>
      <c r="FKP1" s="437"/>
      <c r="FKQ1" s="437"/>
      <c r="FKR1" s="437"/>
      <c r="FKS1" s="437"/>
      <c r="FKT1" s="437"/>
      <c r="FKU1" s="437"/>
      <c r="FKV1" s="437"/>
      <c r="FKW1" s="437"/>
      <c r="FKX1" s="437"/>
      <c r="FKY1" s="437"/>
      <c r="FKZ1" s="437"/>
      <c r="FLA1" s="437"/>
      <c r="FLB1" s="437"/>
      <c r="FLC1" s="437"/>
      <c r="FLD1" s="437"/>
      <c r="FLE1" s="437"/>
      <c r="FLF1" s="437"/>
      <c r="FLG1" s="437"/>
      <c r="FLH1" s="437"/>
      <c r="FLI1" s="437"/>
      <c r="FLJ1" s="437"/>
      <c r="FLK1" s="437"/>
      <c r="FLL1" s="437"/>
      <c r="FLM1" s="437"/>
      <c r="FLN1" s="437"/>
      <c r="FLO1" s="437"/>
      <c r="FLP1" s="437"/>
      <c r="FLQ1" s="437"/>
      <c r="FLR1" s="437"/>
      <c r="FLS1" s="437"/>
      <c r="FLT1" s="437"/>
      <c r="FLU1" s="437"/>
      <c r="FLV1" s="437"/>
      <c r="FLW1" s="437"/>
      <c r="FLX1" s="437"/>
      <c r="FLY1" s="437"/>
      <c r="FLZ1" s="437"/>
      <c r="FMA1" s="437"/>
      <c r="FMB1" s="437"/>
      <c r="FMC1" s="437"/>
      <c r="FMD1" s="437"/>
      <c r="FME1" s="437"/>
      <c r="FMF1" s="437"/>
      <c r="FMG1" s="437"/>
      <c r="FMH1" s="437"/>
      <c r="FMI1" s="437"/>
      <c r="FMJ1" s="437"/>
      <c r="FMK1" s="437"/>
      <c r="FML1" s="437"/>
      <c r="FMM1" s="437"/>
      <c r="FMN1" s="437"/>
      <c r="FMO1" s="437"/>
      <c r="FMP1" s="437"/>
      <c r="FMQ1" s="437"/>
      <c r="FMR1" s="437"/>
      <c r="FMS1" s="437"/>
      <c r="FMT1" s="437"/>
      <c r="FMU1" s="437"/>
      <c r="FMV1" s="437"/>
      <c r="FMW1" s="437"/>
      <c r="FMX1" s="437"/>
      <c r="FMY1" s="437"/>
      <c r="FMZ1" s="437"/>
      <c r="FNA1" s="437"/>
      <c r="FNB1" s="437"/>
      <c r="FNC1" s="437"/>
      <c r="FND1" s="437"/>
      <c r="FNE1" s="437"/>
      <c r="FNF1" s="437"/>
      <c r="FNG1" s="437"/>
      <c r="FNH1" s="437"/>
      <c r="FNI1" s="437"/>
      <c r="FNJ1" s="437"/>
      <c r="FNK1" s="437"/>
      <c r="FNL1" s="437"/>
      <c r="FNM1" s="437"/>
      <c r="FNN1" s="437"/>
      <c r="FNO1" s="437"/>
      <c r="FNP1" s="437"/>
      <c r="FNQ1" s="437"/>
      <c r="FNR1" s="437"/>
      <c r="FNS1" s="437"/>
      <c r="FNT1" s="437"/>
      <c r="FNU1" s="437"/>
      <c r="FNV1" s="437"/>
      <c r="FNW1" s="437"/>
      <c r="FNX1" s="437"/>
      <c r="FNY1" s="437"/>
      <c r="FNZ1" s="437"/>
      <c r="FOA1" s="437"/>
      <c r="FOB1" s="437"/>
      <c r="FOC1" s="437"/>
      <c r="FOD1" s="437"/>
      <c r="FOE1" s="437"/>
      <c r="FOF1" s="437"/>
      <c r="FOG1" s="437"/>
      <c r="FOH1" s="437"/>
      <c r="FOI1" s="437"/>
      <c r="FOJ1" s="437"/>
      <c r="FOK1" s="437"/>
      <c r="FOL1" s="437"/>
      <c r="FOM1" s="437"/>
      <c r="FON1" s="437"/>
      <c r="FOO1" s="437"/>
      <c r="FOP1" s="437"/>
      <c r="FOQ1" s="437"/>
      <c r="FOR1" s="437"/>
      <c r="FOS1" s="437"/>
      <c r="FOT1" s="437"/>
      <c r="FOU1" s="437"/>
      <c r="FOV1" s="437"/>
      <c r="FOW1" s="437"/>
      <c r="FOX1" s="437"/>
      <c r="FOY1" s="437"/>
      <c r="FOZ1" s="437"/>
      <c r="FPA1" s="437"/>
      <c r="FPB1" s="437"/>
      <c r="FPC1" s="437"/>
      <c r="FPD1" s="437"/>
      <c r="FPE1" s="437"/>
      <c r="FPF1" s="437"/>
      <c r="FPG1" s="437"/>
      <c r="FPH1" s="437"/>
      <c r="FPI1" s="437"/>
      <c r="FPJ1" s="437"/>
      <c r="FPK1" s="437"/>
      <c r="FPL1" s="437"/>
      <c r="FPM1" s="437"/>
      <c r="FPN1" s="437"/>
      <c r="FPO1" s="437"/>
      <c r="FPP1" s="437"/>
      <c r="FPQ1" s="437"/>
      <c r="FPR1" s="437"/>
      <c r="FPS1" s="437"/>
      <c r="FPT1" s="437"/>
      <c r="FPU1" s="437"/>
      <c r="FPV1" s="437"/>
      <c r="FPW1" s="437"/>
      <c r="FPX1" s="437"/>
      <c r="FPY1" s="437"/>
      <c r="FPZ1" s="437"/>
      <c r="FQA1" s="437"/>
      <c r="FQB1" s="437"/>
      <c r="FQC1" s="437"/>
      <c r="FQD1" s="437"/>
      <c r="FQE1" s="437"/>
      <c r="FQF1" s="437"/>
      <c r="FQG1" s="437"/>
      <c r="FQH1" s="437"/>
      <c r="FQI1" s="437"/>
      <c r="FQJ1" s="437"/>
      <c r="FQK1" s="437"/>
      <c r="FQL1" s="437"/>
      <c r="FQM1" s="437"/>
      <c r="FQN1" s="437"/>
      <c r="FQO1" s="437"/>
      <c r="FQP1" s="437"/>
      <c r="FQQ1" s="437"/>
      <c r="FQR1" s="437"/>
      <c r="FQS1" s="437"/>
      <c r="FQT1" s="437"/>
      <c r="FQU1" s="437"/>
      <c r="FQV1" s="437"/>
      <c r="FQW1" s="437"/>
      <c r="FQX1" s="437"/>
      <c r="FQY1" s="437"/>
      <c r="FQZ1" s="437"/>
      <c r="FRA1" s="437"/>
      <c r="FRB1" s="437"/>
      <c r="FRC1" s="437"/>
      <c r="FRD1" s="437"/>
      <c r="FRE1" s="437"/>
      <c r="FRF1" s="437"/>
      <c r="FRG1" s="437"/>
      <c r="FRH1" s="437"/>
      <c r="FRI1" s="437"/>
      <c r="FRJ1" s="437"/>
      <c r="FRK1" s="437"/>
      <c r="FRL1" s="437"/>
      <c r="FRM1" s="437"/>
      <c r="FRN1" s="437"/>
      <c r="FRO1" s="437"/>
      <c r="FRP1" s="437"/>
      <c r="FRQ1" s="437"/>
      <c r="FRR1" s="437"/>
      <c r="FRS1" s="437"/>
      <c r="FRT1" s="437"/>
      <c r="FRU1" s="437"/>
      <c r="FRV1" s="437"/>
      <c r="FRW1" s="437"/>
      <c r="FRX1" s="437"/>
      <c r="FRY1" s="437"/>
      <c r="FRZ1" s="437"/>
      <c r="FSA1" s="437"/>
      <c r="FSB1" s="437"/>
      <c r="FSC1" s="437"/>
      <c r="FSD1" s="437"/>
      <c r="FSE1" s="437"/>
      <c r="FSF1" s="437"/>
      <c r="FSG1" s="437"/>
      <c r="FSH1" s="437"/>
      <c r="FSI1" s="437"/>
      <c r="FSJ1" s="437"/>
      <c r="FSK1" s="437"/>
      <c r="FSL1" s="437"/>
      <c r="FSM1" s="437"/>
      <c r="FSN1" s="437"/>
      <c r="FSO1" s="437"/>
      <c r="FSP1" s="437"/>
      <c r="FSQ1" s="437"/>
      <c r="FSR1" s="437"/>
      <c r="FSS1" s="437"/>
      <c r="FST1" s="437"/>
      <c r="FSU1" s="437"/>
      <c r="FSV1" s="437"/>
      <c r="FSW1" s="437"/>
      <c r="FSX1" s="437"/>
      <c r="FSY1" s="437"/>
      <c r="FSZ1" s="437"/>
      <c r="FTA1" s="437"/>
      <c r="FTB1" s="437"/>
      <c r="FTC1" s="437"/>
      <c r="FTD1" s="437"/>
      <c r="FTE1" s="437"/>
      <c r="FTF1" s="437"/>
      <c r="FTG1" s="437"/>
      <c r="FTH1" s="437"/>
      <c r="FTI1" s="437"/>
      <c r="FTJ1" s="437"/>
      <c r="FTK1" s="437"/>
      <c r="FTL1" s="437"/>
      <c r="FTM1" s="437"/>
      <c r="FTN1" s="437"/>
      <c r="FTO1" s="437"/>
      <c r="FTP1" s="437"/>
      <c r="FTQ1" s="437"/>
      <c r="FTR1" s="437"/>
      <c r="FTS1" s="437"/>
      <c r="FTT1" s="437"/>
      <c r="FTU1" s="437"/>
      <c r="FTV1" s="437"/>
      <c r="FTW1" s="437"/>
      <c r="FTX1" s="437"/>
      <c r="FTY1" s="437"/>
      <c r="FTZ1" s="437"/>
      <c r="FUA1" s="437"/>
      <c r="FUB1" s="437"/>
      <c r="FUC1" s="437"/>
      <c r="FUD1" s="437"/>
      <c r="FUE1" s="437"/>
      <c r="FUF1" s="437"/>
      <c r="FUG1" s="437"/>
      <c r="FUH1" s="437"/>
      <c r="FUI1" s="437"/>
      <c r="FUJ1" s="437"/>
      <c r="FUK1" s="437"/>
      <c r="FUL1" s="437"/>
      <c r="FUM1" s="437"/>
      <c r="FUN1" s="437"/>
      <c r="FUO1" s="437"/>
      <c r="FUP1" s="437"/>
      <c r="FUQ1" s="437"/>
      <c r="FUR1" s="437"/>
      <c r="FUS1" s="437"/>
      <c r="FUT1" s="437"/>
      <c r="FUU1" s="437"/>
      <c r="FUV1" s="437"/>
      <c r="FUW1" s="437"/>
      <c r="FUX1" s="437"/>
      <c r="FUY1" s="437"/>
      <c r="FUZ1" s="437"/>
      <c r="FVA1" s="437"/>
      <c r="FVB1" s="437"/>
      <c r="FVC1" s="437"/>
      <c r="FVD1" s="437"/>
      <c r="FVE1" s="437"/>
      <c r="FVF1" s="437"/>
      <c r="FVG1" s="437"/>
      <c r="FVH1" s="437"/>
      <c r="FVI1" s="437"/>
      <c r="FVJ1" s="437"/>
      <c r="FVK1" s="437"/>
      <c r="FVL1" s="437"/>
      <c r="FVM1" s="437"/>
      <c r="FVN1" s="437"/>
      <c r="FVO1" s="437"/>
      <c r="FVP1" s="437"/>
      <c r="FVQ1" s="437"/>
      <c r="FVR1" s="437"/>
      <c r="FVS1" s="437"/>
      <c r="FVT1" s="437"/>
      <c r="FVU1" s="437"/>
      <c r="FVV1" s="437"/>
      <c r="FVW1" s="437"/>
      <c r="FVX1" s="437"/>
      <c r="FVY1" s="437"/>
      <c r="FVZ1" s="437"/>
      <c r="FWA1" s="437"/>
      <c r="FWB1" s="437"/>
      <c r="FWC1" s="437"/>
      <c r="FWD1" s="437"/>
      <c r="FWE1" s="437"/>
      <c r="FWF1" s="437"/>
      <c r="FWG1" s="437"/>
      <c r="FWH1" s="437"/>
      <c r="FWI1" s="437"/>
      <c r="FWJ1" s="437"/>
      <c r="FWK1" s="437"/>
      <c r="FWL1" s="437"/>
      <c r="FWM1" s="437"/>
      <c r="FWN1" s="437"/>
      <c r="FWO1" s="437"/>
      <c r="FWP1" s="437"/>
      <c r="FWQ1" s="437"/>
      <c r="FWR1" s="437"/>
      <c r="FWS1" s="437"/>
      <c r="FWT1" s="437"/>
      <c r="FWU1" s="437"/>
      <c r="FWV1" s="437"/>
      <c r="FWW1" s="437"/>
      <c r="FWX1" s="437"/>
      <c r="FWY1" s="437"/>
      <c r="FWZ1" s="437"/>
      <c r="FXA1" s="437"/>
      <c r="FXB1" s="437"/>
      <c r="FXC1" s="437"/>
      <c r="FXD1" s="437"/>
      <c r="FXE1" s="437"/>
      <c r="FXF1" s="437"/>
      <c r="FXG1" s="437"/>
      <c r="FXH1" s="437"/>
      <c r="FXI1" s="437"/>
      <c r="FXJ1" s="437"/>
      <c r="FXK1" s="437"/>
      <c r="FXL1" s="437"/>
      <c r="FXM1" s="437"/>
      <c r="FXN1" s="437"/>
      <c r="FXO1" s="437"/>
      <c r="FXP1" s="437"/>
      <c r="FXQ1" s="437"/>
      <c r="FXR1" s="437"/>
      <c r="FXS1" s="437"/>
      <c r="FXT1" s="437"/>
      <c r="FXU1" s="437"/>
      <c r="FXV1" s="437"/>
      <c r="FXW1" s="437"/>
      <c r="FXX1" s="437"/>
      <c r="FXY1" s="437"/>
      <c r="FXZ1" s="437"/>
      <c r="FYA1" s="437"/>
      <c r="FYB1" s="437"/>
      <c r="FYC1" s="437"/>
      <c r="FYD1" s="437"/>
      <c r="FYE1" s="437"/>
      <c r="FYF1" s="437"/>
      <c r="FYG1" s="437"/>
      <c r="FYH1" s="437"/>
      <c r="FYI1" s="437"/>
      <c r="FYJ1" s="437"/>
      <c r="FYK1" s="437"/>
      <c r="FYL1" s="437"/>
      <c r="FYM1" s="437"/>
      <c r="FYN1" s="437"/>
      <c r="FYO1" s="437"/>
      <c r="FYP1" s="437"/>
      <c r="FYQ1" s="437"/>
      <c r="FYR1" s="437"/>
      <c r="FYS1" s="437"/>
      <c r="FYT1" s="437"/>
      <c r="FYU1" s="437"/>
      <c r="FYV1" s="437"/>
      <c r="FYW1" s="437"/>
      <c r="FYX1" s="437"/>
      <c r="FYY1" s="437"/>
      <c r="FYZ1" s="437"/>
      <c r="FZA1" s="437"/>
      <c r="FZB1" s="437"/>
      <c r="FZC1" s="437"/>
      <c r="FZD1" s="437"/>
      <c r="FZE1" s="437"/>
      <c r="FZF1" s="437"/>
      <c r="FZG1" s="437"/>
      <c r="FZH1" s="437"/>
      <c r="FZI1" s="437"/>
      <c r="FZJ1" s="437"/>
      <c r="FZK1" s="437"/>
      <c r="FZL1" s="437"/>
      <c r="FZM1" s="437"/>
      <c r="FZN1" s="437"/>
      <c r="FZO1" s="437"/>
      <c r="FZP1" s="437"/>
      <c r="FZQ1" s="437"/>
      <c r="FZR1" s="437"/>
      <c r="FZS1" s="437"/>
      <c r="FZT1" s="437"/>
      <c r="FZU1" s="437"/>
      <c r="FZV1" s="437"/>
      <c r="FZW1" s="437"/>
      <c r="FZX1" s="437"/>
      <c r="FZY1" s="437"/>
      <c r="FZZ1" s="437"/>
      <c r="GAA1" s="437"/>
      <c r="GAB1" s="437"/>
      <c r="GAC1" s="437"/>
      <c r="GAD1" s="437"/>
      <c r="GAE1" s="437"/>
      <c r="GAF1" s="437"/>
      <c r="GAG1" s="437"/>
      <c r="GAH1" s="437"/>
      <c r="GAI1" s="437"/>
      <c r="GAJ1" s="437"/>
      <c r="GAK1" s="437"/>
      <c r="GAL1" s="437"/>
      <c r="GAM1" s="437"/>
      <c r="GAN1" s="437"/>
      <c r="GAO1" s="437"/>
      <c r="GAP1" s="437"/>
      <c r="GAQ1" s="437"/>
      <c r="GAR1" s="437"/>
      <c r="GAS1" s="437"/>
      <c r="GAT1" s="437"/>
      <c r="GAU1" s="437"/>
      <c r="GAV1" s="437"/>
      <c r="GAW1" s="437"/>
      <c r="GAX1" s="437"/>
      <c r="GAY1" s="437"/>
      <c r="GAZ1" s="437"/>
      <c r="GBA1" s="437"/>
      <c r="GBB1" s="437"/>
      <c r="GBC1" s="437"/>
      <c r="GBD1" s="437"/>
      <c r="GBE1" s="437"/>
      <c r="GBF1" s="437"/>
      <c r="GBG1" s="437"/>
      <c r="GBH1" s="437"/>
      <c r="GBI1" s="437"/>
      <c r="GBJ1" s="437"/>
      <c r="GBK1" s="437"/>
      <c r="GBL1" s="437"/>
      <c r="GBM1" s="437"/>
      <c r="GBN1" s="437"/>
      <c r="GBO1" s="437"/>
      <c r="GBP1" s="437"/>
      <c r="GBQ1" s="437"/>
      <c r="GBR1" s="437"/>
      <c r="GBS1" s="437"/>
      <c r="GBT1" s="437"/>
      <c r="GBU1" s="437"/>
      <c r="GBV1" s="437"/>
      <c r="GBW1" s="437"/>
      <c r="GBX1" s="437"/>
      <c r="GBY1" s="437"/>
      <c r="GBZ1" s="437"/>
      <c r="GCA1" s="437"/>
      <c r="GCB1" s="437"/>
      <c r="GCC1" s="437"/>
      <c r="GCD1" s="437"/>
      <c r="GCE1" s="437"/>
      <c r="GCF1" s="437"/>
      <c r="GCG1" s="437"/>
      <c r="GCH1" s="437"/>
      <c r="GCI1" s="437"/>
      <c r="GCJ1" s="437"/>
      <c r="GCK1" s="437"/>
      <c r="GCL1" s="437"/>
      <c r="GCM1" s="437"/>
      <c r="GCN1" s="437"/>
      <c r="GCO1" s="437"/>
      <c r="GCP1" s="437"/>
      <c r="GCQ1" s="437"/>
      <c r="GCR1" s="437"/>
      <c r="GCS1" s="437"/>
      <c r="GCT1" s="437"/>
      <c r="GCU1" s="437"/>
      <c r="GCV1" s="437"/>
      <c r="GCW1" s="437"/>
      <c r="GCX1" s="437"/>
      <c r="GCY1" s="437"/>
      <c r="GCZ1" s="437"/>
      <c r="GDA1" s="437"/>
      <c r="GDB1" s="437"/>
      <c r="GDC1" s="437"/>
      <c r="GDD1" s="437"/>
      <c r="GDE1" s="437"/>
      <c r="GDF1" s="437"/>
      <c r="GDG1" s="437"/>
      <c r="GDH1" s="437"/>
      <c r="GDI1" s="437"/>
      <c r="GDJ1" s="437"/>
      <c r="GDK1" s="437"/>
      <c r="GDL1" s="437"/>
      <c r="GDM1" s="437"/>
      <c r="GDN1" s="437"/>
      <c r="GDO1" s="437"/>
      <c r="GDP1" s="437"/>
      <c r="GDQ1" s="437"/>
      <c r="GDR1" s="437"/>
      <c r="GDS1" s="437"/>
      <c r="GDT1" s="437"/>
      <c r="GDU1" s="437"/>
      <c r="GDV1" s="437"/>
      <c r="GDW1" s="437"/>
      <c r="GDX1" s="437"/>
      <c r="GDY1" s="437"/>
      <c r="GDZ1" s="437"/>
      <c r="GEA1" s="437"/>
      <c r="GEB1" s="437"/>
      <c r="GEC1" s="437"/>
      <c r="GED1" s="437"/>
      <c r="GEE1" s="437"/>
      <c r="GEF1" s="437"/>
      <c r="GEG1" s="437"/>
      <c r="GEH1" s="437"/>
      <c r="GEI1" s="437"/>
      <c r="GEJ1" s="437"/>
      <c r="GEK1" s="437"/>
      <c r="GEL1" s="437"/>
      <c r="GEM1" s="437"/>
      <c r="GEN1" s="437"/>
      <c r="GEO1" s="437"/>
      <c r="GEP1" s="437"/>
      <c r="GEQ1" s="437"/>
      <c r="GER1" s="437"/>
      <c r="GES1" s="437"/>
      <c r="GET1" s="437"/>
      <c r="GEU1" s="437"/>
      <c r="GEV1" s="437"/>
      <c r="GEW1" s="437"/>
      <c r="GEX1" s="437"/>
      <c r="GEY1" s="437"/>
      <c r="GEZ1" s="437"/>
      <c r="GFA1" s="437"/>
      <c r="GFB1" s="437"/>
      <c r="GFC1" s="437"/>
      <c r="GFD1" s="437"/>
      <c r="GFE1" s="437"/>
      <c r="GFF1" s="437"/>
      <c r="GFG1" s="437"/>
      <c r="GFH1" s="437"/>
      <c r="GFI1" s="437"/>
      <c r="GFJ1" s="437"/>
      <c r="GFK1" s="437"/>
      <c r="GFL1" s="437"/>
      <c r="GFM1" s="437"/>
      <c r="GFN1" s="437"/>
      <c r="GFO1" s="437"/>
      <c r="GFP1" s="437"/>
      <c r="GFQ1" s="437"/>
      <c r="GFR1" s="437"/>
      <c r="GFS1" s="437"/>
      <c r="GFT1" s="437"/>
      <c r="GFU1" s="437"/>
      <c r="GFV1" s="437"/>
      <c r="GFW1" s="437"/>
      <c r="GFX1" s="437"/>
      <c r="GFY1" s="437"/>
      <c r="GFZ1" s="437"/>
      <c r="GGA1" s="437"/>
      <c r="GGB1" s="437"/>
      <c r="GGC1" s="437"/>
      <c r="GGD1" s="437"/>
      <c r="GGE1" s="437"/>
      <c r="GGF1" s="437"/>
      <c r="GGG1" s="437"/>
      <c r="GGH1" s="437"/>
      <c r="GGI1" s="437"/>
      <c r="GGJ1" s="437"/>
      <c r="GGK1" s="437"/>
      <c r="GGL1" s="437"/>
      <c r="GGM1" s="437"/>
      <c r="GGN1" s="437"/>
      <c r="GGO1" s="437"/>
      <c r="GGP1" s="437"/>
      <c r="GGQ1" s="437"/>
      <c r="GGR1" s="437"/>
      <c r="GGS1" s="437"/>
      <c r="GGT1" s="437"/>
      <c r="GGU1" s="437"/>
      <c r="GGV1" s="437"/>
      <c r="GGW1" s="437"/>
      <c r="GGX1" s="437"/>
      <c r="GGY1" s="437"/>
      <c r="GGZ1" s="437"/>
      <c r="GHA1" s="437"/>
      <c r="GHB1" s="437"/>
      <c r="GHC1" s="437"/>
      <c r="GHD1" s="437"/>
      <c r="GHE1" s="437"/>
      <c r="GHF1" s="437"/>
      <c r="GHG1" s="437"/>
      <c r="GHH1" s="437"/>
      <c r="GHI1" s="437"/>
      <c r="GHJ1" s="437"/>
      <c r="GHK1" s="437"/>
      <c r="GHL1" s="437"/>
      <c r="GHM1" s="437"/>
      <c r="GHN1" s="437"/>
      <c r="GHO1" s="437"/>
      <c r="GHP1" s="437"/>
      <c r="GHQ1" s="437"/>
      <c r="GHR1" s="437"/>
      <c r="GHS1" s="437"/>
      <c r="GHT1" s="437"/>
      <c r="GHU1" s="437"/>
      <c r="GHV1" s="437"/>
      <c r="GHW1" s="437"/>
      <c r="GHX1" s="437"/>
      <c r="GHY1" s="437"/>
      <c r="GHZ1" s="437"/>
      <c r="GIA1" s="437"/>
      <c r="GIB1" s="437"/>
      <c r="GIC1" s="437"/>
      <c r="GID1" s="437"/>
      <c r="GIE1" s="437"/>
      <c r="GIF1" s="437"/>
      <c r="GIG1" s="437"/>
      <c r="GIH1" s="437"/>
      <c r="GII1" s="437"/>
      <c r="GIJ1" s="437"/>
      <c r="GIK1" s="437"/>
      <c r="GIL1" s="437"/>
      <c r="GIM1" s="437"/>
      <c r="GIN1" s="437"/>
      <c r="GIO1" s="437"/>
      <c r="GIP1" s="437"/>
      <c r="GIQ1" s="437"/>
      <c r="GIR1" s="437"/>
      <c r="GIS1" s="437"/>
      <c r="GIT1" s="437"/>
      <c r="GIU1" s="437"/>
      <c r="GIV1" s="437"/>
      <c r="GIW1" s="437"/>
      <c r="GIX1" s="437"/>
      <c r="GIY1" s="437"/>
      <c r="GIZ1" s="437"/>
      <c r="GJA1" s="437"/>
      <c r="GJB1" s="437"/>
      <c r="GJC1" s="437"/>
      <c r="GJD1" s="437"/>
      <c r="GJE1" s="437"/>
      <c r="GJF1" s="437"/>
      <c r="GJG1" s="437"/>
      <c r="GJH1" s="437"/>
      <c r="GJI1" s="437"/>
      <c r="GJJ1" s="437"/>
      <c r="GJK1" s="437"/>
      <c r="GJL1" s="437"/>
      <c r="GJM1" s="437"/>
      <c r="GJN1" s="437"/>
      <c r="GJO1" s="437"/>
      <c r="GJP1" s="437"/>
      <c r="GJQ1" s="437"/>
      <c r="GJR1" s="437"/>
      <c r="GJS1" s="437"/>
      <c r="GJT1" s="437"/>
      <c r="GJU1" s="437"/>
      <c r="GJV1" s="437"/>
      <c r="GJW1" s="437"/>
      <c r="GJX1" s="437"/>
      <c r="GJY1" s="437"/>
      <c r="GJZ1" s="437"/>
      <c r="GKA1" s="437"/>
      <c r="GKB1" s="437"/>
      <c r="GKC1" s="437"/>
      <c r="GKD1" s="437"/>
      <c r="GKE1" s="437"/>
      <c r="GKF1" s="437"/>
      <c r="GKG1" s="437"/>
      <c r="GKH1" s="437"/>
      <c r="GKI1" s="437"/>
      <c r="GKJ1" s="437"/>
      <c r="GKK1" s="437"/>
      <c r="GKL1" s="437"/>
      <c r="GKM1" s="437"/>
      <c r="GKN1" s="437"/>
      <c r="GKO1" s="437"/>
      <c r="GKP1" s="437"/>
      <c r="GKQ1" s="437"/>
      <c r="GKR1" s="437"/>
      <c r="GKS1" s="437"/>
      <c r="GKT1" s="437"/>
      <c r="GKU1" s="437"/>
      <c r="GKV1" s="437"/>
      <c r="GKW1" s="437"/>
      <c r="GKX1" s="437"/>
      <c r="GKY1" s="437"/>
      <c r="GKZ1" s="437"/>
      <c r="GLA1" s="437"/>
      <c r="GLB1" s="437"/>
      <c r="GLC1" s="437"/>
      <c r="GLD1" s="437"/>
      <c r="GLE1" s="437"/>
      <c r="GLF1" s="437"/>
      <c r="GLG1" s="437"/>
      <c r="GLH1" s="437"/>
      <c r="GLI1" s="437"/>
      <c r="GLJ1" s="437"/>
      <c r="GLK1" s="437"/>
      <c r="GLL1" s="437"/>
      <c r="GLM1" s="437"/>
      <c r="GLN1" s="437"/>
      <c r="GLO1" s="437"/>
      <c r="GLP1" s="437"/>
      <c r="GLQ1" s="437"/>
      <c r="GLR1" s="437"/>
      <c r="GLS1" s="437"/>
      <c r="GLT1" s="437"/>
      <c r="GLU1" s="437"/>
      <c r="GLV1" s="437"/>
      <c r="GLW1" s="437"/>
      <c r="GLX1" s="437"/>
      <c r="GLY1" s="437"/>
      <c r="GLZ1" s="437"/>
      <c r="GMA1" s="437"/>
      <c r="GMB1" s="437"/>
      <c r="GMC1" s="437"/>
      <c r="GMD1" s="437"/>
      <c r="GME1" s="437"/>
      <c r="GMF1" s="437"/>
      <c r="GMG1" s="437"/>
      <c r="GMH1" s="437"/>
      <c r="GMI1" s="437"/>
      <c r="GMJ1" s="437"/>
      <c r="GMK1" s="437"/>
      <c r="GML1" s="437"/>
      <c r="GMM1" s="437"/>
      <c r="GMN1" s="437"/>
      <c r="GMO1" s="437"/>
      <c r="GMP1" s="437"/>
      <c r="GMQ1" s="437"/>
      <c r="GMR1" s="437"/>
      <c r="GMS1" s="437"/>
      <c r="GMT1" s="437"/>
      <c r="GMU1" s="437"/>
      <c r="GMV1" s="437"/>
      <c r="GMW1" s="437"/>
      <c r="GMX1" s="437"/>
      <c r="GMY1" s="437"/>
      <c r="GMZ1" s="437"/>
      <c r="GNA1" s="437"/>
      <c r="GNB1" s="437"/>
      <c r="GNC1" s="437"/>
      <c r="GND1" s="437"/>
      <c r="GNE1" s="437"/>
      <c r="GNF1" s="437"/>
      <c r="GNG1" s="437"/>
      <c r="GNH1" s="437"/>
      <c r="GNI1" s="437"/>
      <c r="GNJ1" s="437"/>
      <c r="GNK1" s="437"/>
      <c r="GNL1" s="437"/>
      <c r="GNM1" s="437"/>
      <c r="GNN1" s="437"/>
      <c r="GNO1" s="437"/>
      <c r="GNP1" s="437"/>
      <c r="GNQ1" s="437"/>
      <c r="GNR1" s="437"/>
      <c r="GNS1" s="437"/>
      <c r="GNT1" s="437"/>
      <c r="GNU1" s="437"/>
      <c r="GNV1" s="437"/>
      <c r="GNW1" s="437"/>
      <c r="GNX1" s="437"/>
      <c r="GNY1" s="437"/>
      <c r="GNZ1" s="437"/>
      <c r="GOA1" s="437"/>
      <c r="GOB1" s="437"/>
      <c r="GOC1" s="437"/>
      <c r="GOD1" s="437"/>
      <c r="GOE1" s="437"/>
      <c r="GOF1" s="437"/>
      <c r="GOG1" s="437"/>
      <c r="GOH1" s="437"/>
      <c r="GOI1" s="437"/>
      <c r="GOJ1" s="437"/>
      <c r="GOK1" s="437"/>
      <c r="GOL1" s="437"/>
      <c r="GOM1" s="437"/>
      <c r="GON1" s="437"/>
      <c r="GOO1" s="437"/>
      <c r="GOP1" s="437"/>
      <c r="GOQ1" s="437"/>
      <c r="GOR1" s="437"/>
      <c r="GOS1" s="437"/>
      <c r="GOT1" s="437"/>
      <c r="GOU1" s="437"/>
      <c r="GOV1" s="437"/>
      <c r="GOW1" s="437"/>
      <c r="GOX1" s="437"/>
      <c r="GOY1" s="437"/>
      <c r="GOZ1" s="437"/>
      <c r="GPA1" s="437"/>
      <c r="GPB1" s="437"/>
      <c r="GPC1" s="437"/>
      <c r="GPD1" s="437"/>
      <c r="GPE1" s="437"/>
      <c r="GPF1" s="437"/>
      <c r="GPG1" s="437"/>
      <c r="GPH1" s="437"/>
      <c r="GPI1" s="437"/>
      <c r="GPJ1" s="437"/>
      <c r="GPK1" s="437"/>
      <c r="GPL1" s="437"/>
      <c r="GPM1" s="437"/>
      <c r="GPN1" s="437"/>
      <c r="GPO1" s="437"/>
      <c r="GPP1" s="437"/>
      <c r="GPQ1" s="437"/>
      <c r="GPR1" s="437"/>
      <c r="GPS1" s="437"/>
      <c r="GPT1" s="437"/>
      <c r="GPU1" s="437"/>
      <c r="GPV1" s="437"/>
      <c r="GPW1" s="437"/>
      <c r="GPX1" s="437"/>
      <c r="GPY1" s="437"/>
      <c r="GPZ1" s="437"/>
      <c r="GQA1" s="437"/>
      <c r="GQB1" s="437"/>
      <c r="GQC1" s="437"/>
      <c r="GQD1" s="437"/>
      <c r="GQE1" s="437"/>
      <c r="GQF1" s="437"/>
      <c r="GQG1" s="437"/>
      <c r="GQH1" s="437"/>
      <c r="GQI1" s="437"/>
      <c r="GQJ1" s="437"/>
      <c r="GQK1" s="437"/>
      <c r="GQL1" s="437"/>
      <c r="GQM1" s="437"/>
      <c r="GQN1" s="437"/>
      <c r="GQO1" s="437"/>
      <c r="GQP1" s="437"/>
      <c r="GQQ1" s="437"/>
      <c r="GQR1" s="437"/>
      <c r="GQS1" s="437"/>
      <c r="GQT1" s="437"/>
      <c r="GQU1" s="437"/>
      <c r="GQV1" s="437"/>
      <c r="GQW1" s="437"/>
      <c r="GQX1" s="437"/>
      <c r="GQY1" s="437"/>
      <c r="GQZ1" s="437"/>
      <c r="GRA1" s="437"/>
      <c r="GRB1" s="437"/>
      <c r="GRC1" s="437"/>
      <c r="GRD1" s="437"/>
      <c r="GRE1" s="437"/>
      <c r="GRF1" s="437"/>
      <c r="GRG1" s="437"/>
      <c r="GRH1" s="437"/>
      <c r="GRI1" s="437"/>
      <c r="GRJ1" s="437"/>
      <c r="GRK1" s="437"/>
      <c r="GRL1" s="437"/>
      <c r="GRM1" s="437"/>
      <c r="GRN1" s="437"/>
      <c r="GRO1" s="437"/>
      <c r="GRP1" s="437"/>
      <c r="GRQ1" s="437"/>
      <c r="GRR1" s="437"/>
      <c r="GRS1" s="437"/>
      <c r="GRT1" s="437"/>
      <c r="GRU1" s="437"/>
      <c r="GRV1" s="437"/>
      <c r="GRW1" s="437"/>
      <c r="GRX1" s="437"/>
      <c r="GRY1" s="437"/>
      <c r="GRZ1" s="437"/>
      <c r="GSA1" s="437"/>
      <c r="GSB1" s="437"/>
      <c r="GSC1" s="437"/>
      <c r="GSD1" s="437"/>
      <c r="GSE1" s="437"/>
      <c r="GSF1" s="437"/>
      <c r="GSG1" s="437"/>
      <c r="GSH1" s="437"/>
      <c r="GSI1" s="437"/>
      <c r="GSJ1" s="437"/>
      <c r="GSK1" s="437"/>
      <c r="GSL1" s="437"/>
      <c r="GSM1" s="437"/>
      <c r="GSN1" s="437"/>
      <c r="GSO1" s="437"/>
      <c r="GSP1" s="437"/>
      <c r="GSQ1" s="437"/>
      <c r="GSR1" s="437"/>
      <c r="GSS1" s="437"/>
      <c r="GST1" s="437"/>
      <c r="GSU1" s="437"/>
      <c r="GSV1" s="437"/>
      <c r="GSW1" s="437"/>
      <c r="GSX1" s="437"/>
      <c r="GSY1" s="437"/>
      <c r="GSZ1" s="437"/>
      <c r="GTA1" s="437"/>
      <c r="GTB1" s="437"/>
      <c r="GTC1" s="437"/>
      <c r="GTD1" s="437"/>
      <c r="GTE1" s="437"/>
      <c r="GTF1" s="437"/>
      <c r="GTG1" s="437"/>
      <c r="GTH1" s="437"/>
      <c r="GTI1" s="437"/>
      <c r="GTJ1" s="437"/>
      <c r="GTK1" s="437"/>
      <c r="GTL1" s="437"/>
      <c r="GTM1" s="437"/>
      <c r="GTN1" s="437"/>
      <c r="GTO1" s="437"/>
      <c r="GTP1" s="437"/>
      <c r="GTQ1" s="437"/>
      <c r="GTR1" s="437"/>
      <c r="GTS1" s="437"/>
      <c r="GTT1" s="437"/>
      <c r="GTU1" s="437"/>
      <c r="GTV1" s="437"/>
      <c r="GTW1" s="437"/>
      <c r="GTX1" s="437"/>
      <c r="GTY1" s="437"/>
      <c r="GTZ1" s="437"/>
      <c r="GUA1" s="437"/>
      <c r="GUB1" s="437"/>
      <c r="GUC1" s="437"/>
      <c r="GUD1" s="437"/>
      <c r="GUE1" s="437"/>
      <c r="GUF1" s="437"/>
      <c r="GUG1" s="437"/>
      <c r="GUH1" s="437"/>
      <c r="GUI1" s="437"/>
      <c r="GUJ1" s="437"/>
      <c r="GUK1" s="437"/>
      <c r="GUL1" s="437"/>
      <c r="GUM1" s="437"/>
      <c r="GUN1" s="437"/>
      <c r="GUO1" s="437"/>
      <c r="GUP1" s="437"/>
      <c r="GUQ1" s="437"/>
      <c r="GUR1" s="437"/>
      <c r="GUS1" s="437"/>
      <c r="GUT1" s="437"/>
      <c r="GUU1" s="437"/>
      <c r="GUV1" s="437"/>
      <c r="GUW1" s="437"/>
      <c r="GUX1" s="437"/>
      <c r="GUY1" s="437"/>
      <c r="GUZ1" s="437"/>
      <c r="GVA1" s="437"/>
      <c r="GVB1" s="437"/>
      <c r="GVC1" s="437"/>
      <c r="GVD1" s="437"/>
      <c r="GVE1" s="437"/>
      <c r="GVF1" s="437"/>
      <c r="GVG1" s="437"/>
      <c r="GVH1" s="437"/>
      <c r="GVI1" s="437"/>
      <c r="GVJ1" s="437"/>
      <c r="GVK1" s="437"/>
      <c r="GVL1" s="437"/>
      <c r="GVM1" s="437"/>
      <c r="GVN1" s="437"/>
      <c r="GVO1" s="437"/>
      <c r="GVP1" s="437"/>
      <c r="GVQ1" s="437"/>
      <c r="GVR1" s="437"/>
      <c r="GVS1" s="437"/>
      <c r="GVT1" s="437"/>
      <c r="GVU1" s="437"/>
      <c r="GVV1" s="437"/>
      <c r="GVW1" s="437"/>
      <c r="GVX1" s="437"/>
      <c r="GVY1" s="437"/>
      <c r="GVZ1" s="437"/>
      <c r="GWA1" s="437"/>
      <c r="GWB1" s="437"/>
      <c r="GWC1" s="437"/>
      <c r="GWD1" s="437"/>
      <c r="GWE1" s="437"/>
      <c r="GWF1" s="437"/>
      <c r="GWG1" s="437"/>
      <c r="GWH1" s="437"/>
      <c r="GWI1" s="437"/>
      <c r="GWJ1" s="437"/>
      <c r="GWK1" s="437"/>
      <c r="GWL1" s="437"/>
      <c r="GWM1" s="437"/>
      <c r="GWN1" s="437"/>
      <c r="GWO1" s="437"/>
      <c r="GWP1" s="437"/>
      <c r="GWQ1" s="437"/>
      <c r="GWR1" s="437"/>
      <c r="GWS1" s="437"/>
      <c r="GWT1" s="437"/>
      <c r="GWU1" s="437"/>
      <c r="GWV1" s="437"/>
      <c r="GWW1" s="437"/>
      <c r="GWX1" s="437"/>
      <c r="GWY1" s="437"/>
      <c r="GWZ1" s="437"/>
      <c r="GXA1" s="437"/>
      <c r="GXB1" s="437"/>
      <c r="GXC1" s="437"/>
      <c r="GXD1" s="437"/>
      <c r="GXE1" s="437"/>
      <c r="GXF1" s="437"/>
      <c r="GXG1" s="437"/>
      <c r="GXH1" s="437"/>
      <c r="GXI1" s="437"/>
      <c r="GXJ1" s="437"/>
      <c r="GXK1" s="437"/>
      <c r="GXL1" s="437"/>
      <c r="GXM1" s="437"/>
      <c r="GXN1" s="437"/>
      <c r="GXO1" s="437"/>
      <c r="GXP1" s="437"/>
      <c r="GXQ1" s="437"/>
      <c r="GXR1" s="437"/>
      <c r="GXS1" s="437"/>
      <c r="GXT1" s="437"/>
      <c r="GXU1" s="437"/>
      <c r="GXV1" s="437"/>
      <c r="GXW1" s="437"/>
      <c r="GXX1" s="437"/>
      <c r="GXY1" s="437"/>
      <c r="GXZ1" s="437"/>
      <c r="GYA1" s="437"/>
      <c r="GYB1" s="437"/>
      <c r="GYC1" s="437"/>
      <c r="GYD1" s="437"/>
      <c r="GYE1" s="437"/>
      <c r="GYF1" s="437"/>
      <c r="GYG1" s="437"/>
      <c r="GYH1" s="437"/>
      <c r="GYI1" s="437"/>
      <c r="GYJ1" s="437"/>
      <c r="GYK1" s="437"/>
      <c r="GYL1" s="437"/>
      <c r="GYM1" s="437"/>
      <c r="GYN1" s="437"/>
      <c r="GYO1" s="437"/>
      <c r="GYP1" s="437"/>
      <c r="GYQ1" s="437"/>
      <c r="GYR1" s="437"/>
      <c r="GYS1" s="437"/>
      <c r="GYT1" s="437"/>
      <c r="GYU1" s="437"/>
      <c r="GYV1" s="437"/>
      <c r="GYW1" s="437"/>
      <c r="GYX1" s="437"/>
      <c r="GYY1" s="437"/>
      <c r="GYZ1" s="437"/>
      <c r="GZA1" s="437"/>
      <c r="GZB1" s="437"/>
      <c r="GZC1" s="437"/>
      <c r="GZD1" s="437"/>
      <c r="GZE1" s="437"/>
      <c r="GZF1" s="437"/>
      <c r="GZG1" s="437"/>
      <c r="GZH1" s="437"/>
      <c r="GZI1" s="437"/>
      <c r="GZJ1" s="437"/>
      <c r="GZK1" s="437"/>
      <c r="GZL1" s="437"/>
      <c r="GZM1" s="437"/>
      <c r="GZN1" s="437"/>
      <c r="GZO1" s="437"/>
      <c r="GZP1" s="437"/>
      <c r="GZQ1" s="437"/>
      <c r="GZR1" s="437"/>
      <c r="GZS1" s="437"/>
      <c r="GZT1" s="437"/>
      <c r="GZU1" s="437"/>
      <c r="GZV1" s="437"/>
      <c r="GZW1" s="437"/>
      <c r="GZX1" s="437"/>
      <c r="GZY1" s="437"/>
      <c r="GZZ1" s="437"/>
      <c r="HAA1" s="437"/>
      <c r="HAB1" s="437"/>
      <c r="HAC1" s="437"/>
      <c r="HAD1" s="437"/>
      <c r="HAE1" s="437"/>
      <c r="HAF1" s="437"/>
      <c r="HAG1" s="437"/>
      <c r="HAH1" s="437"/>
      <c r="HAI1" s="437"/>
      <c r="HAJ1" s="437"/>
      <c r="HAK1" s="437"/>
      <c r="HAL1" s="437"/>
      <c r="HAM1" s="437"/>
      <c r="HAN1" s="437"/>
      <c r="HAO1" s="437"/>
      <c r="HAP1" s="437"/>
      <c r="HAQ1" s="437"/>
      <c r="HAR1" s="437"/>
      <c r="HAS1" s="437"/>
      <c r="HAT1" s="437"/>
      <c r="HAU1" s="437"/>
      <c r="HAV1" s="437"/>
      <c r="HAW1" s="437"/>
      <c r="HAX1" s="437"/>
      <c r="HAY1" s="437"/>
      <c r="HAZ1" s="437"/>
      <c r="HBA1" s="437"/>
      <c r="HBB1" s="437"/>
      <c r="HBC1" s="437"/>
      <c r="HBD1" s="437"/>
      <c r="HBE1" s="437"/>
      <c r="HBF1" s="437"/>
      <c r="HBG1" s="437"/>
      <c r="HBH1" s="437"/>
      <c r="HBI1" s="437"/>
      <c r="HBJ1" s="437"/>
      <c r="HBK1" s="437"/>
      <c r="HBL1" s="437"/>
      <c r="HBM1" s="437"/>
      <c r="HBN1" s="437"/>
      <c r="HBO1" s="437"/>
      <c r="HBP1" s="437"/>
      <c r="HBQ1" s="437"/>
      <c r="HBR1" s="437"/>
      <c r="HBS1" s="437"/>
      <c r="HBT1" s="437"/>
      <c r="HBU1" s="437"/>
      <c r="HBV1" s="437"/>
      <c r="HBW1" s="437"/>
      <c r="HBX1" s="437"/>
      <c r="HBY1" s="437"/>
      <c r="HBZ1" s="437"/>
      <c r="HCA1" s="437"/>
      <c r="HCB1" s="437"/>
      <c r="HCC1" s="437"/>
      <c r="HCD1" s="437"/>
      <c r="HCE1" s="437"/>
      <c r="HCF1" s="437"/>
      <c r="HCG1" s="437"/>
      <c r="HCH1" s="437"/>
      <c r="HCI1" s="437"/>
      <c r="HCJ1" s="437"/>
      <c r="HCK1" s="437"/>
      <c r="HCL1" s="437"/>
      <c r="HCM1" s="437"/>
      <c r="HCN1" s="437"/>
      <c r="HCO1" s="437"/>
      <c r="HCP1" s="437"/>
      <c r="HCQ1" s="437"/>
      <c r="HCR1" s="437"/>
      <c r="HCS1" s="437"/>
      <c r="HCT1" s="437"/>
      <c r="HCU1" s="437"/>
      <c r="HCV1" s="437"/>
      <c r="HCW1" s="437"/>
      <c r="HCX1" s="437"/>
      <c r="HCY1" s="437"/>
      <c r="HCZ1" s="437"/>
      <c r="HDA1" s="437"/>
      <c r="HDB1" s="437"/>
      <c r="HDC1" s="437"/>
      <c r="HDD1" s="437"/>
      <c r="HDE1" s="437"/>
      <c r="HDF1" s="437"/>
      <c r="HDG1" s="437"/>
      <c r="HDH1" s="437"/>
      <c r="HDI1" s="437"/>
      <c r="HDJ1" s="437"/>
      <c r="HDK1" s="437"/>
      <c r="HDL1" s="437"/>
      <c r="HDM1" s="437"/>
      <c r="HDN1" s="437"/>
      <c r="HDO1" s="437"/>
      <c r="HDP1" s="437"/>
      <c r="HDQ1" s="437"/>
      <c r="HDR1" s="437"/>
      <c r="HDS1" s="437"/>
      <c r="HDT1" s="437"/>
      <c r="HDU1" s="437"/>
      <c r="HDV1" s="437"/>
      <c r="HDW1" s="437"/>
      <c r="HDX1" s="437"/>
      <c r="HDY1" s="437"/>
      <c r="HDZ1" s="437"/>
      <c r="HEA1" s="437"/>
      <c r="HEB1" s="437"/>
      <c r="HEC1" s="437"/>
      <c r="HED1" s="437"/>
      <c r="HEE1" s="437"/>
      <c r="HEF1" s="437"/>
      <c r="HEG1" s="437"/>
      <c r="HEH1" s="437"/>
      <c r="HEI1" s="437"/>
      <c r="HEJ1" s="437"/>
      <c r="HEK1" s="437"/>
      <c r="HEL1" s="437"/>
      <c r="HEM1" s="437"/>
      <c r="HEN1" s="437"/>
      <c r="HEO1" s="437"/>
      <c r="HEP1" s="437"/>
      <c r="HEQ1" s="437"/>
      <c r="HER1" s="437"/>
      <c r="HES1" s="437"/>
      <c r="HET1" s="437"/>
      <c r="HEU1" s="437"/>
      <c r="HEV1" s="437"/>
      <c r="HEW1" s="437"/>
      <c r="HEX1" s="437"/>
      <c r="HEY1" s="437"/>
      <c r="HEZ1" s="437"/>
      <c r="HFA1" s="437"/>
      <c r="HFB1" s="437"/>
      <c r="HFC1" s="437"/>
      <c r="HFD1" s="437"/>
      <c r="HFE1" s="437"/>
      <c r="HFF1" s="437"/>
      <c r="HFG1" s="437"/>
      <c r="HFH1" s="437"/>
      <c r="HFI1" s="437"/>
      <c r="HFJ1" s="437"/>
      <c r="HFK1" s="437"/>
      <c r="HFL1" s="437"/>
      <c r="HFM1" s="437"/>
      <c r="HFN1" s="437"/>
      <c r="HFO1" s="437"/>
      <c r="HFP1" s="437"/>
      <c r="HFQ1" s="437"/>
      <c r="HFR1" s="437"/>
      <c r="HFS1" s="437"/>
      <c r="HFT1" s="437"/>
      <c r="HFU1" s="437"/>
      <c r="HFV1" s="437"/>
      <c r="HFW1" s="437"/>
      <c r="HFX1" s="437"/>
      <c r="HFY1" s="437"/>
      <c r="HFZ1" s="437"/>
      <c r="HGA1" s="437"/>
      <c r="HGB1" s="437"/>
      <c r="HGC1" s="437"/>
      <c r="HGD1" s="437"/>
      <c r="HGE1" s="437"/>
      <c r="HGF1" s="437"/>
      <c r="HGG1" s="437"/>
      <c r="HGH1" s="437"/>
      <c r="HGI1" s="437"/>
      <c r="HGJ1" s="437"/>
      <c r="HGK1" s="437"/>
      <c r="HGL1" s="437"/>
      <c r="HGM1" s="437"/>
      <c r="HGN1" s="437"/>
      <c r="HGO1" s="437"/>
      <c r="HGP1" s="437"/>
      <c r="HGQ1" s="437"/>
      <c r="HGR1" s="437"/>
      <c r="HGS1" s="437"/>
      <c r="HGT1" s="437"/>
      <c r="HGU1" s="437"/>
      <c r="HGV1" s="437"/>
      <c r="HGW1" s="437"/>
      <c r="HGX1" s="437"/>
      <c r="HGY1" s="437"/>
      <c r="HGZ1" s="437"/>
      <c r="HHA1" s="437"/>
      <c r="HHB1" s="437"/>
      <c r="HHC1" s="437"/>
      <c r="HHD1" s="437"/>
      <c r="HHE1" s="437"/>
      <c r="HHF1" s="437"/>
      <c r="HHG1" s="437"/>
      <c r="HHH1" s="437"/>
      <c r="HHI1" s="437"/>
      <c r="HHJ1" s="437"/>
      <c r="HHK1" s="437"/>
      <c r="HHL1" s="437"/>
      <c r="HHM1" s="437"/>
      <c r="HHN1" s="437"/>
      <c r="HHO1" s="437"/>
      <c r="HHP1" s="437"/>
      <c r="HHQ1" s="437"/>
      <c r="HHR1" s="437"/>
      <c r="HHS1" s="437"/>
      <c r="HHT1" s="437"/>
      <c r="HHU1" s="437"/>
      <c r="HHV1" s="437"/>
      <c r="HHW1" s="437"/>
      <c r="HHX1" s="437"/>
      <c r="HHY1" s="437"/>
      <c r="HHZ1" s="437"/>
      <c r="HIA1" s="437"/>
      <c r="HIB1" s="437"/>
      <c r="HIC1" s="437"/>
      <c r="HID1" s="437"/>
      <c r="HIE1" s="437"/>
      <c r="HIF1" s="437"/>
      <c r="HIG1" s="437"/>
      <c r="HIH1" s="437"/>
      <c r="HII1" s="437"/>
      <c r="HIJ1" s="437"/>
      <c r="HIK1" s="437"/>
      <c r="HIL1" s="437"/>
      <c r="HIM1" s="437"/>
      <c r="HIN1" s="437"/>
      <c r="HIO1" s="437"/>
      <c r="HIP1" s="437"/>
      <c r="HIQ1" s="437"/>
      <c r="HIR1" s="437"/>
      <c r="HIS1" s="437"/>
      <c r="HIT1" s="437"/>
      <c r="HIU1" s="437"/>
      <c r="HIV1" s="437"/>
      <c r="HIW1" s="437"/>
      <c r="HIX1" s="437"/>
      <c r="HIY1" s="437"/>
      <c r="HIZ1" s="437"/>
      <c r="HJA1" s="437"/>
      <c r="HJB1" s="437"/>
      <c r="HJC1" s="437"/>
      <c r="HJD1" s="437"/>
      <c r="HJE1" s="437"/>
      <c r="HJF1" s="437"/>
      <c r="HJG1" s="437"/>
      <c r="HJH1" s="437"/>
      <c r="HJI1" s="437"/>
      <c r="HJJ1" s="437"/>
      <c r="HJK1" s="437"/>
      <c r="HJL1" s="437"/>
      <c r="HJM1" s="437"/>
      <c r="HJN1" s="437"/>
      <c r="HJO1" s="437"/>
      <c r="HJP1" s="437"/>
      <c r="HJQ1" s="437"/>
      <c r="HJR1" s="437"/>
      <c r="HJS1" s="437"/>
      <c r="HJT1" s="437"/>
      <c r="HJU1" s="437"/>
      <c r="HJV1" s="437"/>
      <c r="HJW1" s="437"/>
      <c r="HJX1" s="437"/>
      <c r="HJY1" s="437"/>
      <c r="HJZ1" s="437"/>
      <c r="HKA1" s="437"/>
      <c r="HKB1" s="437"/>
      <c r="HKC1" s="437"/>
      <c r="HKD1" s="437"/>
      <c r="HKE1" s="437"/>
      <c r="HKF1" s="437"/>
      <c r="HKG1" s="437"/>
      <c r="HKH1" s="437"/>
      <c r="HKI1" s="437"/>
      <c r="HKJ1" s="437"/>
      <c r="HKK1" s="437"/>
      <c r="HKL1" s="437"/>
      <c r="HKM1" s="437"/>
      <c r="HKN1" s="437"/>
      <c r="HKO1" s="437"/>
      <c r="HKP1" s="437"/>
      <c r="HKQ1" s="437"/>
      <c r="HKR1" s="437"/>
      <c r="HKS1" s="437"/>
      <c r="HKT1" s="437"/>
      <c r="HKU1" s="437"/>
      <c r="HKV1" s="437"/>
      <c r="HKW1" s="437"/>
      <c r="HKX1" s="437"/>
      <c r="HKY1" s="437"/>
      <c r="HKZ1" s="437"/>
      <c r="HLA1" s="437"/>
      <c r="HLB1" s="437"/>
      <c r="HLC1" s="437"/>
      <c r="HLD1" s="437"/>
      <c r="HLE1" s="437"/>
      <c r="HLF1" s="437"/>
      <c r="HLG1" s="437"/>
      <c r="HLH1" s="437"/>
      <c r="HLI1" s="437"/>
      <c r="HLJ1" s="437"/>
      <c r="HLK1" s="437"/>
      <c r="HLL1" s="437"/>
      <c r="HLM1" s="437"/>
      <c r="HLN1" s="437"/>
      <c r="HLO1" s="437"/>
      <c r="HLP1" s="437"/>
      <c r="HLQ1" s="437"/>
      <c r="HLR1" s="437"/>
      <c r="HLS1" s="437"/>
      <c r="HLT1" s="437"/>
      <c r="HLU1" s="437"/>
      <c r="HLV1" s="437"/>
      <c r="HLW1" s="437"/>
      <c r="HLX1" s="437"/>
      <c r="HLY1" s="437"/>
      <c r="HLZ1" s="437"/>
      <c r="HMA1" s="437"/>
      <c r="HMB1" s="437"/>
      <c r="HMC1" s="437"/>
      <c r="HMD1" s="437"/>
      <c r="HME1" s="437"/>
      <c r="HMF1" s="437"/>
      <c r="HMG1" s="437"/>
      <c r="HMH1" s="437"/>
      <c r="HMI1" s="437"/>
      <c r="HMJ1" s="437"/>
      <c r="HMK1" s="437"/>
      <c r="HML1" s="437"/>
      <c r="HMM1" s="437"/>
      <c r="HMN1" s="437"/>
      <c r="HMO1" s="437"/>
      <c r="HMP1" s="437"/>
      <c r="HMQ1" s="437"/>
      <c r="HMR1" s="437"/>
      <c r="HMS1" s="437"/>
      <c r="HMT1" s="437"/>
      <c r="HMU1" s="437"/>
      <c r="HMV1" s="437"/>
      <c r="HMW1" s="437"/>
      <c r="HMX1" s="437"/>
      <c r="HMY1" s="437"/>
      <c r="HMZ1" s="437"/>
      <c r="HNA1" s="437"/>
      <c r="HNB1" s="437"/>
      <c r="HNC1" s="437"/>
      <c r="HND1" s="437"/>
      <c r="HNE1" s="437"/>
      <c r="HNF1" s="437"/>
      <c r="HNG1" s="437"/>
      <c r="HNH1" s="437"/>
      <c r="HNI1" s="437"/>
      <c r="HNJ1" s="437"/>
      <c r="HNK1" s="437"/>
      <c r="HNL1" s="437"/>
      <c r="HNM1" s="437"/>
      <c r="HNN1" s="437"/>
      <c r="HNO1" s="437"/>
      <c r="HNP1" s="437"/>
      <c r="HNQ1" s="437"/>
      <c r="HNR1" s="437"/>
      <c r="HNS1" s="437"/>
      <c r="HNT1" s="437"/>
      <c r="HNU1" s="437"/>
      <c r="HNV1" s="437"/>
      <c r="HNW1" s="437"/>
      <c r="HNX1" s="437"/>
      <c r="HNY1" s="437"/>
      <c r="HNZ1" s="437"/>
      <c r="HOA1" s="437"/>
      <c r="HOB1" s="437"/>
      <c r="HOC1" s="437"/>
      <c r="HOD1" s="437"/>
      <c r="HOE1" s="437"/>
      <c r="HOF1" s="437"/>
      <c r="HOG1" s="437"/>
      <c r="HOH1" s="437"/>
      <c r="HOI1" s="437"/>
      <c r="HOJ1" s="437"/>
      <c r="HOK1" s="437"/>
      <c r="HOL1" s="437"/>
      <c r="HOM1" s="437"/>
      <c r="HON1" s="437"/>
      <c r="HOO1" s="437"/>
      <c r="HOP1" s="437"/>
      <c r="HOQ1" s="437"/>
      <c r="HOR1" s="437"/>
      <c r="HOS1" s="437"/>
      <c r="HOT1" s="437"/>
      <c r="HOU1" s="437"/>
      <c r="HOV1" s="437"/>
      <c r="HOW1" s="437"/>
      <c r="HOX1" s="437"/>
      <c r="HOY1" s="437"/>
      <c r="HOZ1" s="437"/>
      <c r="HPA1" s="437"/>
      <c r="HPB1" s="437"/>
      <c r="HPC1" s="437"/>
      <c r="HPD1" s="437"/>
      <c r="HPE1" s="437"/>
      <c r="HPF1" s="437"/>
      <c r="HPG1" s="437"/>
      <c r="HPH1" s="437"/>
      <c r="HPI1" s="437"/>
      <c r="HPJ1" s="437"/>
      <c r="HPK1" s="437"/>
      <c r="HPL1" s="437"/>
      <c r="HPM1" s="437"/>
      <c r="HPN1" s="437"/>
      <c r="HPO1" s="437"/>
      <c r="HPP1" s="437"/>
      <c r="HPQ1" s="437"/>
      <c r="HPR1" s="437"/>
      <c r="HPS1" s="437"/>
      <c r="HPT1" s="437"/>
      <c r="HPU1" s="437"/>
      <c r="HPV1" s="437"/>
      <c r="HPW1" s="437"/>
      <c r="HPX1" s="437"/>
      <c r="HPY1" s="437"/>
      <c r="HPZ1" s="437"/>
      <c r="HQA1" s="437"/>
      <c r="HQB1" s="437"/>
      <c r="HQC1" s="437"/>
      <c r="HQD1" s="437"/>
      <c r="HQE1" s="437"/>
      <c r="HQF1" s="437"/>
      <c r="HQG1" s="437"/>
      <c r="HQH1" s="437"/>
      <c r="HQI1" s="437"/>
      <c r="HQJ1" s="437"/>
      <c r="HQK1" s="437"/>
      <c r="HQL1" s="437"/>
      <c r="HQM1" s="437"/>
      <c r="HQN1" s="437"/>
      <c r="HQO1" s="437"/>
      <c r="HQP1" s="437"/>
      <c r="HQQ1" s="437"/>
      <c r="HQR1" s="437"/>
      <c r="HQS1" s="437"/>
      <c r="HQT1" s="437"/>
      <c r="HQU1" s="437"/>
      <c r="HQV1" s="437"/>
      <c r="HQW1" s="437"/>
      <c r="HQX1" s="437"/>
      <c r="HQY1" s="437"/>
      <c r="HQZ1" s="437"/>
      <c r="HRA1" s="437"/>
      <c r="HRB1" s="437"/>
      <c r="HRC1" s="437"/>
      <c r="HRD1" s="437"/>
      <c r="HRE1" s="437"/>
      <c r="HRF1" s="437"/>
      <c r="HRG1" s="437"/>
      <c r="HRH1" s="437"/>
      <c r="HRI1" s="437"/>
      <c r="HRJ1" s="437"/>
      <c r="HRK1" s="437"/>
      <c r="HRL1" s="437"/>
      <c r="HRM1" s="437"/>
      <c r="HRN1" s="437"/>
      <c r="HRO1" s="437"/>
      <c r="HRP1" s="437"/>
      <c r="HRQ1" s="437"/>
      <c r="HRR1" s="437"/>
      <c r="HRS1" s="437"/>
      <c r="HRT1" s="437"/>
      <c r="HRU1" s="437"/>
      <c r="HRV1" s="437"/>
      <c r="HRW1" s="437"/>
      <c r="HRX1" s="437"/>
      <c r="HRY1" s="437"/>
      <c r="HRZ1" s="437"/>
      <c r="HSA1" s="437"/>
      <c r="HSB1" s="437"/>
      <c r="HSC1" s="437"/>
      <c r="HSD1" s="437"/>
      <c r="HSE1" s="437"/>
      <c r="HSF1" s="437"/>
      <c r="HSG1" s="437"/>
      <c r="HSH1" s="437"/>
      <c r="HSI1" s="437"/>
      <c r="HSJ1" s="437"/>
      <c r="HSK1" s="437"/>
      <c r="HSL1" s="437"/>
      <c r="HSM1" s="437"/>
      <c r="HSN1" s="437"/>
      <c r="HSO1" s="437"/>
      <c r="HSP1" s="437"/>
      <c r="HSQ1" s="437"/>
      <c r="HSR1" s="437"/>
      <c r="HSS1" s="437"/>
      <c r="HST1" s="437"/>
      <c r="HSU1" s="437"/>
      <c r="HSV1" s="437"/>
      <c r="HSW1" s="437"/>
      <c r="HSX1" s="437"/>
      <c r="HSY1" s="437"/>
      <c r="HSZ1" s="437"/>
      <c r="HTA1" s="437"/>
      <c r="HTB1" s="437"/>
      <c r="HTC1" s="437"/>
      <c r="HTD1" s="437"/>
      <c r="HTE1" s="437"/>
      <c r="HTF1" s="437"/>
      <c r="HTG1" s="437"/>
      <c r="HTH1" s="437"/>
      <c r="HTI1" s="437"/>
      <c r="HTJ1" s="437"/>
      <c r="HTK1" s="437"/>
      <c r="HTL1" s="437"/>
      <c r="HTM1" s="437"/>
      <c r="HTN1" s="437"/>
      <c r="HTO1" s="437"/>
      <c r="HTP1" s="437"/>
      <c r="HTQ1" s="437"/>
      <c r="HTR1" s="437"/>
      <c r="HTS1" s="437"/>
      <c r="HTT1" s="437"/>
      <c r="HTU1" s="437"/>
      <c r="HTV1" s="437"/>
      <c r="HTW1" s="437"/>
      <c r="HTX1" s="437"/>
      <c r="HTY1" s="437"/>
      <c r="HTZ1" s="437"/>
      <c r="HUA1" s="437"/>
      <c r="HUB1" s="437"/>
      <c r="HUC1" s="437"/>
      <c r="HUD1" s="437"/>
      <c r="HUE1" s="437"/>
      <c r="HUF1" s="437"/>
      <c r="HUG1" s="437"/>
      <c r="HUH1" s="437"/>
      <c r="HUI1" s="437"/>
      <c r="HUJ1" s="437"/>
      <c r="HUK1" s="437"/>
      <c r="HUL1" s="437"/>
      <c r="HUM1" s="437"/>
      <c r="HUN1" s="437"/>
      <c r="HUO1" s="437"/>
      <c r="HUP1" s="437"/>
      <c r="HUQ1" s="437"/>
      <c r="HUR1" s="437"/>
      <c r="HUS1" s="437"/>
      <c r="HUT1" s="437"/>
      <c r="HUU1" s="437"/>
      <c r="HUV1" s="437"/>
      <c r="HUW1" s="437"/>
      <c r="HUX1" s="437"/>
      <c r="HUY1" s="437"/>
      <c r="HUZ1" s="437"/>
      <c r="HVA1" s="437"/>
      <c r="HVB1" s="437"/>
      <c r="HVC1" s="437"/>
      <c r="HVD1" s="437"/>
      <c r="HVE1" s="437"/>
      <c r="HVF1" s="437"/>
      <c r="HVG1" s="437"/>
      <c r="HVH1" s="437"/>
      <c r="HVI1" s="437"/>
      <c r="HVJ1" s="437"/>
      <c r="HVK1" s="437"/>
      <c r="HVL1" s="437"/>
      <c r="HVM1" s="437"/>
      <c r="HVN1" s="437"/>
      <c r="HVO1" s="437"/>
      <c r="HVP1" s="437"/>
      <c r="HVQ1" s="437"/>
      <c r="HVR1" s="437"/>
      <c r="HVS1" s="437"/>
      <c r="HVT1" s="437"/>
      <c r="HVU1" s="437"/>
      <c r="HVV1" s="437"/>
      <c r="HVW1" s="437"/>
      <c r="HVX1" s="437"/>
      <c r="HVY1" s="437"/>
      <c r="HVZ1" s="437"/>
      <c r="HWA1" s="437"/>
      <c r="HWB1" s="437"/>
      <c r="HWC1" s="437"/>
      <c r="HWD1" s="437"/>
      <c r="HWE1" s="437"/>
      <c r="HWF1" s="437"/>
      <c r="HWG1" s="437"/>
      <c r="HWH1" s="437"/>
      <c r="HWI1" s="437"/>
      <c r="HWJ1" s="437"/>
      <c r="HWK1" s="437"/>
      <c r="HWL1" s="437"/>
      <c r="HWM1" s="437"/>
      <c r="HWN1" s="437"/>
      <c r="HWO1" s="437"/>
      <c r="HWP1" s="437"/>
      <c r="HWQ1" s="437"/>
      <c r="HWR1" s="437"/>
      <c r="HWS1" s="437"/>
      <c r="HWT1" s="437"/>
      <c r="HWU1" s="437"/>
      <c r="HWV1" s="437"/>
      <c r="HWW1" s="437"/>
      <c r="HWX1" s="437"/>
      <c r="HWY1" s="437"/>
      <c r="HWZ1" s="437"/>
      <c r="HXA1" s="437"/>
      <c r="HXB1" s="437"/>
      <c r="HXC1" s="437"/>
      <c r="HXD1" s="437"/>
      <c r="HXE1" s="437"/>
      <c r="HXF1" s="437"/>
      <c r="HXG1" s="437"/>
      <c r="HXH1" s="437"/>
      <c r="HXI1" s="437"/>
      <c r="HXJ1" s="437"/>
      <c r="HXK1" s="437"/>
      <c r="HXL1" s="437"/>
      <c r="HXM1" s="437"/>
      <c r="HXN1" s="437"/>
      <c r="HXO1" s="437"/>
      <c r="HXP1" s="437"/>
      <c r="HXQ1" s="437"/>
      <c r="HXR1" s="437"/>
      <c r="HXS1" s="437"/>
      <c r="HXT1" s="437"/>
      <c r="HXU1" s="437"/>
      <c r="HXV1" s="437"/>
      <c r="HXW1" s="437"/>
      <c r="HXX1" s="437"/>
      <c r="HXY1" s="437"/>
      <c r="HXZ1" s="437"/>
      <c r="HYA1" s="437"/>
      <c r="HYB1" s="437"/>
      <c r="HYC1" s="437"/>
      <c r="HYD1" s="437"/>
      <c r="HYE1" s="437"/>
      <c r="HYF1" s="437"/>
      <c r="HYG1" s="437"/>
      <c r="HYH1" s="437"/>
      <c r="HYI1" s="437"/>
      <c r="HYJ1" s="437"/>
      <c r="HYK1" s="437"/>
      <c r="HYL1" s="437"/>
      <c r="HYM1" s="437"/>
      <c r="HYN1" s="437"/>
      <c r="HYO1" s="437"/>
      <c r="HYP1" s="437"/>
      <c r="HYQ1" s="437"/>
      <c r="HYR1" s="437"/>
      <c r="HYS1" s="437"/>
      <c r="HYT1" s="437"/>
      <c r="HYU1" s="437"/>
      <c r="HYV1" s="437"/>
      <c r="HYW1" s="437"/>
      <c r="HYX1" s="437"/>
      <c r="HYY1" s="437"/>
      <c r="HYZ1" s="437"/>
      <c r="HZA1" s="437"/>
      <c r="HZB1" s="437"/>
      <c r="HZC1" s="437"/>
      <c r="HZD1" s="437"/>
      <c r="HZE1" s="437"/>
      <c r="HZF1" s="437"/>
      <c r="HZG1" s="437"/>
      <c r="HZH1" s="437"/>
      <c r="HZI1" s="437"/>
      <c r="HZJ1" s="437"/>
      <c r="HZK1" s="437"/>
      <c r="HZL1" s="437"/>
      <c r="HZM1" s="437"/>
      <c r="HZN1" s="437"/>
      <c r="HZO1" s="437"/>
      <c r="HZP1" s="437"/>
      <c r="HZQ1" s="437"/>
      <c r="HZR1" s="437"/>
      <c r="HZS1" s="437"/>
      <c r="HZT1" s="437"/>
      <c r="HZU1" s="437"/>
      <c r="HZV1" s="437"/>
      <c r="HZW1" s="437"/>
      <c r="HZX1" s="437"/>
      <c r="HZY1" s="437"/>
      <c r="HZZ1" s="437"/>
      <c r="IAA1" s="437"/>
      <c r="IAB1" s="437"/>
      <c r="IAC1" s="437"/>
      <c r="IAD1" s="437"/>
      <c r="IAE1" s="437"/>
      <c r="IAF1" s="437"/>
      <c r="IAG1" s="437"/>
      <c r="IAH1" s="437"/>
      <c r="IAI1" s="437"/>
      <c r="IAJ1" s="437"/>
      <c r="IAK1" s="437"/>
      <c r="IAL1" s="437"/>
      <c r="IAM1" s="437"/>
      <c r="IAN1" s="437"/>
      <c r="IAO1" s="437"/>
      <c r="IAP1" s="437"/>
      <c r="IAQ1" s="437"/>
      <c r="IAR1" s="437"/>
      <c r="IAS1" s="437"/>
      <c r="IAT1" s="437"/>
      <c r="IAU1" s="437"/>
      <c r="IAV1" s="437"/>
      <c r="IAW1" s="437"/>
      <c r="IAX1" s="437"/>
      <c r="IAY1" s="437"/>
      <c r="IAZ1" s="437"/>
      <c r="IBA1" s="437"/>
      <c r="IBB1" s="437"/>
      <c r="IBC1" s="437"/>
      <c r="IBD1" s="437"/>
      <c r="IBE1" s="437"/>
      <c r="IBF1" s="437"/>
      <c r="IBG1" s="437"/>
      <c r="IBH1" s="437"/>
      <c r="IBI1" s="437"/>
      <c r="IBJ1" s="437"/>
      <c r="IBK1" s="437"/>
      <c r="IBL1" s="437"/>
      <c r="IBM1" s="437"/>
      <c r="IBN1" s="437"/>
      <c r="IBO1" s="437"/>
      <c r="IBP1" s="437"/>
      <c r="IBQ1" s="437"/>
      <c r="IBR1" s="437"/>
      <c r="IBS1" s="437"/>
      <c r="IBT1" s="437"/>
      <c r="IBU1" s="437"/>
      <c r="IBV1" s="437"/>
      <c r="IBW1" s="437"/>
      <c r="IBX1" s="437"/>
      <c r="IBY1" s="437"/>
      <c r="IBZ1" s="437"/>
      <c r="ICA1" s="437"/>
      <c r="ICB1" s="437"/>
      <c r="ICC1" s="437"/>
      <c r="ICD1" s="437"/>
      <c r="ICE1" s="437"/>
      <c r="ICF1" s="437"/>
      <c r="ICG1" s="437"/>
      <c r="ICH1" s="437"/>
      <c r="ICI1" s="437"/>
      <c r="ICJ1" s="437"/>
      <c r="ICK1" s="437"/>
      <c r="ICL1" s="437"/>
      <c r="ICM1" s="437"/>
      <c r="ICN1" s="437"/>
      <c r="ICO1" s="437"/>
      <c r="ICP1" s="437"/>
      <c r="ICQ1" s="437"/>
      <c r="ICR1" s="437"/>
      <c r="ICS1" s="437"/>
      <c r="ICT1" s="437"/>
      <c r="ICU1" s="437"/>
      <c r="ICV1" s="437"/>
      <c r="ICW1" s="437"/>
      <c r="ICX1" s="437"/>
      <c r="ICY1" s="437"/>
      <c r="ICZ1" s="437"/>
      <c r="IDA1" s="437"/>
      <c r="IDB1" s="437"/>
      <c r="IDC1" s="437"/>
      <c r="IDD1" s="437"/>
      <c r="IDE1" s="437"/>
      <c r="IDF1" s="437"/>
      <c r="IDG1" s="437"/>
      <c r="IDH1" s="437"/>
      <c r="IDI1" s="437"/>
      <c r="IDJ1" s="437"/>
      <c r="IDK1" s="437"/>
      <c r="IDL1" s="437"/>
      <c r="IDM1" s="437"/>
      <c r="IDN1" s="437"/>
      <c r="IDO1" s="437"/>
      <c r="IDP1" s="437"/>
      <c r="IDQ1" s="437"/>
      <c r="IDR1" s="437"/>
      <c r="IDS1" s="437"/>
      <c r="IDT1" s="437"/>
      <c r="IDU1" s="437"/>
      <c r="IDV1" s="437"/>
      <c r="IDW1" s="437"/>
      <c r="IDX1" s="437"/>
      <c r="IDY1" s="437"/>
      <c r="IDZ1" s="437"/>
      <c r="IEA1" s="437"/>
      <c r="IEB1" s="437"/>
      <c r="IEC1" s="437"/>
      <c r="IED1" s="437"/>
      <c r="IEE1" s="437"/>
      <c r="IEF1" s="437"/>
      <c r="IEG1" s="437"/>
      <c r="IEH1" s="437"/>
      <c r="IEI1" s="437"/>
      <c r="IEJ1" s="437"/>
      <c r="IEK1" s="437"/>
      <c r="IEL1" s="437"/>
      <c r="IEM1" s="437"/>
      <c r="IEN1" s="437"/>
      <c r="IEO1" s="437"/>
      <c r="IEP1" s="437"/>
      <c r="IEQ1" s="437"/>
      <c r="IER1" s="437"/>
      <c r="IES1" s="437"/>
      <c r="IET1" s="437"/>
      <c r="IEU1" s="437"/>
      <c r="IEV1" s="437"/>
      <c r="IEW1" s="437"/>
      <c r="IEX1" s="437"/>
      <c r="IEY1" s="437"/>
      <c r="IEZ1" s="437"/>
      <c r="IFA1" s="437"/>
      <c r="IFB1" s="437"/>
      <c r="IFC1" s="437"/>
      <c r="IFD1" s="437"/>
      <c r="IFE1" s="437"/>
      <c r="IFF1" s="437"/>
      <c r="IFG1" s="437"/>
      <c r="IFH1" s="437"/>
      <c r="IFI1" s="437"/>
      <c r="IFJ1" s="437"/>
      <c r="IFK1" s="437"/>
      <c r="IFL1" s="437"/>
      <c r="IFM1" s="437"/>
      <c r="IFN1" s="437"/>
      <c r="IFO1" s="437"/>
      <c r="IFP1" s="437"/>
      <c r="IFQ1" s="437"/>
      <c r="IFR1" s="437"/>
      <c r="IFS1" s="437"/>
      <c r="IFT1" s="437"/>
      <c r="IFU1" s="437"/>
      <c r="IFV1" s="437"/>
      <c r="IFW1" s="437"/>
      <c r="IFX1" s="437"/>
      <c r="IFY1" s="437"/>
      <c r="IFZ1" s="437"/>
      <c r="IGA1" s="437"/>
      <c r="IGB1" s="437"/>
      <c r="IGC1" s="437"/>
      <c r="IGD1" s="437"/>
      <c r="IGE1" s="437"/>
      <c r="IGF1" s="437"/>
      <c r="IGG1" s="437"/>
      <c r="IGH1" s="437"/>
      <c r="IGI1" s="437"/>
      <c r="IGJ1" s="437"/>
      <c r="IGK1" s="437"/>
      <c r="IGL1" s="437"/>
      <c r="IGM1" s="437"/>
      <c r="IGN1" s="437"/>
      <c r="IGO1" s="437"/>
      <c r="IGP1" s="437"/>
      <c r="IGQ1" s="437"/>
      <c r="IGR1" s="437"/>
      <c r="IGS1" s="437"/>
      <c r="IGT1" s="437"/>
      <c r="IGU1" s="437"/>
      <c r="IGV1" s="437"/>
      <c r="IGW1" s="437"/>
      <c r="IGX1" s="437"/>
      <c r="IGY1" s="437"/>
      <c r="IGZ1" s="437"/>
      <c r="IHA1" s="437"/>
      <c r="IHB1" s="437"/>
      <c r="IHC1" s="437"/>
      <c r="IHD1" s="437"/>
      <c r="IHE1" s="437"/>
      <c r="IHF1" s="437"/>
      <c r="IHG1" s="437"/>
      <c r="IHH1" s="437"/>
      <c r="IHI1" s="437"/>
      <c r="IHJ1" s="437"/>
      <c r="IHK1" s="437"/>
      <c r="IHL1" s="437"/>
      <c r="IHM1" s="437"/>
      <c r="IHN1" s="437"/>
      <c r="IHO1" s="437"/>
      <c r="IHP1" s="437"/>
      <c r="IHQ1" s="437"/>
      <c r="IHR1" s="437"/>
      <c r="IHS1" s="437"/>
      <c r="IHT1" s="437"/>
      <c r="IHU1" s="437"/>
      <c r="IHV1" s="437"/>
      <c r="IHW1" s="437"/>
      <c r="IHX1" s="437"/>
      <c r="IHY1" s="437"/>
      <c r="IHZ1" s="437"/>
      <c r="IIA1" s="437"/>
      <c r="IIB1" s="437"/>
      <c r="IIC1" s="437"/>
      <c r="IID1" s="437"/>
      <c r="IIE1" s="437"/>
      <c r="IIF1" s="437"/>
      <c r="IIG1" s="437"/>
      <c r="IIH1" s="437"/>
      <c r="III1" s="437"/>
      <c r="IIJ1" s="437"/>
      <c r="IIK1" s="437"/>
      <c r="IIL1" s="437"/>
      <c r="IIM1" s="437"/>
      <c r="IIN1" s="437"/>
      <c r="IIO1" s="437"/>
      <c r="IIP1" s="437"/>
      <c r="IIQ1" s="437"/>
      <c r="IIR1" s="437"/>
      <c r="IIS1" s="437"/>
      <c r="IIT1" s="437"/>
      <c r="IIU1" s="437"/>
      <c r="IIV1" s="437"/>
      <c r="IIW1" s="437"/>
      <c r="IIX1" s="437"/>
      <c r="IIY1" s="437"/>
      <c r="IIZ1" s="437"/>
      <c r="IJA1" s="437"/>
      <c r="IJB1" s="437"/>
      <c r="IJC1" s="437"/>
      <c r="IJD1" s="437"/>
      <c r="IJE1" s="437"/>
      <c r="IJF1" s="437"/>
      <c r="IJG1" s="437"/>
      <c r="IJH1" s="437"/>
      <c r="IJI1" s="437"/>
      <c r="IJJ1" s="437"/>
      <c r="IJK1" s="437"/>
      <c r="IJL1" s="437"/>
      <c r="IJM1" s="437"/>
      <c r="IJN1" s="437"/>
      <c r="IJO1" s="437"/>
      <c r="IJP1" s="437"/>
      <c r="IJQ1" s="437"/>
      <c r="IJR1" s="437"/>
      <c r="IJS1" s="437"/>
      <c r="IJT1" s="437"/>
      <c r="IJU1" s="437"/>
      <c r="IJV1" s="437"/>
      <c r="IJW1" s="437"/>
      <c r="IJX1" s="437"/>
      <c r="IJY1" s="437"/>
      <c r="IJZ1" s="437"/>
      <c r="IKA1" s="437"/>
      <c r="IKB1" s="437"/>
      <c r="IKC1" s="437"/>
      <c r="IKD1" s="437"/>
      <c r="IKE1" s="437"/>
      <c r="IKF1" s="437"/>
      <c r="IKG1" s="437"/>
      <c r="IKH1" s="437"/>
      <c r="IKI1" s="437"/>
      <c r="IKJ1" s="437"/>
      <c r="IKK1" s="437"/>
      <c r="IKL1" s="437"/>
      <c r="IKM1" s="437"/>
      <c r="IKN1" s="437"/>
      <c r="IKO1" s="437"/>
      <c r="IKP1" s="437"/>
      <c r="IKQ1" s="437"/>
      <c r="IKR1" s="437"/>
      <c r="IKS1" s="437"/>
      <c r="IKT1" s="437"/>
      <c r="IKU1" s="437"/>
      <c r="IKV1" s="437"/>
      <c r="IKW1" s="437"/>
      <c r="IKX1" s="437"/>
      <c r="IKY1" s="437"/>
      <c r="IKZ1" s="437"/>
      <c r="ILA1" s="437"/>
      <c r="ILB1" s="437"/>
      <c r="ILC1" s="437"/>
      <c r="ILD1" s="437"/>
      <c r="ILE1" s="437"/>
      <c r="ILF1" s="437"/>
      <c r="ILG1" s="437"/>
      <c r="ILH1" s="437"/>
      <c r="ILI1" s="437"/>
      <c r="ILJ1" s="437"/>
      <c r="ILK1" s="437"/>
      <c r="ILL1" s="437"/>
      <c r="ILM1" s="437"/>
      <c r="ILN1" s="437"/>
      <c r="ILO1" s="437"/>
      <c r="ILP1" s="437"/>
      <c r="ILQ1" s="437"/>
      <c r="ILR1" s="437"/>
      <c r="ILS1" s="437"/>
      <c r="ILT1" s="437"/>
      <c r="ILU1" s="437"/>
      <c r="ILV1" s="437"/>
      <c r="ILW1" s="437"/>
      <c r="ILX1" s="437"/>
      <c r="ILY1" s="437"/>
      <c r="ILZ1" s="437"/>
      <c r="IMA1" s="437"/>
      <c r="IMB1" s="437"/>
      <c r="IMC1" s="437"/>
      <c r="IMD1" s="437"/>
      <c r="IME1" s="437"/>
      <c r="IMF1" s="437"/>
      <c r="IMG1" s="437"/>
      <c r="IMH1" s="437"/>
      <c r="IMI1" s="437"/>
      <c r="IMJ1" s="437"/>
      <c r="IMK1" s="437"/>
      <c r="IML1" s="437"/>
      <c r="IMM1" s="437"/>
      <c r="IMN1" s="437"/>
      <c r="IMO1" s="437"/>
      <c r="IMP1" s="437"/>
      <c r="IMQ1" s="437"/>
      <c r="IMR1" s="437"/>
      <c r="IMS1" s="437"/>
      <c r="IMT1" s="437"/>
      <c r="IMU1" s="437"/>
      <c r="IMV1" s="437"/>
      <c r="IMW1" s="437"/>
      <c r="IMX1" s="437"/>
      <c r="IMY1" s="437"/>
      <c r="IMZ1" s="437"/>
      <c r="INA1" s="437"/>
      <c r="INB1" s="437"/>
      <c r="INC1" s="437"/>
      <c r="IND1" s="437"/>
      <c r="INE1" s="437"/>
      <c r="INF1" s="437"/>
      <c r="ING1" s="437"/>
      <c r="INH1" s="437"/>
      <c r="INI1" s="437"/>
      <c r="INJ1" s="437"/>
      <c r="INK1" s="437"/>
      <c r="INL1" s="437"/>
      <c r="INM1" s="437"/>
      <c r="INN1" s="437"/>
      <c r="INO1" s="437"/>
      <c r="INP1" s="437"/>
      <c r="INQ1" s="437"/>
      <c r="INR1" s="437"/>
      <c r="INS1" s="437"/>
      <c r="INT1" s="437"/>
      <c r="INU1" s="437"/>
      <c r="INV1" s="437"/>
      <c r="INW1" s="437"/>
      <c r="INX1" s="437"/>
      <c r="INY1" s="437"/>
      <c r="INZ1" s="437"/>
      <c r="IOA1" s="437"/>
      <c r="IOB1" s="437"/>
      <c r="IOC1" s="437"/>
      <c r="IOD1" s="437"/>
      <c r="IOE1" s="437"/>
      <c r="IOF1" s="437"/>
      <c r="IOG1" s="437"/>
      <c r="IOH1" s="437"/>
      <c r="IOI1" s="437"/>
      <c r="IOJ1" s="437"/>
      <c r="IOK1" s="437"/>
      <c r="IOL1" s="437"/>
      <c r="IOM1" s="437"/>
      <c r="ION1" s="437"/>
      <c r="IOO1" s="437"/>
      <c r="IOP1" s="437"/>
      <c r="IOQ1" s="437"/>
      <c r="IOR1" s="437"/>
      <c r="IOS1" s="437"/>
      <c r="IOT1" s="437"/>
      <c r="IOU1" s="437"/>
      <c r="IOV1" s="437"/>
      <c r="IOW1" s="437"/>
      <c r="IOX1" s="437"/>
      <c r="IOY1" s="437"/>
      <c r="IOZ1" s="437"/>
      <c r="IPA1" s="437"/>
      <c r="IPB1" s="437"/>
      <c r="IPC1" s="437"/>
      <c r="IPD1" s="437"/>
      <c r="IPE1" s="437"/>
      <c r="IPF1" s="437"/>
      <c r="IPG1" s="437"/>
      <c r="IPH1" s="437"/>
      <c r="IPI1" s="437"/>
      <c r="IPJ1" s="437"/>
      <c r="IPK1" s="437"/>
      <c r="IPL1" s="437"/>
      <c r="IPM1" s="437"/>
      <c r="IPN1" s="437"/>
      <c r="IPO1" s="437"/>
      <c r="IPP1" s="437"/>
      <c r="IPQ1" s="437"/>
      <c r="IPR1" s="437"/>
      <c r="IPS1" s="437"/>
      <c r="IPT1" s="437"/>
      <c r="IPU1" s="437"/>
      <c r="IPV1" s="437"/>
      <c r="IPW1" s="437"/>
      <c r="IPX1" s="437"/>
      <c r="IPY1" s="437"/>
      <c r="IPZ1" s="437"/>
      <c r="IQA1" s="437"/>
      <c r="IQB1" s="437"/>
      <c r="IQC1" s="437"/>
      <c r="IQD1" s="437"/>
      <c r="IQE1" s="437"/>
      <c r="IQF1" s="437"/>
      <c r="IQG1" s="437"/>
      <c r="IQH1" s="437"/>
      <c r="IQI1" s="437"/>
      <c r="IQJ1" s="437"/>
      <c r="IQK1" s="437"/>
      <c r="IQL1" s="437"/>
      <c r="IQM1" s="437"/>
      <c r="IQN1" s="437"/>
      <c r="IQO1" s="437"/>
      <c r="IQP1" s="437"/>
      <c r="IQQ1" s="437"/>
      <c r="IQR1" s="437"/>
      <c r="IQS1" s="437"/>
      <c r="IQT1" s="437"/>
      <c r="IQU1" s="437"/>
      <c r="IQV1" s="437"/>
      <c r="IQW1" s="437"/>
      <c r="IQX1" s="437"/>
      <c r="IQY1" s="437"/>
      <c r="IQZ1" s="437"/>
      <c r="IRA1" s="437"/>
      <c r="IRB1" s="437"/>
      <c r="IRC1" s="437"/>
      <c r="IRD1" s="437"/>
      <c r="IRE1" s="437"/>
      <c r="IRF1" s="437"/>
      <c r="IRG1" s="437"/>
      <c r="IRH1" s="437"/>
      <c r="IRI1" s="437"/>
      <c r="IRJ1" s="437"/>
      <c r="IRK1" s="437"/>
      <c r="IRL1" s="437"/>
      <c r="IRM1" s="437"/>
      <c r="IRN1" s="437"/>
      <c r="IRO1" s="437"/>
      <c r="IRP1" s="437"/>
      <c r="IRQ1" s="437"/>
      <c r="IRR1" s="437"/>
      <c r="IRS1" s="437"/>
      <c r="IRT1" s="437"/>
      <c r="IRU1" s="437"/>
      <c r="IRV1" s="437"/>
      <c r="IRW1" s="437"/>
      <c r="IRX1" s="437"/>
      <c r="IRY1" s="437"/>
      <c r="IRZ1" s="437"/>
      <c r="ISA1" s="437"/>
      <c r="ISB1" s="437"/>
      <c r="ISC1" s="437"/>
      <c r="ISD1" s="437"/>
      <c r="ISE1" s="437"/>
      <c r="ISF1" s="437"/>
      <c r="ISG1" s="437"/>
      <c r="ISH1" s="437"/>
      <c r="ISI1" s="437"/>
      <c r="ISJ1" s="437"/>
      <c r="ISK1" s="437"/>
      <c r="ISL1" s="437"/>
      <c r="ISM1" s="437"/>
      <c r="ISN1" s="437"/>
      <c r="ISO1" s="437"/>
      <c r="ISP1" s="437"/>
      <c r="ISQ1" s="437"/>
      <c r="ISR1" s="437"/>
      <c r="ISS1" s="437"/>
      <c r="IST1" s="437"/>
      <c r="ISU1" s="437"/>
      <c r="ISV1" s="437"/>
      <c r="ISW1" s="437"/>
      <c r="ISX1" s="437"/>
      <c r="ISY1" s="437"/>
      <c r="ISZ1" s="437"/>
      <c r="ITA1" s="437"/>
      <c r="ITB1" s="437"/>
      <c r="ITC1" s="437"/>
      <c r="ITD1" s="437"/>
      <c r="ITE1" s="437"/>
      <c r="ITF1" s="437"/>
      <c r="ITG1" s="437"/>
      <c r="ITH1" s="437"/>
      <c r="ITI1" s="437"/>
      <c r="ITJ1" s="437"/>
      <c r="ITK1" s="437"/>
      <c r="ITL1" s="437"/>
      <c r="ITM1" s="437"/>
      <c r="ITN1" s="437"/>
      <c r="ITO1" s="437"/>
      <c r="ITP1" s="437"/>
      <c r="ITQ1" s="437"/>
      <c r="ITR1" s="437"/>
      <c r="ITS1" s="437"/>
      <c r="ITT1" s="437"/>
      <c r="ITU1" s="437"/>
      <c r="ITV1" s="437"/>
      <c r="ITW1" s="437"/>
      <c r="ITX1" s="437"/>
      <c r="ITY1" s="437"/>
      <c r="ITZ1" s="437"/>
      <c r="IUA1" s="437"/>
      <c r="IUB1" s="437"/>
      <c r="IUC1" s="437"/>
      <c r="IUD1" s="437"/>
      <c r="IUE1" s="437"/>
      <c r="IUF1" s="437"/>
      <c r="IUG1" s="437"/>
      <c r="IUH1" s="437"/>
      <c r="IUI1" s="437"/>
      <c r="IUJ1" s="437"/>
      <c r="IUK1" s="437"/>
      <c r="IUL1" s="437"/>
      <c r="IUM1" s="437"/>
      <c r="IUN1" s="437"/>
      <c r="IUO1" s="437"/>
      <c r="IUP1" s="437"/>
      <c r="IUQ1" s="437"/>
      <c r="IUR1" s="437"/>
      <c r="IUS1" s="437"/>
      <c r="IUT1" s="437"/>
      <c r="IUU1" s="437"/>
      <c r="IUV1" s="437"/>
      <c r="IUW1" s="437"/>
      <c r="IUX1" s="437"/>
      <c r="IUY1" s="437"/>
      <c r="IUZ1" s="437"/>
      <c r="IVA1" s="437"/>
      <c r="IVB1" s="437"/>
      <c r="IVC1" s="437"/>
      <c r="IVD1" s="437"/>
      <c r="IVE1" s="437"/>
      <c r="IVF1" s="437"/>
      <c r="IVG1" s="437"/>
      <c r="IVH1" s="437"/>
      <c r="IVI1" s="437"/>
      <c r="IVJ1" s="437"/>
      <c r="IVK1" s="437"/>
      <c r="IVL1" s="437"/>
      <c r="IVM1" s="437"/>
      <c r="IVN1" s="437"/>
      <c r="IVO1" s="437"/>
      <c r="IVP1" s="437"/>
      <c r="IVQ1" s="437"/>
      <c r="IVR1" s="437"/>
      <c r="IVS1" s="437"/>
      <c r="IVT1" s="437"/>
      <c r="IVU1" s="437"/>
      <c r="IVV1" s="437"/>
      <c r="IVW1" s="437"/>
      <c r="IVX1" s="437"/>
      <c r="IVY1" s="437"/>
      <c r="IVZ1" s="437"/>
      <c r="IWA1" s="437"/>
      <c r="IWB1" s="437"/>
      <c r="IWC1" s="437"/>
      <c r="IWD1" s="437"/>
      <c r="IWE1" s="437"/>
      <c r="IWF1" s="437"/>
      <c r="IWG1" s="437"/>
      <c r="IWH1" s="437"/>
      <c r="IWI1" s="437"/>
      <c r="IWJ1" s="437"/>
      <c r="IWK1" s="437"/>
      <c r="IWL1" s="437"/>
      <c r="IWM1" s="437"/>
      <c r="IWN1" s="437"/>
      <c r="IWO1" s="437"/>
      <c r="IWP1" s="437"/>
      <c r="IWQ1" s="437"/>
      <c r="IWR1" s="437"/>
      <c r="IWS1" s="437"/>
      <c r="IWT1" s="437"/>
      <c r="IWU1" s="437"/>
      <c r="IWV1" s="437"/>
      <c r="IWW1" s="437"/>
      <c r="IWX1" s="437"/>
      <c r="IWY1" s="437"/>
      <c r="IWZ1" s="437"/>
      <c r="IXA1" s="437"/>
      <c r="IXB1" s="437"/>
      <c r="IXC1" s="437"/>
      <c r="IXD1" s="437"/>
      <c r="IXE1" s="437"/>
      <c r="IXF1" s="437"/>
      <c r="IXG1" s="437"/>
      <c r="IXH1" s="437"/>
      <c r="IXI1" s="437"/>
      <c r="IXJ1" s="437"/>
      <c r="IXK1" s="437"/>
      <c r="IXL1" s="437"/>
      <c r="IXM1" s="437"/>
      <c r="IXN1" s="437"/>
      <c r="IXO1" s="437"/>
      <c r="IXP1" s="437"/>
      <c r="IXQ1" s="437"/>
      <c r="IXR1" s="437"/>
      <c r="IXS1" s="437"/>
      <c r="IXT1" s="437"/>
      <c r="IXU1" s="437"/>
      <c r="IXV1" s="437"/>
      <c r="IXW1" s="437"/>
      <c r="IXX1" s="437"/>
      <c r="IXY1" s="437"/>
      <c r="IXZ1" s="437"/>
      <c r="IYA1" s="437"/>
      <c r="IYB1" s="437"/>
      <c r="IYC1" s="437"/>
      <c r="IYD1" s="437"/>
      <c r="IYE1" s="437"/>
      <c r="IYF1" s="437"/>
      <c r="IYG1" s="437"/>
      <c r="IYH1" s="437"/>
      <c r="IYI1" s="437"/>
      <c r="IYJ1" s="437"/>
      <c r="IYK1" s="437"/>
      <c r="IYL1" s="437"/>
      <c r="IYM1" s="437"/>
      <c r="IYN1" s="437"/>
      <c r="IYO1" s="437"/>
      <c r="IYP1" s="437"/>
      <c r="IYQ1" s="437"/>
      <c r="IYR1" s="437"/>
      <c r="IYS1" s="437"/>
      <c r="IYT1" s="437"/>
      <c r="IYU1" s="437"/>
      <c r="IYV1" s="437"/>
      <c r="IYW1" s="437"/>
      <c r="IYX1" s="437"/>
      <c r="IYY1" s="437"/>
      <c r="IYZ1" s="437"/>
      <c r="IZA1" s="437"/>
      <c r="IZB1" s="437"/>
      <c r="IZC1" s="437"/>
      <c r="IZD1" s="437"/>
      <c r="IZE1" s="437"/>
      <c r="IZF1" s="437"/>
      <c r="IZG1" s="437"/>
      <c r="IZH1" s="437"/>
      <c r="IZI1" s="437"/>
      <c r="IZJ1" s="437"/>
      <c r="IZK1" s="437"/>
      <c r="IZL1" s="437"/>
      <c r="IZM1" s="437"/>
      <c r="IZN1" s="437"/>
      <c r="IZO1" s="437"/>
      <c r="IZP1" s="437"/>
      <c r="IZQ1" s="437"/>
      <c r="IZR1" s="437"/>
      <c r="IZS1" s="437"/>
      <c r="IZT1" s="437"/>
      <c r="IZU1" s="437"/>
      <c r="IZV1" s="437"/>
      <c r="IZW1" s="437"/>
      <c r="IZX1" s="437"/>
      <c r="IZY1" s="437"/>
      <c r="IZZ1" s="437"/>
      <c r="JAA1" s="437"/>
      <c r="JAB1" s="437"/>
      <c r="JAC1" s="437"/>
      <c r="JAD1" s="437"/>
      <c r="JAE1" s="437"/>
      <c r="JAF1" s="437"/>
      <c r="JAG1" s="437"/>
      <c r="JAH1" s="437"/>
      <c r="JAI1" s="437"/>
      <c r="JAJ1" s="437"/>
      <c r="JAK1" s="437"/>
      <c r="JAL1" s="437"/>
      <c r="JAM1" s="437"/>
      <c r="JAN1" s="437"/>
      <c r="JAO1" s="437"/>
      <c r="JAP1" s="437"/>
      <c r="JAQ1" s="437"/>
      <c r="JAR1" s="437"/>
      <c r="JAS1" s="437"/>
      <c r="JAT1" s="437"/>
      <c r="JAU1" s="437"/>
      <c r="JAV1" s="437"/>
      <c r="JAW1" s="437"/>
      <c r="JAX1" s="437"/>
      <c r="JAY1" s="437"/>
      <c r="JAZ1" s="437"/>
      <c r="JBA1" s="437"/>
      <c r="JBB1" s="437"/>
      <c r="JBC1" s="437"/>
      <c r="JBD1" s="437"/>
      <c r="JBE1" s="437"/>
      <c r="JBF1" s="437"/>
      <c r="JBG1" s="437"/>
      <c r="JBH1" s="437"/>
      <c r="JBI1" s="437"/>
      <c r="JBJ1" s="437"/>
      <c r="JBK1" s="437"/>
      <c r="JBL1" s="437"/>
      <c r="JBM1" s="437"/>
      <c r="JBN1" s="437"/>
      <c r="JBO1" s="437"/>
      <c r="JBP1" s="437"/>
      <c r="JBQ1" s="437"/>
      <c r="JBR1" s="437"/>
      <c r="JBS1" s="437"/>
      <c r="JBT1" s="437"/>
      <c r="JBU1" s="437"/>
      <c r="JBV1" s="437"/>
      <c r="JBW1" s="437"/>
      <c r="JBX1" s="437"/>
      <c r="JBY1" s="437"/>
      <c r="JBZ1" s="437"/>
      <c r="JCA1" s="437"/>
      <c r="JCB1" s="437"/>
      <c r="JCC1" s="437"/>
      <c r="JCD1" s="437"/>
      <c r="JCE1" s="437"/>
      <c r="JCF1" s="437"/>
      <c r="JCG1" s="437"/>
      <c r="JCH1" s="437"/>
      <c r="JCI1" s="437"/>
      <c r="JCJ1" s="437"/>
      <c r="JCK1" s="437"/>
      <c r="JCL1" s="437"/>
      <c r="JCM1" s="437"/>
      <c r="JCN1" s="437"/>
      <c r="JCO1" s="437"/>
      <c r="JCP1" s="437"/>
      <c r="JCQ1" s="437"/>
      <c r="JCR1" s="437"/>
      <c r="JCS1" s="437"/>
      <c r="JCT1" s="437"/>
      <c r="JCU1" s="437"/>
      <c r="JCV1" s="437"/>
      <c r="JCW1" s="437"/>
      <c r="JCX1" s="437"/>
      <c r="JCY1" s="437"/>
      <c r="JCZ1" s="437"/>
      <c r="JDA1" s="437"/>
      <c r="JDB1" s="437"/>
      <c r="JDC1" s="437"/>
      <c r="JDD1" s="437"/>
      <c r="JDE1" s="437"/>
      <c r="JDF1" s="437"/>
      <c r="JDG1" s="437"/>
      <c r="JDH1" s="437"/>
      <c r="JDI1" s="437"/>
      <c r="JDJ1" s="437"/>
      <c r="JDK1" s="437"/>
      <c r="JDL1" s="437"/>
      <c r="JDM1" s="437"/>
      <c r="JDN1" s="437"/>
      <c r="JDO1" s="437"/>
      <c r="JDP1" s="437"/>
      <c r="JDQ1" s="437"/>
      <c r="JDR1" s="437"/>
      <c r="JDS1" s="437"/>
      <c r="JDT1" s="437"/>
      <c r="JDU1" s="437"/>
      <c r="JDV1" s="437"/>
      <c r="JDW1" s="437"/>
      <c r="JDX1" s="437"/>
      <c r="JDY1" s="437"/>
      <c r="JDZ1" s="437"/>
      <c r="JEA1" s="437"/>
      <c r="JEB1" s="437"/>
      <c r="JEC1" s="437"/>
      <c r="JED1" s="437"/>
      <c r="JEE1" s="437"/>
      <c r="JEF1" s="437"/>
      <c r="JEG1" s="437"/>
      <c r="JEH1" s="437"/>
      <c r="JEI1" s="437"/>
      <c r="JEJ1" s="437"/>
      <c r="JEK1" s="437"/>
      <c r="JEL1" s="437"/>
      <c r="JEM1" s="437"/>
      <c r="JEN1" s="437"/>
      <c r="JEO1" s="437"/>
      <c r="JEP1" s="437"/>
      <c r="JEQ1" s="437"/>
      <c r="JER1" s="437"/>
      <c r="JES1" s="437"/>
      <c r="JET1" s="437"/>
      <c r="JEU1" s="437"/>
      <c r="JEV1" s="437"/>
      <c r="JEW1" s="437"/>
      <c r="JEX1" s="437"/>
      <c r="JEY1" s="437"/>
      <c r="JEZ1" s="437"/>
      <c r="JFA1" s="437"/>
      <c r="JFB1" s="437"/>
      <c r="JFC1" s="437"/>
      <c r="JFD1" s="437"/>
      <c r="JFE1" s="437"/>
      <c r="JFF1" s="437"/>
      <c r="JFG1" s="437"/>
      <c r="JFH1" s="437"/>
      <c r="JFI1" s="437"/>
      <c r="JFJ1" s="437"/>
      <c r="JFK1" s="437"/>
      <c r="JFL1" s="437"/>
      <c r="JFM1" s="437"/>
      <c r="JFN1" s="437"/>
      <c r="JFO1" s="437"/>
      <c r="JFP1" s="437"/>
      <c r="JFQ1" s="437"/>
      <c r="JFR1" s="437"/>
      <c r="JFS1" s="437"/>
      <c r="JFT1" s="437"/>
      <c r="JFU1" s="437"/>
      <c r="JFV1" s="437"/>
      <c r="JFW1" s="437"/>
      <c r="JFX1" s="437"/>
      <c r="JFY1" s="437"/>
      <c r="JFZ1" s="437"/>
      <c r="JGA1" s="437"/>
      <c r="JGB1" s="437"/>
      <c r="JGC1" s="437"/>
      <c r="JGD1" s="437"/>
      <c r="JGE1" s="437"/>
      <c r="JGF1" s="437"/>
      <c r="JGG1" s="437"/>
      <c r="JGH1" s="437"/>
      <c r="JGI1" s="437"/>
      <c r="JGJ1" s="437"/>
      <c r="JGK1" s="437"/>
      <c r="JGL1" s="437"/>
      <c r="JGM1" s="437"/>
      <c r="JGN1" s="437"/>
      <c r="JGO1" s="437"/>
      <c r="JGP1" s="437"/>
      <c r="JGQ1" s="437"/>
      <c r="JGR1" s="437"/>
      <c r="JGS1" s="437"/>
      <c r="JGT1" s="437"/>
      <c r="JGU1" s="437"/>
      <c r="JGV1" s="437"/>
      <c r="JGW1" s="437"/>
      <c r="JGX1" s="437"/>
      <c r="JGY1" s="437"/>
      <c r="JGZ1" s="437"/>
      <c r="JHA1" s="437"/>
      <c r="JHB1" s="437"/>
      <c r="JHC1" s="437"/>
      <c r="JHD1" s="437"/>
      <c r="JHE1" s="437"/>
      <c r="JHF1" s="437"/>
      <c r="JHG1" s="437"/>
      <c r="JHH1" s="437"/>
      <c r="JHI1" s="437"/>
      <c r="JHJ1" s="437"/>
      <c r="JHK1" s="437"/>
      <c r="JHL1" s="437"/>
      <c r="JHM1" s="437"/>
      <c r="JHN1" s="437"/>
      <c r="JHO1" s="437"/>
      <c r="JHP1" s="437"/>
      <c r="JHQ1" s="437"/>
      <c r="JHR1" s="437"/>
      <c r="JHS1" s="437"/>
      <c r="JHT1" s="437"/>
      <c r="JHU1" s="437"/>
      <c r="JHV1" s="437"/>
      <c r="JHW1" s="437"/>
      <c r="JHX1" s="437"/>
      <c r="JHY1" s="437"/>
      <c r="JHZ1" s="437"/>
      <c r="JIA1" s="437"/>
      <c r="JIB1" s="437"/>
      <c r="JIC1" s="437"/>
      <c r="JID1" s="437"/>
      <c r="JIE1" s="437"/>
      <c r="JIF1" s="437"/>
      <c r="JIG1" s="437"/>
      <c r="JIH1" s="437"/>
      <c r="JII1" s="437"/>
      <c r="JIJ1" s="437"/>
      <c r="JIK1" s="437"/>
      <c r="JIL1" s="437"/>
      <c r="JIM1" s="437"/>
      <c r="JIN1" s="437"/>
      <c r="JIO1" s="437"/>
      <c r="JIP1" s="437"/>
      <c r="JIQ1" s="437"/>
      <c r="JIR1" s="437"/>
      <c r="JIS1" s="437"/>
      <c r="JIT1" s="437"/>
      <c r="JIU1" s="437"/>
      <c r="JIV1" s="437"/>
      <c r="JIW1" s="437"/>
      <c r="JIX1" s="437"/>
      <c r="JIY1" s="437"/>
      <c r="JIZ1" s="437"/>
      <c r="JJA1" s="437"/>
      <c r="JJB1" s="437"/>
      <c r="JJC1" s="437"/>
      <c r="JJD1" s="437"/>
      <c r="JJE1" s="437"/>
      <c r="JJF1" s="437"/>
      <c r="JJG1" s="437"/>
      <c r="JJH1" s="437"/>
      <c r="JJI1" s="437"/>
      <c r="JJJ1" s="437"/>
      <c r="JJK1" s="437"/>
      <c r="JJL1" s="437"/>
      <c r="JJM1" s="437"/>
      <c r="JJN1" s="437"/>
      <c r="JJO1" s="437"/>
      <c r="JJP1" s="437"/>
      <c r="JJQ1" s="437"/>
      <c r="JJR1" s="437"/>
      <c r="JJS1" s="437"/>
      <c r="JJT1" s="437"/>
      <c r="JJU1" s="437"/>
      <c r="JJV1" s="437"/>
      <c r="JJW1" s="437"/>
      <c r="JJX1" s="437"/>
      <c r="JJY1" s="437"/>
      <c r="JJZ1" s="437"/>
      <c r="JKA1" s="437"/>
      <c r="JKB1" s="437"/>
      <c r="JKC1" s="437"/>
      <c r="JKD1" s="437"/>
      <c r="JKE1" s="437"/>
      <c r="JKF1" s="437"/>
      <c r="JKG1" s="437"/>
      <c r="JKH1" s="437"/>
      <c r="JKI1" s="437"/>
      <c r="JKJ1" s="437"/>
      <c r="JKK1" s="437"/>
      <c r="JKL1" s="437"/>
      <c r="JKM1" s="437"/>
      <c r="JKN1" s="437"/>
      <c r="JKO1" s="437"/>
      <c r="JKP1" s="437"/>
      <c r="JKQ1" s="437"/>
      <c r="JKR1" s="437"/>
      <c r="JKS1" s="437"/>
      <c r="JKT1" s="437"/>
      <c r="JKU1" s="437"/>
      <c r="JKV1" s="437"/>
      <c r="JKW1" s="437"/>
      <c r="JKX1" s="437"/>
      <c r="JKY1" s="437"/>
      <c r="JKZ1" s="437"/>
      <c r="JLA1" s="437"/>
      <c r="JLB1" s="437"/>
      <c r="JLC1" s="437"/>
      <c r="JLD1" s="437"/>
      <c r="JLE1" s="437"/>
      <c r="JLF1" s="437"/>
      <c r="JLG1" s="437"/>
      <c r="JLH1" s="437"/>
      <c r="JLI1" s="437"/>
      <c r="JLJ1" s="437"/>
      <c r="JLK1" s="437"/>
      <c r="JLL1" s="437"/>
      <c r="JLM1" s="437"/>
      <c r="JLN1" s="437"/>
      <c r="JLO1" s="437"/>
      <c r="JLP1" s="437"/>
      <c r="JLQ1" s="437"/>
      <c r="JLR1" s="437"/>
      <c r="JLS1" s="437"/>
      <c r="JLT1" s="437"/>
      <c r="JLU1" s="437"/>
      <c r="JLV1" s="437"/>
      <c r="JLW1" s="437"/>
      <c r="JLX1" s="437"/>
      <c r="JLY1" s="437"/>
      <c r="JLZ1" s="437"/>
      <c r="JMA1" s="437"/>
      <c r="JMB1" s="437"/>
      <c r="JMC1" s="437"/>
      <c r="JMD1" s="437"/>
      <c r="JME1" s="437"/>
      <c r="JMF1" s="437"/>
      <c r="JMG1" s="437"/>
      <c r="JMH1" s="437"/>
      <c r="JMI1" s="437"/>
      <c r="JMJ1" s="437"/>
      <c r="JMK1" s="437"/>
      <c r="JML1" s="437"/>
      <c r="JMM1" s="437"/>
      <c r="JMN1" s="437"/>
      <c r="JMO1" s="437"/>
      <c r="JMP1" s="437"/>
      <c r="JMQ1" s="437"/>
      <c r="JMR1" s="437"/>
      <c r="JMS1" s="437"/>
      <c r="JMT1" s="437"/>
      <c r="JMU1" s="437"/>
      <c r="JMV1" s="437"/>
      <c r="JMW1" s="437"/>
      <c r="JMX1" s="437"/>
      <c r="JMY1" s="437"/>
      <c r="JMZ1" s="437"/>
      <c r="JNA1" s="437"/>
      <c r="JNB1" s="437"/>
      <c r="JNC1" s="437"/>
      <c r="JND1" s="437"/>
      <c r="JNE1" s="437"/>
      <c r="JNF1" s="437"/>
      <c r="JNG1" s="437"/>
      <c r="JNH1" s="437"/>
      <c r="JNI1" s="437"/>
      <c r="JNJ1" s="437"/>
      <c r="JNK1" s="437"/>
      <c r="JNL1" s="437"/>
      <c r="JNM1" s="437"/>
      <c r="JNN1" s="437"/>
      <c r="JNO1" s="437"/>
      <c r="JNP1" s="437"/>
      <c r="JNQ1" s="437"/>
      <c r="JNR1" s="437"/>
      <c r="JNS1" s="437"/>
      <c r="JNT1" s="437"/>
      <c r="JNU1" s="437"/>
      <c r="JNV1" s="437"/>
      <c r="JNW1" s="437"/>
      <c r="JNX1" s="437"/>
      <c r="JNY1" s="437"/>
      <c r="JNZ1" s="437"/>
      <c r="JOA1" s="437"/>
      <c r="JOB1" s="437"/>
      <c r="JOC1" s="437"/>
      <c r="JOD1" s="437"/>
      <c r="JOE1" s="437"/>
      <c r="JOF1" s="437"/>
      <c r="JOG1" s="437"/>
      <c r="JOH1" s="437"/>
      <c r="JOI1" s="437"/>
      <c r="JOJ1" s="437"/>
      <c r="JOK1" s="437"/>
      <c r="JOL1" s="437"/>
      <c r="JOM1" s="437"/>
      <c r="JON1" s="437"/>
      <c r="JOO1" s="437"/>
      <c r="JOP1" s="437"/>
      <c r="JOQ1" s="437"/>
      <c r="JOR1" s="437"/>
      <c r="JOS1" s="437"/>
      <c r="JOT1" s="437"/>
      <c r="JOU1" s="437"/>
      <c r="JOV1" s="437"/>
      <c r="JOW1" s="437"/>
      <c r="JOX1" s="437"/>
      <c r="JOY1" s="437"/>
      <c r="JOZ1" s="437"/>
      <c r="JPA1" s="437"/>
      <c r="JPB1" s="437"/>
      <c r="JPC1" s="437"/>
      <c r="JPD1" s="437"/>
      <c r="JPE1" s="437"/>
      <c r="JPF1" s="437"/>
      <c r="JPG1" s="437"/>
      <c r="JPH1" s="437"/>
      <c r="JPI1" s="437"/>
      <c r="JPJ1" s="437"/>
      <c r="JPK1" s="437"/>
      <c r="JPL1" s="437"/>
      <c r="JPM1" s="437"/>
      <c r="JPN1" s="437"/>
      <c r="JPO1" s="437"/>
      <c r="JPP1" s="437"/>
      <c r="JPQ1" s="437"/>
      <c r="JPR1" s="437"/>
      <c r="JPS1" s="437"/>
      <c r="JPT1" s="437"/>
      <c r="JPU1" s="437"/>
      <c r="JPV1" s="437"/>
      <c r="JPW1" s="437"/>
      <c r="JPX1" s="437"/>
      <c r="JPY1" s="437"/>
      <c r="JPZ1" s="437"/>
      <c r="JQA1" s="437"/>
      <c r="JQB1" s="437"/>
      <c r="JQC1" s="437"/>
      <c r="JQD1" s="437"/>
      <c r="JQE1" s="437"/>
      <c r="JQF1" s="437"/>
      <c r="JQG1" s="437"/>
      <c r="JQH1" s="437"/>
      <c r="JQI1" s="437"/>
      <c r="JQJ1" s="437"/>
      <c r="JQK1" s="437"/>
      <c r="JQL1" s="437"/>
      <c r="JQM1" s="437"/>
      <c r="JQN1" s="437"/>
      <c r="JQO1" s="437"/>
      <c r="JQP1" s="437"/>
      <c r="JQQ1" s="437"/>
      <c r="JQR1" s="437"/>
      <c r="JQS1" s="437"/>
      <c r="JQT1" s="437"/>
      <c r="JQU1" s="437"/>
      <c r="JQV1" s="437"/>
      <c r="JQW1" s="437"/>
      <c r="JQX1" s="437"/>
      <c r="JQY1" s="437"/>
      <c r="JQZ1" s="437"/>
      <c r="JRA1" s="437"/>
      <c r="JRB1" s="437"/>
      <c r="JRC1" s="437"/>
      <c r="JRD1" s="437"/>
      <c r="JRE1" s="437"/>
      <c r="JRF1" s="437"/>
      <c r="JRG1" s="437"/>
      <c r="JRH1" s="437"/>
      <c r="JRI1" s="437"/>
      <c r="JRJ1" s="437"/>
      <c r="JRK1" s="437"/>
      <c r="JRL1" s="437"/>
      <c r="JRM1" s="437"/>
      <c r="JRN1" s="437"/>
      <c r="JRO1" s="437"/>
      <c r="JRP1" s="437"/>
      <c r="JRQ1" s="437"/>
      <c r="JRR1" s="437"/>
      <c r="JRS1" s="437"/>
      <c r="JRT1" s="437"/>
      <c r="JRU1" s="437"/>
      <c r="JRV1" s="437"/>
      <c r="JRW1" s="437"/>
      <c r="JRX1" s="437"/>
      <c r="JRY1" s="437"/>
      <c r="JRZ1" s="437"/>
      <c r="JSA1" s="437"/>
      <c r="JSB1" s="437"/>
      <c r="JSC1" s="437"/>
      <c r="JSD1" s="437"/>
      <c r="JSE1" s="437"/>
      <c r="JSF1" s="437"/>
      <c r="JSG1" s="437"/>
      <c r="JSH1" s="437"/>
      <c r="JSI1" s="437"/>
      <c r="JSJ1" s="437"/>
      <c r="JSK1" s="437"/>
      <c r="JSL1" s="437"/>
      <c r="JSM1" s="437"/>
      <c r="JSN1" s="437"/>
      <c r="JSO1" s="437"/>
      <c r="JSP1" s="437"/>
      <c r="JSQ1" s="437"/>
      <c r="JSR1" s="437"/>
      <c r="JSS1" s="437"/>
      <c r="JST1" s="437"/>
      <c r="JSU1" s="437"/>
      <c r="JSV1" s="437"/>
      <c r="JSW1" s="437"/>
      <c r="JSX1" s="437"/>
      <c r="JSY1" s="437"/>
      <c r="JSZ1" s="437"/>
      <c r="JTA1" s="437"/>
      <c r="JTB1" s="437"/>
      <c r="JTC1" s="437"/>
      <c r="JTD1" s="437"/>
      <c r="JTE1" s="437"/>
      <c r="JTF1" s="437"/>
      <c r="JTG1" s="437"/>
      <c r="JTH1" s="437"/>
      <c r="JTI1" s="437"/>
      <c r="JTJ1" s="437"/>
      <c r="JTK1" s="437"/>
      <c r="JTL1" s="437"/>
      <c r="JTM1" s="437"/>
      <c r="JTN1" s="437"/>
      <c r="JTO1" s="437"/>
      <c r="JTP1" s="437"/>
      <c r="JTQ1" s="437"/>
      <c r="JTR1" s="437"/>
      <c r="JTS1" s="437"/>
      <c r="JTT1" s="437"/>
      <c r="JTU1" s="437"/>
      <c r="JTV1" s="437"/>
      <c r="JTW1" s="437"/>
      <c r="JTX1" s="437"/>
      <c r="JTY1" s="437"/>
      <c r="JTZ1" s="437"/>
      <c r="JUA1" s="437"/>
      <c r="JUB1" s="437"/>
      <c r="JUC1" s="437"/>
      <c r="JUD1" s="437"/>
      <c r="JUE1" s="437"/>
      <c r="JUF1" s="437"/>
      <c r="JUG1" s="437"/>
      <c r="JUH1" s="437"/>
      <c r="JUI1" s="437"/>
      <c r="JUJ1" s="437"/>
      <c r="JUK1" s="437"/>
      <c r="JUL1" s="437"/>
      <c r="JUM1" s="437"/>
      <c r="JUN1" s="437"/>
      <c r="JUO1" s="437"/>
      <c r="JUP1" s="437"/>
      <c r="JUQ1" s="437"/>
      <c r="JUR1" s="437"/>
      <c r="JUS1" s="437"/>
      <c r="JUT1" s="437"/>
      <c r="JUU1" s="437"/>
      <c r="JUV1" s="437"/>
      <c r="JUW1" s="437"/>
      <c r="JUX1" s="437"/>
      <c r="JUY1" s="437"/>
      <c r="JUZ1" s="437"/>
      <c r="JVA1" s="437"/>
      <c r="JVB1" s="437"/>
      <c r="JVC1" s="437"/>
      <c r="JVD1" s="437"/>
      <c r="JVE1" s="437"/>
      <c r="JVF1" s="437"/>
      <c r="JVG1" s="437"/>
      <c r="JVH1" s="437"/>
      <c r="JVI1" s="437"/>
      <c r="JVJ1" s="437"/>
      <c r="JVK1" s="437"/>
      <c r="JVL1" s="437"/>
      <c r="JVM1" s="437"/>
      <c r="JVN1" s="437"/>
      <c r="JVO1" s="437"/>
      <c r="JVP1" s="437"/>
      <c r="JVQ1" s="437"/>
      <c r="JVR1" s="437"/>
      <c r="JVS1" s="437"/>
      <c r="JVT1" s="437"/>
      <c r="JVU1" s="437"/>
      <c r="JVV1" s="437"/>
      <c r="JVW1" s="437"/>
      <c r="JVX1" s="437"/>
      <c r="JVY1" s="437"/>
      <c r="JVZ1" s="437"/>
      <c r="JWA1" s="437"/>
      <c r="JWB1" s="437"/>
      <c r="JWC1" s="437"/>
      <c r="JWD1" s="437"/>
      <c r="JWE1" s="437"/>
      <c r="JWF1" s="437"/>
      <c r="JWG1" s="437"/>
      <c r="JWH1" s="437"/>
      <c r="JWI1" s="437"/>
      <c r="JWJ1" s="437"/>
      <c r="JWK1" s="437"/>
      <c r="JWL1" s="437"/>
      <c r="JWM1" s="437"/>
      <c r="JWN1" s="437"/>
      <c r="JWO1" s="437"/>
      <c r="JWP1" s="437"/>
      <c r="JWQ1" s="437"/>
      <c r="JWR1" s="437"/>
      <c r="JWS1" s="437"/>
      <c r="JWT1" s="437"/>
      <c r="JWU1" s="437"/>
      <c r="JWV1" s="437"/>
      <c r="JWW1" s="437"/>
      <c r="JWX1" s="437"/>
      <c r="JWY1" s="437"/>
      <c r="JWZ1" s="437"/>
      <c r="JXA1" s="437"/>
      <c r="JXB1" s="437"/>
      <c r="JXC1" s="437"/>
      <c r="JXD1" s="437"/>
      <c r="JXE1" s="437"/>
      <c r="JXF1" s="437"/>
      <c r="JXG1" s="437"/>
      <c r="JXH1" s="437"/>
      <c r="JXI1" s="437"/>
      <c r="JXJ1" s="437"/>
      <c r="JXK1" s="437"/>
      <c r="JXL1" s="437"/>
      <c r="JXM1" s="437"/>
      <c r="JXN1" s="437"/>
      <c r="JXO1" s="437"/>
      <c r="JXP1" s="437"/>
      <c r="JXQ1" s="437"/>
      <c r="JXR1" s="437"/>
      <c r="JXS1" s="437"/>
      <c r="JXT1" s="437"/>
      <c r="JXU1" s="437"/>
      <c r="JXV1" s="437"/>
      <c r="JXW1" s="437"/>
      <c r="JXX1" s="437"/>
      <c r="JXY1" s="437"/>
      <c r="JXZ1" s="437"/>
      <c r="JYA1" s="437"/>
      <c r="JYB1" s="437"/>
      <c r="JYC1" s="437"/>
      <c r="JYD1" s="437"/>
      <c r="JYE1" s="437"/>
      <c r="JYF1" s="437"/>
      <c r="JYG1" s="437"/>
      <c r="JYH1" s="437"/>
      <c r="JYI1" s="437"/>
      <c r="JYJ1" s="437"/>
      <c r="JYK1" s="437"/>
      <c r="JYL1" s="437"/>
      <c r="JYM1" s="437"/>
      <c r="JYN1" s="437"/>
      <c r="JYO1" s="437"/>
      <c r="JYP1" s="437"/>
      <c r="JYQ1" s="437"/>
      <c r="JYR1" s="437"/>
      <c r="JYS1" s="437"/>
      <c r="JYT1" s="437"/>
      <c r="JYU1" s="437"/>
      <c r="JYV1" s="437"/>
      <c r="JYW1" s="437"/>
      <c r="JYX1" s="437"/>
      <c r="JYY1" s="437"/>
      <c r="JYZ1" s="437"/>
      <c r="JZA1" s="437"/>
      <c r="JZB1" s="437"/>
      <c r="JZC1" s="437"/>
      <c r="JZD1" s="437"/>
      <c r="JZE1" s="437"/>
      <c r="JZF1" s="437"/>
      <c r="JZG1" s="437"/>
      <c r="JZH1" s="437"/>
      <c r="JZI1" s="437"/>
      <c r="JZJ1" s="437"/>
      <c r="JZK1" s="437"/>
      <c r="JZL1" s="437"/>
      <c r="JZM1" s="437"/>
      <c r="JZN1" s="437"/>
      <c r="JZO1" s="437"/>
      <c r="JZP1" s="437"/>
      <c r="JZQ1" s="437"/>
      <c r="JZR1" s="437"/>
      <c r="JZS1" s="437"/>
      <c r="JZT1" s="437"/>
      <c r="JZU1" s="437"/>
      <c r="JZV1" s="437"/>
      <c r="JZW1" s="437"/>
      <c r="JZX1" s="437"/>
      <c r="JZY1" s="437"/>
      <c r="JZZ1" s="437"/>
      <c r="KAA1" s="437"/>
      <c r="KAB1" s="437"/>
      <c r="KAC1" s="437"/>
      <c r="KAD1" s="437"/>
      <c r="KAE1" s="437"/>
      <c r="KAF1" s="437"/>
      <c r="KAG1" s="437"/>
      <c r="KAH1" s="437"/>
      <c r="KAI1" s="437"/>
      <c r="KAJ1" s="437"/>
      <c r="KAK1" s="437"/>
      <c r="KAL1" s="437"/>
      <c r="KAM1" s="437"/>
      <c r="KAN1" s="437"/>
      <c r="KAO1" s="437"/>
      <c r="KAP1" s="437"/>
      <c r="KAQ1" s="437"/>
      <c r="KAR1" s="437"/>
      <c r="KAS1" s="437"/>
      <c r="KAT1" s="437"/>
      <c r="KAU1" s="437"/>
      <c r="KAV1" s="437"/>
      <c r="KAW1" s="437"/>
      <c r="KAX1" s="437"/>
      <c r="KAY1" s="437"/>
      <c r="KAZ1" s="437"/>
      <c r="KBA1" s="437"/>
      <c r="KBB1" s="437"/>
      <c r="KBC1" s="437"/>
      <c r="KBD1" s="437"/>
      <c r="KBE1" s="437"/>
      <c r="KBF1" s="437"/>
      <c r="KBG1" s="437"/>
      <c r="KBH1" s="437"/>
      <c r="KBI1" s="437"/>
      <c r="KBJ1" s="437"/>
      <c r="KBK1" s="437"/>
      <c r="KBL1" s="437"/>
      <c r="KBM1" s="437"/>
      <c r="KBN1" s="437"/>
      <c r="KBO1" s="437"/>
      <c r="KBP1" s="437"/>
      <c r="KBQ1" s="437"/>
      <c r="KBR1" s="437"/>
      <c r="KBS1" s="437"/>
      <c r="KBT1" s="437"/>
      <c r="KBU1" s="437"/>
      <c r="KBV1" s="437"/>
      <c r="KBW1" s="437"/>
      <c r="KBX1" s="437"/>
      <c r="KBY1" s="437"/>
      <c r="KBZ1" s="437"/>
      <c r="KCA1" s="437"/>
      <c r="KCB1" s="437"/>
      <c r="KCC1" s="437"/>
      <c r="KCD1" s="437"/>
      <c r="KCE1" s="437"/>
      <c r="KCF1" s="437"/>
      <c r="KCG1" s="437"/>
      <c r="KCH1" s="437"/>
      <c r="KCI1" s="437"/>
      <c r="KCJ1" s="437"/>
      <c r="KCK1" s="437"/>
      <c r="KCL1" s="437"/>
      <c r="KCM1" s="437"/>
      <c r="KCN1" s="437"/>
      <c r="KCO1" s="437"/>
      <c r="KCP1" s="437"/>
      <c r="KCQ1" s="437"/>
      <c r="KCR1" s="437"/>
      <c r="KCS1" s="437"/>
      <c r="KCT1" s="437"/>
      <c r="KCU1" s="437"/>
      <c r="KCV1" s="437"/>
      <c r="KCW1" s="437"/>
      <c r="KCX1" s="437"/>
      <c r="KCY1" s="437"/>
      <c r="KCZ1" s="437"/>
      <c r="KDA1" s="437"/>
      <c r="KDB1" s="437"/>
      <c r="KDC1" s="437"/>
      <c r="KDD1" s="437"/>
      <c r="KDE1" s="437"/>
      <c r="KDF1" s="437"/>
      <c r="KDG1" s="437"/>
      <c r="KDH1" s="437"/>
      <c r="KDI1" s="437"/>
      <c r="KDJ1" s="437"/>
      <c r="KDK1" s="437"/>
      <c r="KDL1" s="437"/>
      <c r="KDM1" s="437"/>
      <c r="KDN1" s="437"/>
      <c r="KDO1" s="437"/>
      <c r="KDP1" s="437"/>
      <c r="KDQ1" s="437"/>
      <c r="KDR1" s="437"/>
      <c r="KDS1" s="437"/>
      <c r="KDT1" s="437"/>
      <c r="KDU1" s="437"/>
      <c r="KDV1" s="437"/>
      <c r="KDW1" s="437"/>
      <c r="KDX1" s="437"/>
      <c r="KDY1" s="437"/>
      <c r="KDZ1" s="437"/>
      <c r="KEA1" s="437"/>
      <c r="KEB1" s="437"/>
      <c r="KEC1" s="437"/>
      <c r="KED1" s="437"/>
      <c r="KEE1" s="437"/>
      <c r="KEF1" s="437"/>
      <c r="KEG1" s="437"/>
      <c r="KEH1" s="437"/>
      <c r="KEI1" s="437"/>
      <c r="KEJ1" s="437"/>
      <c r="KEK1" s="437"/>
      <c r="KEL1" s="437"/>
      <c r="KEM1" s="437"/>
      <c r="KEN1" s="437"/>
      <c r="KEO1" s="437"/>
      <c r="KEP1" s="437"/>
      <c r="KEQ1" s="437"/>
      <c r="KER1" s="437"/>
      <c r="KES1" s="437"/>
      <c r="KET1" s="437"/>
      <c r="KEU1" s="437"/>
      <c r="KEV1" s="437"/>
      <c r="KEW1" s="437"/>
      <c r="KEX1" s="437"/>
      <c r="KEY1" s="437"/>
      <c r="KEZ1" s="437"/>
      <c r="KFA1" s="437"/>
      <c r="KFB1" s="437"/>
      <c r="KFC1" s="437"/>
      <c r="KFD1" s="437"/>
      <c r="KFE1" s="437"/>
      <c r="KFF1" s="437"/>
      <c r="KFG1" s="437"/>
      <c r="KFH1" s="437"/>
      <c r="KFI1" s="437"/>
      <c r="KFJ1" s="437"/>
      <c r="KFK1" s="437"/>
      <c r="KFL1" s="437"/>
      <c r="KFM1" s="437"/>
      <c r="KFN1" s="437"/>
      <c r="KFO1" s="437"/>
      <c r="KFP1" s="437"/>
      <c r="KFQ1" s="437"/>
      <c r="KFR1" s="437"/>
      <c r="KFS1" s="437"/>
      <c r="KFT1" s="437"/>
      <c r="KFU1" s="437"/>
      <c r="KFV1" s="437"/>
      <c r="KFW1" s="437"/>
      <c r="KFX1" s="437"/>
      <c r="KFY1" s="437"/>
      <c r="KFZ1" s="437"/>
      <c r="KGA1" s="437"/>
      <c r="KGB1" s="437"/>
      <c r="KGC1" s="437"/>
      <c r="KGD1" s="437"/>
      <c r="KGE1" s="437"/>
      <c r="KGF1" s="437"/>
      <c r="KGG1" s="437"/>
      <c r="KGH1" s="437"/>
      <c r="KGI1" s="437"/>
      <c r="KGJ1" s="437"/>
      <c r="KGK1" s="437"/>
      <c r="KGL1" s="437"/>
      <c r="KGM1" s="437"/>
      <c r="KGN1" s="437"/>
      <c r="KGO1" s="437"/>
      <c r="KGP1" s="437"/>
      <c r="KGQ1" s="437"/>
      <c r="KGR1" s="437"/>
      <c r="KGS1" s="437"/>
      <c r="KGT1" s="437"/>
      <c r="KGU1" s="437"/>
      <c r="KGV1" s="437"/>
      <c r="KGW1" s="437"/>
      <c r="KGX1" s="437"/>
      <c r="KGY1" s="437"/>
      <c r="KGZ1" s="437"/>
      <c r="KHA1" s="437"/>
      <c r="KHB1" s="437"/>
      <c r="KHC1" s="437"/>
      <c r="KHD1" s="437"/>
      <c r="KHE1" s="437"/>
      <c r="KHF1" s="437"/>
      <c r="KHG1" s="437"/>
      <c r="KHH1" s="437"/>
      <c r="KHI1" s="437"/>
      <c r="KHJ1" s="437"/>
      <c r="KHK1" s="437"/>
      <c r="KHL1" s="437"/>
      <c r="KHM1" s="437"/>
      <c r="KHN1" s="437"/>
      <c r="KHO1" s="437"/>
      <c r="KHP1" s="437"/>
      <c r="KHQ1" s="437"/>
      <c r="KHR1" s="437"/>
      <c r="KHS1" s="437"/>
      <c r="KHT1" s="437"/>
      <c r="KHU1" s="437"/>
      <c r="KHV1" s="437"/>
      <c r="KHW1" s="437"/>
      <c r="KHX1" s="437"/>
      <c r="KHY1" s="437"/>
      <c r="KHZ1" s="437"/>
      <c r="KIA1" s="437"/>
      <c r="KIB1" s="437"/>
      <c r="KIC1" s="437"/>
      <c r="KID1" s="437"/>
      <c r="KIE1" s="437"/>
      <c r="KIF1" s="437"/>
      <c r="KIG1" s="437"/>
      <c r="KIH1" s="437"/>
      <c r="KII1" s="437"/>
      <c r="KIJ1" s="437"/>
      <c r="KIK1" s="437"/>
      <c r="KIL1" s="437"/>
      <c r="KIM1" s="437"/>
      <c r="KIN1" s="437"/>
      <c r="KIO1" s="437"/>
      <c r="KIP1" s="437"/>
      <c r="KIQ1" s="437"/>
      <c r="KIR1" s="437"/>
      <c r="KIS1" s="437"/>
      <c r="KIT1" s="437"/>
      <c r="KIU1" s="437"/>
      <c r="KIV1" s="437"/>
      <c r="KIW1" s="437"/>
      <c r="KIX1" s="437"/>
      <c r="KIY1" s="437"/>
      <c r="KIZ1" s="437"/>
      <c r="KJA1" s="437"/>
      <c r="KJB1" s="437"/>
      <c r="KJC1" s="437"/>
      <c r="KJD1" s="437"/>
      <c r="KJE1" s="437"/>
      <c r="KJF1" s="437"/>
      <c r="KJG1" s="437"/>
      <c r="KJH1" s="437"/>
      <c r="KJI1" s="437"/>
      <c r="KJJ1" s="437"/>
      <c r="KJK1" s="437"/>
      <c r="KJL1" s="437"/>
      <c r="KJM1" s="437"/>
      <c r="KJN1" s="437"/>
      <c r="KJO1" s="437"/>
      <c r="KJP1" s="437"/>
      <c r="KJQ1" s="437"/>
      <c r="KJR1" s="437"/>
      <c r="KJS1" s="437"/>
      <c r="KJT1" s="437"/>
      <c r="KJU1" s="437"/>
      <c r="KJV1" s="437"/>
      <c r="KJW1" s="437"/>
      <c r="KJX1" s="437"/>
      <c r="KJY1" s="437"/>
      <c r="KJZ1" s="437"/>
      <c r="KKA1" s="437"/>
      <c r="KKB1" s="437"/>
      <c r="KKC1" s="437"/>
      <c r="KKD1" s="437"/>
      <c r="KKE1" s="437"/>
      <c r="KKF1" s="437"/>
      <c r="KKG1" s="437"/>
      <c r="KKH1" s="437"/>
      <c r="KKI1" s="437"/>
      <c r="KKJ1" s="437"/>
      <c r="KKK1" s="437"/>
      <c r="KKL1" s="437"/>
      <c r="KKM1" s="437"/>
      <c r="KKN1" s="437"/>
      <c r="KKO1" s="437"/>
      <c r="KKP1" s="437"/>
      <c r="KKQ1" s="437"/>
      <c r="KKR1" s="437"/>
      <c r="KKS1" s="437"/>
      <c r="KKT1" s="437"/>
      <c r="KKU1" s="437"/>
      <c r="KKV1" s="437"/>
      <c r="KKW1" s="437"/>
      <c r="KKX1" s="437"/>
      <c r="KKY1" s="437"/>
      <c r="KKZ1" s="437"/>
      <c r="KLA1" s="437"/>
      <c r="KLB1" s="437"/>
      <c r="KLC1" s="437"/>
      <c r="KLD1" s="437"/>
      <c r="KLE1" s="437"/>
      <c r="KLF1" s="437"/>
      <c r="KLG1" s="437"/>
      <c r="KLH1" s="437"/>
      <c r="KLI1" s="437"/>
      <c r="KLJ1" s="437"/>
      <c r="KLK1" s="437"/>
      <c r="KLL1" s="437"/>
      <c r="KLM1" s="437"/>
      <c r="KLN1" s="437"/>
      <c r="KLO1" s="437"/>
      <c r="KLP1" s="437"/>
      <c r="KLQ1" s="437"/>
      <c r="KLR1" s="437"/>
      <c r="KLS1" s="437"/>
      <c r="KLT1" s="437"/>
      <c r="KLU1" s="437"/>
      <c r="KLV1" s="437"/>
      <c r="KLW1" s="437"/>
      <c r="KLX1" s="437"/>
      <c r="KLY1" s="437"/>
      <c r="KLZ1" s="437"/>
      <c r="KMA1" s="437"/>
      <c r="KMB1" s="437"/>
      <c r="KMC1" s="437"/>
      <c r="KMD1" s="437"/>
      <c r="KME1" s="437"/>
      <c r="KMF1" s="437"/>
      <c r="KMG1" s="437"/>
      <c r="KMH1" s="437"/>
      <c r="KMI1" s="437"/>
      <c r="KMJ1" s="437"/>
      <c r="KMK1" s="437"/>
      <c r="KML1" s="437"/>
      <c r="KMM1" s="437"/>
      <c r="KMN1" s="437"/>
      <c r="KMO1" s="437"/>
      <c r="KMP1" s="437"/>
      <c r="KMQ1" s="437"/>
      <c r="KMR1" s="437"/>
      <c r="KMS1" s="437"/>
      <c r="KMT1" s="437"/>
      <c r="KMU1" s="437"/>
      <c r="KMV1" s="437"/>
      <c r="KMW1" s="437"/>
      <c r="KMX1" s="437"/>
      <c r="KMY1" s="437"/>
      <c r="KMZ1" s="437"/>
      <c r="KNA1" s="437"/>
      <c r="KNB1" s="437"/>
      <c r="KNC1" s="437"/>
      <c r="KND1" s="437"/>
      <c r="KNE1" s="437"/>
      <c r="KNF1" s="437"/>
      <c r="KNG1" s="437"/>
      <c r="KNH1" s="437"/>
      <c r="KNI1" s="437"/>
      <c r="KNJ1" s="437"/>
      <c r="KNK1" s="437"/>
      <c r="KNL1" s="437"/>
      <c r="KNM1" s="437"/>
      <c r="KNN1" s="437"/>
      <c r="KNO1" s="437"/>
      <c r="KNP1" s="437"/>
      <c r="KNQ1" s="437"/>
      <c r="KNR1" s="437"/>
      <c r="KNS1" s="437"/>
      <c r="KNT1" s="437"/>
      <c r="KNU1" s="437"/>
      <c r="KNV1" s="437"/>
      <c r="KNW1" s="437"/>
      <c r="KNX1" s="437"/>
      <c r="KNY1" s="437"/>
      <c r="KNZ1" s="437"/>
      <c r="KOA1" s="437"/>
      <c r="KOB1" s="437"/>
      <c r="KOC1" s="437"/>
      <c r="KOD1" s="437"/>
      <c r="KOE1" s="437"/>
      <c r="KOF1" s="437"/>
      <c r="KOG1" s="437"/>
      <c r="KOH1" s="437"/>
      <c r="KOI1" s="437"/>
      <c r="KOJ1" s="437"/>
      <c r="KOK1" s="437"/>
      <c r="KOL1" s="437"/>
      <c r="KOM1" s="437"/>
      <c r="KON1" s="437"/>
      <c r="KOO1" s="437"/>
      <c r="KOP1" s="437"/>
      <c r="KOQ1" s="437"/>
      <c r="KOR1" s="437"/>
      <c r="KOS1" s="437"/>
      <c r="KOT1" s="437"/>
      <c r="KOU1" s="437"/>
      <c r="KOV1" s="437"/>
      <c r="KOW1" s="437"/>
      <c r="KOX1" s="437"/>
      <c r="KOY1" s="437"/>
      <c r="KOZ1" s="437"/>
      <c r="KPA1" s="437"/>
      <c r="KPB1" s="437"/>
      <c r="KPC1" s="437"/>
      <c r="KPD1" s="437"/>
      <c r="KPE1" s="437"/>
      <c r="KPF1" s="437"/>
      <c r="KPG1" s="437"/>
      <c r="KPH1" s="437"/>
      <c r="KPI1" s="437"/>
      <c r="KPJ1" s="437"/>
      <c r="KPK1" s="437"/>
      <c r="KPL1" s="437"/>
      <c r="KPM1" s="437"/>
      <c r="KPN1" s="437"/>
      <c r="KPO1" s="437"/>
      <c r="KPP1" s="437"/>
      <c r="KPQ1" s="437"/>
      <c r="KPR1" s="437"/>
      <c r="KPS1" s="437"/>
      <c r="KPT1" s="437"/>
      <c r="KPU1" s="437"/>
      <c r="KPV1" s="437"/>
      <c r="KPW1" s="437"/>
      <c r="KPX1" s="437"/>
      <c r="KPY1" s="437"/>
      <c r="KPZ1" s="437"/>
      <c r="KQA1" s="437"/>
      <c r="KQB1" s="437"/>
      <c r="KQC1" s="437"/>
      <c r="KQD1" s="437"/>
      <c r="KQE1" s="437"/>
      <c r="KQF1" s="437"/>
      <c r="KQG1" s="437"/>
      <c r="KQH1" s="437"/>
      <c r="KQI1" s="437"/>
      <c r="KQJ1" s="437"/>
      <c r="KQK1" s="437"/>
      <c r="KQL1" s="437"/>
      <c r="KQM1" s="437"/>
      <c r="KQN1" s="437"/>
      <c r="KQO1" s="437"/>
      <c r="KQP1" s="437"/>
      <c r="KQQ1" s="437"/>
      <c r="KQR1" s="437"/>
      <c r="KQS1" s="437"/>
      <c r="KQT1" s="437"/>
      <c r="KQU1" s="437"/>
      <c r="KQV1" s="437"/>
      <c r="KQW1" s="437"/>
      <c r="KQX1" s="437"/>
      <c r="KQY1" s="437"/>
      <c r="KQZ1" s="437"/>
      <c r="KRA1" s="437"/>
      <c r="KRB1" s="437"/>
      <c r="KRC1" s="437"/>
      <c r="KRD1" s="437"/>
      <c r="KRE1" s="437"/>
      <c r="KRF1" s="437"/>
      <c r="KRG1" s="437"/>
      <c r="KRH1" s="437"/>
      <c r="KRI1" s="437"/>
      <c r="KRJ1" s="437"/>
      <c r="KRK1" s="437"/>
      <c r="KRL1" s="437"/>
      <c r="KRM1" s="437"/>
      <c r="KRN1" s="437"/>
      <c r="KRO1" s="437"/>
      <c r="KRP1" s="437"/>
      <c r="KRQ1" s="437"/>
      <c r="KRR1" s="437"/>
      <c r="KRS1" s="437"/>
      <c r="KRT1" s="437"/>
      <c r="KRU1" s="437"/>
      <c r="KRV1" s="437"/>
      <c r="KRW1" s="437"/>
      <c r="KRX1" s="437"/>
      <c r="KRY1" s="437"/>
      <c r="KRZ1" s="437"/>
      <c r="KSA1" s="437"/>
      <c r="KSB1" s="437"/>
      <c r="KSC1" s="437"/>
      <c r="KSD1" s="437"/>
      <c r="KSE1" s="437"/>
      <c r="KSF1" s="437"/>
      <c r="KSG1" s="437"/>
      <c r="KSH1" s="437"/>
      <c r="KSI1" s="437"/>
      <c r="KSJ1" s="437"/>
      <c r="KSK1" s="437"/>
      <c r="KSL1" s="437"/>
      <c r="KSM1" s="437"/>
      <c r="KSN1" s="437"/>
      <c r="KSO1" s="437"/>
      <c r="KSP1" s="437"/>
      <c r="KSQ1" s="437"/>
      <c r="KSR1" s="437"/>
      <c r="KSS1" s="437"/>
      <c r="KST1" s="437"/>
      <c r="KSU1" s="437"/>
      <c r="KSV1" s="437"/>
      <c r="KSW1" s="437"/>
      <c r="KSX1" s="437"/>
      <c r="KSY1" s="437"/>
      <c r="KSZ1" s="437"/>
      <c r="KTA1" s="437"/>
      <c r="KTB1" s="437"/>
      <c r="KTC1" s="437"/>
      <c r="KTD1" s="437"/>
      <c r="KTE1" s="437"/>
      <c r="KTF1" s="437"/>
      <c r="KTG1" s="437"/>
      <c r="KTH1" s="437"/>
      <c r="KTI1" s="437"/>
      <c r="KTJ1" s="437"/>
      <c r="KTK1" s="437"/>
      <c r="KTL1" s="437"/>
      <c r="KTM1" s="437"/>
      <c r="KTN1" s="437"/>
      <c r="KTO1" s="437"/>
      <c r="KTP1" s="437"/>
      <c r="KTQ1" s="437"/>
      <c r="KTR1" s="437"/>
      <c r="KTS1" s="437"/>
      <c r="KTT1" s="437"/>
      <c r="KTU1" s="437"/>
      <c r="KTV1" s="437"/>
      <c r="KTW1" s="437"/>
      <c r="KTX1" s="437"/>
      <c r="KTY1" s="437"/>
      <c r="KTZ1" s="437"/>
      <c r="KUA1" s="437"/>
      <c r="KUB1" s="437"/>
      <c r="KUC1" s="437"/>
      <c r="KUD1" s="437"/>
      <c r="KUE1" s="437"/>
      <c r="KUF1" s="437"/>
      <c r="KUG1" s="437"/>
      <c r="KUH1" s="437"/>
      <c r="KUI1" s="437"/>
      <c r="KUJ1" s="437"/>
      <c r="KUK1" s="437"/>
      <c r="KUL1" s="437"/>
      <c r="KUM1" s="437"/>
      <c r="KUN1" s="437"/>
      <c r="KUO1" s="437"/>
      <c r="KUP1" s="437"/>
      <c r="KUQ1" s="437"/>
      <c r="KUR1" s="437"/>
      <c r="KUS1" s="437"/>
      <c r="KUT1" s="437"/>
      <c r="KUU1" s="437"/>
      <c r="KUV1" s="437"/>
      <c r="KUW1" s="437"/>
      <c r="KUX1" s="437"/>
      <c r="KUY1" s="437"/>
      <c r="KUZ1" s="437"/>
      <c r="KVA1" s="437"/>
      <c r="KVB1" s="437"/>
      <c r="KVC1" s="437"/>
      <c r="KVD1" s="437"/>
      <c r="KVE1" s="437"/>
      <c r="KVF1" s="437"/>
      <c r="KVG1" s="437"/>
      <c r="KVH1" s="437"/>
      <c r="KVI1" s="437"/>
      <c r="KVJ1" s="437"/>
      <c r="KVK1" s="437"/>
      <c r="KVL1" s="437"/>
      <c r="KVM1" s="437"/>
      <c r="KVN1" s="437"/>
      <c r="KVO1" s="437"/>
      <c r="KVP1" s="437"/>
      <c r="KVQ1" s="437"/>
      <c r="KVR1" s="437"/>
      <c r="KVS1" s="437"/>
      <c r="KVT1" s="437"/>
      <c r="KVU1" s="437"/>
      <c r="KVV1" s="437"/>
      <c r="KVW1" s="437"/>
      <c r="KVX1" s="437"/>
      <c r="KVY1" s="437"/>
      <c r="KVZ1" s="437"/>
      <c r="KWA1" s="437"/>
      <c r="KWB1" s="437"/>
      <c r="KWC1" s="437"/>
      <c r="KWD1" s="437"/>
      <c r="KWE1" s="437"/>
      <c r="KWF1" s="437"/>
      <c r="KWG1" s="437"/>
      <c r="KWH1" s="437"/>
      <c r="KWI1" s="437"/>
      <c r="KWJ1" s="437"/>
      <c r="KWK1" s="437"/>
      <c r="KWL1" s="437"/>
      <c r="KWM1" s="437"/>
      <c r="KWN1" s="437"/>
      <c r="KWO1" s="437"/>
      <c r="KWP1" s="437"/>
      <c r="KWQ1" s="437"/>
      <c r="KWR1" s="437"/>
      <c r="KWS1" s="437"/>
      <c r="KWT1" s="437"/>
      <c r="KWU1" s="437"/>
      <c r="KWV1" s="437"/>
      <c r="KWW1" s="437"/>
      <c r="KWX1" s="437"/>
      <c r="KWY1" s="437"/>
      <c r="KWZ1" s="437"/>
      <c r="KXA1" s="437"/>
      <c r="KXB1" s="437"/>
      <c r="KXC1" s="437"/>
      <c r="KXD1" s="437"/>
      <c r="KXE1" s="437"/>
      <c r="KXF1" s="437"/>
      <c r="KXG1" s="437"/>
      <c r="KXH1" s="437"/>
      <c r="KXI1" s="437"/>
      <c r="KXJ1" s="437"/>
      <c r="KXK1" s="437"/>
      <c r="KXL1" s="437"/>
      <c r="KXM1" s="437"/>
      <c r="KXN1" s="437"/>
      <c r="KXO1" s="437"/>
      <c r="KXP1" s="437"/>
      <c r="KXQ1" s="437"/>
      <c r="KXR1" s="437"/>
      <c r="KXS1" s="437"/>
      <c r="KXT1" s="437"/>
      <c r="KXU1" s="437"/>
      <c r="KXV1" s="437"/>
      <c r="KXW1" s="437"/>
      <c r="KXX1" s="437"/>
      <c r="KXY1" s="437"/>
      <c r="KXZ1" s="437"/>
      <c r="KYA1" s="437"/>
      <c r="KYB1" s="437"/>
      <c r="KYC1" s="437"/>
      <c r="KYD1" s="437"/>
      <c r="KYE1" s="437"/>
      <c r="KYF1" s="437"/>
      <c r="KYG1" s="437"/>
      <c r="KYH1" s="437"/>
      <c r="KYI1" s="437"/>
      <c r="KYJ1" s="437"/>
      <c r="KYK1" s="437"/>
      <c r="KYL1" s="437"/>
      <c r="KYM1" s="437"/>
      <c r="KYN1" s="437"/>
      <c r="KYO1" s="437"/>
      <c r="KYP1" s="437"/>
      <c r="KYQ1" s="437"/>
      <c r="KYR1" s="437"/>
      <c r="KYS1" s="437"/>
      <c r="KYT1" s="437"/>
      <c r="KYU1" s="437"/>
      <c r="KYV1" s="437"/>
      <c r="KYW1" s="437"/>
      <c r="KYX1" s="437"/>
      <c r="KYY1" s="437"/>
      <c r="KYZ1" s="437"/>
      <c r="KZA1" s="437"/>
      <c r="KZB1" s="437"/>
      <c r="KZC1" s="437"/>
      <c r="KZD1" s="437"/>
      <c r="KZE1" s="437"/>
      <c r="KZF1" s="437"/>
      <c r="KZG1" s="437"/>
      <c r="KZH1" s="437"/>
      <c r="KZI1" s="437"/>
      <c r="KZJ1" s="437"/>
      <c r="KZK1" s="437"/>
      <c r="KZL1" s="437"/>
      <c r="KZM1" s="437"/>
      <c r="KZN1" s="437"/>
      <c r="KZO1" s="437"/>
      <c r="KZP1" s="437"/>
      <c r="KZQ1" s="437"/>
      <c r="KZR1" s="437"/>
      <c r="KZS1" s="437"/>
      <c r="KZT1" s="437"/>
      <c r="KZU1" s="437"/>
      <c r="KZV1" s="437"/>
      <c r="KZW1" s="437"/>
      <c r="KZX1" s="437"/>
      <c r="KZY1" s="437"/>
      <c r="KZZ1" s="437"/>
      <c r="LAA1" s="437"/>
      <c r="LAB1" s="437"/>
      <c r="LAC1" s="437"/>
      <c r="LAD1" s="437"/>
      <c r="LAE1" s="437"/>
      <c r="LAF1" s="437"/>
      <c r="LAG1" s="437"/>
      <c r="LAH1" s="437"/>
      <c r="LAI1" s="437"/>
      <c r="LAJ1" s="437"/>
      <c r="LAK1" s="437"/>
      <c r="LAL1" s="437"/>
      <c r="LAM1" s="437"/>
      <c r="LAN1" s="437"/>
      <c r="LAO1" s="437"/>
      <c r="LAP1" s="437"/>
      <c r="LAQ1" s="437"/>
      <c r="LAR1" s="437"/>
      <c r="LAS1" s="437"/>
      <c r="LAT1" s="437"/>
      <c r="LAU1" s="437"/>
      <c r="LAV1" s="437"/>
      <c r="LAW1" s="437"/>
      <c r="LAX1" s="437"/>
      <c r="LAY1" s="437"/>
      <c r="LAZ1" s="437"/>
      <c r="LBA1" s="437"/>
      <c r="LBB1" s="437"/>
      <c r="LBC1" s="437"/>
      <c r="LBD1" s="437"/>
      <c r="LBE1" s="437"/>
      <c r="LBF1" s="437"/>
      <c r="LBG1" s="437"/>
      <c r="LBH1" s="437"/>
      <c r="LBI1" s="437"/>
      <c r="LBJ1" s="437"/>
      <c r="LBK1" s="437"/>
      <c r="LBL1" s="437"/>
      <c r="LBM1" s="437"/>
      <c r="LBN1" s="437"/>
      <c r="LBO1" s="437"/>
      <c r="LBP1" s="437"/>
      <c r="LBQ1" s="437"/>
      <c r="LBR1" s="437"/>
      <c r="LBS1" s="437"/>
      <c r="LBT1" s="437"/>
      <c r="LBU1" s="437"/>
      <c r="LBV1" s="437"/>
      <c r="LBW1" s="437"/>
      <c r="LBX1" s="437"/>
      <c r="LBY1" s="437"/>
      <c r="LBZ1" s="437"/>
      <c r="LCA1" s="437"/>
      <c r="LCB1" s="437"/>
      <c r="LCC1" s="437"/>
      <c r="LCD1" s="437"/>
      <c r="LCE1" s="437"/>
      <c r="LCF1" s="437"/>
      <c r="LCG1" s="437"/>
      <c r="LCH1" s="437"/>
      <c r="LCI1" s="437"/>
      <c r="LCJ1" s="437"/>
      <c r="LCK1" s="437"/>
      <c r="LCL1" s="437"/>
      <c r="LCM1" s="437"/>
      <c r="LCN1" s="437"/>
      <c r="LCO1" s="437"/>
      <c r="LCP1" s="437"/>
      <c r="LCQ1" s="437"/>
      <c r="LCR1" s="437"/>
      <c r="LCS1" s="437"/>
      <c r="LCT1" s="437"/>
      <c r="LCU1" s="437"/>
      <c r="LCV1" s="437"/>
      <c r="LCW1" s="437"/>
      <c r="LCX1" s="437"/>
      <c r="LCY1" s="437"/>
      <c r="LCZ1" s="437"/>
      <c r="LDA1" s="437"/>
      <c r="LDB1" s="437"/>
      <c r="LDC1" s="437"/>
      <c r="LDD1" s="437"/>
      <c r="LDE1" s="437"/>
      <c r="LDF1" s="437"/>
      <c r="LDG1" s="437"/>
      <c r="LDH1" s="437"/>
      <c r="LDI1" s="437"/>
      <c r="LDJ1" s="437"/>
      <c r="LDK1" s="437"/>
      <c r="LDL1" s="437"/>
      <c r="LDM1" s="437"/>
      <c r="LDN1" s="437"/>
      <c r="LDO1" s="437"/>
      <c r="LDP1" s="437"/>
      <c r="LDQ1" s="437"/>
      <c r="LDR1" s="437"/>
      <c r="LDS1" s="437"/>
      <c r="LDT1" s="437"/>
      <c r="LDU1" s="437"/>
      <c r="LDV1" s="437"/>
      <c r="LDW1" s="437"/>
      <c r="LDX1" s="437"/>
      <c r="LDY1" s="437"/>
      <c r="LDZ1" s="437"/>
      <c r="LEA1" s="437"/>
      <c r="LEB1" s="437"/>
      <c r="LEC1" s="437"/>
      <c r="LED1" s="437"/>
      <c r="LEE1" s="437"/>
      <c r="LEF1" s="437"/>
      <c r="LEG1" s="437"/>
      <c r="LEH1" s="437"/>
      <c r="LEI1" s="437"/>
      <c r="LEJ1" s="437"/>
      <c r="LEK1" s="437"/>
      <c r="LEL1" s="437"/>
      <c r="LEM1" s="437"/>
      <c r="LEN1" s="437"/>
      <c r="LEO1" s="437"/>
      <c r="LEP1" s="437"/>
      <c r="LEQ1" s="437"/>
      <c r="LER1" s="437"/>
      <c r="LES1" s="437"/>
      <c r="LET1" s="437"/>
      <c r="LEU1" s="437"/>
      <c r="LEV1" s="437"/>
      <c r="LEW1" s="437"/>
      <c r="LEX1" s="437"/>
      <c r="LEY1" s="437"/>
      <c r="LEZ1" s="437"/>
      <c r="LFA1" s="437"/>
      <c r="LFB1" s="437"/>
      <c r="LFC1" s="437"/>
      <c r="LFD1" s="437"/>
      <c r="LFE1" s="437"/>
      <c r="LFF1" s="437"/>
      <c r="LFG1" s="437"/>
      <c r="LFH1" s="437"/>
      <c r="LFI1" s="437"/>
      <c r="LFJ1" s="437"/>
      <c r="LFK1" s="437"/>
      <c r="LFL1" s="437"/>
      <c r="LFM1" s="437"/>
      <c r="LFN1" s="437"/>
      <c r="LFO1" s="437"/>
      <c r="LFP1" s="437"/>
      <c r="LFQ1" s="437"/>
      <c r="LFR1" s="437"/>
      <c r="LFS1" s="437"/>
      <c r="LFT1" s="437"/>
      <c r="LFU1" s="437"/>
      <c r="LFV1" s="437"/>
      <c r="LFW1" s="437"/>
      <c r="LFX1" s="437"/>
      <c r="LFY1" s="437"/>
      <c r="LFZ1" s="437"/>
      <c r="LGA1" s="437"/>
      <c r="LGB1" s="437"/>
      <c r="LGC1" s="437"/>
      <c r="LGD1" s="437"/>
      <c r="LGE1" s="437"/>
      <c r="LGF1" s="437"/>
      <c r="LGG1" s="437"/>
      <c r="LGH1" s="437"/>
      <c r="LGI1" s="437"/>
      <c r="LGJ1" s="437"/>
      <c r="LGK1" s="437"/>
      <c r="LGL1" s="437"/>
      <c r="LGM1" s="437"/>
      <c r="LGN1" s="437"/>
      <c r="LGO1" s="437"/>
      <c r="LGP1" s="437"/>
      <c r="LGQ1" s="437"/>
      <c r="LGR1" s="437"/>
      <c r="LGS1" s="437"/>
      <c r="LGT1" s="437"/>
      <c r="LGU1" s="437"/>
      <c r="LGV1" s="437"/>
      <c r="LGW1" s="437"/>
      <c r="LGX1" s="437"/>
      <c r="LGY1" s="437"/>
      <c r="LGZ1" s="437"/>
      <c r="LHA1" s="437"/>
      <c r="LHB1" s="437"/>
      <c r="LHC1" s="437"/>
      <c r="LHD1" s="437"/>
      <c r="LHE1" s="437"/>
      <c r="LHF1" s="437"/>
      <c r="LHG1" s="437"/>
      <c r="LHH1" s="437"/>
      <c r="LHI1" s="437"/>
      <c r="LHJ1" s="437"/>
      <c r="LHK1" s="437"/>
      <c r="LHL1" s="437"/>
      <c r="LHM1" s="437"/>
      <c r="LHN1" s="437"/>
      <c r="LHO1" s="437"/>
      <c r="LHP1" s="437"/>
      <c r="LHQ1" s="437"/>
      <c r="LHR1" s="437"/>
      <c r="LHS1" s="437"/>
      <c r="LHT1" s="437"/>
      <c r="LHU1" s="437"/>
      <c r="LHV1" s="437"/>
      <c r="LHW1" s="437"/>
      <c r="LHX1" s="437"/>
      <c r="LHY1" s="437"/>
      <c r="LHZ1" s="437"/>
      <c r="LIA1" s="437"/>
      <c r="LIB1" s="437"/>
      <c r="LIC1" s="437"/>
      <c r="LID1" s="437"/>
      <c r="LIE1" s="437"/>
      <c r="LIF1" s="437"/>
      <c r="LIG1" s="437"/>
      <c r="LIH1" s="437"/>
      <c r="LII1" s="437"/>
      <c r="LIJ1" s="437"/>
      <c r="LIK1" s="437"/>
      <c r="LIL1" s="437"/>
      <c r="LIM1" s="437"/>
      <c r="LIN1" s="437"/>
      <c r="LIO1" s="437"/>
      <c r="LIP1" s="437"/>
      <c r="LIQ1" s="437"/>
      <c r="LIR1" s="437"/>
      <c r="LIS1" s="437"/>
      <c r="LIT1" s="437"/>
      <c r="LIU1" s="437"/>
      <c r="LIV1" s="437"/>
      <c r="LIW1" s="437"/>
      <c r="LIX1" s="437"/>
      <c r="LIY1" s="437"/>
      <c r="LIZ1" s="437"/>
      <c r="LJA1" s="437"/>
      <c r="LJB1" s="437"/>
      <c r="LJC1" s="437"/>
      <c r="LJD1" s="437"/>
      <c r="LJE1" s="437"/>
      <c r="LJF1" s="437"/>
      <c r="LJG1" s="437"/>
      <c r="LJH1" s="437"/>
      <c r="LJI1" s="437"/>
      <c r="LJJ1" s="437"/>
      <c r="LJK1" s="437"/>
      <c r="LJL1" s="437"/>
      <c r="LJM1" s="437"/>
      <c r="LJN1" s="437"/>
      <c r="LJO1" s="437"/>
      <c r="LJP1" s="437"/>
      <c r="LJQ1" s="437"/>
      <c r="LJR1" s="437"/>
      <c r="LJS1" s="437"/>
      <c r="LJT1" s="437"/>
      <c r="LJU1" s="437"/>
      <c r="LJV1" s="437"/>
      <c r="LJW1" s="437"/>
      <c r="LJX1" s="437"/>
      <c r="LJY1" s="437"/>
      <c r="LJZ1" s="437"/>
      <c r="LKA1" s="437"/>
      <c r="LKB1" s="437"/>
      <c r="LKC1" s="437"/>
      <c r="LKD1" s="437"/>
      <c r="LKE1" s="437"/>
      <c r="LKF1" s="437"/>
      <c r="LKG1" s="437"/>
      <c r="LKH1" s="437"/>
      <c r="LKI1" s="437"/>
      <c r="LKJ1" s="437"/>
      <c r="LKK1" s="437"/>
      <c r="LKL1" s="437"/>
      <c r="LKM1" s="437"/>
      <c r="LKN1" s="437"/>
      <c r="LKO1" s="437"/>
      <c r="LKP1" s="437"/>
      <c r="LKQ1" s="437"/>
      <c r="LKR1" s="437"/>
      <c r="LKS1" s="437"/>
      <c r="LKT1" s="437"/>
      <c r="LKU1" s="437"/>
      <c r="LKV1" s="437"/>
      <c r="LKW1" s="437"/>
      <c r="LKX1" s="437"/>
      <c r="LKY1" s="437"/>
      <c r="LKZ1" s="437"/>
      <c r="LLA1" s="437"/>
      <c r="LLB1" s="437"/>
      <c r="LLC1" s="437"/>
      <c r="LLD1" s="437"/>
      <c r="LLE1" s="437"/>
      <c r="LLF1" s="437"/>
      <c r="LLG1" s="437"/>
      <c r="LLH1" s="437"/>
      <c r="LLI1" s="437"/>
      <c r="LLJ1" s="437"/>
      <c r="LLK1" s="437"/>
      <c r="LLL1" s="437"/>
      <c r="LLM1" s="437"/>
      <c r="LLN1" s="437"/>
      <c r="LLO1" s="437"/>
      <c r="LLP1" s="437"/>
      <c r="LLQ1" s="437"/>
      <c r="LLR1" s="437"/>
      <c r="LLS1" s="437"/>
      <c r="LLT1" s="437"/>
      <c r="LLU1" s="437"/>
      <c r="LLV1" s="437"/>
      <c r="LLW1" s="437"/>
      <c r="LLX1" s="437"/>
      <c r="LLY1" s="437"/>
      <c r="LLZ1" s="437"/>
      <c r="LMA1" s="437"/>
      <c r="LMB1" s="437"/>
      <c r="LMC1" s="437"/>
      <c r="LMD1" s="437"/>
      <c r="LME1" s="437"/>
      <c r="LMF1" s="437"/>
      <c r="LMG1" s="437"/>
      <c r="LMH1" s="437"/>
      <c r="LMI1" s="437"/>
      <c r="LMJ1" s="437"/>
      <c r="LMK1" s="437"/>
      <c r="LML1" s="437"/>
      <c r="LMM1" s="437"/>
      <c r="LMN1" s="437"/>
      <c r="LMO1" s="437"/>
      <c r="LMP1" s="437"/>
      <c r="LMQ1" s="437"/>
      <c r="LMR1" s="437"/>
      <c r="LMS1" s="437"/>
      <c r="LMT1" s="437"/>
      <c r="LMU1" s="437"/>
      <c r="LMV1" s="437"/>
      <c r="LMW1" s="437"/>
      <c r="LMX1" s="437"/>
      <c r="LMY1" s="437"/>
      <c r="LMZ1" s="437"/>
      <c r="LNA1" s="437"/>
      <c r="LNB1" s="437"/>
      <c r="LNC1" s="437"/>
      <c r="LND1" s="437"/>
      <c r="LNE1" s="437"/>
      <c r="LNF1" s="437"/>
      <c r="LNG1" s="437"/>
      <c r="LNH1" s="437"/>
      <c r="LNI1" s="437"/>
      <c r="LNJ1" s="437"/>
      <c r="LNK1" s="437"/>
      <c r="LNL1" s="437"/>
      <c r="LNM1" s="437"/>
      <c r="LNN1" s="437"/>
      <c r="LNO1" s="437"/>
      <c r="LNP1" s="437"/>
      <c r="LNQ1" s="437"/>
      <c r="LNR1" s="437"/>
      <c r="LNS1" s="437"/>
      <c r="LNT1" s="437"/>
      <c r="LNU1" s="437"/>
      <c r="LNV1" s="437"/>
      <c r="LNW1" s="437"/>
      <c r="LNX1" s="437"/>
      <c r="LNY1" s="437"/>
      <c r="LNZ1" s="437"/>
      <c r="LOA1" s="437"/>
      <c r="LOB1" s="437"/>
      <c r="LOC1" s="437"/>
      <c r="LOD1" s="437"/>
      <c r="LOE1" s="437"/>
      <c r="LOF1" s="437"/>
      <c r="LOG1" s="437"/>
      <c r="LOH1" s="437"/>
      <c r="LOI1" s="437"/>
      <c r="LOJ1" s="437"/>
      <c r="LOK1" s="437"/>
      <c r="LOL1" s="437"/>
      <c r="LOM1" s="437"/>
      <c r="LON1" s="437"/>
      <c r="LOO1" s="437"/>
      <c r="LOP1" s="437"/>
      <c r="LOQ1" s="437"/>
      <c r="LOR1" s="437"/>
      <c r="LOS1" s="437"/>
      <c r="LOT1" s="437"/>
      <c r="LOU1" s="437"/>
      <c r="LOV1" s="437"/>
      <c r="LOW1" s="437"/>
      <c r="LOX1" s="437"/>
      <c r="LOY1" s="437"/>
      <c r="LOZ1" s="437"/>
      <c r="LPA1" s="437"/>
      <c r="LPB1" s="437"/>
      <c r="LPC1" s="437"/>
      <c r="LPD1" s="437"/>
      <c r="LPE1" s="437"/>
      <c r="LPF1" s="437"/>
      <c r="LPG1" s="437"/>
      <c r="LPH1" s="437"/>
      <c r="LPI1" s="437"/>
      <c r="LPJ1" s="437"/>
      <c r="LPK1" s="437"/>
      <c r="LPL1" s="437"/>
      <c r="LPM1" s="437"/>
      <c r="LPN1" s="437"/>
      <c r="LPO1" s="437"/>
      <c r="LPP1" s="437"/>
      <c r="LPQ1" s="437"/>
      <c r="LPR1" s="437"/>
      <c r="LPS1" s="437"/>
      <c r="LPT1" s="437"/>
      <c r="LPU1" s="437"/>
      <c r="LPV1" s="437"/>
      <c r="LPW1" s="437"/>
      <c r="LPX1" s="437"/>
      <c r="LPY1" s="437"/>
      <c r="LPZ1" s="437"/>
      <c r="LQA1" s="437"/>
      <c r="LQB1" s="437"/>
      <c r="LQC1" s="437"/>
      <c r="LQD1" s="437"/>
      <c r="LQE1" s="437"/>
      <c r="LQF1" s="437"/>
      <c r="LQG1" s="437"/>
      <c r="LQH1" s="437"/>
      <c r="LQI1" s="437"/>
      <c r="LQJ1" s="437"/>
      <c r="LQK1" s="437"/>
      <c r="LQL1" s="437"/>
      <c r="LQM1" s="437"/>
      <c r="LQN1" s="437"/>
      <c r="LQO1" s="437"/>
      <c r="LQP1" s="437"/>
      <c r="LQQ1" s="437"/>
      <c r="LQR1" s="437"/>
      <c r="LQS1" s="437"/>
      <c r="LQT1" s="437"/>
      <c r="LQU1" s="437"/>
      <c r="LQV1" s="437"/>
      <c r="LQW1" s="437"/>
      <c r="LQX1" s="437"/>
      <c r="LQY1" s="437"/>
      <c r="LQZ1" s="437"/>
      <c r="LRA1" s="437"/>
      <c r="LRB1" s="437"/>
      <c r="LRC1" s="437"/>
      <c r="LRD1" s="437"/>
      <c r="LRE1" s="437"/>
      <c r="LRF1" s="437"/>
      <c r="LRG1" s="437"/>
      <c r="LRH1" s="437"/>
      <c r="LRI1" s="437"/>
      <c r="LRJ1" s="437"/>
      <c r="LRK1" s="437"/>
      <c r="LRL1" s="437"/>
      <c r="LRM1" s="437"/>
      <c r="LRN1" s="437"/>
      <c r="LRO1" s="437"/>
      <c r="LRP1" s="437"/>
      <c r="LRQ1" s="437"/>
      <c r="LRR1" s="437"/>
      <c r="LRS1" s="437"/>
      <c r="LRT1" s="437"/>
      <c r="LRU1" s="437"/>
      <c r="LRV1" s="437"/>
      <c r="LRW1" s="437"/>
      <c r="LRX1" s="437"/>
      <c r="LRY1" s="437"/>
      <c r="LRZ1" s="437"/>
      <c r="LSA1" s="437"/>
      <c r="LSB1" s="437"/>
      <c r="LSC1" s="437"/>
      <c r="LSD1" s="437"/>
      <c r="LSE1" s="437"/>
      <c r="LSF1" s="437"/>
      <c r="LSG1" s="437"/>
      <c r="LSH1" s="437"/>
      <c r="LSI1" s="437"/>
      <c r="LSJ1" s="437"/>
      <c r="LSK1" s="437"/>
      <c r="LSL1" s="437"/>
      <c r="LSM1" s="437"/>
      <c r="LSN1" s="437"/>
      <c r="LSO1" s="437"/>
      <c r="LSP1" s="437"/>
      <c r="LSQ1" s="437"/>
      <c r="LSR1" s="437"/>
      <c r="LSS1" s="437"/>
      <c r="LST1" s="437"/>
      <c r="LSU1" s="437"/>
      <c r="LSV1" s="437"/>
      <c r="LSW1" s="437"/>
      <c r="LSX1" s="437"/>
      <c r="LSY1" s="437"/>
      <c r="LSZ1" s="437"/>
      <c r="LTA1" s="437"/>
      <c r="LTB1" s="437"/>
      <c r="LTC1" s="437"/>
      <c r="LTD1" s="437"/>
      <c r="LTE1" s="437"/>
      <c r="LTF1" s="437"/>
      <c r="LTG1" s="437"/>
      <c r="LTH1" s="437"/>
      <c r="LTI1" s="437"/>
      <c r="LTJ1" s="437"/>
      <c r="LTK1" s="437"/>
      <c r="LTL1" s="437"/>
      <c r="LTM1" s="437"/>
      <c r="LTN1" s="437"/>
      <c r="LTO1" s="437"/>
      <c r="LTP1" s="437"/>
      <c r="LTQ1" s="437"/>
      <c r="LTR1" s="437"/>
      <c r="LTS1" s="437"/>
      <c r="LTT1" s="437"/>
      <c r="LTU1" s="437"/>
      <c r="LTV1" s="437"/>
      <c r="LTW1" s="437"/>
      <c r="LTX1" s="437"/>
      <c r="LTY1" s="437"/>
      <c r="LTZ1" s="437"/>
      <c r="LUA1" s="437"/>
      <c r="LUB1" s="437"/>
      <c r="LUC1" s="437"/>
      <c r="LUD1" s="437"/>
      <c r="LUE1" s="437"/>
      <c r="LUF1" s="437"/>
      <c r="LUG1" s="437"/>
      <c r="LUH1" s="437"/>
      <c r="LUI1" s="437"/>
      <c r="LUJ1" s="437"/>
      <c r="LUK1" s="437"/>
      <c r="LUL1" s="437"/>
      <c r="LUM1" s="437"/>
      <c r="LUN1" s="437"/>
      <c r="LUO1" s="437"/>
      <c r="LUP1" s="437"/>
      <c r="LUQ1" s="437"/>
      <c r="LUR1" s="437"/>
      <c r="LUS1" s="437"/>
      <c r="LUT1" s="437"/>
      <c r="LUU1" s="437"/>
      <c r="LUV1" s="437"/>
      <c r="LUW1" s="437"/>
      <c r="LUX1" s="437"/>
      <c r="LUY1" s="437"/>
      <c r="LUZ1" s="437"/>
      <c r="LVA1" s="437"/>
      <c r="LVB1" s="437"/>
      <c r="LVC1" s="437"/>
      <c r="LVD1" s="437"/>
      <c r="LVE1" s="437"/>
      <c r="LVF1" s="437"/>
      <c r="LVG1" s="437"/>
      <c r="LVH1" s="437"/>
      <c r="LVI1" s="437"/>
      <c r="LVJ1" s="437"/>
      <c r="LVK1" s="437"/>
      <c r="LVL1" s="437"/>
      <c r="LVM1" s="437"/>
      <c r="LVN1" s="437"/>
      <c r="LVO1" s="437"/>
      <c r="LVP1" s="437"/>
      <c r="LVQ1" s="437"/>
      <c r="LVR1" s="437"/>
      <c r="LVS1" s="437"/>
      <c r="LVT1" s="437"/>
      <c r="LVU1" s="437"/>
      <c r="LVV1" s="437"/>
      <c r="LVW1" s="437"/>
      <c r="LVX1" s="437"/>
      <c r="LVY1" s="437"/>
      <c r="LVZ1" s="437"/>
      <c r="LWA1" s="437"/>
      <c r="LWB1" s="437"/>
      <c r="LWC1" s="437"/>
      <c r="LWD1" s="437"/>
      <c r="LWE1" s="437"/>
      <c r="LWF1" s="437"/>
      <c r="LWG1" s="437"/>
      <c r="LWH1" s="437"/>
      <c r="LWI1" s="437"/>
      <c r="LWJ1" s="437"/>
      <c r="LWK1" s="437"/>
      <c r="LWL1" s="437"/>
      <c r="LWM1" s="437"/>
      <c r="LWN1" s="437"/>
      <c r="LWO1" s="437"/>
      <c r="LWP1" s="437"/>
      <c r="LWQ1" s="437"/>
      <c r="LWR1" s="437"/>
      <c r="LWS1" s="437"/>
      <c r="LWT1" s="437"/>
      <c r="LWU1" s="437"/>
      <c r="LWV1" s="437"/>
      <c r="LWW1" s="437"/>
      <c r="LWX1" s="437"/>
      <c r="LWY1" s="437"/>
      <c r="LWZ1" s="437"/>
      <c r="LXA1" s="437"/>
      <c r="LXB1" s="437"/>
      <c r="LXC1" s="437"/>
      <c r="LXD1" s="437"/>
      <c r="LXE1" s="437"/>
      <c r="LXF1" s="437"/>
      <c r="LXG1" s="437"/>
      <c r="LXH1" s="437"/>
      <c r="LXI1" s="437"/>
      <c r="LXJ1" s="437"/>
      <c r="LXK1" s="437"/>
      <c r="LXL1" s="437"/>
      <c r="LXM1" s="437"/>
      <c r="LXN1" s="437"/>
      <c r="LXO1" s="437"/>
      <c r="LXP1" s="437"/>
      <c r="LXQ1" s="437"/>
      <c r="LXR1" s="437"/>
      <c r="LXS1" s="437"/>
      <c r="LXT1" s="437"/>
      <c r="LXU1" s="437"/>
      <c r="LXV1" s="437"/>
      <c r="LXW1" s="437"/>
      <c r="LXX1" s="437"/>
      <c r="LXY1" s="437"/>
      <c r="LXZ1" s="437"/>
      <c r="LYA1" s="437"/>
      <c r="LYB1" s="437"/>
      <c r="LYC1" s="437"/>
      <c r="LYD1" s="437"/>
      <c r="LYE1" s="437"/>
      <c r="LYF1" s="437"/>
      <c r="LYG1" s="437"/>
      <c r="LYH1" s="437"/>
      <c r="LYI1" s="437"/>
      <c r="LYJ1" s="437"/>
      <c r="LYK1" s="437"/>
      <c r="LYL1" s="437"/>
      <c r="LYM1" s="437"/>
      <c r="LYN1" s="437"/>
      <c r="LYO1" s="437"/>
      <c r="LYP1" s="437"/>
      <c r="LYQ1" s="437"/>
      <c r="LYR1" s="437"/>
      <c r="LYS1" s="437"/>
      <c r="LYT1" s="437"/>
      <c r="LYU1" s="437"/>
      <c r="LYV1" s="437"/>
      <c r="LYW1" s="437"/>
      <c r="LYX1" s="437"/>
      <c r="LYY1" s="437"/>
      <c r="LYZ1" s="437"/>
      <c r="LZA1" s="437"/>
      <c r="LZB1" s="437"/>
      <c r="LZC1" s="437"/>
      <c r="LZD1" s="437"/>
      <c r="LZE1" s="437"/>
      <c r="LZF1" s="437"/>
      <c r="LZG1" s="437"/>
      <c r="LZH1" s="437"/>
      <c r="LZI1" s="437"/>
      <c r="LZJ1" s="437"/>
      <c r="LZK1" s="437"/>
      <c r="LZL1" s="437"/>
      <c r="LZM1" s="437"/>
      <c r="LZN1" s="437"/>
      <c r="LZO1" s="437"/>
      <c r="LZP1" s="437"/>
      <c r="LZQ1" s="437"/>
      <c r="LZR1" s="437"/>
      <c r="LZS1" s="437"/>
      <c r="LZT1" s="437"/>
      <c r="LZU1" s="437"/>
      <c r="LZV1" s="437"/>
      <c r="LZW1" s="437"/>
      <c r="LZX1" s="437"/>
      <c r="LZY1" s="437"/>
      <c r="LZZ1" s="437"/>
      <c r="MAA1" s="437"/>
      <c r="MAB1" s="437"/>
      <c r="MAC1" s="437"/>
      <c r="MAD1" s="437"/>
      <c r="MAE1" s="437"/>
      <c r="MAF1" s="437"/>
      <c r="MAG1" s="437"/>
      <c r="MAH1" s="437"/>
      <c r="MAI1" s="437"/>
      <c r="MAJ1" s="437"/>
      <c r="MAK1" s="437"/>
      <c r="MAL1" s="437"/>
      <c r="MAM1" s="437"/>
      <c r="MAN1" s="437"/>
      <c r="MAO1" s="437"/>
      <c r="MAP1" s="437"/>
      <c r="MAQ1" s="437"/>
      <c r="MAR1" s="437"/>
      <c r="MAS1" s="437"/>
      <c r="MAT1" s="437"/>
      <c r="MAU1" s="437"/>
      <c r="MAV1" s="437"/>
      <c r="MAW1" s="437"/>
      <c r="MAX1" s="437"/>
      <c r="MAY1" s="437"/>
      <c r="MAZ1" s="437"/>
      <c r="MBA1" s="437"/>
      <c r="MBB1" s="437"/>
      <c r="MBC1" s="437"/>
      <c r="MBD1" s="437"/>
      <c r="MBE1" s="437"/>
      <c r="MBF1" s="437"/>
      <c r="MBG1" s="437"/>
      <c r="MBH1" s="437"/>
      <c r="MBI1" s="437"/>
      <c r="MBJ1" s="437"/>
      <c r="MBK1" s="437"/>
      <c r="MBL1" s="437"/>
      <c r="MBM1" s="437"/>
      <c r="MBN1" s="437"/>
      <c r="MBO1" s="437"/>
      <c r="MBP1" s="437"/>
      <c r="MBQ1" s="437"/>
      <c r="MBR1" s="437"/>
      <c r="MBS1" s="437"/>
      <c r="MBT1" s="437"/>
      <c r="MBU1" s="437"/>
      <c r="MBV1" s="437"/>
      <c r="MBW1" s="437"/>
      <c r="MBX1" s="437"/>
      <c r="MBY1" s="437"/>
      <c r="MBZ1" s="437"/>
      <c r="MCA1" s="437"/>
      <c r="MCB1" s="437"/>
      <c r="MCC1" s="437"/>
      <c r="MCD1" s="437"/>
      <c r="MCE1" s="437"/>
      <c r="MCF1" s="437"/>
      <c r="MCG1" s="437"/>
      <c r="MCH1" s="437"/>
      <c r="MCI1" s="437"/>
      <c r="MCJ1" s="437"/>
      <c r="MCK1" s="437"/>
      <c r="MCL1" s="437"/>
      <c r="MCM1" s="437"/>
      <c r="MCN1" s="437"/>
      <c r="MCO1" s="437"/>
      <c r="MCP1" s="437"/>
      <c r="MCQ1" s="437"/>
      <c r="MCR1" s="437"/>
      <c r="MCS1" s="437"/>
      <c r="MCT1" s="437"/>
      <c r="MCU1" s="437"/>
      <c r="MCV1" s="437"/>
      <c r="MCW1" s="437"/>
      <c r="MCX1" s="437"/>
      <c r="MCY1" s="437"/>
      <c r="MCZ1" s="437"/>
      <c r="MDA1" s="437"/>
      <c r="MDB1" s="437"/>
      <c r="MDC1" s="437"/>
      <c r="MDD1" s="437"/>
      <c r="MDE1" s="437"/>
      <c r="MDF1" s="437"/>
      <c r="MDG1" s="437"/>
      <c r="MDH1" s="437"/>
      <c r="MDI1" s="437"/>
      <c r="MDJ1" s="437"/>
      <c r="MDK1" s="437"/>
      <c r="MDL1" s="437"/>
      <c r="MDM1" s="437"/>
      <c r="MDN1" s="437"/>
      <c r="MDO1" s="437"/>
      <c r="MDP1" s="437"/>
      <c r="MDQ1" s="437"/>
      <c r="MDR1" s="437"/>
      <c r="MDS1" s="437"/>
      <c r="MDT1" s="437"/>
      <c r="MDU1" s="437"/>
      <c r="MDV1" s="437"/>
      <c r="MDW1" s="437"/>
      <c r="MDX1" s="437"/>
      <c r="MDY1" s="437"/>
      <c r="MDZ1" s="437"/>
      <c r="MEA1" s="437"/>
      <c r="MEB1" s="437"/>
      <c r="MEC1" s="437"/>
      <c r="MED1" s="437"/>
      <c r="MEE1" s="437"/>
      <c r="MEF1" s="437"/>
      <c r="MEG1" s="437"/>
      <c r="MEH1" s="437"/>
      <c r="MEI1" s="437"/>
      <c r="MEJ1" s="437"/>
      <c r="MEK1" s="437"/>
      <c r="MEL1" s="437"/>
      <c r="MEM1" s="437"/>
      <c r="MEN1" s="437"/>
      <c r="MEO1" s="437"/>
      <c r="MEP1" s="437"/>
      <c r="MEQ1" s="437"/>
      <c r="MER1" s="437"/>
      <c r="MES1" s="437"/>
      <c r="MET1" s="437"/>
      <c r="MEU1" s="437"/>
      <c r="MEV1" s="437"/>
      <c r="MEW1" s="437"/>
      <c r="MEX1" s="437"/>
      <c r="MEY1" s="437"/>
      <c r="MEZ1" s="437"/>
      <c r="MFA1" s="437"/>
      <c r="MFB1" s="437"/>
      <c r="MFC1" s="437"/>
      <c r="MFD1" s="437"/>
      <c r="MFE1" s="437"/>
      <c r="MFF1" s="437"/>
      <c r="MFG1" s="437"/>
      <c r="MFH1" s="437"/>
      <c r="MFI1" s="437"/>
      <c r="MFJ1" s="437"/>
      <c r="MFK1" s="437"/>
      <c r="MFL1" s="437"/>
      <c r="MFM1" s="437"/>
      <c r="MFN1" s="437"/>
      <c r="MFO1" s="437"/>
      <c r="MFP1" s="437"/>
      <c r="MFQ1" s="437"/>
      <c r="MFR1" s="437"/>
      <c r="MFS1" s="437"/>
      <c r="MFT1" s="437"/>
      <c r="MFU1" s="437"/>
      <c r="MFV1" s="437"/>
      <c r="MFW1" s="437"/>
      <c r="MFX1" s="437"/>
      <c r="MFY1" s="437"/>
      <c r="MFZ1" s="437"/>
      <c r="MGA1" s="437"/>
      <c r="MGB1" s="437"/>
      <c r="MGC1" s="437"/>
      <c r="MGD1" s="437"/>
      <c r="MGE1" s="437"/>
      <c r="MGF1" s="437"/>
      <c r="MGG1" s="437"/>
      <c r="MGH1" s="437"/>
      <c r="MGI1" s="437"/>
      <c r="MGJ1" s="437"/>
      <c r="MGK1" s="437"/>
      <c r="MGL1" s="437"/>
      <c r="MGM1" s="437"/>
      <c r="MGN1" s="437"/>
      <c r="MGO1" s="437"/>
      <c r="MGP1" s="437"/>
      <c r="MGQ1" s="437"/>
      <c r="MGR1" s="437"/>
      <c r="MGS1" s="437"/>
      <c r="MGT1" s="437"/>
      <c r="MGU1" s="437"/>
      <c r="MGV1" s="437"/>
      <c r="MGW1" s="437"/>
      <c r="MGX1" s="437"/>
      <c r="MGY1" s="437"/>
      <c r="MGZ1" s="437"/>
      <c r="MHA1" s="437"/>
      <c r="MHB1" s="437"/>
      <c r="MHC1" s="437"/>
      <c r="MHD1" s="437"/>
      <c r="MHE1" s="437"/>
      <c r="MHF1" s="437"/>
      <c r="MHG1" s="437"/>
      <c r="MHH1" s="437"/>
      <c r="MHI1" s="437"/>
      <c r="MHJ1" s="437"/>
      <c r="MHK1" s="437"/>
      <c r="MHL1" s="437"/>
      <c r="MHM1" s="437"/>
      <c r="MHN1" s="437"/>
      <c r="MHO1" s="437"/>
      <c r="MHP1" s="437"/>
      <c r="MHQ1" s="437"/>
      <c r="MHR1" s="437"/>
      <c r="MHS1" s="437"/>
      <c r="MHT1" s="437"/>
      <c r="MHU1" s="437"/>
      <c r="MHV1" s="437"/>
      <c r="MHW1" s="437"/>
      <c r="MHX1" s="437"/>
      <c r="MHY1" s="437"/>
      <c r="MHZ1" s="437"/>
      <c r="MIA1" s="437"/>
      <c r="MIB1" s="437"/>
      <c r="MIC1" s="437"/>
      <c r="MID1" s="437"/>
      <c r="MIE1" s="437"/>
      <c r="MIF1" s="437"/>
      <c r="MIG1" s="437"/>
      <c r="MIH1" s="437"/>
      <c r="MII1" s="437"/>
      <c r="MIJ1" s="437"/>
      <c r="MIK1" s="437"/>
      <c r="MIL1" s="437"/>
      <c r="MIM1" s="437"/>
      <c r="MIN1" s="437"/>
      <c r="MIO1" s="437"/>
      <c r="MIP1" s="437"/>
      <c r="MIQ1" s="437"/>
      <c r="MIR1" s="437"/>
      <c r="MIS1" s="437"/>
      <c r="MIT1" s="437"/>
      <c r="MIU1" s="437"/>
      <c r="MIV1" s="437"/>
      <c r="MIW1" s="437"/>
      <c r="MIX1" s="437"/>
      <c r="MIY1" s="437"/>
      <c r="MIZ1" s="437"/>
      <c r="MJA1" s="437"/>
      <c r="MJB1" s="437"/>
      <c r="MJC1" s="437"/>
      <c r="MJD1" s="437"/>
      <c r="MJE1" s="437"/>
      <c r="MJF1" s="437"/>
      <c r="MJG1" s="437"/>
      <c r="MJH1" s="437"/>
      <c r="MJI1" s="437"/>
      <c r="MJJ1" s="437"/>
      <c r="MJK1" s="437"/>
      <c r="MJL1" s="437"/>
      <c r="MJM1" s="437"/>
      <c r="MJN1" s="437"/>
      <c r="MJO1" s="437"/>
      <c r="MJP1" s="437"/>
      <c r="MJQ1" s="437"/>
      <c r="MJR1" s="437"/>
      <c r="MJS1" s="437"/>
      <c r="MJT1" s="437"/>
      <c r="MJU1" s="437"/>
      <c r="MJV1" s="437"/>
      <c r="MJW1" s="437"/>
      <c r="MJX1" s="437"/>
      <c r="MJY1" s="437"/>
      <c r="MJZ1" s="437"/>
      <c r="MKA1" s="437"/>
      <c r="MKB1" s="437"/>
      <c r="MKC1" s="437"/>
      <c r="MKD1" s="437"/>
      <c r="MKE1" s="437"/>
      <c r="MKF1" s="437"/>
      <c r="MKG1" s="437"/>
      <c r="MKH1" s="437"/>
      <c r="MKI1" s="437"/>
      <c r="MKJ1" s="437"/>
      <c r="MKK1" s="437"/>
      <c r="MKL1" s="437"/>
      <c r="MKM1" s="437"/>
      <c r="MKN1" s="437"/>
      <c r="MKO1" s="437"/>
      <c r="MKP1" s="437"/>
      <c r="MKQ1" s="437"/>
      <c r="MKR1" s="437"/>
      <c r="MKS1" s="437"/>
      <c r="MKT1" s="437"/>
      <c r="MKU1" s="437"/>
      <c r="MKV1" s="437"/>
      <c r="MKW1" s="437"/>
      <c r="MKX1" s="437"/>
      <c r="MKY1" s="437"/>
      <c r="MKZ1" s="437"/>
      <c r="MLA1" s="437"/>
      <c r="MLB1" s="437"/>
      <c r="MLC1" s="437"/>
      <c r="MLD1" s="437"/>
      <c r="MLE1" s="437"/>
      <c r="MLF1" s="437"/>
      <c r="MLG1" s="437"/>
      <c r="MLH1" s="437"/>
      <c r="MLI1" s="437"/>
      <c r="MLJ1" s="437"/>
      <c r="MLK1" s="437"/>
      <c r="MLL1" s="437"/>
      <c r="MLM1" s="437"/>
      <c r="MLN1" s="437"/>
      <c r="MLO1" s="437"/>
      <c r="MLP1" s="437"/>
      <c r="MLQ1" s="437"/>
      <c r="MLR1" s="437"/>
      <c r="MLS1" s="437"/>
      <c r="MLT1" s="437"/>
      <c r="MLU1" s="437"/>
      <c r="MLV1" s="437"/>
      <c r="MLW1" s="437"/>
      <c r="MLX1" s="437"/>
      <c r="MLY1" s="437"/>
      <c r="MLZ1" s="437"/>
      <c r="MMA1" s="437"/>
      <c r="MMB1" s="437"/>
      <c r="MMC1" s="437"/>
      <c r="MMD1" s="437"/>
      <c r="MME1" s="437"/>
      <c r="MMF1" s="437"/>
      <c r="MMG1" s="437"/>
      <c r="MMH1" s="437"/>
      <c r="MMI1" s="437"/>
      <c r="MMJ1" s="437"/>
      <c r="MMK1" s="437"/>
      <c r="MML1" s="437"/>
      <c r="MMM1" s="437"/>
      <c r="MMN1" s="437"/>
      <c r="MMO1" s="437"/>
      <c r="MMP1" s="437"/>
      <c r="MMQ1" s="437"/>
      <c r="MMR1" s="437"/>
      <c r="MMS1" s="437"/>
      <c r="MMT1" s="437"/>
      <c r="MMU1" s="437"/>
      <c r="MMV1" s="437"/>
      <c r="MMW1" s="437"/>
      <c r="MMX1" s="437"/>
      <c r="MMY1" s="437"/>
      <c r="MMZ1" s="437"/>
      <c r="MNA1" s="437"/>
      <c r="MNB1" s="437"/>
      <c r="MNC1" s="437"/>
      <c r="MND1" s="437"/>
      <c r="MNE1" s="437"/>
      <c r="MNF1" s="437"/>
      <c r="MNG1" s="437"/>
      <c r="MNH1" s="437"/>
      <c r="MNI1" s="437"/>
      <c r="MNJ1" s="437"/>
      <c r="MNK1" s="437"/>
      <c r="MNL1" s="437"/>
      <c r="MNM1" s="437"/>
      <c r="MNN1" s="437"/>
      <c r="MNO1" s="437"/>
      <c r="MNP1" s="437"/>
      <c r="MNQ1" s="437"/>
      <c r="MNR1" s="437"/>
      <c r="MNS1" s="437"/>
      <c r="MNT1" s="437"/>
      <c r="MNU1" s="437"/>
      <c r="MNV1" s="437"/>
      <c r="MNW1" s="437"/>
      <c r="MNX1" s="437"/>
      <c r="MNY1" s="437"/>
      <c r="MNZ1" s="437"/>
      <c r="MOA1" s="437"/>
      <c r="MOB1" s="437"/>
      <c r="MOC1" s="437"/>
      <c r="MOD1" s="437"/>
      <c r="MOE1" s="437"/>
      <c r="MOF1" s="437"/>
      <c r="MOG1" s="437"/>
      <c r="MOH1" s="437"/>
      <c r="MOI1" s="437"/>
      <c r="MOJ1" s="437"/>
      <c r="MOK1" s="437"/>
      <c r="MOL1" s="437"/>
      <c r="MOM1" s="437"/>
      <c r="MON1" s="437"/>
      <c r="MOO1" s="437"/>
      <c r="MOP1" s="437"/>
      <c r="MOQ1" s="437"/>
      <c r="MOR1" s="437"/>
      <c r="MOS1" s="437"/>
      <c r="MOT1" s="437"/>
      <c r="MOU1" s="437"/>
      <c r="MOV1" s="437"/>
      <c r="MOW1" s="437"/>
      <c r="MOX1" s="437"/>
      <c r="MOY1" s="437"/>
      <c r="MOZ1" s="437"/>
      <c r="MPA1" s="437"/>
      <c r="MPB1" s="437"/>
      <c r="MPC1" s="437"/>
      <c r="MPD1" s="437"/>
      <c r="MPE1" s="437"/>
      <c r="MPF1" s="437"/>
      <c r="MPG1" s="437"/>
      <c r="MPH1" s="437"/>
      <c r="MPI1" s="437"/>
      <c r="MPJ1" s="437"/>
      <c r="MPK1" s="437"/>
      <c r="MPL1" s="437"/>
      <c r="MPM1" s="437"/>
      <c r="MPN1" s="437"/>
      <c r="MPO1" s="437"/>
      <c r="MPP1" s="437"/>
      <c r="MPQ1" s="437"/>
      <c r="MPR1" s="437"/>
      <c r="MPS1" s="437"/>
      <c r="MPT1" s="437"/>
      <c r="MPU1" s="437"/>
      <c r="MPV1" s="437"/>
      <c r="MPW1" s="437"/>
      <c r="MPX1" s="437"/>
      <c r="MPY1" s="437"/>
      <c r="MPZ1" s="437"/>
      <c r="MQA1" s="437"/>
      <c r="MQB1" s="437"/>
      <c r="MQC1" s="437"/>
      <c r="MQD1" s="437"/>
      <c r="MQE1" s="437"/>
      <c r="MQF1" s="437"/>
      <c r="MQG1" s="437"/>
      <c r="MQH1" s="437"/>
      <c r="MQI1" s="437"/>
      <c r="MQJ1" s="437"/>
      <c r="MQK1" s="437"/>
      <c r="MQL1" s="437"/>
      <c r="MQM1" s="437"/>
      <c r="MQN1" s="437"/>
      <c r="MQO1" s="437"/>
      <c r="MQP1" s="437"/>
      <c r="MQQ1" s="437"/>
      <c r="MQR1" s="437"/>
      <c r="MQS1" s="437"/>
      <c r="MQT1" s="437"/>
      <c r="MQU1" s="437"/>
      <c r="MQV1" s="437"/>
      <c r="MQW1" s="437"/>
      <c r="MQX1" s="437"/>
      <c r="MQY1" s="437"/>
      <c r="MQZ1" s="437"/>
      <c r="MRA1" s="437"/>
      <c r="MRB1" s="437"/>
      <c r="MRC1" s="437"/>
      <c r="MRD1" s="437"/>
      <c r="MRE1" s="437"/>
      <c r="MRF1" s="437"/>
      <c r="MRG1" s="437"/>
      <c r="MRH1" s="437"/>
      <c r="MRI1" s="437"/>
      <c r="MRJ1" s="437"/>
      <c r="MRK1" s="437"/>
      <c r="MRL1" s="437"/>
      <c r="MRM1" s="437"/>
      <c r="MRN1" s="437"/>
      <c r="MRO1" s="437"/>
      <c r="MRP1" s="437"/>
      <c r="MRQ1" s="437"/>
      <c r="MRR1" s="437"/>
      <c r="MRS1" s="437"/>
      <c r="MRT1" s="437"/>
      <c r="MRU1" s="437"/>
      <c r="MRV1" s="437"/>
      <c r="MRW1" s="437"/>
      <c r="MRX1" s="437"/>
      <c r="MRY1" s="437"/>
      <c r="MRZ1" s="437"/>
      <c r="MSA1" s="437"/>
      <c r="MSB1" s="437"/>
      <c r="MSC1" s="437"/>
      <c r="MSD1" s="437"/>
      <c r="MSE1" s="437"/>
      <c r="MSF1" s="437"/>
      <c r="MSG1" s="437"/>
      <c r="MSH1" s="437"/>
      <c r="MSI1" s="437"/>
      <c r="MSJ1" s="437"/>
      <c r="MSK1" s="437"/>
      <c r="MSL1" s="437"/>
      <c r="MSM1" s="437"/>
      <c r="MSN1" s="437"/>
      <c r="MSO1" s="437"/>
      <c r="MSP1" s="437"/>
      <c r="MSQ1" s="437"/>
      <c r="MSR1" s="437"/>
      <c r="MSS1" s="437"/>
      <c r="MST1" s="437"/>
      <c r="MSU1" s="437"/>
      <c r="MSV1" s="437"/>
      <c r="MSW1" s="437"/>
      <c r="MSX1" s="437"/>
      <c r="MSY1" s="437"/>
      <c r="MSZ1" s="437"/>
      <c r="MTA1" s="437"/>
      <c r="MTB1" s="437"/>
      <c r="MTC1" s="437"/>
      <c r="MTD1" s="437"/>
      <c r="MTE1" s="437"/>
      <c r="MTF1" s="437"/>
      <c r="MTG1" s="437"/>
      <c r="MTH1" s="437"/>
      <c r="MTI1" s="437"/>
      <c r="MTJ1" s="437"/>
      <c r="MTK1" s="437"/>
      <c r="MTL1" s="437"/>
      <c r="MTM1" s="437"/>
      <c r="MTN1" s="437"/>
      <c r="MTO1" s="437"/>
      <c r="MTP1" s="437"/>
      <c r="MTQ1" s="437"/>
      <c r="MTR1" s="437"/>
      <c r="MTS1" s="437"/>
      <c r="MTT1" s="437"/>
      <c r="MTU1" s="437"/>
      <c r="MTV1" s="437"/>
      <c r="MTW1" s="437"/>
      <c r="MTX1" s="437"/>
      <c r="MTY1" s="437"/>
      <c r="MTZ1" s="437"/>
      <c r="MUA1" s="437"/>
      <c r="MUB1" s="437"/>
      <c r="MUC1" s="437"/>
      <c r="MUD1" s="437"/>
      <c r="MUE1" s="437"/>
      <c r="MUF1" s="437"/>
      <c r="MUG1" s="437"/>
      <c r="MUH1" s="437"/>
      <c r="MUI1" s="437"/>
      <c r="MUJ1" s="437"/>
      <c r="MUK1" s="437"/>
      <c r="MUL1" s="437"/>
      <c r="MUM1" s="437"/>
      <c r="MUN1" s="437"/>
      <c r="MUO1" s="437"/>
      <c r="MUP1" s="437"/>
      <c r="MUQ1" s="437"/>
      <c r="MUR1" s="437"/>
      <c r="MUS1" s="437"/>
      <c r="MUT1" s="437"/>
      <c r="MUU1" s="437"/>
      <c r="MUV1" s="437"/>
      <c r="MUW1" s="437"/>
      <c r="MUX1" s="437"/>
      <c r="MUY1" s="437"/>
      <c r="MUZ1" s="437"/>
      <c r="MVA1" s="437"/>
      <c r="MVB1" s="437"/>
      <c r="MVC1" s="437"/>
      <c r="MVD1" s="437"/>
      <c r="MVE1" s="437"/>
      <c r="MVF1" s="437"/>
      <c r="MVG1" s="437"/>
      <c r="MVH1" s="437"/>
      <c r="MVI1" s="437"/>
      <c r="MVJ1" s="437"/>
      <c r="MVK1" s="437"/>
      <c r="MVL1" s="437"/>
      <c r="MVM1" s="437"/>
      <c r="MVN1" s="437"/>
      <c r="MVO1" s="437"/>
      <c r="MVP1" s="437"/>
      <c r="MVQ1" s="437"/>
      <c r="MVR1" s="437"/>
      <c r="MVS1" s="437"/>
      <c r="MVT1" s="437"/>
      <c r="MVU1" s="437"/>
      <c r="MVV1" s="437"/>
      <c r="MVW1" s="437"/>
      <c r="MVX1" s="437"/>
      <c r="MVY1" s="437"/>
      <c r="MVZ1" s="437"/>
      <c r="MWA1" s="437"/>
      <c r="MWB1" s="437"/>
      <c r="MWC1" s="437"/>
      <c r="MWD1" s="437"/>
      <c r="MWE1" s="437"/>
      <c r="MWF1" s="437"/>
      <c r="MWG1" s="437"/>
      <c r="MWH1" s="437"/>
      <c r="MWI1" s="437"/>
      <c r="MWJ1" s="437"/>
      <c r="MWK1" s="437"/>
      <c r="MWL1" s="437"/>
      <c r="MWM1" s="437"/>
      <c r="MWN1" s="437"/>
      <c r="MWO1" s="437"/>
      <c r="MWP1" s="437"/>
      <c r="MWQ1" s="437"/>
      <c r="MWR1" s="437"/>
      <c r="MWS1" s="437"/>
      <c r="MWT1" s="437"/>
      <c r="MWU1" s="437"/>
      <c r="MWV1" s="437"/>
      <c r="MWW1" s="437"/>
      <c r="MWX1" s="437"/>
      <c r="MWY1" s="437"/>
      <c r="MWZ1" s="437"/>
      <c r="MXA1" s="437"/>
      <c r="MXB1" s="437"/>
      <c r="MXC1" s="437"/>
      <c r="MXD1" s="437"/>
      <c r="MXE1" s="437"/>
      <c r="MXF1" s="437"/>
      <c r="MXG1" s="437"/>
      <c r="MXH1" s="437"/>
      <c r="MXI1" s="437"/>
      <c r="MXJ1" s="437"/>
      <c r="MXK1" s="437"/>
      <c r="MXL1" s="437"/>
      <c r="MXM1" s="437"/>
      <c r="MXN1" s="437"/>
      <c r="MXO1" s="437"/>
      <c r="MXP1" s="437"/>
      <c r="MXQ1" s="437"/>
      <c r="MXR1" s="437"/>
      <c r="MXS1" s="437"/>
      <c r="MXT1" s="437"/>
      <c r="MXU1" s="437"/>
      <c r="MXV1" s="437"/>
      <c r="MXW1" s="437"/>
      <c r="MXX1" s="437"/>
      <c r="MXY1" s="437"/>
      <c r="MXZ1" s="437"/>
      <c r="MYA1" s="437"/>
      <c r="MYB1" s="437"/>
      <c r="MYC1" s="437"/>
      <c r="MYD1" s="437"/>
      <c r="MYE1" s="437"/>
      <c r="MYF1" s="437"/>
      <c r="MYG1" s="437"/>
      <c r="MYH1" s="437"/>
      <c r="MYI1" s="437"/>
      <c r="MYJ1" s="437"/>
      <c r="MYK1" s="437"/>
      <c r="MYL1" s="437"/>
      <c r="MYM1" s="437"/>
      <c r="MYN1" s="437"/>
      <c r="MYO1" s="437"/>
      <c r="MYP1" s="437"/>
      <c r="MYQ1" s="437"/>
      <c r="MYR1" s="437"/>
      <c r="MYS1" s="437"/>
      <c r="MYT1" s="437"/>
      <c r="MYU1" s="437"/>
      <c r="MYV1" s="437"/>
      <c r="MYW1" s="437"/>
      <c r="MYX1" s="437"/>
      <c r="MYY1" s="437"/>
      <c r="MYZ1" s="437"/>
      <c r="MZA1" s="437"/>
      <c r="MZB1" s="437"/>
      <c r="MZC1" s="437"/>
      <c r="MZD1" s="437"/>
      <c r="MZE1" s="437"/>
      <c r="MZF1" s="437"/>
      <c r="MZG1" s="437"/>
      <c r="MZH1" s="437"/>
      <c r="MZI1" s="437"/>
      <c r="MZJ1" s="437"/>
      <c r="MZK1" s="437"/>
      <c r="MZL1" s="437"/>
      <c r="MZM1" s="437"/>
      <c r="MZN1" s="437"/>
      <c r="MZO1" s="437"/>
      <c r="MZP1" s="437"/>
      <c r="MZQ1" s="437"/>
      <c r="MZR1" s="437"/>
      <c r="MZS1" s="437"/>
      <c r="MZT1" s="437"/>
      <c r="MZU1" s="437"/>
      <c r="MZV1" s="437"/>
      <c r="MZW1" s="437"/>
      <c r="MZX1" s="437"/>
      <c r="MZY1" s="437"/>
      <c r="MZZ1" s="437"/>
      <c r="NAA1" s="437"/>
      <c r="NAB1" s="437"/>
      <c r="NAC1" s="437"/>
      <c r="NAD1" s="437"/>
      <c r="NAE1" s="437"/>
      <c r="NAF1" s="437"/>
      <c r="NAG1" s="437"/>
      <c r="NAH1" s="437"/>
      <c r="NAI1" s="437"/>
      <c r="NAJ1" s="437"/>
      <c r="NAK1" s="437"/>
      <c r="NAL1" s="437"/>
      <c r="NAM1" s="437"/>
      <c r="NAN1" s="437"/>
      <c r="NAO1" s="437"/>
      <c r="NAP1" s="437"/>
      <c r="NAQ1" s="437"/>
      <c r="NAR1" s="437"/>
      <c r="NAS1" s="437"/>
      <c r="NAT1" s="437"/>
      <c r="NAU1" s="437"/>
      <c r="NAV1" s="437"/>
      <c r="NAW1" s="437"/>
      <c r="NAX1" s="437"/>
      <c r="NAY1" s="437"/>
      <c r="NAZ1" s="437"/>
      <c r="NBA1" s="437"/>
      <c r="NBB1" s="437"/>
      <c r="NBC1" s="437"/>
      <c r="NBD1" s="437"/>
      <c r="NBE1" s="437"/>
      <c r="NBF1" s="437"/>
      <c r="NBG1" s="437"/>
      <c r="NBH1" s="437"/>
      <c r="NBI1" s="437"/>
      <c r="NBJ1" s="437"/>
      <c r="NBK1" s="437"/>
      <c r="NBL1" s="437"/>
      <c r="NBM1" s="437"/>
      <c r="NBN1" s="437"/>
      <c r="NBO1" s="437"/>
      <c r="NBP1" s="437"/>
      <c r="NBQ1" s="437"/>
      <c r="NBR1" s="437"/>
      <c r="NBS1" s="437"/>
      <c r="NBT1" s="437"/>
      <c r="NBU1" s="437"/>
      <c r="NBV1" s="437"/>
      <c r="NBW1" s="437"/>
      <c r="NBX1" s="437"/>
      <c r="NBY1" s="437"/>
      <c r="NBZ1" s="437"/>
      <c r="NCA1" s="437"/>
      <c r="NCB1" s="437"/>
      <c r="NCC1" s="437"/>
      <c r="NCD1" s="437"/>
      <c r="NCE1" s="437"/>
      <c r="NCF1" s="437"/>
      <c r="NCG1" s="437"/>
      <c r="NCH1" s="437"/>
      <c r="NCI1" s="437"/>
      <c r="NCJ1" s="437"/>
      <c r="NCK1" s="437"/>
      <c r="NCL1" s="437"/>
      <c r="NCM1" s="437"/>
      <c r="NCN1" s="437"/>
      <c r="NCO1" s="437"/>
      <c r="NCP1" s="437"/>
      <c r="NCQ1" s="437"/>
      <c r="NCR1" s="437"/>
      <c r="NCS1" s="437"/>
      <c r="NCT1" s="437"/>
      <c r="NCU1" s="437"/>
      <c r="NCV1" s="437"/>
      <c r="NCW1" s="437"/>
      <c r="NCX1" s="437"/>
      <c r="NCY1" s="437"/>
      <c r="NCZ1" s="437"/>
      <c r="NDA1" s="437"/>
      <c r="NDB1" s="437"/>
      <c r="NDC1" s="437"/>
      <c r="NDD1" s="437"/>
      <c r="NDE1" s="437"/>
      <c r="NDF1" s="437"/>
      <c r="NDG1" s="437"/>
      <c r="NDH1" s="437"/>
      <c r="NDI1" s="437"/>
      <c r="NDJ1" s="437"/>
      <c r="NDK1" s="437"/>
      <c r="NDL1" s="437"/>
      <c r="NDM1" s="437"/>
      <c r="NDN1" s="437"/>
      <c r="NDO1" s="437"/>
      <c r="NDP1" s="437"/>
      <c r="NDQ1" s="437"/>
      <c r="NDR1" s="437"/>
      <c r="NDS1" s="437"/>
      <c r="NDT1" s="437"/>
      <c r="NDU1" s="437"/>
      <c r="NDV1" s="437"/>
      <c r="NDW1" s="437"/>
      <c r="NDX1" s="437"/>
      <c r="NDY1" s="437"/>
      <c r="NDZ1" s="437"/>
      <c r="NEA1" s="437"/>
      <c r="NEB1" s="437"/>
      <c r="NEC1" s="437"/>
      <c r="NED1" s="437"/>
      <c r="NEE1" s="437"/>
      <c r="NEF1" s="437"/>
      <c r="NEG1" s="437"/>
      <c r="NEH1" s="437"/>
      <c r="NEI1" s="437"/>
      <c r="NEJ1" s="437"/>
      <c r="NEK1" s="437"/>
      <c r="NEL1" s="437"/>
      <c r="NEM1" s="437"/>
      <c r="NEN1" s="437"/>
      <c r="NEO1" s="437"/>
      <c r="NEP1" s="437"/>
      <c r="NEQ1" s="437"/>
      <c r="NER1" s="437"/>
      <c r="NES1" s="437"/>
      <c r="NET1" s="437"/>
      <c r="NEU1" s="437"/>
      <c r="NEV1" s="437"/>
      <c r="NEW1" s="437"/>
      <c r="NEX1" s="437"/>
      <c r="NEY1" s="437"/>
      <c r="NEZ1" s="437"/>
      <c r="NFA1" s="437"/>
      <c r="NFB1" s="437"/>
      <c r="NFC1" s="437"/>
      <c r="NFD1" s="437"/>
      <c r="NFE1" s="437"/>
      <c r="NFF1" s="437"/>
      <c r="NFG1" s="437"/>
      <c r="NFH1" s="437"/>
      <c r="NFI1" s="437"/>
      <c r="NFJ1" s="437"/>
      <c r="NFK1" s="437"/>
      <c r="NFL1" s="437"/>
      <c r="NFM1" s="437"/>
      <c r="NFN1" s="437"/>
      <c r="NFO1" s="437"/>
      <c r="NFP1" s="437"/>
      <c r="NFQ1" s="437"/>
      <c r="NFR1" s="437"/>
      <c r="NFS1" s="437"/>
      <c r="NFT1" s="437"/>
      <c r="NFU1" s="437"/>
      <c r="NFV1" s="437"/>
      <c r="NFW1" s="437"/>
      <c r="NFX1" s="437"/>
      <c r="NFY1" s="437"/>
      <c r="NFZ1" s="437"/>
      <c r="NGA1" s="437"/>
      <c r="NGB1" s="437"/>
      <c r="NGC1" s="437"/>
      <c r="NGD1" s="437"/>
      <c r="NGE1" s="437"/>
      <c r="NGF1" s="437"/>
      <c r="NGG1" s="437"/>
      <c r="NGH1" s="437"/>
      <c r="NGI1" s="437"/>
      <c r="NGJ1" s="437"/>
      <c r="NGK1" s="437"/>
      <c r="NGL1" s="437"/>
      <c r="NGM1" s="437"/>
      <c r="NGN1" s="437"/>
      <c r="NGO1" s="437"/>
      <c r="NGP1" s="437"/>
      <c r="NGQ1" s="437"/>
      <c r="NGR1" s="437"/>
      <c r="NGS1" s="437"/>
      <c r="NGT1" s="437"/>
      <c r="NGU1" s="437"/>
      <c r="NGV1" s="437"/>
      <c r="NGW1" s="437"/>
      <c r="NGX1" s="437"/>
      <c r="NGY1" s="437"/>
      <c r="NGZ1" s="437"/>
      <c r="NHA1" s="437"/>
      <c r="NHB1" s="437"/>
      <c r="NHC1" s="437"/>
      <c r="NHD1" s="437"/>
      <c r="NHE1" s="437"/>
      <c r="NHF1" s="437"/>
      <c r="NHG1" s="437"/>
      <c r="NHH1" s="437"/>
      <c r="NHI1" s="437"/>
      <c r="NHJ1" s="437"/>
      <c r="NHK1" s="437"/>
      <c r="NHL1" s="437"/>
      <c r="NHM1" s="437"/>
      <c r="NHN1" s="437"/>
      <c r="NHO1" s="437"/>
      <c r="NHP1" s="437"/>
      <c r="NHQ1" s="437"/>
      <c r="NHR1" s="437"/>
      <c r="NHS1" s="437"/>
      <c r="NHT1" s="437"/>
      <c r="NHU1" s="437"/>
      <c r="NHV1" s="437"/>
      <c r="NHW1" s="437"/>
      <c r="NHX1" s="437"/>
      <c r="NHY1" s="437"/>
      <c r="NHZ1" s="437"/>
      <c r="NIA1" s="437"/>
      <c r="NIB1" s="437"/>
      <c r="NIC1" s="437"/>
      <c r="NID1" s="437"/>
      <c r="NIE1" s="437"/>
      <c r="NIF1" s="437"/>
      <c r="NIG1" s="437"/>
      <c r="NIH1" s="437"/>
      <c r="NII1" s="437"/>
      <c r="NIJ1" s="437"/>
      <c r="NIK1" s="437"/>
      <c r="NIL1" s="437"/>
      <c r="NIM1" s="437"/>
      <c r="NIN1" s="437"/>
      <c r="NIO1" s="437"/>
      <c r="NIP1" s="437"/>
      <c r="NIQ1" s="437"/>
      <c r="NIR1" s="437"/>
      <c r="NIS1" s="437"/>
      <c r="NIT1" s="437"/>
      <c r="NIU1" s="437"/>
      <c r="NIV1" s="437"/>
      <c r="NIW1" s="437"/>
      <c r="NIX1" s="437"/>
      <c r="NIY1" s="437"/>
      <c r="NIZ1" s="437"/>
      <c r="NJA1" s="437"/>
      <c r="NJB1" s="437"/>
      <c r="NJC1" s="437"/>
      <c r="NJD1" s="437"/>
      <c r="NJE1" s="437"/>
      <c r="NJF1" s="437"/>
      <c r="NJG1" s="437"/>
      <c r="NJH1" s="437"/>
      <c r="NJI1" s="437"/>
      <c r="NJJ1" s="437"/>
      <c r="NJK1" s="437"/>
      <c r="NJL1" s="437"/>
      <c r="NJM1" s="437"/>
      <c r="NJN1" s="437"/>
      <c r="NJO1" s="437"/>
      <c r="NJP1" s="437"/>
      <c r="NJQ1" s="437"/>
      <c r="NJR1" s="437"/>
      <c r="NJS1" s="437"/>
      <c r="NJT1" s="437"/>
      <c r="NJU1" s="437"/>
      <c r="NJV1" s="437"/>
      <c r="NJW1" s="437"/>
      <c r="NJX1" s="437"/>
      <c r="NJY1" s="437"/>
      <c r="NJZ1" s="437"/>
      <c r="NKA1" s="437"/>
      <c r="NKB1" s="437"/>
      <c r="NKC1" s="437"/>
      <c r="NKD1" s="437"/>
      <c r="NKE1" s="437"/>
      <c r="NKF1" s="437"/>
      <c r="NKG1" s="437"/>
      <c r="NKH1" s="437"/>
      <c r="NKI1" s="437"/>
      <c r="NKJ1" s="437"/>
      <c r="NKK1" s="437"/>
      <c r="NKL1" s="437"/>
      <c r="NKM1" s="437"/>
      <c r="NKN1" s="437"/>
      <c r="NKO1" s="437"/>
      <c r="NKP1" s="437"/>
      <c r="NKQ1" s="437"/>
      <c r="NKR1" s="437"/>
      <c r="NKS1" s="437"/>
      <c r="NKT1" s="437"/>
      <c r="NKU1" s="437"/>
      <c r="NKV1" s="437"/>
      <c r="NKW1" s="437"/>
      <c r="NKX1" s="437"/>
      <c r="NKY1" s="437"/>
      <c r="NKZ1" s="437"/>
      <c r="NLA1" s="437"/>
      <c r="NLB1" s="437"/>
      <c r="NLC1" s="437"/>
      <c r="NLD1" s="437"/>
      <c r="NLE1" s="437"/>
      <c r="NLF1" s="437"/>
      <c r="NLG1" s="437"/>
      <c r="NLH1" s="437"/>
      <c r="NLI1" s="437"/>
      <c r="NLJ1" s="437"/>
      <c r="NLK1" s="437"/>
      <c r="NLL1" s="437"/>
      <c r="NLM1" s="437"/>
      <c r="NLN1" s="437"/>
      <c r="NLO1" s="437"/>
      <c r="NLP1" s="437"/>
      <c r="NLQ1" s="437"/>
      <c r="NLR1" s="437"/>
      <c r="NLS1" s="437"/>
      <c r="NLT1" s="437"/>
      <c r="NLU1" s="437"/>
      <c r="NLV1" s="437"/>
      <c r="NLW1" s="437"/>
      <c r="NLX1" s="437"/>
      <c r="NLY1" s="437"/>
      <c r="NLZ1" s="437"/>
      <c r="NMA1" s="437"/>
      <c r="NMB1" s="437"/>
      <c r="NMC1" s="437"/>
      <c r="NMD1" s="437"/>
      <c r="NME1" s="437"/>
      <c r="NMF1" s="437"/>
      <c r="NMG1" s="437"/>
      <c r="NMH1" s="437"/>
      <c r="NMI1" s="437"/>
      <c r="NMJ1" s="437"/>
      <c r="NMK1" s="437"/>
      <c r="NML1" s="437"/>
      <c r="NMM1" s="437"/>
      <c r="NMN1" s="437"/>
      <c r="NMO1" s="437"/>
      <c r="NMP1" s="437"/>
      <c r="NMQ1" s="437"/>
      <c r="NMR1" s="437"/>
      <c r="NMS1" s="437"/>
      <c r="NMT1" s="437"/>
      <c r="NMU1" s="437"/>
      <c r="NMV1" s="437"/>
      <c r="NMW1" s="437"/>
      <c r="NMX1" s="437"/>
      <c r="NMY1" s="437"/>
      <c r="NMZ1" s="437"/>
      <c r="NNA1" s="437"/>
      <c r="NNB1" s="437"/>
      <c r="NNC1" s="437"/>
      <c r="NND1" s="437"/>
      <c r="NNE1" s="437"/>
      <c r="NNF1" s="437"/>
      <c r="NNG1" s="437"/>
      <c r="NNH1" s="437"/>
      <c r="NNI1" s="437"/>
      <c r="NNJ1" s="437"/>
      <c r="NNK1" s="437"/>
      <c r="NNL1" s="437"/>
      <c r="NNM1" s="437"/>
      <c r="NNN1" s="437"/>
      <c r="NNO1" s="437"/>
      <c r="NNP1" s="437"/>
      <c r="NNQ1" s="437"/>
      <c r="NNR1" s="437"/>
      <c r="NNS1" s="437"/>
      <c r="NNT1" s="437"/>
      <c r="NNU1" s="437"/>
      <c r="NNV1" s="437"/>
      <c r="NNW1" s="437"/>
      <c r="NNX1" s="437"/>
      <c r="NNY1" s="437"/>
      <c r="NNZ1" s="437"/>
      <c r="NOA1" s="437"/>
      <c r="NOB1" s="437"/>
      <c r="NOC1" s="437"/>
      <c r="NOD1" s="437"/>
      <c r="NOE1" s="437"/>
      <c r="NOF1" s="437"/>
      <c r="NOG1" s="437"/>
      <c r="NOH1" s="437"/>
      <c r="NOI1" s="437"/>
      <c r="NOJ1" s="437"/>
      <c r="NOK1" s="437"/>
      <c r="NOL1" s="437"/>
      <c r="NOM1" s="437"/>
      <c r="NON1" s="437"/>
      <c r="NOO1" s="437"/>
      <c r="NOP1" s="437"/>
      <c r="NOQ1" s="437"/>
      <c r="NOR1" s="437"/>
      <c r="NOS1" s="437"/>
      <c r="NOT1" s="437"/>
      <c r="NOU1" s="437"/>
      <c r="NOV1" s="437"/>
      <c r="NOW1" s="437"/>
      <c r="NOX1" s="437"/>
      <c r="NOY1" s="437"/>
      <c r="NOZ1" s="437"/>
      <c r="NPA1" s="437"/>
      <c r="NPB1" s="437"/>
      <c r="NPC1" s="437"/>
      <c r="NPD1" s="437"/>
      <c r="NPE1" s="437"/>
      <c r="NPF1" s="437"/>
      <c r="NPG1" s="437"/>
      <c r="NPH1" s="437"/>
      <c r="NPI1" s="437"/>
      <c r="NPJ1" s="437"/>
      <c r="NPK1" s="437"/>
      <c r="NPL1" s="437"/>
      <c r="NPM1" s="437"/>
      <c r="NPN1" s="437"/>
      <c r="NPO1" s="437"/>
      <c r="NPP1" s="437"/>
      <c r="NPQ1" s="437"/>
      <c r="NPR1" s="437"/>
      <c r="NPS1" s="437"/>
      <c r="NPT1" s="437"/>
      <c r="NPU1" s="437"/>
      <c r="NPV1" s="437"/>
      <c r="NPW1" s="437"/>
      <c r="NPX1" s="437"/>
      <c r="NPY1" s="437"/>
      <c r="NPZ1" s="437"/>
      <c r="NQA1" s="437"/>
      <c r="NQB1" s="437"/>
      <c r="NQC1" s="437"/>
      <c r="NQD1" s="437"/>
      <c r="NQE1" s="437"/>
      <c r="NQF1" s="437"/>
      <c r="NQG1" s="437"/>
      <c r="NQH1" s="437"/>
      <c r="NQI1" s="437"/>
      <c r="NQJ1" s="437"/>
      <c r="NQK1" s="437"/>
      <c r="NQL1" s="437"/>
      <c r="NQM1" s="437"/>
      <c r="NQN1" s="437"/>
      <c r="NQO1" s="437"/>
      <c r="NQP1" s="437"/>
      <c r="NQQ1" s="437"/>
      <c r="NQR1" s="437"/>
      <c r="NQS1" s="437"/>
      <c r="NQT1" s="437"/>
      <c r="NQU1" s="437"/>
      <c r="NQV1" s="437"/>
      <c r="NQW1" s="437"/>
      <c r="NQX1" s="437"/>
      <c r="NQY1" s="437"/>
      <c r="NQZ1" s="437"/>
      <c r="NRA1" s="437"/>
      <c r="NRB1" s="437"/>
      <c r="NRC1" s="437"/>
      <c r="NRD1" s="437"/>
      <c r="NRE1" s="437"/>
      <c r="NRF1" s="437"/>
      <c r="NRG1" s="437"/>
      <c r="NRH1" s="437"/>
      <c r="NRI1" s="437"/>
      <c r="NRJ1" s="437"/>
      <c r="NRK1" s="437"/>
      <c r="NRL1" s="437"/>
      <c r="NRM1" s="437"/>
      <c r="NRN1" s="437"/>
      <c r="NRO1" s="437"/>
      <c r="NRP1" s="437"/>
      <c r="NRQ1" s="437"/>
      <c r="NRR1" s="437"/>
      <c r="NRS1" s="437"/>
      <c r="NRT1" s="437"/>
      <c r="NRU1" s="437"/>
      <c r="NRV1" s="437"/>
      <c r="NRW1" s="437"/>
      <c r="NRX1" s="437"/>
      <c r="NRY1" s="437"/>
      <c r="NRZ1" s="437"/>
      <c r="NSA1" s="437"/>
      <c r="NSB1" s="437"/>
      <c r="NSC1" s="437"/>
      <c r="NSD1" s="437"/>
      <c r="NSE1" s="437"/>
      <c r="NSF1" s="437"/>
      <c r="NSG1" s="437"/>
      <c r="NSH1" s="437"/>
      <c r="NSI1" s="437"/>
      <c r="NSJ1" s="437"/>
      <c r="NSK1" s="437"/>
      <c r="NSL1" s="437"/>
      <c r="NSM1" s="437"/>
      <c r="NSN1" s="437"/>
      <c r="NSO1" s="437"/>
      <c r="NSP1" s="437"/>
      <c r="NSQ1" s="437"/>
      <c r="NSR1" s="437"/>
      <c r="NSS1" s="437"/>
      <c r="NST1" s="437"/>
      <c r="NSU1" s="437"/>
      <c r="NSV1" s="437"/>
      <c r="NSW1" s="437"/>
      <c r="NSX1" s="437"/>
      <c r="NSY1" s="437"/>
      <c r="NSZ1" s="437"/>
      <c r="NTA1" s="437"/>
      <c r="NTB1" s="437"/>
      <c r="NTC1" s="437"/>
      <c r="NTD1" s="437"/>
      <c r="NTE1" s="437"/>
      <c r="NTF1" s="437"/>
      <c r="NTG1" s="437"/>
      <c r="NTH1" s="437"/>
      <c r="NTI1" s="437"/>
      <c r="NTJ1" s="437"/>
      <c r="NTK1" s="437"/>
      <c r="NTL1" s="437"/>
      <c r="NTM1" s="437"/>
      <c r="NTN1" s="437"/>
      <c r="NTO1" s="437"/>
      <c r="NTP1" s="437"/>
      <c r="NTQ1" s="437"/>
      <c r="NTR1" s="437"/>
      <c r="NTS1" s="437"/>
      <c r="NTT1" s="437"/>
      <c r="NTU1" s="437"/>
      <c r="NTV1" s="437"/>
      <c r="NTW1" s="437"/>
      <c r="NTX1" s="437"/>
      <c r="NTY1" s="437"/>
      <c r="NTZ1" s="437"/>
      <c r="NUA1" s="437"/>
      <c r="NUB1" s="437"/>
      <c r="NUC1" s="437"/>
      <c r="NUD1" s="437"/>
      <c r="NUE1" s="437"/>
      <c r="NUF1" s="437"/>
      <c r="NUG1" s="437"/>
      <c r="NUH1" s="437"/>
      <c r="NUI1" s="437"/>
      <c r="NUJ1" s="437"/>
      <c r="NUK1" s="437"/>
      <c r="NUL1" s="437"/>
      <c r="NUM1" s="437"/>
      <c r="NUN1" s="437"/>
      <c r="NUO1" s="437"/>
      <c r="NUP1" s="437"/>
      <c r="NUQ1" s="437"/>
      <c r="NUR1" s="437"/>
      <c r="NUS1" s="437"/>
      <c r="NUT1" s="437"/>
      <c r="NUU1" s="437"/>
      <c r="NUV1" s="437"/>
      <c r="NUW1" s="437"/>
      <c r="NUX1" s="437"/>
      <c r="NUY1" s="437"/>
      <c r="NUZ1" s="437"/>
      <c r="NVA1" s="437"/>
      <c r="NVB1" s="437"/>
      <c r="NVC1" s="437"/>
      <c r="NVD1" s="437"/>
      <c r="NVE1" s="437"/>
      <c r="NVF1" s="437"/>
      <c r="NVG1" s="437"/>
      <c r="NVH1" s="437"/>
      <c r="NVI1" s="437"/>
      <c r="NVJ1" s="437"/>
      <c r="NVK1" s="437"/>
      <c r="NVL1" s="437"/>
      <c r="NVM1" s="437"/>
      <c r="NVN1" s="437"/>
      <c r="NVO1" s="437"/>
      <c r="NVP1" s="437"/>
      <c r="NVQ1" s="437"/>
      <c r="NVR1" s="437"/>
      <c r="NVS1" s="437"/>
      <c r="NVT1" s="437"/>
      <c r="NVU1" s="437"/>
      <c r="NVV1" s="437"/>
      <c r="NVW1" s="437"/>
      <c r="NVX1" s="437"/>
      <c r="NVY1" s="437"/>
      <c r="NVZ1" s="437"/>
      <c r="NWA1" s="437"/>
      <c r="NWB1" s="437"/>
      <c r="NWC1" s="437"/>
      <c r="NWD1" s="437"/>
      <c r="NWE1" s="437"/>
      <c r="NWF1" s="437"/>
      <c r="NWG1" s="437"/>
      <c r="NWH1" s="437"/>
      <c r="NWI1" s="437"/>
      <c r="NWJ1" s="437"/>
      <c r="NWK1" s="437"/>
      <c r="NWL1" s="437"/>
      <c r="NWM1" s="437"/>
      <c r="NWN1" s="437"/>
      <c r="NWO1" s="437"/>
      <c r="NWP1" s="437"/>
      <c r="NWQ1" s="437"/>
      <c r="NWR1" s="437"/>
      <c r="NWS1" s="437"/>
      <c r="NWT1" s="437"/>
      <c r="NWU1" s="437"/>
      <c r="NWV1" s="437"/>
      <c r="NWW1" s="437"/>
      <c r="NWX1" s="437"/>
      <c r="NWY1" s="437"/>
      <c r="NWZ1" s="437"/>
      <c r="NXA1" s="437"/>
      <c r="NXB1" s="437"/>
      <c r="NXC1" s="437"/>
      <c r="NXD1" s="437"/>
      <c r="NXE1" s="437"/>
      <c r="NXF1" s="437"/>
      <c r="NXG1" s="437"/>
      <c r="NXH1" s="437"/>
      <c r="NXI1" s="437"/>
      <c r="NXJ1" s="437"/>
      <c r="NXK1" s="437"/>
      <c r="NXL1" s="437"/>
      <c r="NXM1" s="437"/>
      <c r="NXN1" s="437"/>
      <c r="NXO1" s="437"/>
      <c r="NXP1" s="437"/>
      <c r="NXQ1" s="437"/>
      <c r="NXR1" s="437"/>
      <c r="NXS1" s="437"/>
      <c r="NXT1" s="437"/>
      <c r="NXU1" s="437"/>
      <c r="NXV1" s="437"/>
      <c r="NXW1" s="437"/>
      <c r="NXX1" s="437"/>
      <c r="NXY1" s="437"/>
      <c r="NXZ1" s="437"/>
      <c r="NYA1" s="437"/>
      <c r="NYB1" s="437"/>
      <c r="NYC1" s="437"/>
      <c r="NYD1" s="437"/>
      <c r="NYE1" s="437"/>
      <c r="NYF1" s="437"/>
      <c r="NYG1" s="437"/>
      <c r="NYH1" s="437"/>
      <c r="NYI1" s="437"/>
      <c r="NYJ1" s="437"/>
      <c r="NYK1" s="437"/>
      <c r="NYL1" s="437"/>
      <c r="NYM1" s="437"/>
      <c r="NYN1" s="437"/>
      <c r="NYO1" s="437"/>
      <c r="NYP1" s="437"/>
      <c r="NYQ1" s="437"/>
      <c r="NYR1" s="437"/>
      <c r="NYS1" s="437"/>
      <c r="NYT1" s="437"/>
      <c r="NYU1" s="437"/>
      <c r="NYV1" s="437"/>
      <c r="NYW1" s="437"/>
      <c r="NYX1" s="437"/>
      <c r="NYY1" s="437"/>
      <c r="NYZ1" s="437"/>
      <c r="NZA1" s="437"/>
      <c r="NZB1" s="437"/>
      <c r="NZC1" s="437"/>
      <c r="NZD1" s="437"/>
      <c r="NZE1" s="437"/>
      <c r="NZF1" s="437"/>
      <c r="NZG1" s="437"/>
      <c r="NZH1" s="437"/>
      <c r="NZI1" s="437"/>
      <c r="NZJ1" s="437"/>
      <c r="NZK1" s="437"/>
      <c r="NZL1" s="437"/>
      <c r="NZM1" s="437"/>
      <c r="NZN1" s="437"/>
      <c r="NZO1" s="437"/>
      <c r="NZP1" s="437"/>
      <c r="NZQ1" s="437"/>
      <c r="NZR1" s="437"/>
      <c r="NZS1" s="437"/>
      <c r="NZT1" s="437"/>
      <c r="NZU1" s="437"/>
      <c r="NZV1" s="437"/>
      <c r="NZW1" s="437"/>
      <c r="NZX1" s="437"/>
      <c r="NZY1" s="437"/>
      <c r="NZZ1" s="437"/>
      <c r="OAA1" s="437"/>
      <c r="OAB1" s="437"/>
      <c r="OAC1" s="437"/>
      <c r="OAD1" s="437"/>
      <c r="OAE1" s="437"/>
      <c r="OAF1" s="437"/>
      <c r="OAG1" s="437"/>
      <c r="OAH1" s="437"/>
      <c r="OAI1" s="437"/>
      <c r="OAJ1" s="437"/>
      <c r="OAK1" s="437"/>
      <c r="OAL1" s="437"/>
      <c r="OAM1" s="437"/>
      <c r="OAN1" s="437"/>
      <c r="OAO1" s="437"/>
      <c r="OAP1" s="437"/>
      <c r="OAQ1" s="437"/>
      <c r="OAR1" s="437"/>
      <c r="OAS1" s="437"/>
      <c r="OAT1" s="437"/>
      <c r="OAU1" s="437"/>
      <c r="OAV1" s="437"/>
      <c r="OAW1" s="437"/>
      <c r="OAX1" s="437"/>
      <c r="OAY1" s="437"/>
      <c r="OAZ1" s="437"/>
      <c r="OBA1" s="437"/>
      <c r="OBB1" s="437"/>
      <c r="OBC1" s="437"/>
      <c r="OBD1" s="437"/>
      <c r="OBE1" s="437"/>
      <c r="OBF1" s="437"/>
      <c r="OBG1" s="437"/>
      <c r="OBH1" s="437"/>
      <c r="OBI1" s="437"/>
      <c r="OBJ1" s="437"/>
      <c r="OBK1" s="437"/>
      <c r="OBL1" s="437"/>
      <c r="OBM1" s="437"/>
      <c r="OBN1" s="437"/>
      <c r="OBO1" s="437"/>
      <c r="OBP1" s="437"/>
      <c r="OBQ1" s="437"/>
      <c r="OBR1" s="437"/>
      <c r="OBS1" s="437"/>
      <c r="OBT1" s="437"/>
      <c r="OBU1" s="437"/>
      <c r="OBV1" s="437"/>
      <c r="OBW1" s="437"/>
      <c r="OBX1" s="437"/>
      <c r="OBY1" s="437"/>
      <c r="OBZ1" s="437"/>
      <c r="OCA1" s="437"/>
      <c r="OCB1" s="437"/>
      <c r="OCC1" s="437"/>
      <c r="OCD1" s="437"/>
      <c r="OCE1" s="437"/>
      <c r="OCF1" s="437"/>
      <c r="OCG1" s="437"/>
      <c r="OCH1" s="437"/>
      <c r="OCI1" s="437"/>
      <c r="OCJ1" s="437"/>
      <c r="OCK1" s="437"/>
      <c r="OCL1" s="437"/>
      <c r="OCM1" s="437"/>
      <c r="OCN1" s="437"/>
      <c r="OCO1" s="437"/>
      <c r="OCP1" s="437"/>
      <c r="OCQ1" s="437"/>
      <c r="OCR1" s="437"/>
      <c r="OCS1" s="437"/>
      <c r="OCT1" s="437"/>
      <c r="OCU1" s="437"/>
      <c r="OCV1" s="437"/>
      <c r="OCW1" s="437"/>
      <c r="OCX1" s="437"/>
      <c r="OCY1" s="437"/>
      <c r="OCZ1" s="437"/>
      <c r="ODA1" s="437"/>
      <c r="ODB1" s="437"/>
      <c r="ODC1" s="437"/>
      <c r="ODD1" s="437"/>
      <c r="ODE1" s="437"/>
      <c r="ODF1" s="437"/>
      <c r="ODG1" s="437"/>
      <c r="ODH1" s="437"/>
      <c r="ODI1" s="437"/>
      <c r="ODJ1" s="437"/>
      <c r="ODK1" s="437"/>
      <c r="ODL1" s="437"/>
      <c r="ODM1" s="437"/>
      <c r="ODN1" s="437"/>
      <c r="ODO1" s="437"/>
      <c r="ODP1" s="437"/>
      <c r="ODQ1" s="437"/>
      <c r="ODR1" s="437"/>
      <c r="ODS1" s="437"/>
      <c r="ODT1" s="437"/>
      <c r="ODU1" s="437"/>
      <c r="ODV1" s="437"/>
      <c r="ODW1" s="437"/>
      <c r="ODX1" s="437"/>
      <c r="ODY1" s="437"/>
      <c r="ODZ1" s="437"/>
      <c r="OEA1" s="437"/>
      <c r="OEB1" s="437"/>
      <c r="OEC1" s="437"/>
      <c r="OED1" s="437"/>
      <c r="OEE1" s="437"/>
      <c r="OEF1" s="437"/>
      <c r="OEG1" s="437"/>
      <c r="OEH1" s="437"/>
      <c r="OEI1" s="437"/>
      <c r="OEJ1" s="437"/>
      <c r="OEK1" s="437"/>
      <c r="OEL1" s="437"/>
      <c r="OEM1" s="437"/>
      <c r="OEN1" s="437"/>
      <c r="OEO1" s="437"/>
      <c r="OEP1" s="437"/>
      <c r="OEQ1" s="437"/>
      <c r="OER1" s="437"/>
      <c r="OES1" s="437"/>
      <c r="OET1" s="437"/>
      <c r="OEU1" s="437"/>
      <c r="OEV1" s="437"/>
      <c r="OEW1" s="437"/>
      <c r="OEX1" s="437"/>
      <c r="OEY1" s="437"/>
      <c r="OEZ1" s="437"/>
      <c r="OFA1" s="437"/>
      <c r="OFB1" s="437"/>
      <c r="OFC1" s="437"/>
      <c r="OFD1" s="437"/>
      <c r="OFE1" s="437"/>
      <c r="OFF1" s="437"/>
      <c r="OFG1" s="437"/>
      <c r="OFH1" s="437"/>
      <c r="OFI1" s="437"/>
      <c r="OFJ1" s="437"/>
      <c r="OFK1" s="437"/>
      <c r="OFL1" s="437"/>
      <c r="OFM1" s="437"/>
      <c r="OFN1" s="437"/>
      <c r="OFO1" s="437"/>
      <c r="OFP1" s="437"/>
      <c r="OFQ1" s="437"/>
      <c r="OFR1" s="437"/>
      <c r="OFS1" s="437"/>
      <c r="OFT1" s="437"/>
      <c r="OFU1" s="437"/>
      <c r="OFV1" s="437"/>
      <c r="OFW1" s="437"/>
      <c r="OFX1" s="437"/>
      <c r="OFY1" s="437"/>
      <c r="OFZ1" s="437"/>
      <c r="OGA1" s="437"/>
      <c r="OGB1" s="437"/>
      <c r="OGC1" s="437"/>
      <c r="OGD1" s="437"/>
      <c r="OGE1" s="437"/>
      <c r="OGF1" s="437"/>
      <c r="OGG1" s="437"/>
      <c r="OGH1" s="437"/>
      <c r="OGI1" s="437"/>
      <c r="OGJ1" s="437"/>
      <c r="OGK1" s="437"/>
      <c r="OGL1" s="437"/>
      <c r="OGM1" s="437"/>
      <c r="OGN1" s="437"/>
      <c r="OGO1" s="437"/>
      <c r="OGP1" s="437"/>
      <c r="OGQ1" s="437"/>
      <c r="OGR1" s="437"/>
      <c r="OGS1" s="437"/>
      <c r="OGT1" s="437"/>
      <c r="OGU1" s="437"/>
      <c r="OGV1" s="437"/>
      <c r="OGW1" s="437"/>
      <c r="OGX1" s="437"/>
      <c r="OGY1" s="437"/>
      <c r="OGZ1" s="437"/>
      <c r="OHA1" s="437"/>
      <c r="OHB1" s="437"/>
      <c r="OHC1" s="437"/>
      <c r="OHD1" s="437"/>
      <c r="OHE1" s="437"/>
      <c r="OHF1" s="437"/>
      <c r="OHG1" s="437"/>
      <c r="OHH1" s="437"/>
      <c r="OHI1" s="437"/>
      <c r="OHJ1" s="437"/>
      <c r="OHK1" s="437"/>
      <c r="OHL1" s="437"/>
      <c r="OHM1" s="437"/>
      <c r="OHN1" s="437"/>
      <c r="OHO1" s="437"/>
      <c r="OHP1" s="437"/>
      <c r="OHQ1" s="437"/>
      <c r="OHR1" s="437"/>
      <c r="OHS1" s="437"/>
      <c r="OHT1" s="437"/>
      <c r="OHU1" s="437"/>
      <c r="OHV1" s="437"/>
      <c r="OHW1" s="437"/>
      <c r="OHX1" s="437"/>
      <c r="OHY1" s="437"/>
      <c r="OHZ1" s="437"/>
      <c r="OIA1" s="437"/>
      <c r="OIB1" s="437"/>
      <c r="OIC1" s="437"/>
      <c r="OID1" s="437"/>
      <c r="OIE1" s="437"/>
      <c r="OIF1" s="437"/>
      <c r="OIG1" s="437"/>
      <c r="OIH1" s="437"/>
      <c r="OII1" s="437"/>
      <c r="OIJ1" s="437"/>
      <c r="OIK1" s="437"/>
      <c r="OIL1" s="437"/>
      <c r="OIM1" s="437"/>
      <c r="OIN1" s="437"/>
      <c r="OIO1" s="437"/>
      <c r="OIP1" s="437"/>
      <c r="OIQ1" s="437"/>
      <c r="OIR1" s="437"/>
      <c r="OIS1" s="437"/>
      <c r="OIT1" s="437"/>
      <c r="OIU1" s="437"/>
      <c r="OIV1" s="437"/>
      <c r="OIW1" s="437"/>
      <c r="OIX1" s="437"/>
      <c r="OIY1" s="437"/>
      <c r="OIZ1" s="437"/>
      <c r="OJA1" s="437"/>
      <c r="OJB1" s="437"/>
      <c r="OJC1" s="437"/>
      <c r="OJD1" s="437"/>
      <c r="OJE1" s="437"/>
      <c r="OJF1" s="437"/>
      <c r="OJG1" s="437"/>
      <c r="OJH1" s="437"/>
      <c r="OJI1" s="437"/>
      <c r="OJJ1" s="437"/>
      <c r="OJK1" s="437"/>
      <c r="OJL1" s="437"/>
      <c r="OJM1" s="437"/>
      <c r="OJN1" s="437"/>
      <c r="OJO1" s="437"/>
      <c r="OJP1" s="437"/>
      <c r="OJQ1" s="437"/>
      <c r="OJR1" s="437"/>
      <c r="OJS1" s="437"/>
      <c r="OJT1" s="437"/>
      <c r="OJU1" s="437"/>
      <c r="OJV1" s="437"/>
      <c r="OJW1" s="437"/>
      <c r="OJX1" s="437"/>
      <c r="OJY1" s="437"/>
      <c r="OJZ1" s="437"/>
      <c r="OKA1" s="437"/>
      <c r="OKB1" s="437"/>
      <c r="OKC1" s="437"/>
      <c r="OKD1" s="437"/>
      <c r="OKE1" s="437"/>
      <c r="OKF1" s="437"/>
      <c r="OKG1" s="437"/>
      <c r="OKH1" s="437"/>
      <c r="OKI1" s="437"/>
      <c r="OKJ1" s="437"/>
      <c r="OKK1" s="437"/>
      <c r="OKL1" s="437"/>
      <c r="OKM1" s="437"/>
      <c r="OKN1" s="437"/>
      <c r="OKO1" s="437"/>
      <c r="OKP1" s="437"/>
      <c r="OKQ1" s="437"/>
      <c r="OKR1" s="437"/>
      <c r="OKS1" s="437"/>
      <c r="OKT1" s="437"/>
      <c r="OKU1" s="437"/>
      <c r="OKV1" s="437"/>
      <c r="OKW1" s="437"/>
      <c r="OKX1" s="437"/>
      <c r="OKY1" s="437"/>
      <c r="OKZ1" s="437"/>
      <c r="OLA1" s="437"/>
      <c r="OLB1" s="437"/>
      <c r="OLC1" s="437"/>
      <c r="OLD1" s="437"/>
      <c r="OLE1" s="437"/>
      <c r="OLF1" s="437"/>
      <c r="OLG1" s="437"/>
      <c r="OLH1" s="437"/>
      <c r="OLI1" s="437"/>
      <c r="OLJ1" s="437"/>
      <c r="OLK1" s="437"/>
      <c r="OLL1" s="437"/>
      <c r="OLM1" s="437"/>
      <c r="OLN1" s="437"/>
      <c r="OLO1" s="437"/>
      <c r="OLP1" s="437"/>
      <c r="OLQ1" s="437"/>
      <c r="OLR1" s="437"/>
      <c r="OLS1" s="437"/>
      <c r="OLT1" s="437"/>
      <c r="OLU1" s="437"/>
      <c r="OLV1" s="437"/>
      <c r="OLW1" s="437"/>
      <c r="OLX1" s="437"/>
      <c r="OLY1" s="437"/>
      <c r="OLZ1" s="437"/>
      <c r="OMA1" s="437"/>
      <c r="OMB1" s="437"/>
      <c r="OMC1" s="437"/>
      <c r="OMD1" s="437"/>
      <c r="OME1" s="437"/>
      <c r="OMF1" s="437"/>
      <c r="OMG1" s="437"/>
      <c r="OMH1" s="437"/>
      <c r="OMI1" s="437"/>
      <c r="OMJ1" s="437"/>
      <c r="OMK1" s="437"/>
      <c r="OML1" s="437"/>
      <c r="OMM1" s="437"/>
      <c r="OMN1" s="437"/>
      <c r="OMO1" s="437"/>
      <c r="OMP1" s="437"/>
      <c r="OMQ1" s="437"/>
      <c r="OMR1" s="437"/>
      <c r="OMS1" s="437"/>
      <c r="OMT1" s="437"/>
      <c r="OMU1" s="437"/>
      <c r="OMV1" s="437"/>
      <c r="OMW1" s="437"/>
      <c r="OMX1" s="437"/>
      <c r="OMY1" s="437"/>
      <c r="OMZ1" s="437"/>
      <c r="ONA1" s="437"/>
      <c r="ONB1" s="437"/>
      <c r="ONC1" s="437"/>
      <c r="OND1" s="437"/>
      <c r="ONE1" s="437"/>
      <c r="ONF1" s="437"/>
      <c r="ONG1" s="437"/>
      <c r="ONH1" s="437"/>
      <c r="ONI1" s="437"/>
      <c r="ONJ1" s="437"/>
      <c r="ONK1" s="437"/>
      <c r="ONL1" s="437"/>
      <c r="ONM1" s="437"/>
      <c r="ONN1" s="437"/>
      <c r="ONO1" s="437"/>
      <c r="ONP1" s="437"/>
      <c r="ONQ1" s="437"/>
      <c r="ONR1" s="437"/>
      <c r="ONS1" s="437"/>
      <c r="ONT1" s="437"/>
      <c r="ONU1" s="437"/>
      <c r="ONV1" s="437"/>
      <c r="ONW1" s="437"/>
      <c r="ONX1" s="437"/>
      <c r="ONY1" s="437"/>
      <c r="ONZ1" s="437"/>
      <c r="OOA1" s="437"/>
      <c r="OOB1" s="437"/>
      <c r="OOC1" s="437"/>
      <c r="OOD1" s="437"/>
      <c r="OOE1" s="437"/>
      <c r="OOF1" s="437"/>
      <c r="OOG1" s="437"/>
      <c r="OOH1" s="437"/>
      <c r="OOI1" s="437"/>
      <c r="OOJ1" s="437"/>
      <c r="OOK1" s="437"/>
      <c r="OOL1" s="437"/>
      <c r="OOM1" s="437"/>
      <c r="OON1" s="437"/>
      <c r="OOO1" s="437"/>
      <c r="OOP1" s="437"/>
      <c r="OOQ1" s="437"/>
      <c r="OOR1" s="437"/>
      <c r="OOS1" s="437"/>
      <c r="OOT1" s="437"/>
      <c r="OOU1" s="437"/>
      <c r="OOV1" s="437"/>
      <c r="OOW1" s="437"/>
      <c r="OOX1" s="437"/>
      <c r="OOY1" s="437"/>
      <c r="OOZ1" s="437"/>
      <c r="OPA1" s="437"/>
      <c r="OPB1" s="437"/>
      <c r="OPC1" s="437"/>
      <c r="OPD1" s="437"/>
      <c r="OPE1" s="437"/>
      <c r="OPF1" s="437"/>
      <c r="OPG1" s="437"/>
      <c r="OPH1" s="437"/>
      <c r="OPI1" s="437"/>
      <c r="OPJ1" s="437"/>
      <c r="OPK1" s="437"/>
      <c r="OPL1" s="437"/>
      <c r="OPM1" s="437"/>
      <c r="OPN1" s="437"/>
      <c r="OPO1" s="437"/>
      <c r="OPP1" s="437"/>
      <c r="OPQ1" s="437"/>
      <c r="OPR1" s="437"/>
      <c r="OPS1" s="437"/>
      <c r="OPT1" s="437"/>
      <c r="OPU1" s="437"/>
      <c r="OPV1" s="437"/>
      <c r="OPW1" s="437"/>
      <c r="OPX1" s="437"/>
      <c r="OPY1" s="437"/>
      <c r="OPZ1" s="437"/>
      <c r="OQA1" s="437"/>
      <c r="OQB1" s="437"/>
      <c r="OQC1" s="437"/>
      <c r="OQD1" s="437"/>
      <c r="OQE1" s="437"/>
      <c r="OQF1" s="437"/>
      <c r="OQG1" s="437"/>
      <c r="OQH1" s="437"/>
      <c r="OQI1" s="437"/>
      <c r="OQJ1" s="437"/>
      <c r="OQK1" s="437"/>
      <c r="OQL1" s="437"/>
      <c r="OQM1" s="437"/>
      <c r="OQN1" s="437"/>
      <c r="OQO1" s="437"/>
      <c r="OQP1" s="437"/>
      <c r="OQQ1" s="437"/>
      <c r="OQR1" s="437"/>
      <c r="OQS1" s="437"/>
      <c r="OQT1" s="437"/>
      <c r="OQU1" s="437"/>
      <c r="OQV1" s="437"/>
      <c r="OQW1" s="437"/>
      <c r="OQX1" s="437"/>
      <c r="OQY1" s="437"/>
      <c r="OQZ1" s="437"/>
      <c r="ORA1" s="437"/>
      <c r="ORB1" s="437"/>
      <c r="ORC1" s="437"/>
      <c r="ORD1" s="437"/>
      <c r="ORE1" s="437"/>
      <c r="ORF1" s="437"/>
      <c r="ORG1" s="437"/>
      <c r="ORH1" s="437"/>
      <c r="ORI1" s="437"/>
      <c r="ORJ1" s="437"/>
      <c r="ORK1" s="437"/>
      <c r="ORL1" s="437"/>
      <c r="ORM1" s="437"/>
      <c r="ORN1" s="437"/>
      <c r="ORO1" s="437"/>
      <c r="ORP1" s="437"/>
      <c r="ORQ1" s="437"/>
      <c r="ORR1" s="437"/>
      <c r="ORS1" s="437"/>
      <c r="ORT1" s="437"/>
      <c r="ORU1" s="437"/>
      <c r="ORV1" s="437"/>
      <c r="ORW1" s="437"/>
      <c r="ORX1" s="437"/>
      <c r="ORY1" s="437"/>
      <c r="ORZ1" s="437"/>
      <c r="OSA1" s="437"/>
      <c r="OSB1" s="437"/>
      <c r="OSC1" s="437"/>
      <c r="OSD1" s="437"/>
      <c r="OSE1" s="437"/>
      <c r="OSF1" s="437"/>
      <c r="OSG1" s="437"/>
      <c r="OSH1" s="437"/>
      <c r="OSI1" s="437"/>
      <c r="OSJ1" s="437"/>
      <c r="OSK1" s="437"/>
      <c r="OSL1" s="437"/>
      <c r="OSM1" s="437"/>
      <c r="OSN1" s="437"/>
      <c r="OSO1" s="437"/>
      <c r="OSP1" s="437"/>
      <c r="OSQ1" s="437"/>
      <c r="OSR1" s="437"/>
      <c r="OSS1" s="437"/>
      <c r="OST1" s="437"/>
      <c r="OSU1" s="437"/>
      <c r="OSV1" s="437"/>
      <c r="OSW1" s="437"/>
      <c r="OSX1" s="437"/>
      <c r="OSY1" s="437"/>
      <c r="OSZ1" s="437"/>
      <c r="OTA1" s="437"/>
      <c r="OTB1" s="437"/>
      <c r="OTC1" s="437"/>
      <c r="OTD1" s="437"/>
      <c r="OTE1" s="437"/>
      <c r="OTF1" s="437"/>
      <c r="OTG1" s="437"/>
      <c r="OTH1" s="437"/>
      <c r="OTI1" s="437"/>
      <c r="OTJ1" s="437"/>
      <c r="OTK1" s="437"/>
      <c r="OTL1" s="437"/>
      <c r="OTM1" s="437"/>
      <c r="OTN1" s="437"/>
      <c r="OTO1" s="437"/>
      <c r="OTP1" s="437"/>
      <c r="OTQ1" s="437"/>
      <c r="OTR1" s="437"/>
      <c r="OTS1" s="437"/>
      <c r="OTT1" s="437"/>
      <c r="OTU1" s="437"/>
      <c r="OTV1" s="437"/>
      <c r="OTW1" s="437"/>
      <c r="OTX1" s="437"/>
      <c r="OTY1" s="437"/>
      <c r="OTZ1" s="437"/>
      <c r="OUA1" s="437"/>
      <c r="OUB1" s="437"/>
      <c r="OUC1" s="437"/>
      <c r="OUD1" s="437"/>
      <c r="OUE1" s="437"/>
      <c r="OUF1" s="437"/>
      <c r="OUG1" s="437"/>
      <c r="OUH1" s="437"/>
      <c r="OUI1" s="437"/>
      <c r="OUJ1" s="437"/>
      <c r="OUK1" s="437"/>
      <c r="OUL1" s="437"/>
      <c r="OUM1" s="437"/>
      <c r="OUN1" s="437"/>
      <c r="OUO1" s="437"/>
      <c r="OUP1" s="437"/>
      <c r="OUQ1" s="437"/>
      <c r="OUR1" s="437"/>
      <c r="OUS1" s="437"/>
      <c r="OUT1" s="437"/>
      <c r="OUU1" s="437"/>
      <c r="OUV1" s="437"/>
      <c r="OUW1" s="437"/>
      <c r="OUX1" s="437"/>
      <c r="OUY1" s="437"/>
      <c r="OUZ1" s="437"/>
      <c r="OVA1" s="437"/>
      <c r="OVB1" s="437"/>
      <c r="OVC1" s="437"/>
      <c r="OVD1" s="437"/>
      <c r="OVE1" s="437"/>
      <c r="OVF1" s="437"/>
      <c r="OVG1" s="437"/>
      <c r="OVH1" s="437"/>
      <c r="OVI1" s="437"/>
      <c r="OVJ1" s="437"/>
      <c r="OVK1" s="437"/>
      <c r="OVL1" s="437"/>
      <c r="OVM1" s="437"/>
      <c r="OVN1" s="437"/>
      <c r="OVO1" s="437"/>
      <c r="OVP1" s="437"/>
      <c r="OVQ1" s="437"/>
      <c r="OVR1" s="437"/>
      <c r="OVS1" s="437"/>
      <c r="OVT1" s="437"/>
      <c r="OVU1" s="437"/>
      <c r="OVV1" s="437"/>
      <c r="OVW1" s="437"/>
      <c r="OVX1" s="437"/>
      <c r="OVY1" s="437"/>
      <c r="OVZ1" s="437"/>
      <c r="OWA1" s="437"/>
      <c r="OWB1" s="437"/>
      <c r="OWC1" s="437"/>
      <c r="OWD1" s="437"/>
      <c r="OWE1" s="437"/>
      <c r="OWF1" s="437"/>
      <c r="OWG1" s="437"/>
      <c r="OWH1" s="437"/>
      <c r="OWI1" s="437"/>
      <c r="OWJ1" s="437"/>
      <c r="OWK1" s="437"/>
      <c r="OWL1" s="437"/>
      <c r="OWM1" s="437"/>
      <c r="OWN1" s="437"/>
      <c r="OWO1" s="437"/>
      <c r="OWP1" s="437"/>
      <c r="OWQ1" s="437"/>
      <c r="OWR1" s="437"/>
      <c r="OWS1" s="437"/>
      <c r="OWT1" s="437"/>
      <c r="OWU1" s="437"/>
      <c r="OWV1" s="437"/>
      <c r="OWW1" s="437"/>
      <c r="OWX1" s="437"/>
      <c r="OWY1" s="437"/>
      <c r="OWZ1" s="437"/>
      <c r="OXA1" s="437"/>
      <c r="OXB1" s="437"/>
      <c r="OXC1" s="437"/>
      <c r="OXD1" s="437"/>
      <c r="OXE1" s="437"/>
      <c r="OXF1" s="437"/>
      <c r="OXG1" s="437"/>
      <c r="OXH1" s="437"/>
      <c r="OXI1" s="437"/>
      <c r="OXJ1" s="437"/>
      <c r="OXK1" s="437"/>
      <c r="OXL1" s="437"/>
      <c r="OXM1" s="437"/>
      <c r="OXN1" s="437"/>
      <c r="OXO1" s="437"/>
      <c r="OXP1" s="437"/>
      <c r="OXQ1" s="437"/>
      <c r="OXR1" s="437"/>
      <c r="OXS1" s="437"/>
      <c r="OXT1" s="437"/>
      <c r="OXU1" s="437"/>
      <c r="OXV1" s="437"/>
      <c r="OXW1" s="437"/>
      <c r="OXX1" s="437"/>
      <c r="OXY1" s="437"/>
      <c r="OXZ1" s="437"/>
      <c r="OYA1" s="437"/>
      <c r="OYB1" s="437"/>
      <c r="OYC1" s="437"/>
      <c r="OYD1" s="437"/>
      <c r="OYE1" s="437"/>
      <c r="OYF1" s="437"/>
      <c r="OYG1" s="437"/>
      <c r="OYH1" s="437"/>
      <c r="OYI1" s="437"/>
      <c r="OYJ1" s="437"/>
      <c r="OYK1" s="437"/>
      <c r="OYL1" s="437"/>
      <c r="OYM1" s="437"/>
      <c r="OYN1" s="437"/>
      <c r="OYO1" s="437"/>
      <c r="OYP1" s="437"/>
      <c r="OYQ1" s="437"/>
      <c r="OYR1" s="437"/>
      <c r="OYS1" s="437"/>
      <c r="OYT1" s="437"/>
      <c r="OYU1" s="437"/>
      <c r="OYV1" s="437"/>
      <c r="OYW1" s="437"/>
      <c r="OYX1" s="437"/>
      <c r="OYY1" s="437"/>
      <c r="OYZ1" s="437"/>
      <c r="OZA1" s="437"/>
      <c r="OZB1" s="437"/>
      <c r="OZC1" s="437"/>
      <c r="OZD1" s="437"/>
      <c r="OZE1" s="437"/>
      <c r="OZF1" s="437"/>
      <c r="OZG1" s="437"/>
      <c r="OZH1" s="437"/>
      <c r="OZI1" s="437"/>
      <c r="OZJ1" s="437"/>
      <c r="OZK1" s="437"/>
      <c r="OZL1" s="437"/>
      <c r="OZM1" s="437"/>
      <c r="OZN1" s="437"/>
      <c r="OZO1" s="437"/>
      <c r="OZP1" s="437"/>
      <c r="OZQ1" s="437"/>
      <c r="OZR1" s="437"/>
      <c r="OZS1" s="437"/>
      <c r="OZT1" s="437"/>
      <c r="OZU1" s="437"/>
      <c r="OZV1" s="437"/>
      <c r="OZW1" s="437"/>
      <c r="OZX1" s="437"/>
      <c r="OZY1" s="437"/>
      <c r="OZZ1" s="437"/>
      <c r="PAA1" s="437"/>
      <c r="PAB1" s="437"/>
      <c r="PAC1" s="437"/>
      <c r="PAD1" s="437"/>
      <c r="PAE1" s="437"/>
      <c r="PAF1" s="437"/>
      <c r="PAG1" s="437"/>
      <c r="PAH1" s="437"/>
      <c r="PAI1" s="437"/>
      <c r="PAJ1" s="437"/>
      <c r="PAK1" s="437"/>
      <c r="PAL1" s="437"/>
      <c r="PAM1" s="437"/>
      <c r="PAN1" s="437"/>
      <c r="PAO1" s="437"/>
      <c r="PAP1" s="437"/>
      <c r="PAQ1" s="437"/>
      <c r="PAR1" s="437"/>
      <c r="PAS1" s="437"/>
      <c r="PAT1" s="437"/>
      <c r="PAU1" s="437"/>
      <c r="PAV1" s="437"/>
      <c r="PAW1" s="437"/>
      <c r="PAX1" s="437"/>
      <c r="PAY1" s="437"/>
      <c r="PAZ1" s="437"/>
      <c r="PBA1" s="437"/>
      <c r="PBB1" s="437"/>
      <c r="PBC1" s="437"/>
      <c r="PBD1" s="437"/>
      <c r="PBE1" s="437"/>
      <c r="PBF1" s="437"/>
      <c r="PBG1" s="437"/>
      <c r="PBH1" s="437"/>
      <c r="PBI1" s="437"/>
      <c r="PBJ1" s="437"/>
      <c r="PBK1" s="437"/>
      <c r="PBL1" s="437"/>
      <c r="PBM1" s="437"/>
      <c r="PBN1" s="437"/>
      <c r="PBO1" s="437"/>
      <c r="PBP1" s="437"/>
      <c r="PBQ1" s="437"/>
      <c r="PBR1" s="437"/>
      <c r="PBS1" s="437"/>
      <c r="PBT1" s="437"/>
      <c r="PBU1" s="437"/>
      <c r="PBV1" s="437"/>
      <c r="PBW1" s="437"/>
      <c r="PBX1" s="437"/>
      <c r="PBY1" s="437"/>
      <c r="PBZ1" s="437"/>
      <c r="PCA1" s="437"/>
      <c r="PCB1" s="437"/>
      <c r="PCC1" s="437"/>
      <c r="PCD1" s="437"/>
      <c r="PCE1" s="437"/>
      <c r="PCF1" s="437"/>
      <c r="PCG1" s="437"/>
      <c r="PCH1" s="437"/>
      <c r="PCI1" s="437"/>
      <c r="PCJ1" s="437"/>
      <c r="PCK1" s="437"/>
      <c r="PCL1" s="437"/>
      <c r="PCM1" s="437"/>
      <c r="PCN1" s="437"/>
      <c r="PCO1" s="437"/>
      <c r="PCP1" s="437"/>
      <c r="PCQ1" s="437"/>
      <c r="PCR1" s="437"/>
      <c r="PCS1" s="437"/>
      <c r="PCT1" s="437"/>
      <c r="PCU1" s="437"/>
      <c r="PCV1" s="437"/>
      <c r="PCW1" s="437"/>
      <c r="PCX1" s="437"/>
      <c r="PCY1" s="437"/>
      <c r="PCZ1" s="437"/>
      <c r="PDA1" s="437"/>
      <c r="PDB1" s="437"/>
      <c r="PDC1" s="437"/>
      <c r="PDD1" s="437"/>
      <c r="PDE1" s="437"/>
      <c r="PDF1" s="437"/>
      <c r="PDG1" s="437"/>
      <c r="PDH1" s="437"/>
      <c r="PDI1" s="437"/>
      <c r="PDJ1" s="437"/>
      <c r="PDK1" s="437"/>
      <c r="PDL1" s="437"/>
      <c r="PDM1" s="437"/>
      <c r="PDN1" s="437"/>
      <c r="PDO1" s="437"/>
      <c r="PDP1" s="437"/>
      <c r="PDQ1" s="437"/>
      <c r="PDR1" s="437"/>
      <c r="PDS1" s="437"/>
      <c r="PDT1" s="437"/>
      <c r="PDU1" s="437"/>
      <c r="PDV1" s="437"/>
      <c r="PDW1" s="437"/>
      <c r="PDX1" s="437"/>
      <c r="PDY1" s="437"/>
      <c r="PDZ1" s="437"/>
      <c r="PEA1" s="437"/>
      <c r="PEB1" s="437"/>
      <c r="PEC1" s="437"/>
      <c r="PED1" s="437"/>
      <c r="PEE1" s="437"/>
      <c r="PEF1" s="437"/>
      <c r="PEG1" s="437"/>
      <c r="PEH1" s="437"/>
      <c r="PEI1" s="437"/>
      <c r="PEJ1" s="437"/>
      <c r="PEK1" s="437"/>
      <c r="PEL1" s="437"/>
      <c r="PEM1" s="437"/>
      <c r="PEN1" s="437"/>
      <c r="PEO1" s="437"/>
      <c r="PEP1" s="437"/>
      <c r="PEQ1" s="437"/>
      <c r="PER1" s="437"/>
      <c r="PES1" s="437"/>
      <c r="PET1" s="437"/>
      <c r="PEU1" s="437"/>
      <c r="PEV1" s="437"/>
      <c r="PEW1" s="437"/>
      <c r="PEX1" s="437"/>
      <c r="PEY1" s="437"/>
      <c r="PEZ1" s="437"/>
      <c r="PFA1" s="437"/>
      <c r="PFB1" s="437"/>
      <c r="PFC1" s="437"/>
      <c r="PFD1" s="437"/>
      <c r="PFE1" s="437"/>
      <c r="PFF1" s="437"/>
      <c r="PFG1" s="437"/>
      <c r="PFH1" s="437"/>
      <c r="PFI1" s="437"/>
      <c r="PFJ1" s="437"/>
      <c r="PFK1" s="437"/>
      <c r="PFL1" s="437"/>
      <c r="PFM1" s="437"/>
      <c r="PFN1" s="437"/>
      <c r="PFO1" s="437"/>
      <c r="PFP1" s="437"/>
      <c r="PFQ1" s="437"/>
      <c r="PFR1" s="437"/>
      <c r="PFS1" s="437"/>
      <c r="PFT1" s="437"/>
      <c r="PFU1" s="437"/>
      <c r="PFV1" s="437"/>
      <c r="PFW1" s="437"/>
      <c r="PFX1" s="437"/>
      <c r="PFY1" s="437"/>
      <c r="PFZ1" s="437"/>
      <c r="PGA1" s="437"/>
      <c r="PGB1" s="437"/>
      <c r="PGC1" s="437"/>
      <c r="PGD1" s="437"/>
      <c r="PGE1" s="437"/>
      <c r="PGF1" s="437"/>
      <c r="PGG1" s="437"/>
      <c r="PGH1" s="437"/>
      <c r="PGI1" s="437"/>
      <c r="PGJ1" s="437"/>
      <c r="PGK1" s="437"/>
      <c r="PGL1" s="437"/>
      <c r="PGM1" s="437"/>
      <c r="PGN1" s="437"/>
      <c r="PGO1" s="437"/>
      <c r="PGP1" s="437"/>
      <c r="PGQ1" s="437"/>
      <c r="PGR1" s="437"/>
      <c r="PGS1" s="437"/>
      <c r="PGT1" s="437"/>
      <c r="PGU1" s="437"/>
      <c r="PGV1" s="437"/>
      <c r="PGW1" s="437"/>
      <c r="PGX1" s="437"/>
      <c r="PGY1" s="437"/>
      <c r="PGZ1" s="437"/>
      <c r="PHA1" s="437"/>
      <c r="PHB1" s="437"/>
      <c r="PHC1" s="437"/>
      <c r="PHD1" s="437"/>
      <c r="PHE1" s="437"/>
      <c r="PHF1" s="437"/>
      <c r="PHG1" s="437"/>
      <c r="PHH1" s="437"/>
      <c r="PHI1" s="437"/>
      <c r="PHJ1" s="437"/>
      <c r="PHK1" s="437"/>
      <c r="PHL1" s="437"/>
      <c r="PHM1" s="437"/>
      <c r="PHN1" s="437"/>
      <c r="PHO1" s="437"/>
      <c r="PHP1" s="437"/>
      <c r="PHQ1" s="437"/>
      <c r="PHR1" s="437"/>
      <c r="PHS1" s="437"/>
      <c r="PHT1" s="437"/>
      <c r="PHU1" s="437"/>
      <c r="PHV1" s="437"/>
      <c r="PHW1" s="437"/>
      <c r="PHX1" s="437"/>
      <c r="PHY1" s="437"/>
      <c r="PHZ1" s="437"/>
      <c r="PIA1" s="437"/>
      <c r="PIB1" s="437"/>
      <c r="PIC1" s="437"/>
      <c r="PID1" s="437"/>
      <c r="PIE1" s="437"/>
      <c r="PIF1" s="437"/>
      <c r="PIG1" s="437"/>
      <c r="PIH1" s="437"/>
      <c r="PII1" s="437"/>
      <c r="PIJ1" s="437"/>
      <c r="PIK1" s="437"/>
      <c r="PIL1" s="437"/>
      <c r="PIM1" s="437"/>
      <c r="PIN1" s="437"/>
      <c r="PIO1" s="437"/>
      <c r="PIP1" s="437"/>
      <c r="PIQ1" s="437"/>
      <c r="PIR1" s="437"/>
      <c r="PIS1" s="437"/>
      <c r="PIT1" s="437"/>
      <c r="PIU1" s="437"/>
      <c r="PIV1" s="437"/>
      <c r="PIW1" s="437"/>
      <c r="PIX1" s="437"/>
      <c r="PIY1" s="437"/>
      <c r="PIZ1" s="437"/>
      <c r="PJA1" s="437"/>
      <c r="PJB1" s="437"/>
      <c r="PJC1" s="437"/>
      <c r="PJD1" s="437"/>
      <c r="PJE1" s="437"/>
      <c r="PJF1" s="437"/>
      <c r="PJG1" s="437"/>
      <c r="PJH1" s="437"/>
      <c r="PJI1" s="437"/>
      <c r="PJJ1" s="437"/>
      <c r="PJK1" s="437"/>
      <c r="PJL1" s="437"/>
      <c r="PJM1" s="437"/>
      <c r="PJN1" s="437"/>
      <c r="PJO1" s="437"/>
      <c r="PJP1" s="437"/>
      <c r="PJQ1" s="437"/>
      <c r="PJR1" s="437"/>
      <c r="PJS1" s="437"/>
      <c r="PJT1" s="437"/>
      <c r="PJU1" s="437"/>
      <c r="PJV1" s="437"/>
      <c r="PJW1" s="437"/>
      <c r="PJX1" s="437"/>
      <c r="PJY1" s="437"/>
      <c r="PJZ1" s="437"/>
      <c r="PKA1" s="437"/>
      <c r="PKB1" s="437"/>
      <c r="PKC1" s="437"/>
      <c r="PKD1" s="437"/>
      <c r="PKE1" s="437"/>
      <c r="PKF1" s="437"/>
      <c r="PKG1" s="437"/>
      <c r="PKH1" s="437"/>
      <c r="PKI1" s="437"/>
      <c r="PKJ1" s="437"/>
      <c r="PKK1" s="437"/>
      <c r="PKL1" s="437"/>
      <c r="PKM1" s="437"/>
      <c r="PKN1" s="437"/>
      <c r="PKO1" s="437"/>
      <c r="PKP1" s="437"/>
      <c r="PKQ1" s="437"/>
      <c r="PKR1" s="437"/>
      <c r="PKS1" s="437"/>
      <c r="PKT1" s="437"/>
      <c r="PKU1" s="437"/>
      <c r="PKV1" s="437"/>
      <c r="PKW1" s="437"/>
      <c r="PKX1" s="437"/>
      <c r="PKY1" s="437"/>
      <c r="PKZ1" s="437"/>
      <c r="PLA1" s="437"/>
      <c r="PLB1" s="437"/>
      <c r="PLC1" s="437"/>
      <c r="PLD1" s="437"/>
      <c r="PLE1" s="437"/>
      <c r="PLF1" s="437"/>
      <c r="PLG1" s="437"/>
      <c r="PLH1" s="437"/>
      <c r="PLI1" s="437"/>
      <c r="PLJ1" s="437"/>
      <c r="PLK1" s="437"/>
      <c r="PLL1" s="437"/>
      <c r="PLM1" s="437"/>
      <c r="PLN1" s="437"/>
      <c r="PLO1" s="437"/>
      <c r="PLP1" s="437"/>
      <c r="PLQ1" s="437"/>
      <c r="PLR1" s="437"/>
      <c r="PLS1" s="437"/>
      <c r="PLT1" s="437"/>
      <c r="PLU1" s="437"/>
      <c r="PLV1" s="437"/>
      <c r="PLW1" s="437"/>
      <c r="PLX1" s="437"/>
      <c r="PLY1" s="437"/>
      <c r="PLZ1" s="437"/>
      <c r="PMA1" s="437"/>
      <c r="PMB1" s="437"/>
      <c r="PMC1" s="437"/>
      <c r="PMD1" s="437"/>
      <c r="PME1" s="437"/>
      <c r="PMF1" s="437"/>
      <c r="PMG1" s="437"/>
      <c r="PMH1" s="437"/>
      <c r="PMI1" s="437"/>
      <c r="PMJ1" s="437"/>
      <c r="PMK1" s="437"/>
      <c r="PML1" s="437"/>
      <c r="PMM1" s="437"/>
      <c r="PMN1" s="437"/>
      <c r="PMO1" s="437"/>
      <c r="PMP1" s="437"/>
      <c r="PMQ1" s="437"/>
      <c r="PMR1" s="437"/>
      <c r="PMS1" s="437"/>
      <c r="PMT1" s="437"/>
      <c r="PMU1" s="437"/>
      <c r="PMV1" s="437"/>
      <c r="PMW1" s="437"/>
      <c r="PMX1" s="437"/>
      <c r="PMY1" s="437"/>
      <c r="PMZ1" s="437"/>
      <c r="PNA1" s="437"/>
      <c r="PNB1" s="437"/>
      <c r="PNC1" s="437"/>
      <c r="PND1" s="437"/>
      <c r="PNE1" s="437"/>
      <c r="PNF1" s="437"/>
      <c r="PNG1" s="437"/>
      <c r="PNH1" s="437"/>
      <c r="PNI1" s="437"/>
      <c r="PNJ1" s="437"/>
      <c r="PNK1" s="437"/>
      <c r="PNL1" s="437"/>
      <c r="PNM1" s="437"/>
      <c r="PNN1" s="437"/>
      <c r="PNO1" s="437"/>
      <c r="PNP1" s="437"/>
      <c r="PNQ1" s="437"/>
      <c r="PNR1" s="437"/>
      <c r="PNS1" s="437"/>
      <c r="PNT1" s="437"/>
      <c r="PNU1" s="437"/>
      <c r="PNV1" s="437"/>
      <c r="PNW1" s="437"/>
      <c r="PNX1" s="437"/>
      <c r="PNY1" s="437"/>
      <c r="PNZ1" s="437"/>
      <c r="POA1" s="437"/>
      <c r="POB1" s="437"/>
      <c r="POC1" s="437"/>
      <c r="POD1" s="437"/>
      <c r="POE1" s="437"/>
      <c r="POF1" s="437"/>
      <c r="POG1" s="437"/>
      <c r="POH1" s="437"/>
      <c r="POI1" s="437"/>
      <c r="POJ1" s="437"/>
      <c r="POK1" s="437"/>
      <c r="POL1" s="437"/>
      <c r="POM1" s="437"/>
      <c r="PON1" s="437"/>
      <c r="POO1" s="437"/>
      <c r="POP1" s="437"/>
      <c r="POQ1" s="437"/>
      <c r="POR1" s="437"/>
      <c r="POS1" s="437"/>
      <c r="POT1" s="437"/>
      <c r="POU1" s="437"/>
      <c r="POV1" s="437"/>
      <c r="POW1" s="437"/>
      <c r="POX1" s="437"/>
      <c r="POY1" s="437"/>
      <c r="POZ1" s="437"/>
      <c r="PPA1" s="437"/>
      <c r="PPB1" s="437"/>
      <c r="PPC1" s="437"/>
      <c r="PPD1" s="437"/>
      <c r="PPE1" s="437"/>
      <c r="PPF1" s="437"/>
      <c r="PPG1" s="437"/>
      <c r="PPH1" s="437"/>
      <c r="PPI1" s="437"/>
      <c r="PPJ1" s="437"/>
      <c r="PPK1" s="437"/>
      <c r="PPL1" s="437"/>
      <c r="PPM1" s="437"/>
      <c r="PPN1" s="437"/>
      <c r="PPO1" s="437"/>
      <c r="PPP1" s="437"/>
      <c r="PPQ1" s="437"/>
      <c r="PPR1" s="437"/>
      <c r="PPS1" s="437"/>
      <c r="PPT1" s="437"/>
      <c r="PPU1" s="437"/>
      <c r="PPV1" s="437"/>
      <c r="PPW1" s="437"/>
      <c r="PPX1" s="437"/>
      <c r="PPY1" s="437"/>
      <c r="PPZ1" s="437"/>
      <c r="PQA1" s="437"/>
      <c r="PQB1" s="437"/>
      <c r="PQC1" s="437"/>
      <c r="PQD1" s="437"/>
      <c r="PQE1" s="437"/>
      <c r="PQF1" s="437"/>
      <c r="PQG1" s="437"/>
      <c r="PQH1" s="437"/>
      <c r="PQI1" s="437"/>
      <c r="PQJ1" s="437"/>
      <c r="PQK1" s="437"/>
      <c r="PQL1" s="437"/>
      <c r="PQM1" s="437"/>
      <c r="PQN1" s="437"/>
      <c r="PQO1" s="437"/>
      <c r="PQP1" s="437"/>
      <c r="PQQ1" s="437"/>
      <c r="PQR1" s="437"/>
      <c r="PQS1" s="437"/>
      <c r="PQT1" s="437"/>
      <c r="PQU1" s="437"/>
      <c r="PQV1" s="437"/>
      <c r="PQW1" s="437"/>
      <c r="PQX1" s="437"/>
      <c r="PQY1" s="437"/>
      <c r="PQZ1" s="437"/>
      <c r="PRA1" s="437"/>
      <c r="PRB1" s="437"/>
      <c r="PRC1" s="437"/>
      <c r="PRD1" s="437"/>
      <c r="PRE1" s="437"/>
      <c r="PRF1" s="437"/>
      <c r="PRG1" s="437"/>
      <c r="PRH1" s="437"/>
      <c r="PRI1" s="437"/>
      <c r="PRJ1" s="437"/>
      <c r="PRK1" s="437"/>
      <c r="PRL1" s="437"/>
      <c r="PRM1" s="437"/>
      <c r="PRN1" s="437"/>
      <c r="PRO1" s="437"/>
      <c r="PRP1" s="437"/>
      <c r="PRQ1" s="437"/>
      <c r="PRR1" s="437"/>
      <c r="PRS1" s="437"/>
      <c r="PRT1" s="437"/>
      <c r="PRU1" s="437"/>
      <c r="PRV1" s="437"/>
      <c r="PRW1" s="437"/>
      <c r="PRX1" s="437"/>
      <c r="PRY1" s="437"/>
      <c r="PRZ1" s="437"/>
      <c r="PSA1" s="437"/>
      <c r="PSB1" s="437"/>
      <c r="PSC1" s="437"/>
      <c r="PSD1" s="437"/>
      <c r="PSE1" s="437"/>
      <c r="PSF1" s="437"/>
      <c r="PSG1" s="437"/>
      <c r="PSH1" s="437"/>
      <c r="PSI1" s="437"/>
      <c r="PSJ1" s="437"/>
      <c r="PSK1" s="437"/>
      <c r="PSL1" s="437"/>
      <c r="PSM1" s="437"/>
      <c r="PSN1" s="437"/>
      <c r="PSO1" s="437"/>
      <c r="PSP1" s="437"/>
      <c r="PSQ1" s="437"/>
      <c r="PSR1" s="437"/>
      <c r="PSS1" s="437"/>
      <c r="PST1" s="437"/>
      <c r="PSU1" s="437"/>
      <c r="PSV1" s="437"/>
      <c r="PSW1" s="437"/>
      <c r="PSX1" s="437"/>
      <c r="PSY1" s="437"/>
      <c r="PSZ1" s="437"/>
      <c r="PTA1" s="437"/>
      <c r="PTB1" s="437"/>
      <c r="PTC1" s="437"/>
      <c r="PTD1" s="437"/>
      <c r="PTE1" s="437"/>
      <c r="PTF1" s="437"/>
      <c r="PTG1" s="437"/>
      <c r="PTH1" s="437"/>
      <c r="PTI1" s="437"/>
      <c r="PTJ1" s="437"/>
      <c r="PTK1" s="437"/>
      <c r="PTL1" s="437"/>
      <c r="PTM1" s="437"/>
      <c r="PTN1" s="437"/>
      <c r="PTO1" s="437"/>
      <c r="PTP1" s="437"/>
      <c r="PTQ1" s="437"/>
      <c r="PTR1" s="437"/>
      <c r="PTS1" s="437"/>
      <c r="PTT1" s="437"/>
      <c r="PTU1" s="437"/>
      <c r="PTV1" s="437"/>
      <c r="PTW1" s="437"/>
      <c r="PTX1" s="437"/>
      <c r="PTY1" s="437"/>
      <c r="PTZ1" s="437"/>
      <c r="PUA1" s="437"/>
      <c r="PUB1" s="437"/>
      <c r="PUC1" s="437"/>
      <c r="PUD1" s="437"/>
      <c r="PUE1" s="437"/>
      <c r="PUF1" s="437"/>
      <c r="PUG1" s="437"/>
      <c r="PUH1" s="437"/>
      <c r="PUI1" s="437"/>
      <c r="PUJ1" s="437"/>
      <c r="PUK1" s="437"/>
      <c r="PUL1" s="437"/>
      <c r="PUM1" s="437"/>
      <c r="PUN1" s="437"/>
      <c r="PUO1" s="437"/>
      <c r="PUP1" s="437"/>
      <c r="PUQ1" s="437"/>
      <c r="PUR1" s="437"/>
      <c r="PUS1" s="437"/>
      <c r="PUT1" s="437"/>
      <c r="PUU1" s="437"/>
      <c r="PUV1" s="437"/>
      <c r="PUW1" s="437"/>
      <c r="PUX1" s="437"/>
      <c r="PUY1" s="437"/>
      <c r="PUZ1" s="437"/>
      <c r="PVA1" s="437"/>
      <c r="PVB1" s="437"/>
      <c r="PVC1" s="437"/>
      <c r="PVD1" s="437"/>
      <c r="PVE1" s="437"/>
      <c r="PVF1" s="437"/>
      <c r="PVG1" s="437"/>
      <c r="PVH1" s="437"/>
      <c r="PVI1" s="437"/>
      <c r="PVJ1" s="437"/>
      <c r="PVK1" s="437"/>
      <c r="PVL1" s="437"/>
      <c r="PVM1" s="437"/>
      <c r="PVN1" s="437"/>
      <c r="PVO1" s="437"/>
      <c r="PVP1" s="437"/>
      <c r="PVQ1" s="437"/>
      <c r="PVR1" s="437"/>
      <c r="PVS1" s="437"/>
      <c r="PVT1" s="437"/>
      <c r="PVU1" s="437"/>
      <c r="PVV1" s="437"/>
      <c r="PVW1" s="437"/>
      <c r="PVX1" s="437"/>
      <c r="PVY1" s="437"/>
      <c r="PVZ1" s="437"/>
      <c r="PWA1" s="437"/>
      <c r="PWB1" s="437"/>
      <c r="PWC1" s="437"/>
      <c r="PWD1" s="437"/>
      <c r="PWE1" s="437"/>
      <c r="PWF1" s="437"/>
      <c r="PWG1" s="437"/>
      <c r="PWH1" s="437"/>
      <c r="PWI1" s="437"/>
      <c r="PWJ1" s="437"/>
      <c r="PWK1" s="437"/>
      <c r="PWL1" s="437"/>
      <c r="PWM1" s="437"/>
      <c r="PWN1" s="437"/>
      <c r="PWO1" s="437"/>
      <c r="PWP1" s="437"/>
      <c r="PWQ1" s="437"/>
      <c r="PWR1" s="437"/>
      <c r="PWS1" s="437"/>
      <c r="PWT1" s="437"/>
      <c r="PWU1" s="437"/>
      <c r="PWV1" s="437"/>
      <c r="PWW1" s="437"/>
      <c r="PWX1" s="437"/>
      <c r="PWY1" s="437"/>
      <c r="PWZ1" s="437"/>
      <c r="PXA1" s="437"/>
      <c r="PXB1" s="437"/>
      <c r="PXC1" s="437"/>
      <c r="PXD1" s="437"/>
      <c r="PXE1" s="437"/>
      <c r="PXF1" s="437"/>
      <c r="PXG1" s="437"/>
      <c r="PXH1" s="437"/>
      <c r="PXI1" s="437"/>
      <c r="PXJ1" s="437"/>
      <c r="PXK1" s="437"/>
      <c r="PXL1" s="437"/>
      <c r="PXM1" s="437"/>
      <c r="PXN1" s="437"/>
      <c r="PXO1" s="437"/>
      <c r="PXP1" s="437"/>
      <c r="PXQ1" s="437"/>
      <c r="PXR1" s="437"/>
      <c r="PXS1" s="437"/>
      <c r="PXT1" s="437"/>
      <c r="PXU1" s="437"/>
      <c r="PXV1" s="437"/>
      <c r="PXW1" s="437"/>
      <c r="PXX1" s="437"/>
      <c r="PXY1" s="437"/>
      <c r="PXZ1" s="437"/>
      <c r="PYA1" s="437"/>
      <c r="PYB1" s="437"/>
      <c r="PYC1" s="437"/>
      <c r="PYD1" s="437"/>
      <c r="PYE1" s="437"/>
      <c r="PYF1" s="437"/>
      <c r="PYG1" s="437"/>
      <c r="PYH1" s="437"/>
      <c r="PYI1" s="437"/>
      <c r="PYJ1" s="437"/>
      <c r="PYK1" s="437"/>
      <c r="PYL1" s="437"/>
      <c r="PYM1" s="437"/>
      <c r="PYN1" s="437"/>
      <c r="PYO1" s="437"/>
      <c r="PYP1" s="437"/>
      <c r="PYQ1" s="437"/>
      <c r="PYR1" s="437"/>
      <c r="PYS1" s="437"/>
      <c r="PYT1" s="437"/>
      <c r="PYU1" s="437"/>
      <c r="PYV1" s="437"/>
      <c r="PYW1" s="437"/>
      <c r="PYX1" s="437"/>
      <c r="PYY1" s="437"/>
      <c r="PYZ1" s="437"/>
      <c r="PZA1" s="437"/>
      <c r="PZB1" s="437"/>
      <c r="PZC1" s="437"/>
      <c r="PZD1" s="437"/>
      <c r="PZE1" s="437"/>
      <c r="PZF1" s="437"/>
      <c r="PZG1" s="437"/>
      <c r="PZH1" s="437"/>
      <c r="PZI1" s="437"/>
      <c r="PZJ1" s="437"/>
      <c r="PZK1" s="437"/>
      <c r="PZL1" s="437"/>
      <c r="PZM1" s="437"/>
      <c r="PZN1" s="437"/>
      <c r="PZO1" s="437"/>
      <c r="PZP1" s="437"/>
      <c r="PZQ1" s="437"/>
      <c r="PZR1" s="437"/>
      <c r="PZS1" s="437"/>
      <c r="PZT1" s="437"/>
      <c r="PZU1" s="437"/>
      <c r="PZV1" s="437"/>
      <c r="PZW1" s="437"/>
      <c r="PZX1" s="437"/>
      <c r="PZY1" s="437"/>
      <c r="PZZ1" s="437"/>
      <c r="QAA1" s="437"/>
      <c r="QAB1" s="437"/>
      <c r="QAC1" s="437"/>
      <c r="QAD1" s="437"/>
      <c r="QAE1" s="437"/>
      <c r="QAF1" s="437"/>
      <c r="QAG1" s="437"/>
      <c r="QAH1" s="437"/>
      <c r="QAI1" s="437"/>
      <c r="QAJ1" s="437"/>
      <c r="QAK1" s="437"/>
      <c r="QAL1" s="437"/>
      <c r="QAM1" s="437"/>
      <c r="QAN1" s="437"/>
      <c r="QAO1" s="437"/>
      <c r="QAP1" s="437"/>
      <c r="QAQ1" s="437"/>
      <c r="QAR1" s="437"/>
      <c r="QAS1" s="437"/>
      <c r="QAT1" s="437"/>
      <c r="QAU1" s="437"/>
      <c r="QAV1" s="437"/>
      <c r="QAW1" s="437"/>
      <c r="QAX1" s="437"/>
      <c r="QAY1" s="437"/>
      <c r="QAZ1" s="437"/>
      <c r="QBA1" s="437"/>
      <c r="QBB1" s="437"/>
      <c r="QBC1" s="437"/>
      <c r="QBD1" s="437"/>
      <c r="QBE1" s="437"/>
      <c r="QBF1" s="437"/>
      <c r="QBG1" s="437"/>
      <c r="QBH1" s="437"/>
      <c r="QBI1" s="437"/>
      <c r="QBJ1" s="437"/>
      <c r="QBK1" s="437"/>
      <c r="QBL1" s="437"/>
      <c r="QBM1" s="437"/>
      <c r="QBN1" s="437"/>
      <c r="QBO1" s="437"/>
      <c r="QBP1" s="437"/>
      <c r="QBQ1" s="437"/>
      <c r="QBR1" s="437"/>
      <c r="QBS1" s="437"/>
      <c r="QBT1" s="437"/>
      <c r="QBU1" s="437"/>
      <c r="QBV1" s="437"/>
      <c r="QBW1" s="437"/>
      <c r="QBX1" s="437"/>
      <c r="QBY1" s="437"/>
      <c r="QBZ1" s="437"/>
      <c r="QCA1" s="437"/>
      <c r="QCB1" s="437"/>
      <c r="QCC1" s="437"/>
      <c r="QCD1" s="437"/>
      <c r="QCE1" s="437"/>
      <c r="QCF1" s="437"/>
      <c r="QCG1" s="437"/>
      <c r="QCH1" s="437"/>
      <c r="QCI1" s="437"/>
      <c r="QCJ1" s="437"/>
      <c r="QCK1" s="437"/>
      <c r="QCL1" s="437"/>
      <c r="QCM1" s="437"/>
      <c r="QCN1" s="437"/>
      <c r="QCO1" s="437"/>
      <c r="QCP1" s="437"/>
      <c r="QCQ1" s="437"/>
      <c r="QCR1" s="437"/>
      <c r="QCS1" s="437"/>
      <c r="QCT1" s="437"/>
      <c r="QCU1" s="437"/>
      <c r="QCV1" s="437"/>
      <c r="QCW1" s="437"/>
      <c r="QCX1" s="437"/>
      <c r="QCY1" s="437"/>
      <c r="QCZ1" s="437"/>
      <c r="QDA1" s="437"/>
      <c r="QDB1" s="437"/>
      <c r="QDC1" s="437"/>
      <c r="QDD1" s="437"/>
      <c r="QDE1" s="437"/>
      <c r="QDF1" s="437"/>
      <c r="QDG1" s="437"/>
      <c r="QDH1" s="437"/>
      <c r="QDI1" s="437"/>
      <c r="QDJ1" s="437"/>
      <c r="QDK1" s="437"/>
      <c r="QDL1" s="437"/>
      <c r="QDM1" s="437"/>
      <c r="QDN1" s="437"/>
      <c r="QDO1" s="437"/>
      <c r="QDP1" s="437"/>
      <c r="QDQ1" s="437"/>
      <c r="QDR1" s="437"/>
      <c r="QDS1" s="437"/>
      <c r="QDT1" s="437"/>
      <c r="QDU1" s="437"/>
      <c r="QDV1" s="437"/>
      <c r="QDW1" s="437"/>
      <c r="QDX1" s="437"/>
      <c r="QDY1" s="437"/>
      <c r="QDZ1" s="437"/>
      <c r="QEA1" s="437"/>
      <c r="QEB1" s="437"/>
      <c r="QEC1" s="437"/>
      <c r="QED1" s="437"/>
      <c r="QEE1" s="437"/>
      <c r="QEF1" s="437"/>
      <c r="QEG1" s="437"/>
      <c r="QEH1" s="437"/>
      <c r="QEI1" s="437"/>
      <c r="QEJ1" s="437"/>
      <c r="QEK1" s="437"/>
      <c r="QEL1" s="437"/>
      <c r="QEM1" s="437"/>
      <c r="QEN1" s="437"/>
      <c r="QEO1" s="437"/>
      <c r="QEP1" s="437"/>
      <c r="QEQ1" s="437"/>
      <c r="QER1" s="437"/>
      <c r="QES1" s="437"/>
      <c r="QET1" s="437"/>
      <c r="QEU1" s="437"/>
      <c r="QEV1" s="437"/>
      <c r="QEW1" s="437"/>
      <c r="QEX1" s="437"/>
      <c r="QEY1" s="437"/>
      <c r="QEZ1" s="437"/>
      <c r="QFA1" s="437"/>
      <c r="QFB1" s="437"/>
      <c r="QFC1" s="437"/>
      <c r="QFD1" s="437"/>
      <c r="QFE1" s="437"/>
      <c r="QFF1" s="437"/>
      <c r="QFG1" s="437"/>
      <c r="QFH1" s="437"/>
      <c r="QFI1" s="437"/>
      <c r="QFJ1" s="437"/>
      <c r="QFK1" s="437"/>
      <c r="QFL1" s="437"/>
      <c r="QFM1" s="437"/>
      <c r="QFN1" s="437"/>
      <c r="QFO1" s="437"/>
      <c r="QFP1" s="437"/>
      <c r="QFQ1" s="437"/>
      <c r="QFR1" s="437"/>
      <c r="QFS1" s="437"/>
      <c r="QFT1" s="437"/>
      <c r="QFU1" s="437"/>
      <c r="QFV1" s="437"/>
      <c r="QFW1" s="437"/>
      <c r="QFX1" s="437"/>
      <c r="QFY1" s="437"/>
      <c r="QFZ1" s="437"/>
      <c r="QGA1" s="437"/>
      <c r="QGB1" s="437"/>
      <c r="QGC1" s="437"/>
      <c r="QGD1" s="437"/>
      <c r="QGE1" s="437"/>
      <c r="QGF1" s="437"/>
      <c r="QGG1" s="437"/>
      <c r="QGH1" s="437"/>
      <c r="QGI1" s="437"/>
      <c r="QGJ1" s="437"/>
      <c r="QGK1" s="437"/>
      <c r="QGL1" s="437"/>
      <c r="QGM1" s="437"/>
      <c r="QGN1" s="437"/>
      <c r="QGO1" s="437"/>
      <c r="QGP1" s="437"/>
      <c r="QGQ1" s="437"/>
      <c r="QGR1" s="437"/>
      <c r="QGS1" s="437"/>
      <c r="QGT1" s="437"/>
      <c r="QGU1" s="437"/>
      <c r="QGV1" s="437"/>
      <c r="QGW1" s="437"/>
      <c r="QGX1" s="437"/>
      <c r="QGY1" s="437"/>
      <c r="QGZ1" s="437"/>
      <c r="QHA1" s="437"/>
      <c r="QHB1" s="437"/>
      <c r="QHC1" s="437"/>
      <c r="QHD1" s="437"/>
      <c r="QHE1" s="437"/>
      <c r="QHF1" s="437"/>
      <c r="QHG1" s="437"/>
      <c r="QHH1" s="437"/>
      <c r="QHI1" s="437"/>
      <c r="QHJ1" s="437"/>
      <c r="QHK1" s="437"/>
      <c r="QHL1" s="437"/>
      <c r="QHM1" s="437"/>
      <c r="QHN1" s="437"/>
      <c r="QHO1" s="437"/>
      <c r="QHP1" s="437"/>
      <c r="QHQ1" s="437"/>
      <c r="QHR1" s="437"/>
      <c r="QHS1" s="437"/>
      <c r="QHT1" s="437"/>
      <c r="QHU1" s="437"/>
      <c r="QHV1" s="437"/>
      <c r="QHW1" s="437"/>
      <c r="QHX1" s="437"/>
      <c r="QHY1" s="437"/>
      <c r="QHZ1" s="437"/>
      <c r="QIA1" s="437"/>
      <c r="QIB1" s="437"/>
      <c r="QIC1" s="437"/>
      <c r="QID1" s="437"/>
      <c r="QIE1" s="437"/>
      <c r="QIF1" s="437"/>
      <c r="QIG1" s="437"/>
      <c r="QIH1" s="437"/>
      <c r="QII1" s="437"/>
      <c r="QIJ1" s="437"/>
      <c r="QIK1" s="437"/>
      <c r="QIL1" s="437"/>
      <c r="QIM1" s="437"/>
      <c r="QIN1" s="437"/>
      <c r="QIO1" s="437"/>
      <c r="QIP1" s="437"/>
      <c r="QIQ1" s="437"/>
      <c r="QIR1" s="437"/>
      <c r="QIS1" s="437"/>
      <c r="QIT1" s="437"/>
      <c r="QIU1" s="437"/>
      <c r="QIV1" s="437"/>
      <c r="QIW1" s="437"/>
      <c r="QIX1" s="437"/>
      <c r="QIY1" s="437"/>
      <c r="QIZ1" s="437"/>
      <c r="QJA1" s="437"/>
      <c r="QJB1" s="437"/>
      <c r="QJC1" s="437"/>
      <c r="QJD1" s="437"/>
      <c r="QJE1" s="437"/>
      <c r="QJF1" s="437"/>
      <c r="QJG1" s="437"/>
      <c r="QJH1" s="437"/>
      <c r="QJI1" s="437"/>
      <c r="QJJ1" s="437"/>
      <c r="QJK1" s="437"/>
      <c r="QJL1" s="437"/>
      <c r="QJM1" s="437"/>
      <c r="QJN1" s="437"/>
      <c r="QJO1" s="437"/>
      <c r="QJP1" s="437"/>
      <c r="QJQ1" s="437"/>
      <c r="QJR1" s="437"/>
      <c r="QJS1" s="437"/>
      <c r="QJT1" s="437"/>
      <c r="QJU1" s="437"/>
      <c r="QJV1" s="437"/>
      <c r="QJW1" s="437"/>
      <c r="QJX1" s="437"/>
      <c r="QJY1" s="437"/>
      <c r="QJZ1" s="437"/>
      <c r="QKA1" s="437"/>
      <c r="QKB1" s="437"/>
      <c r="QKC1" s="437"/>
      <c r="QKD1" s="437"/>
      <c r="QKE1" s="437"/>
      <c r="QKF1" s="437"/>
      <c r="QKG1" s="437"/>
      <c r="QKH1" s="437"/>
      <c r="QKI1" s="437"/>
      <c r="QKJ1" s="437"/>
      <c r="QKK1" s="437"/>
      <c r="QKL1" s="437"/>
      <c r="QKM1" s="437"/>
      <c r="QKN1" s="437"/>
      <c r="QKO1" s="437"/>
      <c r="QKP1" s="437"/>
      <c r="QKQ1" s="437"/>
      <c r="QKR1" s="437"/>
      <c r="QKS1" s="437"/>
      <c r="QKT1" s="437"/>
      <c r="QKU1" s="437"/>
      <c r="QKV1" s="437"/>
      <c r="QKW1" s="437"/>
      <c r="QKX1" s="437"/>
      <c r="QKY1" s="437"/>
      <c r="QKZ1" s="437"/>
      <c r="QLA1" s="437"/>
      <c r="QLB1" s="437"/>
      <c r="QLC1" s="437"/>
      <c r="QLD1" s="437"/>
      <c r="QLE1" s="437"/>
      <c r="QLF1" s="437"/>
      <c r="QLG1" s="437"/>
      <c r="QLH1" s="437"/>
      <c r="QLI1" s="437"/>
      <c r="QLJ1" s="437"/>
      <c r="QLK1" s="437"/>
      <c r="QLL1" s="437"/>
      <c r="QLM1" s="437"/>
      <c r="QLN1" s="437"/>
      <c r="QLO1" s="437"/>
      <c r="QLP1" s="437"/>
      <c r="QLQ1" s="437"/>
      <c r="QLR1" s="437"/>
      <c r="QLS1" s="437"/>
      <c r="QLT1" s="437"/>
      <c r="QLU1" s="437"/>
      <c r="QLV1" s="437"/>
      <c r="QLW1" s="437"/>
      <c r="QLX1" s="437"/>
      <c r="QLY1" s="437"/>
      <c r="QLZ1" s="437"/>
      <c r="QMA1" s="437"/>
      <c r="QMB1" s="437"/>
      <c r="QMC1" s="437"/>
      <c r="QMD1" s="437"/>
      <c r="QME1" s="437"/>
      <c r="QMF1" s="437"/>
      <c r="QMG1" s="437"/>
      <c r="QMH1" s="437"/>
      <c r="QMI1" s="437"/>
      <c r="QMJ1" s="437"/>
      <c r="QMK1" s="437"/>
      <c r="QML1" s="437"/>
      <c r="QMM1" s="437"/>
      <c r="QMN1" s="437"/>
      <c r="QMO1" s="437"/>
      <c r="QMP1" s="437"/>
      <c r="QMQ1" s="437"/>
      <c r="QMR1" s="437"/>
      <c r="QMS1" s="437"/>
      <c r="QMT1" s="437"/>
      <c r="QMU1" s="437"/>
      <c r="QMV1" s="437"/>
      <c r="QMW1" s="437"/>
      <c r="QMX1" s="437"/>
      <c r="QMY1" s="437"/>
      <c r="QMZ1" s="437"/>
      <c r="QNA1" s="437"/>
      <c r="QNB1" s="437"/>
      <c r="QNC1" s="437"/>
      <c r="QND1" s="437"/>
      <c r="QNE1" s="437"/>
      <c r="QNF1" s="437"/>
      <c r="QNG1" s="437"/>
      <c r="QNH1" s="437"/>
      <c r="QNI1" s="437"/>
      <c r="QNJ1" s="437"/>
      <c r="QNK1" s="437"/>
      <c r="QNL1" s="437"/>
      <c r="QNM1" s="437"/>
      <c r="QNN1" s="437"/>
      <c r="QNO1" s="437"/>
      <c r="QNP1" s="437"/>
      <c r="QNQ1" s="437"/>
      <c r="QNR1" s="437"/>
      <c r="QNS1" s="437"/>
      <c r="QNT1" s="437"/>
      <c r="QNU1" s="437"/>
      <c r="QNV1" s="437"/>
      <c r="QNW1" s="437"/>
      <c r="QNX1" s="437"/>
      <c r="QNY1" s="437"/>
      <c r="QNZ1" s="437"/>
      <c r="QOA1" s="437"/>
      <c r="QOB1" s="437"/>
      <c r="QOC1" s="437"/>
      <c r="QOD1" s="437"/>
      <c r="QOE1" s="437"/>
      <c r="QOF1" s="437"/>
      <c r="QOG1" s="437"/>
      <c r="QOH1" s="437"/>
      <c r="QOI1" s="437"/>
      <c r="QOJ1" s="437"/>
      <c r="QOK1" s="437"/>
      <c r="QOL1" s="437"/>
      <c r="QOM1" s="437"/>
      <c r="QON1" s="437"/>
      <c r="QOO1" s="437"/>
      <c r="QOP1" s="437"/>
      <c r="QOQ1" s="437"/>
      <c r="QOR1" s="437"/>
      <c r="QOS1" s="437"/>
      <c r="QOT1" s="437"/>
      <c r="QOU1" s="437"/>
      <c r="QOV1" s="437"/>
      <c r="QOW1" s="437"/>
      <c r="QOX1" s="437"/>
      <c r="QOY1" s="437"/>
      <c r="QOZ1" s="437"/>
      <c r="QPA1" s="437"/>
      <c r="QPB1" s="437"/>
      <c r="QPC1" s="437"/>
      <c r="QPD1" s="437"/>
      <c r="QPE1" s="437"/>
      <c r="QPF1" s="437"/>
      <c r="QPG1" s="437"/>
      <c r="QPH1" s="437"/>
      <c r="QPI1" s="437"/>
      <c r="QPJ1" s="437"/>
      <c r="QPK1" s="437"/>
      <c r="QPL1" s="437"/>
      <c r="QPM1" s="437"/>
      <c r="QPN1" s="437"/>
      <c r="QPO1" s="437"/>
      <c r="QPP1" s="437"/>
      <c r="QPQ1" s="437"/>
      <c r="QPR1" s="437"/>
      <c r="QPS1" s="437"/>
      <c r="QPT1" s="437"/>
      <c r="QPU1" s="437"/>
      <c r="QPV1" s="437"/>
      <c r="QPW1" s="437"/>
      <c r="QPX1" s="437"/>
      <c r="QPY1" s="437"/>
      <c r="QPZ1" s="437"/>
      <c r="QQA1" s="437"/>
      <c r="QQB1" s="437"/>
      <c r="QQC1" s="437"/>
      <c r="QQD1" s="437"/>
      <c r="QQE1" s="437"/>
      <c r="QQF1" s="437"/>
      <c r="QQG1" s="437"/>
      <c r="QQH1" s="437"/>
      <c r="QQI1" s="437"/>
      <c r="QQJ1" s="437"/>
      <c r="QQK1" s="437"/>
      <c r="QQL1" s="437"/>
      <c r="QQM1" s="437"/>
      <c r="QQN1" s="437"/>
      <c r="QQO1" s="437"/>
      <c r="QQP1" s="437"/>
      <c r="QQQ1" s="437"/>
      <c r="QQR1" s="437"/>
      <c r="QQS1" s="437"/>
      <c r="QQT1" s="437"/>
      <c r="QQU1" s="437"/>
      <c r="QQV1" s="437"/>
      <c r="QQW1" s="437"/>
      <c r="QQX1" s="437"/>
      <c r="QQY1" s="437"/>
      <c r="QQZ1" s="437"/>
      <c r="QRA1" s="437"/>
      <c r="QRB1" s="437"/>
      <c r="QRC1" s="437"/>
      <c r="QRD1" s="437"/>
      <c r="QRE1" s="437"/>
      <c r="QRF1" s="437"/>
      <c r="QRG1" s="437"/>
      <c r="QRH1" s="437"/>
      <c r="QRI1" s="437"/>
      <c r="QRJ1" s="437"/>
      <c r="QRK1" s="437"/>
      <c r="QRL1" s="437"/>
      <c r="QRM1" s="437"/>
      <c r="QRN1" s="437"/>
      <c r="QRO1" s="437"/>
      <c r="QRP1" s="437"/>
      <c r="QRQ1" s="437"/>
      <c r="QRR1" s="437"/>
      <c r="QRS1" s="437"/>
      <c r="QRT1" s="437"/>
      <c r="QRU1" s="437"/>
      <c r="QRV1" s="437"/>
      <c r="QRW1" s="437"/>
      <c r="QRX1" s="437"/>
      <c r="QRY1" s="437"/>
      <c r="QRZ1" s="437"/>
      <c r="QSA1" s="437"/>
      <c r="QSB1" s="437"/>
      <c r="QSC1" s="437"/>
      <c r="QSD1" s="437"/>
      <c r="QSE1" s="437"/>
      <c r="QSF1" s="437"/>
      <c r="QSG1" s="437"/>
      <c r="QSH1" s="437"/>
      <c r="QSI1" s="437"/>
      <c r="QSJ1" s="437"/>
      <c r="QSK1" s="437"/>
      <c r="QSL1" s="437"/>
      <c r="QSM1" s="437"/>
      <c r="QSN1" s="437"/>
      <c r="QSO1" s="437"/>
      <c r="QSP1" s="437"/>
      <c r="QSQ1" s="437"/>
      <c r="QSR1" s="437"/>
      <c r="QSS1" s="437"/>
      <c r="QST1" s="437"/>
      <c r="QSU1" s="437"/>
      <c r="QSV1" s="437"/>
      <c r="QSW1" s="437"/>
      <c r="QSX1" s="437"/>
      <c r="QSY1" s="437"/>
      <c r="QSZ1" s="437"/>
      <c r="QTA1" s="437"/>
      <c r="QTB1" s="437"/>
      <c r="QTC1" s="437"/>
      <c r="QTD1" s="437"/>
      <c r="QTE1" s="437"/>
      <c r="QTF1" s="437"/>
      <c r="QTG1" s="437"/>
      <c r="QTH1" s="437"/>
      <c r="QTI1" s="437"/>
      <c r="QTJ1" s="437"/>
      <c r="QTK1" s="437"/>
      <c r="QTL1" s="437"/>
      <c r="QTM1" s="437"/>
      <c r="QTN1" s="437"/>
      <c r="QTO1" s="437"/>
      <c r="QTP1" s="437"/>
      <c r="QTQ1" s="437"/>
      <c r="QTR1" s="437"/>
      <c r="QTS1" s="437"/>
      <c r="QTT1" s="437"/>
      <c r="QTU1" s="437"/>
      <c r="QTV1" s="437"/>
      <c r="QTW1" s="437"/>
      <c r="QTX1" s="437"/>
      <c r="QTY1" s="437"/>
      <c r="QTZ1" s="437"/>
      <c r="QUA1" s="437"/>
      <c r="QUB1" s="437"/>
      <c r="QUC1" s="437"/>
      <c r="QUD1" s="437"/>
      <c r="QUE1" s="437"/>
      <c r="QUF1" s="437"/>
      <c r="QUG1" s="437"/>
      <c r="QUH1" s="437"/>
      <c r="QUI1" s="437"/>
      <c r="QUJ1" s="437"/>
      <c r="QUK1" s="437"/>
      <c r="QUL1" s="437"/>
      <c r="QUM1" s="437"/>
      <c r="QUN1" s="437"/>
      <c r="QUO1" s="437"/>
      <c r="QUP1" s="437"/>
      <c r="QUQ1" s="437"/>
      <c r="QUR1" s="437"/>
      <c r="QUS1" s="437"/>
      <c r="QUT1" s="437"/>
      <c r="QUU1" s="437"/>
      <c r="QUV1" s="437"/>
      <c r="QUW1" s="437"/>
      <c r="QUX1" s="437"/>
      <c r="QUY1" s="437"/>
      <c r="QUZ1" s="437"/>
      <c r="QVA1" s="437"/>
      <c r="QVB1" s="437"/>
      <c r="QVC1" s="437"/>
      <c r="QVD1" s="437"/>
      <c r="QVE1" s="437"/>
      <c r="QVF1" s="437"/>
      <c r="QVG1" s="437"/>
      <c r="QVH1" s="437"/>
      <c r="QVI1" s="437"/>
      <c r="QVJ1" s="437"/>
      <c r="QVK1" s="437"/>
      <c r="QVL1" s="437"/>
      <c r="QVM1" s="437"/>
      <c r="QVN1" s="437"/>
      <c r="QVO1" s="437"/>
      <c r="QVP1" s="437"/>
      <c r="QVQ1" s="437"/>
      <c r="QVR1" s="437"/>
      <c r="QVS1" s="437"/>
      <c r="QVT1" s="437"/>
      <c r="QVU1" s="437"/>
      <c r="QVV1" s="437"/>
      <c r="QVW1" s="437"/>
      <c r="QVX1" s="437"/>
      <c r="QVY1" s="437"/>
      <c r="QVZ1" s="437"/>
      <c r="QWA1" s="437"/>
      <c r="QWB1" s="437"/>
      <c r="QWC1" s="437"/>
      <c r="QWD1" s="437"/>
      <c r="QWE1" s="437"/>
      <c r="QWF1" s="437"/>
      <c r="QWG1" s="437"/>
      <c r="QWH1" s="437"/>
      <c r="QWI1" s="437"/>
      <c r="QWJ1" s="437"/>
      <c r="QWK1" s="437"/>
      <c r="QWL1" s="437"/>
      <c r="QWM1" s="437"/>
      <c r="QWN1" s="437"/>
      <c r="QWO1" s="437"/>
      <c r="QWP1" s="437"/>
      <c r="QWQ1" s="437"/>
      <c r="QWR1" s="437"/>
      <c r="QWS1" s="437"/>
      <c r="QWT1" s="437"/>
      <c r="QWU1" s="437"/>
      <c r="QWV1" s="437"/>
      <c r="QWW1" s="437"/>
      <c r="QWX1" s="437"/>
      <c r="QWY1" s="437"/>
      <c r="QWZ1" s="437"/>
      <c r="QXA1" s="437"/>
      <c r="QXB1" s="437"/>
      <c r="QXC1" s="437"/>
      <c r="QXD1" s="437"/>
      <c r="QXE1" s="437"/>
      <c r="QXF1" s="437"/>
      <c r="QXG1" s="437"/>
      <c r="QXH1" s="437"/>
      <c r="QXI1" s="437"/>
      <c r="QXJ1" s="437"/>
      <c r="QXK1" s="437"/>
      <c r="QXL1" s="437"/>
      <c r="QXM1" s="437"/>
      <c r="QXN1" s="437"/>
      <c r="QXO1" s="437"/>
      <c r="QXP1" s="437"/>
      <c r="QXQ1" s="437"/>
      <c r="QXR1" s="437"/>
      <c r="QXS1" s="437"/>
      <c r="QXT1" s="437"/>
      <c r="QXU1" s="437"/>
      <c r="QXV1" s="437"/>
      <c r="QXW1" s="437"/>
      <c r="QXX1" s="437"/>
      <c r="QXY1" s="437"/>
      <c r="QXZ1" s="437"/>
      <c r="QYA1" s="437"/>
      <c r="QYB1" s="437"/>
      <c r="QYC1" s="437"/>
      <c r="QYD1" s="437"/>
      <c r="QYE1" s="437"/>
      <c r="QYF1" s="437"/>
      <c r="QYG1" s="437"/>
      <c r="QYH1" s="437"/>
      <c r="QYI1" s="437"/>
      <c r="QYJ1" s="437"/>
      <c r="QYK1" s="437"/>
      <c r="QYL1" s="437"/>
      <c r="QYM1" s="437"/>
      <c r="QYN1" s="437"/>
      <c r="QYO1" s="437"/>
      <c r="QYP1" s="437"/>
      <c r="QYQ1" s="437"/>
      <c r="QYR1" s="437"/>
      <c r="QYS1" s="437"/>
      <c r="QYT1" s="437"/>
      <c r="QYU1" s="437"/>
      <c r="QYV1" s="437"/>
      <c r="QYW1" s="437"/>
      <c r="QYX1" s="437"/>
      <c r="QYY1" s="437"/>
      <c r="QYZ1" s="437"/>
      <c r="QZA1" s="437"/>
      <c r="QZB1" s="437"/>
      <c r="QZC1" s="437"/>
      <c r="QZD1" s="437"/>
      <c r="QZE1" s="437"/>
      <c r="QZF1" s="437"/>
      <c r="QZG1" s="437"/>
      <c r="QZH1" s="437"/>
      <c r="QZI1" s="437"/>
      <c r="QZJ1" s="437"/>
      <c r="QZK1" s="437"/>
      <c r="QZL1" s="437"/>
      <c r="QZM1" s="437"/>
      <c r="QZN1" s="437"/>
      <c r="QZO1" s="437"/>
      <c r="QZP1" s="437"/>
      <c r="QZQ1" s="437"/>
      <c r="QZR1" s="437"/>
      <c r="QZS1" s="437"/>
      <c r="QZT1" s="437"/>
      <c r="QZU1" s="437"/>
      <c r="QZV1" s="437"/>
      <c r="QZW1" s="437"/>
      <c r="QZX1" s="437"/>
      <c r="QZY1" s="437"/>
      <c r="QZZ1" s="437"/>
      <c r="RAA1" s="437"/>
      <c r="RAB1" s="437"/>
      <c r="RAC1" s="437"/>
      <c r="RAD1" s="437"/>
      <c r="RAE1" s="437"/>
      <c r="RAF1" s="437"/>
      <c r="RAG1" s="437"/>
      <c r="RAH1" s="437"/>
      <c r="RAI1" s="437"/>
      <c r="RAJ1" s="437"/>
      <c r="RAK1" s="437"/>
      <c r="RAL1" s="437"/>
      <c r="RAM1" s="437"/>
      <c r="RAN1" s="437"/>
      <c r="RAO1" s="437"/>
      <c r="RAP1" s="437"/>
      <c r="RAQ1" s="437"/>
      <c r="RAR1" s="437"/>
      <c r="RAS1" s="437"/>
      <c r="RAT1" s="437"/>
      <c r="RAU1" s="437"/>
      <c r="RAV1" s="437"/>
      <c r="RAW1" s="437"/>
      <c r="RAX1" s="437"/>
      <c r="RAY1" s="437"/>
      <c r="RAZ1" s="437"/>
      <c r="RBA1" s="437"/>
      <c r="RBB1" s="437"/>
      <c r="RBC1" s="437"/>
      <c r="RBD1" s="437"/>
      <c r="RBE1" s="437"/>
      <c r="RBF1" s="437"/>
      <c r="RBG1" s="437"/>
      <c r="RBH1" s="437"/>
      <c r="RBI1" s="437"/>
      <c r="RBJ1" s="437"/>
      <c r="RBK1" s="437"/>
      <c r="RBL1" s="437"/>
      <c r="RBM1" s="437"/>
      <c r="RBN1" s="437"/>
      <c r="RBO1" s="437"/>
      <c r="RBP1" s="437"/>
      <c r="RBQ1" s="437"/>
      <c r="RBR1" s="437"/>
      <c r="RBS1" s="437"/>
      <c r="RBT1" s="437"/>
      <c r="RBU1" s="437"/>
      <c r="RBV1" s="437"/>
      <c r="RBW1" s="437"/>
      <c r="RBX1" s="437"/>
      <c r="RBY1" s="437"/>
      <c r="RBZ1" s="437"/>
      <c r="RCA1" s="437"/>
      <c r="RCB1" s="437"/>
      <c r="RCC1" s="437"/>
      <c r="RCD1" s="437"/>
      <c r="RCE1" s="437"/>
      <c r="RCF1" s="437"/>
      <c r="RCG1" s="437"/>
      <c r="RCH1" s="437"/>
      <c r="RCI1" s="437"/>
      <c r="RCJ1" s="437"/>
      <c r="RCK1" s="437"/>
      <c r="RCL1" s="437"/>
      <c r="RCM1" s="437"/>
      <c r="RCN1" s="437"/>
      <c r="RCO1" s="437"/>
      <c r="RCP1" s="437"/>
      <c r="RCQ1" s="437"/>
      <c r="RCR1" s="437"/>
      <c r="RCS1" s="437"/>
      <c r="RCT1" s="437"/>
      <c r="RCU1" s="437"/>
      <c r="RCV1" s="437"/>
      <c r="RCW1" s="437"/>
      <c r="RCX1" s="437"/>
      <c r="RCY1" s="437"/>
      <c r="RCZ1" s="437"/>
      <c r="RDA1" s="437"/>
      <c r="RDB1" s="437"/>
      <c r="RDC1" s="437"/>
      <c r="RDD1" s="437"/>
      <c r="RDE1" s="437"/>
      <c r="RDF1" s="437"/>
      <c r="RDG1" s="437"/>
      <c r="RDH1" s="437"/>
      <c r="RDI1" s="437"/>
      <c r="RDJ1" s="437"/>
      <c r="RDK1" s="437"/>
      <c r="RDL1" s="437"/>
      <c r="RDM1" s="437"/>
      <c r="RDN1" s="437"/>
      <c r="RDO1" s="437"/>
      <c r="RDP1" s="437"/>
      <c r="RDQ1" s="437"/>
      <c r="RDR1" s="437"/>
      <c r="RDS1" s="437"/>
      <c r="RDT1" s="437"/>
      <c r="RDU1" s="437"/>
      <c r="RDV1" s="437"/>
      <c r="RDW1" s="437"/>
      <c r="RDX1" s="437"/>
      <c r="RDY1" s="437"/>
      <c r="RDZ1" s="437"/>
      <c r="REA1" s="437"/>
      <c r="REB1" s="437"/>
      <c r="REC1" s="437"/>
      <c r="RED1" s="437"/>
      <c r="REE1" s="437"/>
      <c r="REF1" s="437"/>
      <c r="REG1" s="437"/>
      <c r="REH1" s="437"/>
      <c r="REI1" s="437"/>
      <c r="REJ1" s="437"/>
      <c r="REK1" s="437"/>
      <c r="REL1" s="437"/>
      <c r="REM1" s="437"/>
      <c r="REN1" s="437"/>
      <c r="REO1" s="437"/>
      <c r="REP1" s="437"/>
      <c r="REQ1" s="437"/>
      <c r="RER1" s="437"/>
      <c r="RES1" s="437"/>
      <c r="RET1" s="437"/>
      <c r="REU1" s="437"/>
      <c r="REV1" s="437"/>
      <c r="REW1" s="437"/>
      <c r="REX1" s="437"/>
      <c r="REY1" s="437"/>
      <c r="REZ1" s="437"/>
      <c r="RFA1" s="437"/>
      <c r="RFB1" s="437"/>
      <c r="RFC1" s="437"/>
      <c r="RFD1" s="437"/>
      <c r="RFE1" s="437"/>
      <c r="RFF1" s="437"/>
      <c r="RFG1" s="437"/>
      <c r="RFH1" s="437"/>
      <c r="RFI1" s="437"/>
      <c r="RFJ1" s="437"/>
      <c r="RFK1" s="437"/>
      <c r="RFL1" s="437"/>
      <c r="RFM1" s="437"/>
      <c r="RFN1" s="437"/>
      <c r="RFO1" s="437"/>
      <c r="RFP1" s="437"/>
      <c r="RFQ1" s="437"/>
      <c r="RFR1" s="437"/>
      <c r="RFS1" s="437"/>
      <c r="RFT1" s="437"/>
      <c r="RFU1" s="437"/>
      <c r="RFV1" s="437"/>
      <c r="RFW1" s="437"/>
      <c r="RFX1" s="437"/>
      <c r="RFY1" s="437"/>
      <c r="RFZ1" s="437"/>
      <c r="RGA1" s="437"/>
      <c r="RGB1" s="437"/>
      <c r="RGC1" s="437"/>
      <c r="RGD1" s="437"/>
      <c r="RGE1" s="437"/>
      <c r="RGF1" s="437"/>
      <c r="RGG1" s="437"/>
      <c r="RGH1" s="437"/>
      <c r="RGI1" s="437"/>
      <c r="RGJ1" s="437"/>
      <c r="RGK1" s="437"/>
      <c r="RGL1" s="437"/>
      <c r="RGM1" s="437"/>
      <c r="RGN1" s="437"/>
      <c r="RGO1" s="437"/>
      <c r="RGP1" s="437"/>
      <c r="RGQ1" s="437"/>
      <c r="RGR1" s="437"/>
      <c r="RGS1" s="437"/>
      <c r="RGT1" s="437"/>
      <c r="RGU1" s="437"/>
      <c r="RGV1" s="437"/>
      <c r="RGW1" s="437"/>
      <c r="RGX1" s="437"/>
      <c r="RGY1" s="437"/>
      <c r="RGZ1" s="437"/>
      <c r="RHA1" s="437"/>
      <c r="RHB1" s="437"/>
      <c r="RHC1" s="437"/>
      <c r="RHD1" s="437"/>
      <c r="RHE1" s="437"/>
      <c r="RHF1" s="437"/>
      <c r="RHG1" s="437"/>
      <c r="RHH1" s="437"/>
      <c r="RHI1" s="437"/>
      <c r="RHJ1" s="437"/>
      <c r="RHK1" s="437"/>
      <c r="RHL1" s="437"/>
      <c r="RHM1" s="437"/>
      <c r="RHN1" s="437"/>
      <c r="RHO1" s="437"/>
      <c r="RHP1" s="437"/>
      <c r="RHQ1" s="437"/>
      <c r="RHR1" s="437"/>
      <c r="RHS1" s="437"/>
      <c r="RHT1" s="437"/>
      <c r="RHU1" s="437"/>
      <c r="RHV1" s="437"/>
      <c r="RHW1" s="437"/>
      <c r="RHX1" s="437"/>
      <c r="RHY1" s="437"/>
      <c r="RHZ1" s="437"/>
      <c r="RIA1" s="437"/>
      <c r="RIB1" s="437"/>
      <c r="RIC1" s="437"/>
      <c r="RID1" s="437"/>
      <c r="RIE1" s="437"/>
      <c r="RIF1" s="437"/>
      <c r="RIG1" s="437"/>
      <c r="RIH1" s="437"/>
      <c r="RII1" s="437"/>
      <c r="RIJ1" s="437"/>
      <c r="RIK1" s="437"/>
      <c r="RIL1" s="437"/>
      <c r="RIM1" s="437"/>
      <c r="RIN1" s="437"/>
      <c r="RIO1" s="437"/>
      <c r="RIP1" s="437"/>
      <c r="RIQ1" s="437"/>
      <c r="RIR1" s="437"/>
      <c r="RIS1" s="437"/>
      <c r="RIT1" s="437"/>
      <c r="RIU1" s="437"/>
      <c r="RIV1" s="437"/>
      <c r="RIW1" s="437"/>
      <c r="RIX1" s="437"/>
      <c r="RIY1" s="437"/>
      <c r="RIZ1" s="437"/>
      <c r="RJA1" s="437"/>
      <c r="RJB1" s="437"/>
      <c r="RJC1" s="437"/>
      <c r="RJD1" s="437"/>
      <c r="RJE1" s="437"/>
      <c r="RJF1" s="437"/>
      <c r="RJG1" s="437"/>
      <c r="RJH1" s="437"/>
      <c r="RJI1" s="437"/>
      <c r="RJJ1" s="437"/>
      <c r="RJK1" s="437"/>
      <c r="RJL1" s="437"/>
      <c r="RJM1" s="437"/>
      <c r="RJN1" s="437"/>
      <c r="RJO1" s="437"/>
      <c r="RJP1" s="437"/>
      <c r="RJQ1" s="437"/>
      <c r="RJR1" s="437"/>
      <c r="RJS1" s="437"/>
      <c r="RJT1" s="437"/>
      <c r="RJU1" s="437"/>
      <c r="RJV1" s="437"/>
      <c r="RJW1" s="437"/>
      <c r="RJX1" s="437"/>
      <c r="RJY1" s="437"/>
      <c r="RJZ1" s="437"/>
      <c r="RKA1" s="437"/>
      <c r="RKB1" s="437"/>
      <c r="RKC1" s="437"/>
      <c r="RKD1" s="437"/>
      <c r="RKE1" s="437"/>
      <c r="RKF1" s="437"/>
      <c r="RKG1" s="437"/>
      <c r="RKH1" s="437"/>
      <c r="RKI1" s="437"/>
      <c r="RKJ1" s="437"/>
      <c r="RKK1" s="437"/>
      <c r="RKL1" s="437"/>
      <c r="RKM1" s="437"/>
      <c r="RKN1" s="437"/>
      <c r="RKO1" s="437"/>
      <c r="RKP1" s="437"/>
      <c r="RKQ1" s="437"/>
      <c r="RKR1" s="437"/>
      <c r="RKS1" s="437"/>
      <c r="RKT1" s="437"/>
      <c r="RKU1" s="437"/>
      <c r="RKV1" s="437"/>
      <c r="RKW1" s="437"/>
      <c r="RKX1" s="437"/>
      <c r="RKY1" s="437"/>
      <c r="RKZ1" s="437"/>
      <c r="RLA1" s="437"/>
      <c r="RLB1" s="437"/>
      <c r="RLC1" s="437"/>
      <c r="RLD1" s="437"/>
      <c r="RLE1" s="437"/>
      <c r="RLF1" s="437"/>
      <c r="RLG1" s="437"/>
      <c r="RLH1" s="437"/>
      <c r="RLI1" s="437"/>
      <c r="RLJ1" s="437"/>
      <c r="RLK1" s="437"/>
      <c r="RLL1" s="437"/>
      <c r="RLM1" s="437"/>
      <c r="RLN1" s="437"/>
      <c r="RLO1" s="437"/>
      <c r="RLP1" s="437"/>
      <c r="RLQ1" s="437"/>
      <c r="RLR1" s="437"/>
      <c r="RLS1" s="437"/>
      <c r="RLT1" s="437"/>
      <c r="RLU1" s="437"/>
      <c r="RLV1" s="437"/>
      <c r="RLW1" s="437"/>
      <c r="RLX1" s="437"/>
      <c r="RLY1" s="437"/>
      <c r="RLZ1" s="437"/>
      <c r="RMA1" s="437"/>
      <c r="RMB1" s="437"/>
      <c r="RMC1" s="437"/>
      <c r="RMD1" s="437"/>
      <c r="RME1" s="437"/>
      <c r="RMF1" s="437"/>
      <c r="RMG1" s="437"/>
      <c r="RMH1" s="437"/>
      <c r="RMI1" s="437"/>
      <c r="RMJ1" s="437"/>
      <c r="RMK1" s="437"/>
      <c r="RML1" s="437"/>
      <c r="RMM1" s="437"/>
      <c r="RMN1" s="437"/>
      <c r="RMO1" s="437"/>
      <c r="RMP1" s="437"/>
      <c r="RMQ1" s="437"/>
      <c r="RMR1" s="437"/>
      <c r="RMS1" s="437"/>
      <c r="RMT1" s="437"/>
      <c r="RMU1" s="437"/>
      <c r="RMV1" s="437"/>
      <c r="RMW1" s="437"/>
      <c r="RMX1" s="437"/>
      <c r="RMY1" s="437"/>
      <c r="RMZ1" s="437"/>
      <c r="RNA1" s="437"/>
      <c r="RNB1" s="437"/>
      <c r="RNC1" s="437"/>
      <c r="RND1" s="437"/>
      <c r="RNE1" s="437"/>
      <c r="RNF1" s="437"/>
      <c r="RNG1" s="437"/>
      <c r="RNH1" s="437"/>
      <c r="RNI1" s="437"/>
      <c r="RNJ1" s="437"/>
      <c r="RNK1" s="437"/>
      <c r="RNL1" s="437"/>
      <c r="RNM1" s="437"/>
      <c r="RNN1" s="437"/>
      <c r="RNO1" s="437"/>
      <c r="RNP1" s="437"/>
      <c r="RNQ1" s="437"/>
      <c r="RNR1" s="437"/>
      <c r="RNS1" s="437"/>
      <c r="RNT1" s="437"/>
      <c r="RNU1" s="437"/>
      <c r="RNV1" s="437"/>
      <c r="RNW1" s="437"/>
      <c r="RNX1" s="437"/>
      <c r="RNY1" s="437"/>
      <c r="RNZ1" s="437"/>
      <c r="ROA1" s="437"/>
      <c r="ROB1" s="437"/>
      <c r="ROC1" s="437"/>
      <c r="ROD1" s="437"/>
      <c r="ROE1" s="437"/>
      <c r="ROF1" s="437"/>
      <c r="ROG1" s="437"/>
      <c r="ROH1" s="437"/>
      <c r="ROI1" s="437"/>
      <c r="ROJ1" s="437"/>
      <c r="ROK1" s="437"/>
      <c r="ROL1" s="437"/>
      <c r="ROM1" s="437"/>
      <c r="RON1" s="437"/>
      <c r="ROO1" s="437"/>
      <c r="ROP1" s="437"/>
      <c r="ROQ1" s="437"/>
      <c r="ROR1" s="437"/>
      <c r="ROS1" s="437"/>
      <c r="ROT1" s="437"/>
      <c r="ROU1" s="437"/>
      <c r="ROV1" s="437"/>
      <c r="ROW1" s="437"/>
      <c r="ROX1" s="437"/>
      <c r="ROY1" s="437"/>
      <c r="ROZ1" s="437"/>
      <c r="RPA1" s="437"/>
      <c r="RPB1" s="437"/>
      <c r="RPC1" s="437"/>
      <c r="RPD1" s="437"/>
      <c r="RPE1" s="437"/>
      <c r="RPF1" s="437"/>
      <c r="RPG1" s="437"/>
      <c r="RPH1" s="437"/>
      <c r="RPI1" s="437"/>
      <c r="RPJ1" s="437"/>
      <c r="RPK1" s="437"/>
      <c r="RPL1" s="437"/>
      <c r="RPM1" s="437"/>
      <c r="RPN1" s="437"/>
      <c r="RPO1" s="437"/>
      <c r="RPP1" s="437"/>
      <c r="RPQ1" s="437"/>
      <c r="RPR1" s="437"/>
      <c r="RPS1" s="437"/>
      <c r="RPT1" s="437"/>
      <c r="RPU1" s="437"/>
      <c r="RPV1" s="437"/>
      <c r="RPW1" s="437"/>
      <c r="RPX1" s="437"/>
      <c r="RPY1" s="437"/>
      <c r="RPZ1" s="437"/>
      <c r="RQA1" s="437"/>
      <c r="RQB1" s="437"/>
      <c r="RQC1" s="437"/>
      <c r="RQD1" s="437"/>
      <c r="RQE1" s="437"/>
      <c r="RQF1" s="437"/>
      <c r="RQG1" s="437"/>
      <c r="RQH1" s="437"/>
      <c r="RQI1" s="437"/>
      <c r="RQJ1" s="437"/>
      <c r="RQK1" s="437"/>
      <c r="RQL1" s="437"/>
      <c r="RQM1" s="437"/>
      <c r="RQN1" s="437"/>
      <c r="RQO1" s="437"/>
      <c r="RQP1" s="437"/>
      <c r="RQQ1" s="437"/>
      <c r="RQR1" s="437"/>
      <c r="RQS1" s="437"/>
      <c r="RQT1" s="437"/>
      <c r="RQU1" s="437"/>
      <c r="RQV1" s="437"/>
      <c r="RQW1" s="437"/>
      <c r="RQX1" s="437"/>
      <c r="RQY1" s="437"/>
      <c r="RQZ1" s="437"/>
      <c r="RRA1" s="437"/>
      <c r="RRB1" s="437"/>
      <c r="RRC1" s="437"/>
      <c r="RRD1" s="437"/>
      <c r="RRE1" s="437"/>
      <c r="RRF1" s="437"/>
      <c r="RRG1" s="437"/>
      <c r="RRH1" s="437"/>
      <c r="RRI1" s="437"/>
      <c r="RRJ1" s="437"/>
      <c r="RRK1" s="437"/>
      <c r="RRL1" s="437"/>
      <c r="RRM1" s="437"/>
      <c r="RRN1" s="437"/>
      <c r="RRO1" s="437"/>
      <c r="RRP1" s="437"/>
      <c r="RRQ1" s="437"/>
      <c r="RRR1" s="437"/>
      <c r="RRS1" s="437"/>
      <c r="RRT1" s="437"/>
      <c r="RRU1" s="437"/>
      <c r="RRV1" s="437"/>
      <c r="RRW1" s="437"/>
      <c r="RRX1" s="437"/>
      <c r="RRY1" s="437"/>
      <c r="RRZ1" s="437"/>
      <c r="RSA1" s="437"/>
      <c r="RSB1" s="437"/>
      <c r="RSC1" s="437"/>
      <c r="RSD1" s="437"/>
      <c r="RSE1" s="437"/>
      <c r="RSF1" s="437"/>
      <c r="RSG1" s="437"/>
      <c r="RSH1" s="437"/>
      <c r="RSI1" s="437"/>
      <c r="RSJ1" s="437"/>
      <c r="RSK1" s="437"/>
      <c r="RSL1" s="437"/>
      <c r="RSM1" s="437"/>
      <c r="RSN1" s="437"/>
      <c r="RSO1" s="437"/>
      <c r="RSP1" s="437"/>
      <c r="RSQ1" s="437"/>
      <c r="RSR1" s="437"/>
      <c r="RSS1" s="437"/>
      <c r="RST1" s="437"/>
      <c r="RSU1" s="437"/>
      <c r="RSV1" s="437"/>
      <c r="RSW1" s="437"/>
      <c r="RSX1" s="437"/>
      <c r="RSY1" s="437"/>
      <c r="RSZ1" s="437"/>
      <c r="RTA1" s="437"/>
      <c r="RTB1" s="437"/>
      <c r="RTC1" s="437"/>
      <c r="RTD1" s="437"/>
      <c r="RTE1" s="437"/>
      <c r="RTF1" s="437"/>
      <c r="RTG1" s="437"/>
      <c r="RTH1" s="437"/>
      <c r="RTI1" s="437"/>
      <c r="RTJ1" s="437"/>
      <c r="RTK1" s="437"/>
      <c r="RTL1" s="437"/>
      <c r="RTM1" s="437"/>
      <c r="RTN1" s="437"/>
      <c r="RTO1" s="437"/>
      <c r="RTP1" s="437"/>
      <c r="RTQ1" s="437"/>
      <c r="RTR1" s="437"/>
      <c r="RTS1" s="437"/>
      <c r="RTT1" s="437"/>
      <c r="RTU1" s="437"/>
      <c r="RTV1" s="437"/>
      <c r="RTW1" s="437"/>
      <c r="RTX1" s="437"/>
      <c r="RTY1" s="437"/>
      <c r="RTZ1" s="437"/>
      <c r="RUA1" s="437"/>
      <c r="RUB1" s="437"/>
      <c r="RUC1" s="437"/>
      <c r="RUD1" s="437"/>
      <c r="RUE1" s="437"/>
      <c r="RUF1" s="437"/>
      <c r="RUG1" s="437"/>
      <c r="RUH1" s="437"/>
      <c r="RUI1" s="437"/>
      <c r="RUJ1" s="437"/>
      <c r="RUK1" s="437"/>
      <c r="RUL1" s="437"/>
      <c r="RUM1" s="437"/>
      <c r="RUN1" s="437"/>
      <c r="RUO1" s="437"/>
      <c r="RUP1" s="437"/>
      <c r="RUQ1" s="437"/>
      <c r="RUR1" s="437"/>
      <c r="RUS1" s="437"/>
      <c r="RUT1" s="437"/>
      <c r="RUU1" s="437"/>
      <c r="RUV1" s="437"/>
      <c r="RUW1" s="437"/>
      <c r="RUX1" s="437"/>
      <c r="RUY1" s="437"/>
      <c r="RUZ1" s="437"/>
      <c r="RVA1" s="437"/>
      <c r="RVB1" s="437"/>
      <c r="RVC1" s="437"/>
      <c r="RVD1" s="437"/>
      <c r="RVE1" s="437"/>
      <c r="RVF1" s="437"/>
      <c r="RVG1" s="437"/>
      <c r="RVH1" s="437"/>
      <c r="RVI1" s="437"/>
      <c r="RVJ1" s="437"/>
      <c r="RVK1" s="437"/>
      <c r="RVL1" s="437"/>
      <c r="RVM1" s="437"/>
      <c r="RVN1" s="437"/>
      <c r="RVO1" s="437"/>
      <c r="RVP1" s="437"/>
      <c r="RVQ1" s="437"/>
      <c r="RVR1" s="437"/>
      <c r="RVS1" s="437"/>
      <c r="RVT1" s="437"/>
      <c r="RVU1" s="437"/>
      <c r="RVV1" s="437"/>
      <c r="RVW1" s="437"/>
      <c r="RVX1" s="437"/>
      <c r="RVY1" s="437"/>
      <c r="RVZ1" s="437"/>
      <c r="RWA1" s="437"/>
      <c r="RWB1" s="437"/>
      <c r="RWC1" s="437"/>
      <c r="RWD1" s="437"/>
      <c r="RWE1" s="437"/>
      <c r="RWF1" s="437"/>
      <c r="RWG1" s="437"/>
      <c r="RWH1" s="437"/>
      <c r="RWI1" s="437"/>
      <c r="RWJ1" s="437"/>
      <c r="RWK1" s="437"/>
      <c r="RWL1" s="437"/>
      <c r="RWM1" s="437"/>
      <c r="RWN1" s="437"/>
      <c r="RWO1" s="437"/>
      <c r="RWP1" s="437"/>
      <c r="RWQ1" s="437"/>
      <c r="RWR1" s="437"/>
      <c r="RWS1" s="437"/>
      <c r="RWT1" s="437"/>
      <c r="RWU1" s="437"/>
      <c r="RWV1" s="437"/>
      <c r="RWW1" s="437"/>
      <c r="RWX1" s="437"/>
      <c r="RWY1" s="437"/>
      <c r="RWZ1" s="437"/>
      <c r="RXA1" s="437"/>
      <c r="RXB1" s="437"/>
      <c r="RXC1" s="437"/>
      <c r="RXD1" s="437"/>
      <c r="RXE1" s="437"/>
      <c r="RXF1" s="437"/>
      <c r="RXG1" s="437"/>
      <c r="RXH1" s="437"/>
      <c r="RXI1" s="437"/>
      <c r="RXJ1" s="437"/>
      <c r="RXK1" s="437"/>
      <c r="RXL1" s="437"/>
      <c r="RXM1" s="437"/>
      <c r="RXN1" s="437"/>
      <c r="RXO1" s="437"/>
      <c r="RXP1" s="437"/>
      <c r="RXQ1" s="437"/>
      <c r="RXR1" s="437"/>
      <c r="RXS1" s="437"/>
      <c r="RXT1" s="437"/>
      <c r="RXU1" s="437"/>
      <c r="RXV1" s="437"/>
      <c r="RXW1" s="437"/>
      <c r="RXX1" s="437"/>
      <c r="RXY1" s="437"/>
      <c r="RXZ1" s="437"/>
      <c r="RYA1" s="437"/>
      <c r="RYB1" s="437"/>
      <c r="RYC1" s="437"/>
      <c r="RYD1" s="437"/>
      <c r="RYE1" s="437"/>
      <c r="RYF1" s="437"/>
      <c r="RYG1" s="437"/>
      <c r="RYH1" s="437"/>
      <c r="RYI1" s="437"/>
      <c r="RYJ1" s="437"/>
      <c r="RYK1" s="437"/>
      <c r="RYL1" s="437"/>
      <c r="RYM1" s="437"/>
      <c r="RYN1" s="437"/>
      <c r="RYO1" s="437"/>
      <c r="RYP1" s="437"/>
      <c r="RYQ1" s="437"/>
      <c r="RYR1" s="437"/>
      <c r="RYS1" s="437"/>
      <c r="RYT1" s="437"/>
      <c r="RYU1" s="437"/>
      <c r="RYV1" s="437"/>
      <c r="RYW1" s="437"/>
      <c r="RYX1" s="437"/>
      <c r="RYY1" s="437"/>
      <c r="RYZ1" s="437"/>
      <c r="RZA1" s="437"/>
      <c r="RZB1" s="437"/>
      <c r="RZC1" s="437"/>
      <c r="RZD1" s="437"/>
      <c r="RZE1" s="437"/>
      <c r="RZF1" s="437"/>
      <c r="RZG1" s="437"/>
      <c r="RZH1" s="437"/>
      <c r="RZI1" s="437"/>
      <c r="RZJ1" s="437"/>
      <c r="RZK1" s="437"/>
      <c r="RZL1" s="437"/>
      <c r="RZM1" s="437"/>
      <c r="RZN1" s="437"/>
      <c r="RZO1" s="437"/>
      <c r="RZP1" s="437"/>
      <c r="RZQ1" s="437"/>
      <c r="RZR1" s="437"/>
      <c r="RZS1" s="437"/>
      <c r="RZT1" s="437"/>
      <c r="RZU1" s="437"/>
      <c r="RZV1" s="437"/>
      <c r="RZW1" s="437"/>
      <c r="RZX1" s="437"/>
      <c r="RZY1" s="437"/>
      <c r="RZZ1" s="437"/>
      <c r="SAA1" s="437"/>
      <c r="SAB1" s="437"/>
      <c r="SAC1" s="437"/>
      <c r="SAD1" s="437"/>
      <c r="SAE1" s="437"/>
      <c r="SAF1" s="437"/>
      <c r="SAG1" s="437"/>
      <c r="SAH1" s="437"/>
      <c r="SAI1" s="437"/>
      <c r="SAJ1" s="437"/>
      <c r="SAK1" s="437"/>
      <c r="SAL1" s="437"/>
      <c r="SAM1" s="437"/>
      <c r="SAN1" s="437"/>
      <c r="SAO1" s="437"/>
      <c r="SAP1" s="437"/>
      <c r="SAQ1" s="437"/>
      <c r="SAR1" s="437"/>
      <c r="SAS1" s="437"/>
      <c r="SAT1" s="437"/>
      <c r="SAU1" s="437"/>
      <c r="SAV1" s="437"/>
      <c r="SAW1" s="437"/>
      <c r="SAX1" s="437"/>
      <c r="SAY1" s="437"/>
      <c r="SAZ1" s="437"/>
      <c r="SBA1" s="437"/>
      <c r="SBB1" s="437"/>
      <c r="SBC1" s="437"/>
      <c r="SBD1" s="437"/>
      <c r="SBE1" s="437"/>
      <c r="SBF1" s="437"/>
      <c r="SBG1" s="437"/>
      <c r="SBH1" s="437"/>
      <c r="SBI1" s="437"/>
      <c r="SBJ1" s="437"/>
      <c r="SBK1" s="437"/>
      <c r="SBL1" s="437"/>
      <c r="SBM1" s="437"/>
      <c r="SBN1" s="437"/>
      <c r="SBO1" s="437"/>
      <c r="SBP1" s="437"/>
      <c r="SBQ1" s="437"/>
      <c r="SBR1" s="437"/>
      <c r="SBS1" s="437"/>
      <c r="SBT1" s="437"/>
      <c r="SBU1" s="437"/>
      <c r="SBV1" s="437"/>
      <c r="SBW1" s="437"/>
      <c r="SBX1" s="437"/>
      <c r="SBY1" s="437"/>
      <c r="SBZ1" s="437"/>
      <c r="SCA1" s="437"/>
      <c r="SCB1" s="437"/>
      <c r="SCC1" s="437"/>
      <c r="SCD1" s="437"/>
      <c r="SCE1" s="437"/>
      <c r="SCF1" s="437"/>
      <c r="SCG1" s="437"/>
      <c r="SCH1" s="437"/>
      <c r="SCI1" s="437"/>
      <c r="SCJ1" s="437"/>
      <c r="SCK1" s="437"/>
      <c r="SCL1" s="437"/>
      <c r="SCM1" s="437"/>
      <c r="SCN1" s="437"/>
      <c r="SCO1" s="437"/>
      <c r="SCP1" s="437"/>
      <c r="SCQ1" s="437"/>
      <c r="SCR1" s="437"/>
      <c r="SCS1" s="437"/>
      <c r="SCT1" s="437"/>
      <c r="SCU1" s="437"/>
      <c r="SCV1" s="437"/>
      <c r="SCW1" s="437"/>
      <c r="SCX1" s="437"/>
      <c r="SCY1" s="437"/>
      <c r="SCZ1" s="437"/>
      <c r="SDA1" s="437"/>
      <c r="SDB1" s="437"/>
      <c r="SDC1" s="437"/>
      <c r="SDD1" s="437"/>
      <c r="SDE1" s="437"/>
      <c r="SDF1" s="437"/>
      <c r="SDG1" s="437"/>
      <c r="SDH1" s="437"/>
      <c r="SDI1" s="437"/>
      <c r="SDJ1" s="437"/>
      <c r="SDK1" s="437"/>
      <c r="SDL1" s="437"/>
      <c r="SDM1" s="437"/>
      <c r="SDN1" s="437"/>
      <c r="SDO1" s="437"/>
      <c r="SDP1" s="437"/>
      <c r="SDQ1" s="437"/>
      <c r="SDR1" s="437"/>
      <c r="SDS1" s="437"/>
      <c r="SDT1" s="437"/>
      <c r="SDU1" s="437"/>
      <c r="SDV1" s="437"/>
      <c r="SDW1" s="437"/>
      <c r="SDX1" s="437"/>
      <c r="SDY1" s="437"/>
      <c r="SDZ1" s="437"/>
      <c r="SEA1" s="437"/>
      <c r="SEB1" s="437"/>
      <c r="SEC1" s="437"/>
      <c r="SED1" s="437"/>
      <c r="SEE1" s="437"/>
      <c r="SEF1" s="437"/>
      <c r="SEG1" s="437"/>
      <c r="SEH1" s="437"/>
      <c r="SEI1" s="437"/>
      <c r="SEJ1" s="437"/>
      <c r="SEK1" s="437"/>
      <c r="SEL1" s="437"/>
      <c r="SEM1" s="437"/>
      <c r="SEN1" s="437"/>
      <c r="SEO1" s="437"/>
      <c r="SEP1" s="437"/>
      <c r="SEQ1" s="437"/>
      <c r="SER1" s="437"/>
      <c r="SES1" s="437"/>
      <c r="SET1" s="437"/>
      <c r="SEU1" s="437"/>
      <c r="SEV1" s="437"/>
      <c r="SEW1" s="437"/>
      <c r="SEX1" s="437"/>
      <c r="SEY1" s="437"/>
      <c r="SEZ1" s="437"/>
      <c r="SFA1" s="437"/>
      <c r="SFB1" s="437"/>
      <c r="SFC1" s="437"/>
      <c r="SFD1" s="437"/>
      <c r="SFE1" s="437"/>
      <c r="SFF1" s="437"/>
      <c r="SFG1" s="437"/>
      <c r="SFH1" s="437"/>
      <c r="SFI1" s="437"/>
      <c r="SFJ1" s="437"/>
      <c r="SFK1" s="437"/>
      <c r="SFL1" s="437"/>
      <c r="SFM1" s="437"/>
      <c r="SFN1" s="437"/>
      <c r="SFO1" s="437"/>
      <c r="SFP1" s="437"/>
      <c r="SFQ1" s="437"/>
      <c r="SFR1" s="437"/>
      <c r="SFS1" s="437"/>
      <c r="SFT1" s="437"/>
      <c r="SFU1" s="437"/>
      <c r="SFV1" s="437"/>
      <c r="SFW1" s="437"/>
      <c r="SFX1" s="437"/>
      <c r="SFY1" s="437"/>
      <c r="SFZ1" s="437"/>
      <c r="SGA1" s="437"/>
      <c r="SGB1" s="437"/>
      <c r="SGC1" s="437"/>
      <c r="SGD1" s="437"/>
      <c r="SGE1" s="437"/>
      <c r="SGF1" s="437"/>
      <c r="SGG1" s="437"/>
      <c r="SGH1" s="437"/>
      <c r="SGI1" s="437"/>
      <c r="SGJ1" s="437"/>
      <c r="SGK1" s="437"/>
      <c r="SGL1" s="437"/>
      <c r="SGM1" s="437"/>
      <c r="SGN1" s="437"/>
      <c r="SGO1" s="437"/>
      <c r="SGP1" s="437"/>
      <c r="SGQ1" s="437"/>
      <c r="SGR1" s="437"/>
      <c r="SGS1" s="437"/>
      <c r="SGT1" s="437"/>
      <c r="SGU1" s="437"/>
      <c r="SGV1" s="437"/>
      <c r="SGW1" s="437"/>
      <c r="SGX1" s="437"/>
      <c r="SGY1" s="437"/>
      <c r="SGZ1" s="437"/>
      <c r="SHA1" s="437"/>
      <c r="SHB1" s="437"/>
      <c r="SHC1" s="437"/>
      <c r="SHD1" s="437"/>
      <c r="SHE1" s="437"/>
      <c r="SHF1" s="437"/>
      <c r="SHG1" s="437"/>
      <c r="SHH1" s="437"/>
      <c r="SHI1" s="437"/>
      <c r="SHJ1" s="437"/>
      <c r="SHK1" s="437"/>
      <c r="SHL1" s="437"/>
      <c r="SHM1" s="437"/>
      <c r="SHN1" s="437"/>
      <c r="SHO1" s="437"/>
      <c r="SHP1" s="437"/>
      <c r="SHQ1" s="437"/>
      <c r="SHR1" s="437"/>
      <c r="SHS1" s="437"/>
      <c r="SHT1" s="437"/>
      <c r="SHU1" s="437"/>
      <c r="SHV1" s="437"/>
      <c r="SHW1" s="437"/>
      <c r="SHX1" s="437"/>
      <c r="SHY1" s="437"/>
      <c r="SHZ1" s="437"/>
      <c r="SIA1" s="437"/>
      <c r="SIB1" s="437"/>
      <c r="SIC1" s="437"/>
      <c r="SID1" s="437"/>
      <c r="SIE1" s="437"/>
      <c r="SIF1" s="437"/>
      <c r="SIG1" s="437"/>
      <c r="SIH1" s="437"/>
      <c r="SII1" s="437"/>
      <c r="SIJ1" s="437"/>
      <c r="SIK1" s="437"/>
      <c r="SIL1" s="437"/>
      <c r="SIM1" s="437"/>
      <c r="SIN1" s="437"/>
      <c r="SIO1" s="437"/>
      <c r="SIP1" s="437"/>
      <c r="SIQ1" s="437"/>
      <c r="SIR1" s="437"/>
      <c r="SIS1" s="437"/>
      <c r="SIT1" s="437"/>
      <c r="SIU1" s="437"/>
      <c r="SIV1" s="437"/>
      <c r="SIW1" s="437"/>
      <c r="SIX1" s="437"/>
      <c r="SIY1" s="437"/>
      <c r="SIZ1" s="437"/>
      <c r="SJA1" s="437"/>
      <c r="SJB1" s="437"/>
      <c r="SJC1" s="437"/>
      <c r="SJD1" s="437"/>
      <c r="SJE1" s="437"/>
      <c r="SJF1" s="437"/>
      <c r="SJG1" s="437"/>
      <c r="SJH1" s="437"/>
      <c r="SJI1" s="437"/>
      <c r="SJJ1" s="437"/>
      <c r="SJK1" s="437"/>
      <c r="SJL1" s="437"/>
      <c r="SJM1" s="437"/>
      <c r="SJN1" s="437"/>
      <c r="SJO1" s="437"/>
      <c r="SJP1" s="437"/>
      <c r="SJQ1" s="437"/>
      <c r="SJR1" s="437"/>
      <c r="SJS1" s="437"/>
      <c r="SJT1" s="437"/>
      <c r="SJU1" s="437"/>
      <c r="SJV1" s="437"/>
      <c r="SJW1" s="437"/>
      <c r="SJX1" s="437"/>
      <c r="SJY1" s="437"/>
      <c r="SJZ1" s="437"/>
      <c r="SKA1" s="437"/>
      <c r="SKB1" s="437"/>
      <c r="SKC1" s="437"/>
      <c r="SKD1" s="437"/>
      <c r="SKE1" s="437"/>
      <c r="SKF1" s="437"/>
      <c r="SKG1" s="437"/>
      <c r="SKH1" s="437"/>
      <c r="SKI1" s="437"/>
      <c r="SKJ1" s="437"/>
      <c r="SKK1" s="437"/>
      <c r="SKL1" s="437"/>
      <c r="SKM1" s="437"/>
      <c r="SKN1" s="437"/>
      <c r="SKO1" s="437"/>
      <c r="SKP1" s="437"/>
      <c r="SKQ1" s="437"/>
      <c r="SKR1" s="437"/>
      <c r="SKS1" s="437"/>
      <c r="SKT1" s="437"/>
      <c r="SKU1" s="437"/>
      <c r="SKV1" s="437"/>
      <c r="SKW1" s="437"/>
      <c r="SKX1" s="437"/>
      <c r="SKY1" s="437"/>
      <c r="SKZ1" s="437"/>
      <c r="SLA1" s="437"/>
      <c r="SLB1" s="437"/>
      <c r="SLC1" s="437"/>
      <c r="SLD1" s="437"/>
      <c r="SLE1" s="437"/>
      <c r="SLF1" s="437"/>
      <c r="SLG1" s="437"/>
      <c r="SLH1" s="437"/>
      <c r="SLI1" s="437"/>
      <c r="SLJ1" s="437"/>
      <c r="SLK1" s="437"/>
      <c r="SLL1" s="437"/>
      <c r="SLM1" s="437"/>
      <c r="SLN1" s="437"/>
      <c r="SLO1" s="437"/>
      <c r="SLP1" s="437"/>
      <c r="SLQ1" s="437"/>
      <c r="SLR1" s="437"/>
      <c r="SLS1" s="437"/>
      <c r="SLT1" s="437"/>
      <c r="SLU1" s="437"/>
      <c r="SLV1" s="437"/>
      <c r="SLW1" s="437"/>
      <c r="SLX1" s="437"/>
      <c r="SLY1" s="437"/>
      <c r="SLZ1" s="437"/>
      <c r="SMA1" s="437"/>
      <c r="SMB1" s="437"/>
      <c r="SMC1" s="437"/>
      <c r="SMD1" s="437"/>
      <c r="SME1" s="437"/>
      <c r="SMF1" s="437"/>
      <c r="SMG1" s="437"/>
      <c r="SMH1" s="437"/>
      <c r="SMI1" s="437"/>
      <c r="SMJ1" s="437"/>
      <c r="SMK1" s="437"/>
      <c r="SML1" s="437"/>
      <c r="SMM1" s="437"/>
      <c r="SMN1" s="437"/>
      <c r="SMO1" s="437"/>
      <c r="SMP1" s="437"/>
      <c r="SMQ1" s="437"/>
      <c r="SMR1" s="437"/>
      <c r="SMS1" s="437"/>
      <c r="SMT1" s="437"/>
      <c r="SMU1" s="437"/>
      <c r="SMV1" s="437"/>
      <c r="SMW1" s="437"/>
      <c r="SMX1" s="437"/>
      <c r="SMY1" s="437"/>
      <c r="SMZ1" s="437"/>
      <c r="SNA1" s="437"/>
      <c r="SNB1" s="437"/>
      <c r="SNC1" s="437"/>
      <c r="SND1" s="437"/>
      <c r="SNE1" s="437"/>
      <c r="SNF1" s="437"/>
      <c r="SNG1" s="437"/>
      <c r="SNH1" s="437"/>
      <c r="SNI1" s="437"/>
      <c r="SNJ1" s="437"/>
      <c r="SNK1" s="437"/>
      <c r="SNL1" s="437"/>
      <c r="SNM1" s="437"/>
      <c r="SNN1" s="437"/>
      <c r="SNO1" s="437"/>
      <c r="SNP1" s="437"/>
      <c r="SNQ1" s="437"/>
      <c r="SNR1" s="437"/>
      <c r="SNS1" s="437"/>
      <c r="SNT1" s="437"/>
      <c r="SNU1" s="437"/>
      <c r="SNV1" s="437"/>
      <c r="SNW1" s="437"/>
      <c r="SNX1" s="437"/>
      <c r="SNY1" s="437"/>
      <c r="SNZ1" s="437"/>
      <c r="SOA1" s="437"/>
      <c r="SOB1" s="437"/>
      <c r="SOC1" s="437"/>
      <c r="SOD1" s="437"/>
      <c r="SOE1" s="437"/>
      <c r="SOF1" s="437"/>
      <c r="SOG1" s="437"/>
      <c r="SOH1" s="437"/>
      <c r="SOI1" s="437"/>
      <c r="SOJ1" s="437"/>
      <c r="SOK1" s="437"/>
      <c r="SOL1" s="437"/>
      <c r="SOM1" s="437"/>
      <c r="SON1" s="437"/>
      <c r="SOO1" s="437"/>
      <c r="SOP1" s="437"/>
      <c r="SOQ1" s="437"/>
      <c r="SOR1" s="437"/>
      <c r="SOS1" s="437"/>
      <c r="SOT1" s="437"/>
      <c r="SOU1" s="437"/>
      <c r="SOV1" s="437"/>
      <c r="SOW1" s="437"/>
      <c r="SOX1" s="437"/>
      <c r="SOY1" s="437"/>
      <c r="SOZ1" s="437"/>
      <c r="SPA1" s="437"/>
      <c r="SPB1" s="437"/>
      <c r="SPC1" s="437"/>
      <c r="SPD1" s="437"/>
      <c r="SPE1" s="437"/>
      <c r="SPF1" s="437"/>
      <c r="SPG1" s="437"/>
      <c r="SPH1" s="437"/>
      <c r="SPI1" s="437"/>
      <c r="SPJ1" s="437"/>
      <c r="SPK1" s="437"/>
      <c r="SPL1" s="437"/>
      <c r="SPM1" s="437"/>
      <c r="SPN1" s="437"/>
      <c r="SPO1" s="437"/>
      <c r="SPP1" s="437"/>
      <c r="SPQ1" s="437"/>
      <c r="SPR1" s="437"/>
      <c r="SPS1" s="437"/>
      <c r="SPT1" s="437"/>
      <c r="SPU1" s="437"/>
      <c r="SPV1" s="437"/>
      <c r="SPW1" s="437"/>
      <c r="SPX1" s="437"/>
      <c r="SPY1" s="437"/>
      <c r="SPZ1" s="437"/>
      <c r="SQA1" s="437"/>
      <c r="SQB1" s="437"/>
      <c r="SQC1" s="437"/>
      <c r="SQD1" s="437"/>
      <c r="SQE1" s="437"/>
      <c r="SQF1" s="437"/>
      <c r="SQG1" s="437"/>
      <c r="SQH1" s="437"/>
      <c r="SQI1" s="437"/>
      <c r="SQJ1" s="437"/>
      <c r="SQK1" s="437"/>
      <c r="SQL1" s="437"/>
      <c r="SQM1" s="437"/>
      <c r="SQN1" s="437"/>
      <c r="SQO1" s="437"/>
      <c r="SQP1" s="437"/>
      <c r="SQQ1" s="437"/>
      <c r="SQR1" s="437"/>
      <c r="SQS1" s="437"/>
      <c r="SQT1" s="437"/>
      <c r="SQU1" s="437"/>
      <c r="SQV1" s="437"/>
      <c r="SQW1" s="437"/>
      <c r="SQX1" s="437"/>
      <c r="SQY1" s="437"/>
      <c r="SQZ1" s="437"/>
      <c r="SRA1" s="437"/>
      <c r="SRB1" s="437"/>
      <c r="SRC1" s="437"/>
      <c r="SRD1" s="437"/>
      <c r="SRE1" s="437"/>
      <c r="SRF1" s="437"/>
      <c r="SRG1" s="437"/>
      <c r="SRH1" s="437"/>
      <c r="SRI1" s="437"/>
      <c r="SRJ1" s="437"/>
      <c r="SRK1" s="437"/>
      <c r="SRL1" s="437"/>
      <c r="SRM1" s="437"/>
      <c r="SRN1" s="437"/>
      <c r="SRO1" s="437"/>
      <c r="SRP1" s="437"/>
      <c r="SRQ1" s="437"/>
      <c r="SRR1" s="437"/>
      <c r="SRS1" s="437"/>
      <c r="SRT1" s="437"/>
      <c r="SRU1" s="437"/>
      <c r="SRV1" s="437"/>
      <c r="SRW1" s="437"/>
      <c r="SRX1" s="437"/>
      <c r="SRY1" s="437"/>
      <c r="SRZ1" s="437"/>
      <c r="SSA1" s="437"/>
      <c r="SSB1" s="437"/>
      <c r="SSC1" s="437"/>
      <c r="SSD1" s="437"/>
      <c r="SSE1" s="437"/>
      <c r="SSF1" s="437"/>
      <c r="SSG1" s="437"/>
      <c r="SSH1" s="437"/>
      <c r="SSI1" s="437"/>
      <c r="SSJ1" s="437"/>
      <c r="SSK1" s="437"/>
      <c r="SSL1" s="437"/>
      <c r="SSM1" s="437"/>
      <c r="SSN1" s="437"/>
      <c r="SSO1" s="437"/>
      <c r="SSP1" s="437"/>
      <c r="SSQ1" s="437"/>
      <c r="SSR1" s="437"/>
      <c r="SSS1" s="437"/>
      <c r="SST1" s="437"/>
      <c r="SSU1" s="437"/>
      <c r="SSV1" s="437"/>
      <c r="SSW1" s="437"/>
      <c r="SSX1" s="437"/>
      <c r="SSY1" s="437"/>
      <c r="SSZ1" s="437"/>
      <c r="STA1" s="437"/>
      <c r="STB1" s="437"/>
      <c r="STC1" s="437"/>
      <c r="STD1" s="437"/>
      <c r="STE1" s="437"/>
      <c r="STF1" s="437"/>
      <c r="STG1" s="437"/>
      <c r="STH1" s="437"/>
      <c r="STI1" s="437"/>
      <c r="STJ1" s="437"/>
      <c r="STK1" s="437"/>
      <c r="STL1" s="437"/>
      <c r="STM1" s="437"/>
      <c r="STN1" s="437"/>
      <c r="STO1" s="437"/>
      <c r="STP1" s="437"/>
      <c r="STQ1" s="437"/>
      <c r="STR1" s="437"/>
      <c r="STS1" s="437"/>
      <c r="STT1" s="437"/>
      <c r="STU1" s="437"/>
      <c r="STV1" s="437"/>
      <c r="STW1" s="437"/>
      <c r="STX1" s="437"/>
      <c r="STY1" s="437"/>
      <c r="STZ1" s="437"/>
      <c r="SUA1" s="437"/>
      <c r="SUB1" s="437"/>
      <c r="SUC1" s="437"/>
      <c r="SUD1" s="437"/>
      <c r="SUE1" s="437"/>
      <c r="SUF1" s="437"/>
      <c r="SUG1" s="437"/>
      <c r="SUH1" s="437"/>
      <c r="SUI1" s="437"/>
      <c r="SUJ1" s="437"/>
      <c r="SUK1" s="437"/>
      <c r="SUL1" s="437"/>
      <c r="SUM1" s="437"/>
      <c r="SUN1" s="437"/>
      <c r="SUO1" s="437"/>
      <c r="SUP1" s="437"/>
      <c r="SUQ1" s="437"/>
      <c r="SUR1" s="437"/>
      <c r="SUS1" s="437"/>
      <c r="SUT1" s="437"/>
      <c r="SUU1" s="437"/>
      <c r="SUV1" s="437"/>
      <c r="SUW1" s="437"/>
      <c r="SUX1" s="437"/>
      <c r="SUY1" s="437"/>
      <c r="SUZ1" s="437"/>
      <c r="SVA1" s="437"/>
      <c r="SVB1" s="437"/>
      <c r="SVC1" s="437"/>
      <c r="SVD1" s="437"/>
      <c r="SVE1" s="437"/>
      <c r="SVF1" s="437"/>
      <c r="SVG1" s="437"/>
      <c r="SVH1" s="437"/>
      <c r="SVI1" s="437"/>
      <c r="SVJ1" s="437"/>
      <c r="SVK1" s="437"/>
      <c r="SVL1" s="437"/>
      <c r="SVM1" s="437"/>
      <c r="SVN1" s="437"/>
      <c r="SVO1" s="437"/>
      <c r="SVP1" s="437"/>
      <c r="SVQ1" s="437"/>
      <c r="SVR1" s="437"/>
      <c r="SVS1" s="437"/>
      <c r="SVT1" s="437"/>
      <c r="SVU1" s="437"/>
      <c r="SVV1" s="437"/>
      <c r="SVW1" s="437"/>
      <c r="SVX1" s="437"/>
      <c r="SVY1" s="437"/>
      <c r="SVZ1" s="437"/>
      <c r="SWA1" s="437"/>
      <c r="SWB1" s="437"/>
      <c r="SWC1" s="437"/>
      <c r="SWD1" s="437"/>
      <c r="SWE1" s="437"/>
      <c r="SWF1" s="437"/>
      <c r="SWG1" s="437"/>
      <c r="SWH1" s="437"/>
      <c r="SWI1" s="437"/>
      <c r="SWJ1" s="437"/>
      <c r="SWK1" s="437"/>
      <c r="SWL1" s="437"/>
      <c r="SWM1" s="437"/>
      <c r="SWN1" s="437"/>
      <c r="SWO1" s="437"/>
      <c r="SWP1" s="437"/>
      <c r="SWQ1" s="437"/>
      <c r="SWR1" s="437"/>
      <c r="SWS1" s="437"/>
      <c r="SWT1" s="437"/>
      <c r="SWU1" s="437"/>
      <c r="SWV1" s="437"/>
      <c r="SWW1" s="437"/>
      <c r="SWX1" s="437"/>
      <c r="SWY1" s="437"/>
      <c r="SWZ1" s="437"/>
      <c r="SXA1" s="437"/>
      <c r="SXB1" s="437"/>
      <c r="SXC1" s="437"/>
      <c r="SXD1" s="437"/>
      <c r="SXE1" s="437"/>
      <c r="SXF1" s="437"/>
      <c r="SXG1" s="437"/>
      <c r="SXH1" s="437"/>
      <c r="SXI1" s="437"/>
      <c r="SXJ1" s="437"/>
      <c r="SXK1" s="437"/>
      <c r="SXL1" s="437"/>
      <c r="SXM1" s="437"/>
      <c r="SXN1" s="437"/>
      <c r="SXO1" s="437"/>
      <c r="SXP1" s="437"/>
      <c r="SXQ1" s="437"/>
      <c r="SXR1" s="437"/>
      <c r="SXS1" s="437"/>
      <c r="SXT1" s="437"/>
      <c r="SXU1" s="437"/>
      <c r="SXV1" s="437"/>
      <c r="SXW1" s="437"/>
      <c r="SXX1" s="437"/>
      <c r="SXY1" s="437"/>
      <c r="SXZ1" s="437"/>
      <c r="SYA1" s="437"/>
      <c r="SYB1" s="437"/>
      <c r="SYC1" s="437"/>
      <c r="SYD1" s="437"/>
      <c r="SYE1" s="437"/>
      <c r="SYF1" s="437"/>
      <c r="SYG1" s="437"/>
      <c r="SYH1" s="437"/>
      <c r="SYI1" s="437"/>
      <c r="SYJ1" s="437"/>
      <c r="SYK1" s="437"/>
      <c r="SYL1" s="437"/>
      <c r="SYM1" s="437"/>
      <c r="SYN1" s="437"/>
      <c r="SYO1" s="437"/>
      <c r="SYP1" s="437"/>
      <c r="SYQ1" s="437"/>
      <c r="SYR1" s="437"/>
      <c r="SYS1" s="437"/>
      <c r="SYT1" s="437"/>
      <c r="SYU1" s="437"/>
      <c r="SYV1" s="437"/>
      <c r="SYW1" s="437"/>
      <c r="SYX1" s="437"/>
      <c r="SYY1" s="437"/>
      <c r="SYZ1" s="437"/>
      <c r="SZA1" s="437"/>
      <c r="SZB1" s="437"/>
      <c r="SZC1" s="437"/>
      <c r="SZD1" s="437"/>
      <c r="SZE1" s="437"/>
      <c r="SZF1" s="437"/>
      <c r="SZG1" s="437"/>
      <c r="SZH1" s="437"/>
      <c r="SZI1" s="437"/>
      <c r="SZJ1" s="437"/>
      <c r="SZK1" s="437"/>
      <c r="SZL1" s="437"/>
      <c r="SZM1" s="437"/>
      <c r="SZN1" s="437"/>
      <c r="SZO1" s="437"/>
      <c r="SZP1" s="437"/>
      <c r="SZQ1" s="437"/>
      <c r="SZR1" s="437"/>
      <c r="SZS1" s="437"/>
      <c r="SZT1" s="437"/>
      <c r="SZU1" s="437"/>
      <c r="SZV1" s="437"/>
      <c r="SZW1" s="437"/>
      <c r="SZX1" s="437"/>
      <c r="SZY1" s="437"/>
      <c r="SZZ1" s="437"/>
      <c r="TAA1" s="437"/>
      <c r="TAB1" s="437"/>
      <c r="TAC1" s="437"/>
      <c r="TAD1" s="437"/>
      <c r="TAE1" s="437"/>
      <c r="TAF1" s="437"/>
      <c r="TAG1" s="437"/>
      <c r="TAH1" s="437"/>
      <c r="TAI1" s="437"/>
      <c r="TAJ1" s="437"/>
      <c r="TAK1" s="437"/>
      <c r="TAL1" s="437"/>
      <c r="TAM1" s="437"/>
      <c r="TAN1" s="437"/>
      <c r="TAO1" s="437"/>
      <c r="TAP1" s="437"/>
      <c r="TAQ1" s="437"/>
      <c r="TAR1" s="437"/>
      <c r="TAS1" s="437"/>
      <c r="TAT1" s="437"/>
      <c r="TAU1" s="437"/>
      <c r="TAV1" s="437"/>
      <c r="TAW1" s="437"/>
      <c r="TAX1" s="437"/>
      <c r="TAY1" s="437"/>
      <c r="TAZ1" s="437"/>
      <c r="TBA1" s="437"/>
      <c r="TBB1" s="437"/>
      <c r="TBC1" s="437"/>
      <c r="TBD1" s="437"/>
      <c r="TBE1" s="437"/>
      <c r="TBF1" s="437"/>
      <c r="TBG1" s="437"/>
      <c r="TBH1" s="437"/>
      <c r="TBI1" s="437"/>
      <c r="TBJ1" s="437"/>
      <c r="TBK1" s="437"/>
      <c r="TBL1" s="437"/>
      <c r="TBM1" s="437"/>
      <c r="TBN1" s="437"/>
      <c r="TBO1" s="437"/>
      <c r="TBP1" s="437"/>
      <c r="TBQ1" s="437"/>
      <c r="TBR1" s="437"/>
      <c r="TBS1" s="437"/>
      <c r="TBT1" s="437"/>
      <c r="TBU1" s="437"/>
      <c r="TBV1" s="437"/>
      <c r="TBW1" s="437"/>
      <c r="TBX1" s="437"/>
      <c r="TBY1" s="437"/>
      <c r="TBZ1" s="437"/>
      <c r="TCA1" s="437"/>
      <c r="TCB1" s="437"/>
      <c r="TCC1" s="437"/>
      <c r="TCD1" s="437"/>
      <c r="TCE1" s="437"/>
      <c r="TCF1" s="437"/>
      <c r="TCG1" s="437"/>
      <c r="TCH1" s="437"/>
      <c r="TCI1" s="437"/>
      <c r="TCJ1" s="437"/>
      <c r="TCK1" s="437"/>
      <c r="TCL1" s="437"/>
      <c r="TCM1" s="437"/>
      <c r="TCN1" s="437"/>
      <c r="TCO1" s="437"/>
      <c r="TCP1" s="437"/>
      <c r="TCQ1" s="437"/>
      <c r="TCR1" s="437"/>
      <c r="TCS1" s="437"/>
      <c r="TCT1" s="437"/>
      <c r="TCU1" s="437"/>
      <c r="TCV1" s="437"/>
      <c r="TCW1" s="437"/>
      <c r="TCX1" s="437"/>
      <c r="TCY1" s="437"/>
      <c r="TCZ1" s="437"/>
      <c r="TDA1" s="437"/>
      <c r="TDB1" s="437"/>
      <c r="TDC1" s="437"/>
      <c r="TDD1" s="437"/>
      <c r="TDE1" s="437"/>
      <c r="TDF1" s="437"/>
      <c r="TDG1" s="437"/>
      <c r="TDH1" s="437"/>
      <c r="TDI1" s="437"/>
      <c r="TDJ1" s="437"/>
      <c r="TDK1" s="437"/>
      <c r="TDL1" s="437"/>
      <c r="TDM1" s="437"/>
      <c r="TDN1" s="437"/>
      <c r="TDO1" s="437"/>
      <c r="TDP1" s="437"/>
      <c r="TDQ1" s="437"/>
      <c r="TDR1" s="437"/>
      <c r="TDS1" s="437"/>
      <c r="TDT1" s="437"/>
      <c r="TDU1" s="437"/>
      <c r="TDV1" s="437"/>
      <c r="TDW1" s="437"/>
      <c r="TDX1" s="437"/>
      <c r="TDY1" s="437"/>
      <c r="TDZ1" s="437"/>
      <c r="TEA1" s="437"/>
      <c r="TEB1" s="437"/>
      <c r="TEC1" s="437"/>
      <c r="TED1" s="437"/>
      <c r="TEE1" s="437"/>
      <c r="TEF1" s="437"/>
      <c r="TEG1" s="437"/>
      <c r="TEH1" s="437"/>
      <c r="TEI1" s="437"/>
      <c r="TEJ1" s="437"/>
      <c r="TEK1" s="437"/>
      <c r="TEL1" s="437"/>
      <c r="TEM1" s="437"/>
      <c r="TEN1" s="437"/>
      <c r="TEO1" s="437"/>
      <c r="TEP1" s="437"/>
      <c r="TEQ1" s="437"/>
      <c r="TER1" s="437"/>
      <c r="TES1" s="437"/>
      <c r="TET1" s="437"/>
      <c r="TEU1" s="437"/>
      <c r="TEV1" s="437"/>
      <c r="TEW1" s="437"/>
      <c r="TEX1" s="437"/>
      <c r="TEY1" s="437"/>
      <c r="TEZ1" s="437"/>
      <c r="TFA1" s="437"/>
      <c r="TFB1" s="437"/>
      <c r="TFC1" s="437"/>
      <c r="TFD1" s="437"/>
      <c r="TFE1" s="437"/>
      <c r="TFF1" s="437"/>
      <c r="TFG1" s="437"/>
      <c r="TFH1" s="437"/>
      <c r="TFI1" s="437"/>
      <c r="TFJ1" s="437"/>
      <c r="TFK1" s="437"/>
      <c r="TFL1" s="437"/>
      <c r="TFM1" s="437"/>
      <c r="TFN1" s="437"/>
      <c r="TFO1" s="437"/>
      <c r="TFP1" s="437"/>
      <c r="TFQ1" s="437"/>
      <c r="TFR1" s="437"/>
      <c r="TFS1" s="437"/>
      <c r="TFT1" s="437"/>
      <c r="TFU1" s="437"/>
      <c r="TFV1" s="437"/>
      <c r="TFW1" s="437"/>
      <c r="TFX1" s="437"/>
      <c r="TFY1" s="437"/>
      <c r="TFZ1" s="437"/>
      <c r="TGA1" s="437"/>
      <c r="TGB1" s="437"/>
      <c r="TGC1" s="437"/>
      <c r="TGD1" s="437"/>
      <c r="TGE1" s="437"/>
      <c r="TGF1" s="437"/>
      <c r="TGG1" s="437"/>
      <c r="TGH1" s="437"/>
      <c r="TGI1" s="437"/>
      <c r="TGJ1" s="437"/>
      <c r="TGK1" s="437"/>
      <c r="TGL1" s="437"/>
      <c r="TGM1" s="437"/>
      <c r="TGN1" s="437"/>
      <c r="TGO1" s="437"/>
      <c r="TGP1" s="437"/>
      <c r="TGQ1" s="437"/>
      <c r="TGR1" s="437"/>
      <c r="TGS1" s="437"/>
      <c r="TGT1" s="437"/>
      <c r="TGU1" s="437"/>
      <c r="TGV1" s="437"/>
      <c r="TGW1" s="437"/>
      <c r="TGX1" s="437"/>
      <c r="TGY1" s="437"/>
      <c r="TGZ1" s="437"/>
      <c r="THA1" s="437"/>
      <c r="THB1" s="437"/>
      <c r="THC1" s="437"/>
      <c r="THD1" s="437"/>
      <c r="THE1" s="437"/>
      <c r="THF1" s="437"/>
      <c r="THG1" s="437"/>
      <c r="THH1" s="437"/>
      <c r="THI1" s="437"/>
      <c r="THJ1" s="437"/>
      <c r="THK1" s="437"/>
      <c r="THL1" s="437"/>
      <c r="THM1" s="437"/>
      <c r="THN1" s="437"/>
      <c r="THO1" s="437"/>
      <c r="THP1" s="437"/>
      <c r="THQ1" s="437"/>
      <c r="THR1" s="437"/>
      <c r="THS1" s="437"/>
      <c r="THT1" s="437"/>
      <c r="THU1" s="437"/>
      <c r="THV1" s="437"/>
      <c r="THW1" s="437"/>
      <c r="THX1" s="437"/>
      <c r="THY1" s="437"/>
      <c r="THZ1" s="437"/>
      <c r="TIA1" s="437"/>
      <c r="TIB1" s="437"/>
      <c r="TIC1" s="437"/>
      <c r="TID1" s="437"/>
      <c r="TIE1" s="437"/>
      <c r="TIF1" s="437"/>
      <c r="TIG1" s="437"/>
      <c r="TIH1" s="437"/>
      <c r="TII1" s="437"/>
      <c r="TIJ1" s="437"/>
      <c r="TIK1" s="437"/>
      <c r="TIL1" s="437"/>
      <c r="TIM1" s="437"/>
      <c r="TIN1" s="437"/>
      <c r="TIO1" s="437"/>
      <c r="TIP1" s="437"/>
      <c r="TIQ1" s="437"/>
      <c r="TIR1" s="437"/>
      <c r="TIS1" s="437"/>
      <c r="TIT1" s="437"/>
      <c r="TIU1" s="437"/>
      <c r="TIV1" s="437"/>
      <c r="TIW1" s="437"/>
      <c r="TIX1" s="437"/>
      <c r="TIY1" s="437"/>
      <c r="TIZ1" s="437"/>
      <c r="TJA1" s="437"/>
      <c r="TJB1" s="437"/>
      <c r="TJC1" s="437"/>
      <c r="TJD1" s="437"/>
      <c r="TJE1" s="437"/>
      <c r="TJF1" s="437"/>
      <c r="TJG1" s="437"/>
      <c r="TJH1" s="437"/>
      <c r="TJI1" s="437"/>
      <c r="TJJ1" s="437"/>
      <c r="TJK1" s="437"/>
      <c r="TJL1" s="437"/>
      <c r="TJM1" s="437"/>
      <c r="TJN1" s="437"/>
      <c r="TJO1" s="437"/>
      <c r="TJP1" s="437"/>
      <c r="TJQ1" s="437"/>
      <c r="TJR1" s="437"/>
      <c r="TJS1" s="437"/>
      <c r="TJT1" s="437"/>
      <c r="TJU1" s="437"/>
      <c r="TJV1" s="437"/>
      <c r="TJW1" s="437"/>
      <c r="TJX1" s="437"/>
      <c r="TJY1" s="437"/>
      <c r="TJZ1" s="437"/>
      <c r="TKA1" s="437"/>
      <c r="TKB1" s="437"/>
      <c r="TKC1" s="437"/>
      <c r="TKD1" s="437"/>
      <c r="TKE1" s="437"/>
      <c r="TKF1" s="437"/>
      <c r="TKG1" s="437"/>
      <c r="TKH1" s="437"/>
      <c r="TKI1" s="437"/>
      <c r="TKJ1" s="437"/>
      <c r="TKK1" s="437"/>
      <c r="TKL1" s="437"/>
      <c r="TKM1" s="437"/>
      <c r="TKN1" s="437"/>
      <c r="TKO1" s="437"/>
      <c r="TKP1" s="437"/>
      <c r="TKQ1" s="437"/>
      <c r="TKR1" s="437"/>
      <c r="TKS1" s="437"/>
      <c r="TKT1" s="437"/>
      <c r="TKU1" s="437"/>
      <c r="TKV1" s="437"/>
      <c r="TKW1" s="437"/>
      <c r="TKX1" s="437"/>
      <c r="TKY1" s="437"/>
      <c r="TKZ1" s="437"/>
      <c r="TLA1" s="437"/>
      <c r="TLB1" s="437"/>
      <c r="TLC1" s="437"/>
      <c r="TLD1" s="437"/>
      <c r="TLE1" s="437"/>
      <c r="TLF1" s="437"/>
      <c r="TLG1" s="437"/>
      <c r="TLH1" s="437"/>
      <c r="TLI1" s="437"/>
      <c r="TLJ1" s="437"/>
      <c r="TLK1" s="437"/>
      <c r="TLL1" s="437"/>
      <c r="TLM1" s="437"/>
      <c r="TLN1" s="437"/>
      <c r="TLO1" s="437"/>
      <c r="TLP1" s="437"/>
      <c r="TLQ1" s="437"/>
      <c r="TLR1" s="437"/>
      <c r="TLS1" s="437"/>
      <c r="TLT1" s="437"/>
      <c r="TLU1" s="437"/>
      <c r="TLV1" s="437"/>
      <c r="TLW1" s="437"/>
      <c r="TLX1" s="437"/>
      <c r="TLY1" s="437"/>
      <c r="TLZ1" s="437"/>
      <c r="TMA1" s="437"/>
      <c r="TMB1" s="437"/>
      <c r="TMC1" s="437"/>
      <c r="TMD1" s="437"/>
      <c r="TME1" s="437"/>
      <c r="TMF1" s="437"/>
      <c r="TMG1" s="437"/>
      <c r="TMH1" s="437"/>
      <c r="TMI1" s="437"/>
      <c r="TMJ1" s="437"/>
      <c r="TMK1" s="437"/>
      <c r="TML1" s="437"/>
      <c r="TMM1" s="437"/>
      <c r="TMN1" s="437"/>
      <c r="TMO1" s="437"/>
      <c r="TMP1" s="437"/>
      <c r="TMQ1" s="437"/>
      <c r="TMR1" s="437"/>
      <c r="TMS1" s="437"/>
      <c r="TMT1" s="437"/>
      <c r="TMU1" s="437"/>
      <c r="TMV1" s="437"/>
      <c r="TMW1" s="437"/>
      <c r="TMX1" s="437"/>
      <c r="TMY1" s="437"/>
      <c r="TMZ1" s="437"/>
      <c r="TNA1" s="437"/>
      <c r="TNB1" s="437"/>
      <c r="TNC1" s="437"/>
      <c r="TND1" s="437"/>
      <c r="TNE1" s="437"/>
      <c r="TNF1" s="437"/>
      <c r="TNG1" s="437"/>
      <c r="TNH1" s="437"/>
      <c r="TNI1" s="437"/>
      <c r="TNJ1" s="437"/>
      <c r="TNK1" s="437"/>
      <c r="TNL1" s="437"/>
      <c r="TNM1" s="437"/>
      <c r="TNN1" s="437"/>
      <c r="TNO1" s="437"/>
      <c r="TNP1" s="437"/>
      <c r="TNQ1" s="437"/>
      <c r="TNR1" s="437"/>
      <c r="TNS1" s="437"/>
      <c r="TNT1" s="437"/>
      <c r="TNU1" s="437"/>
      <c r="TNV1" s="437"/>
      <c r="TNW1" s="437"/>
      <c r="TNX1" s="437"/>
      <c r="TNY1" s="437"/>
      <c r="TNZ1" s="437"/>
      <c r="TOA1" s="437"/>
      <c r="TOB1" s="437"/>
      <c r="TOC1" s="437"/>
      <c r="TOD1" s="437"/>
      <c r="TOE1" s="437"/>
      <c r="TOF1" s="437"/>
      <c r="TOG1" s="437"/>
      <c r="TOH1" s="437"/>
      <c r="TOI1" s="437"/>
      <c r="TOJ1" s="437"/>
      <c r="TOK1" s="437"/>
      <c r="TOL1" s="437"/>
      <c r="TOM1" s="437"/>
      <c r="TON1" s="437"/>
      <c r="TOO1" s="437"/>
      <c r="TOP1" s="437"/>
      <c r="TOQ1" s="437"/>
      <c r="TOR1" s="437"/>
      <c r="TOS1" s="437"/>
      <c r="TOT1" s="437"/>
      <c r="TOU1" s="437"/>
      <c r="TOV1" s="437"/>
      <c r="TOW1" s="437"/>
      <c r="TOX1" s="437"/>
      <c r="TOY1" s="437"/>
      <c r="TOZ1" s="437"/>
      <c r="TPA1" s="437"/>
      <c r="TPB1" s="437"/>
      <c r="TPC1" s="437"/>
      <c r="TPD1" s="437"/>
      <c r="TPE1" s="437"/>
      <c r="TPF1" s="437"/>
      <c r="TPG1" s="437"/>
      <c r="TPH1" s="437"/>
      <c r="TPI1" s="437"/>
      <c r="TPJ1" s="437"/>
      <c r="TPK1" s="437"/>
      <c r="TPL1" s="437"/>
      <c r="TPM1" s="437"/>
      <c r="TPN1" s="437"/>
      <c r="TPO1" s="437"/>
      <c r="TPP1" s="437"/>
      <c r="TPQ1" s="437"/>
      <c r="TPR1" s="437"/>
      <c r="TPS1" s="437"/>
      <c r="TPT1" s="437"/>
      <c r="TPU1" s="437"/>
      <c r="TPV1" s="437"/>
      <c r="TPW1" s="437"/>
      <c r="TPX1" s="437"/>
      <c r="TPY1" s="437"/>
      <c r="TPZ1" s="437"/>
      <c r="TQA1" s="437"/>
      <c r="TQB1" s="437"/>
      <c r="TQC1" s="437"/>
      <c r="TQD1" s="437"/>
      <c r="TQE1" s="437"/>
      <c r="TQF1" s="437"/>
      <c r="TQG1" s="437"/>
      <c r="TQH1" s="437"/>
      <c r="TQI1" s="437"/>
      <c r="TQJ1" s="437"/>
      <c r="TQK1" s="437"/>
      <c r="TQL1" s="437"/>
      <c r="TQM1" s="437"/>
      <c r="TQN1" s="437"/>
      <c r="TQO1" s="437"/>
      <c r="TQP1" s="437"/>
      <c r="TQQ1" s="437"/>
      <c r="TQR1" s="437"/>
      <c r="TQS1" s="437"/>
      <c r="TQT1" s="437"/>
      <c r="TQU1" s="437"/>
      <c r="TQV1" s="437"/>
      <c r="TQW1" s="437"/>
      <c r="TQX1" s="437"/>
      <c r="TQY1" s="437"/>
      <c r="TQZ1" s="437"/>
      <c r="TRA1" s="437"/>
      <c r="TRB1" s="437"/>
      <c r="TRC1" s="437"/>
      <c r="TRD1" s="437"/>
      <c r="TRE1" s="437"/>
      <c r="TRF1" s="437"/>
      <c r="TRG1" s="437"/>
      <c r="TRH1" s="437"/>
      <c r="TRI1" s="437"/>
      <c r="TRJ1" s="437"/>
      <c r="TRK1" s="437"/>
      <c r="TRL1" s="437"/>
      <c r="TRM1" s="437"/>
      <c r="TRN1" s="437"/>
      <c r="TRO1" s="437"/>
      <c r="TRP1" s="437"/>
      <c r="TRQ1" s="437"/>
      <c r="TRR1" s="437"/>
      <c r="TRS1" s="437"/>
      <c r="TRT1" s="437"/>
      <c r="TRU1" s="437"/>
      <c r="TRV1" s="437"/>
      <c r="TRW1" s="437"/>
      <c r="TRX1" s="437"/>
      <c r="TRY1" s="437"/>
      <c r="TRZ1" s="437"/>
      <c r="TSA1" s="437"/>
      <c r="TSB1" s="437"/>
      <c r="TSC1" s="437"/>
      <c r="TSD1" s="437"/>
      <c r="TSE1" s="437"/>
      <c r="TSF1" s="437"/>
      <c r="TSG1" s="437"/>
      <c r="TSH1" s="437"/>
      <c r="TSI1" s="437"/>
      <c r="TSJ1" s="437"/>
      <c r="TSK1" s="437"/>
      <c r="TSL1" s="437"/>
      <c r="TSM1" s="437"/>
      <c r="TSN1" s="437"/>
      <c r="TSO1" s="437"/>
      <c r="TSP1" s="437"/>
      <c r="TSQ1" s="437"/>
      <c r="TSR1" s="437"/>
      <c r="TSS1" s="437"/>
      <c r="TST1" s="437"/>
      <c r="TSU1" s="437"/>
      <c r="TSV1" s="437"/>
      <c r="TSW1" s="437"/>
      <c r="TSX1" s="437"/>
      <c r="TSY1" s="437"/>
      <c r="TSZ1" s="437"/>
      <c r="TTA1" s="437"/>
      <c r="TTB1" s="437"/>
      <c r="TTC1" s="437"/>
      <c r="TTD1" s="437"/>
      <c r="TTE1" s="437"/>
      <c r="TTF1" s="437"/>
      <c r="TTG1" s="437"/>
      <c r="TTH1" s="437"/>
      <c r="TTI1" s="437"/>
      <c r="TTJ1" s="437"/>
      <c r="TTK1" s="437"/>
      <c r="TTL1" s="437"/>
      <c r="TTM1" s="437"/>
      <c r="TTN1" s="437"/>
      <c r="TTO1" s="437"/>
      <c r="TTP1" s="437"/>
      <c r="TTQ1" s="437"/>
      <c r="TTR1" s="437"/>
      <c r="TTS1" s="437"/>
      <c r="TTT1" s="437"/>
      <c r="TTU1" s="437"/>
      <c r="TTV1" s="437"/>
      <c r="TTW1" s="437"/>
      <c r="TTX1" s="437"/>
      <c r="TTY1" s="437"/>
      <c r="TTZ1" s="437"/>
      <c r="TUA1" s="437"/>
      <c r="TUB1" s="437"/>
      <c r="TUC1" s="437"/>
      <c r="TUD1" s="437"/>
      <c r="TUE1" s="437"/>
      <c r="TUF1" s="437"/>
      <c r="TUG1" s="437"/>
      <c r="TUH1" s="437"/>
      <c r="TUI1" s="437"/>
      <c r="TUJ1" s="437"/>
      <c r="TUK1" s="437"/>
      <c r="TUL1" s="437"/>
      <c r="TUM1" s="437"/>
      <c r="TUN1" s="437"/>
      <c r="TUO1" s="437"/>
      <c r="TUP1" s="437"/>
      <c r="TUQ1" s="437"/>
      <c r="TUR1" s="437"/>
      <c r="TUS1" s="437"/>
      <c r="TUT1" s="437"/>
      <c r="TUU1" s="437"/>
      <c r="TUV1" s="437"/>
      <c r="TUW1" s="437"/>
      <c r="TUX1" s="437"/>
      <c r="TUY1" s="437"/>
      <c r="TUZ1" s="437"/>
      <c r="TVA1" s="437"/>
      <c r="TVB1" s="437"/>
      <c r="TVC1" s="437"/>
      <c r="TVD1" s="437"/>
      <c r="TVE1" s="437"/>
      <c r="TVF1" s="437"/>
      <c r="TVG1" s="437"/>
      <c r="TVH1" s="437"/>
      <c r="TVI1" s="437"/>
      <c r="TVJ1" s="437"/>
      <c r="TVK1" s="437"/>
      <c r="TVL1" s="437"/>
      <c r="TVM1" s="437"/>
      <c r="TVN1" s="437"/>
      <c r="TVO1" s="437"/>
      <c r="TVP1" s="437"/>
      <c r="TVQ1" s="437"/>
      <c r="TVR1" s="437"/>
      <c r="TVS1" s="437"/>
      <c r="TVT1" s="437"/>
      <c r="TVU1" s="437"/>
      <c r="TVV1" s="437"/>
      <c r="TVW1" s="437"/>
      <c r="TVX1" s="437"/>
      <c r="TVY1" s="437"/>
      <c r="TVZ1" s="437"/>
      <c r="TWA1" s="437"/>
      <c r="TWB1" s="437"/>
      <c r="TWC1" s="437"/>
      <c r="TWD1" s="437"/>
      <c r="TWE1" s="437"/>
      <c r="TWF1" s="437"/>
      <c r="TWG1" s="437"/>
      <c r="TWH1" s="437"/>
      <c r="TWI1" s="437"/>
      <c r="TWJ1" s="437"/>
      <c r="TWK1" s="437"/>
      <c r="TWL1" s="437"/>
      <c r="TWM1" s="437"/>
      <c r="TWN1" s="437"/>
      <c r="TWO1" s="437"/>
      <c r="TWP1" s="437"/>
      <c r="TWQ1" s="437"/>
      <c r="TWR1" s="437"/>
      <c r="TWS1" s="437"/>
      <c r="TWT1" s="437"/>
      <c r="TWU1" s="437"/>
      <c r="TWV1" s="437"/>
      <c r="TWW1" s="437"/>
      <c r="TWX1" s="437"/>
      <c r="TWY1" s="437"/>
      <c r="TWZ1" s="437"/>
      <c r="TXA1" s="437"/>
      <c r="TXB1" s="437"/>
      <c r="TXC1" s="437"/>
      <c r="TXD1" s="437"/>
      <c r="TXE1" s="437"/>
      <c r="TXF1" s="437"/>
      <c r="TXG1" s="437"/>
      <c r="TXH1" s="437"/>
      <c r="TXI1" s="437"/>
      <c r="TXJ1" s="437"/>
      <c r="TXK1" s="437"/>
      <c r="TXL1" s="437"/>
      <c r="TXM1" s="437"/>
      <c r="TXN1" s="437"/>
      <c r="TXO1" s="437"/>
      <c r="TXP1" s="437"/>
      <c r="TXQ1" s="437"/>
      <c r="TXR1" s="437"/>
      <c r="TXS1" s="437"/>
      <c r="TXT1" s="437"/>
      <c r="TXU1" s="437"/>
      <c r="TXV1" s="437"/>
      <c r="TXW1" s="437"/>
      <c r="TXX1" s="437"/>
      <c r="TXY1" s="437"/>
      <c r="TXZ1" s="437"/>
      <c r="TYA1" s="437"/>
      <c r="TYB1" s="437"/>
      <c r="TYC1" s="437"/>
      <c r="TYD1" s="437"/>
      <c r="TYE1" s="437"/>
      <c r="TYF1" s="437"/>
      <c r="TYG1" s="437"/>
      <c r="TYH1" s="437"/>
      <c r="TYI1" s="437"/>
      <c r="TYJ1" s="437"/>
      <c r="TYK1" s="437"/>
      <c r="TYL1" s="437"/>
      <c r="TYM1" s="437"/>
      <c r="TYN1" s="437"/>
      <c r="TYO1" s="437"/>
      <c r="TYP1" s="437"/>
      <c r="TYQ1" s="437"/>
      <c r="TYR1" s="437"/>
      <c r="TYS1" s="437"/>
      <c r="TYT1" s="437"/>
      <c r="TYU1" s="437"/>
      <c r="TYV1" s="437"/>
      <c r="TYW1" s="437"/>
      <c r="TYX1" s="437"/>
      <c r="TYY1" s="437"/>
      <c r="TYZ1" s="437"/>
      <c r="TZA1" s="437"/>
      <c r="TZB1" s="437"/>
      <c r="TZC1" s="437"/>
      <c r="TZD1" s="437"/>
      <c r="TZE1" s="437"/>
      <c r="TZF1" s="437"/>
      <c r="TZG1" s="437"/>
      <c r="TZH1" s="437"/>
      <c r="TZI1" s="437"/>
      <c r="TZJ1" s="437"/>
      <c r="TZK1" s="437"/>
      <c r="TZL1" s="437"/>
      <c r="TZM1" s="437"/>
      <c r="TZN1" s="437"/>
      <c r="TZO1" s="437"/>
      <c r="TZP1" s="437"/>
      <c r="TZQ1" s="437"/>
      <c r="TZR1" s="437"/>
      <c r="TZS1" s="437"/>
      <c r="TZT1" s="437"/>
      <c r="TZU1" s="437"/>
      <c r="TZV1" s="437"/>
      <c r="TZW1" s="437"/>
      <c r="TZX1" s="437"/>
      <c r="TZY1" s="437"/>
      <c r="TZZ1" s="437"/>
      <c r="UAA1" s="437"/>
      <c r="UAB1" s="437"/>
      <c r="UAC1" s="437"/>
      <c r="UAD1" s="437"/>
      <c r="UAE1" s="437"/>
      <c r="UAF1" s="437"/>
      <c r="UAG1" s="437"/>
      <c r="UAH1" s="437"/>
      <c r="UAI1" s="437"/>
      <c r="UAJ1" s="437"/>
      <c r="UAK1" s="437"/>
      <c r="UAL1" s="437"/>
      <c r="UAM1" s="437"/>
      <c r="UAN1" s="437"/>
      <c r="UAO1" s="437"/>
      <c r="UAP1" s="437"/>
      <c r="UAQ1" s="437"/>
      <c r="UAR1" s="437"/>
      <c r="UAS1" s="437"/>
      <c r="UAT1" s="437"/>
      <c r="UAU1" s="437"/>
      <c r="UAV1" s="437"/>
      <c r="UAW1" s="437"/>
      <c r="UAX1" s="437"/>
      <c r="UAY1" s="437"/>
      <c r="UAZ1" s="437"/>
      <c r="UBA1" s="437"/>
      <c r="UBB1" s="437"/>
      <c r="UBC1" s="437"/>
      <c r="UBD1" s="437"/>
      <c r="UBE1" s="437"/>
      <c r="UBF1" s="437"/>
      <c r="UBG1" s="437"/>
      <c r="UBH1" s="437"/>
      <c r="UBI1" s="437"/>
      <c r="UBJ1" s="437"/>
      <c r="UBK1" s="437"/>
      <c r="UBL1" s="437"/>
      <c r="UBM1" s="437"/>
      <c r="UBN1" s="437"/>
      <c r="UBO1" s="437"/>
      <c r="UBP1" s="437"/>
      <c r="UBQ1" s="437"/>
      <c r="UBR1" s="437"/>
      <c r="UBS1" s="437"/>
      <c r="UBT1" s="437"/>
      <c r="UBU1" s="437"/>
      <c r="UBV1" s="437"/>
      <c r="UBW1" s="437"/>
      <c r="UBX1" s="437"/>
      <c r="UBY1" s="437"/>
      <c r="UBZ1" s="437"/>
      <c r="UCA1" s="437"/>
      <c r="UCB1" s="437"/>
      <c r="UCC1" s="437"/>
      <c r="UCD1" s="437"/>
      <c r="UCE1" s="437"/>
      <c r="UCF1" s="437"/>
      <c r="UCG1" s="437"/>
      <c r="UCH1" s="437"/>
      <c r="UCI1" s="437"/>
      <c r="UCJ1" s="437"/>
      <c r="UCK1" s="437"/>
      <c r="UCL1" s="437"/>
      <c r="UCM1" s="437"/>
      <c r="UCN1" s="437"/>
      <c r="UCO1" s="437"/>
      <c r="UCP1" s="437"/>
      <c r="UCQ1" s="437"/>
      <c r="UCR1" s="437"/>
      <c r="UCS1" s="437"/>
      <c r="UCT1" s="437"/>
      <c r="UCU1" s="437"/>
      <c r="UCV1" s="437"/>
      <c r="UCW1" s="437"/>
      <c r="UCX1" s="437"/>
      <c r="UCY1" s="437"/>
      <c r="UCZ1" s="437"/>
      <c r="UDA1" s="437"/>
      <c r="UDB1" s="437"/>
      <c r="UDC1" s="437"/>
      <c r="UDD1" s="437"/>
      <c r="UDE1" s="437"/>
      <c r="UDF1" s="437"/>
      <c r="UDG1" s="437"/>
      <c r="UDH1" s="437"/>
      <c r="UDI1" s="437"/>
      <c r="UDJ1" s="437"/>
      <c r="UDK1" s="437"/>
      <c r="UDL1" s="437"/>
      <c r="UDM1" s="437"/>
      <c r="UDN1" s="437"/>
      <c r="UDO1" s="437"/>
      <c r="UDP1" s="437"/>
      <c r="UDQ1" s="437"/>
      <c r="UDR1" s="437"/>
      <c r="UDS1" s="437"/>
      <c r="UDT1" s="437"/>
      <c r="UDU1" s="437"/>
      <c r="UDV1" s="437"/>
      <c r="UDW1" s="437"/>
      <c r="UDX1" s="437"/>
      <c r="UDY1" s="437"/>
      <c r="UDZ1" s="437"/>
      <c r="UEA1" s="437"/>
      <c r="UEB1" s="437"/>
      <c r="UEC1" s="437"/>
      <c r="UED1" s="437"/>
      <c r="UEE1" s="437"/>
      <c r="UEF1" s="437"/>
      <c r="UEG1" s="437"/>
      <c r="UEH1" s="437"/>
      <c r="UEI1" s="437"/>
      <c r="UEJ1" s="437"/>
      <c r="UEK1" s="437"/>
      <c r="UEL1" s="437"/>
      <c r="UEM1" s="437"/>
      <c r="UEN1" s="437"/>
      <c r="UEO1" s="437"/>
      <c r="UEP1" s="437"/>
      <c r="UEQ1" s="437"/>
      <c r="UER1" s="437"/>
      <c r="UES1" s="437"/>
      <c r="UET1" s="437"/>
      <c r="UEU1" s="437"/>
      <c r="UEV1" s="437"/>
      <c r="UEW1" s="437"/>
      <c r="UEX1" s="437"/>
      <c r="UEY1" s="437"/>
      <c r="UEZ1" s="437"/>
      <c r="UFA1" s="437"/>
      <c r="UFB1" s="437"/>
      <c r="UFC1" s="437"/>
      <c r="UFD1" s="437"/>
      <c r="UFE1" s="437"/>
      <c r="UFF1" s="437"/>
      <c r="UFG1" s="437"/>
      <c r="UFH1" s="437"/>
      <c r="UFI1" s="437"/>
      <c r="UFJ1" s="437"/>
      <c r="UFK1" s="437"/>
      <c r="UFL1" s="437"/>
      <c r="UFM1" s="437"/>
      <c r="UFN1" s="437"/>
      <c r="UFO1" s="437"/>
      <c r="UFP1" s="437"/>
      <c r="UFQ1" s="437"/>
      <c r="UFR1" s="437"/>
      <c r="UFS1" s="437"/>
      <c r="UFT1" s="437"/>
      <c r="UFU1" s="437"/>
      <c r="UFV1" s="437"/>
      <c r="UFW1" s="437"/>
      <c r="UFX1" s="437"/>
      <c r="UFY1" s="437"/>
      <c r="UFZ1" s="437"/>
      <c r="UGA1" s="437"/>
      <c r="UGB1" s="437"/>
      <c r="UGC1" s="437"/>
      <c r="UGD1" s="437"/>
      <c r="UGE1" s="437"/>
      <c r="UGF1" s="437"/>
      <c r="UGG1" s="437"/>
      <c r="UGH1" s="437"/>
      <c r="UGI1" s="437"/>
      <c r="UGJ1" s="437"/>
      <c r="UGK1" s="437"/>
      <c r="UGL1" s="437"/>
      <c r="UGM1" s="437"/>
      <c r="UGN1" s="437"/>
      <c r="UGO1" s="437"/>
      <c r="UGP1" s="437"/>
      <c r="UGQ1" s="437"/>
      <c r="UGR1" s="437"/>
      <c r="UGS1" s="437"/>
      <c r="UGT1" s="437"/>
      <c r="UGU1" s="437"/>
      <c r="UGV1" s="437"/>
      <c r="UGW1" s="437"/>
      <c r="UGX1" s="437"/>
      <c r="UGY1" s="437"/>
      <c r="UGZ1" s="437"/>
      <c r="UHA1" s="437"/>
      <c r="UHB1" s="437"/>
      <c r="UHC1" s="437"/>
      <c r="UHD1" s="437"/>
      <c r="UHE1" s="437"/>
      <c r="UHF1" s="437"/>
      <c r="UHG1" s="437"/>
      <c r="UHH1" s="437"/>
      <c r="UHI1" s="437"/>
      <c r="UHJ1" s="437"/>
      <c r="UHK1" s="437"/>
      <c r="UHL1" s="437"/>
      <c r="UHM1" s="437"/>
      <c r="UHN1" s="437"/>
      <c r="UHO1" s="437"/>
      <c r="UHP1" s="437"/>
      <c r="UHQ1" s="437"/>
      <c r="UHR1" s="437"/>
      <c r="UHS1" s="437"/>
      <c r="UHT1" s="437"/>
      <c r="UHU1" s="437"/>
      <c r="UHV1" s="437"/>
      <c r="UHW1" s="437"/>
      <c r="UHX1" s="437"/>
      <c r="UHY1" s="437"/>
      <c r="UHZ1" s="437"/>
      <c r="UIA1" s="437"/>
      <c r="UIB1" s="437"/>
      <c r="UIC1" s="437"/>
      <c r="UID1" s="437"/>
      <c r="UIE1" s="437"/>
      <c r="UIF1" s="437"/>
      <c r="UIG1" s="437"/>
      <c r="UIH1" s="437"/>
      <c r="UII1" s="437"/>
      <c r="UIJ1" s="437"/>
      <c r="UIK1" s="437"/>
      <c r="UIL1" s="437"/>
      <c r="UIM1" s="437"/>
      <c r="UIN1" s="437"/>
      <c r="UIO1" s="437"/>
      <c r="UIP1" s="437"/>
      <c r="UIQ1" s="437"/>
      <c r="UIR1" s="437"/>
      <c r="UIS1" s="437"/>
      <c r="UIT1" s="437"/>
      <c r="UIU1" s="437"/>
      <c r="UIV1" s="437"/>
      <c r="UIW1" s="437"/>
      <c r="UIX1" s="437"/>
      <c r="UIY1" s="437"/>
      <c r="UIZ1" s="437"/>
      <c r="UJA1" s="437"/>
      <c r="UJB1" s="437"/>
      <c r="UJC1" s="437"/>
      <c r="UJD1" s="437"/>
      <c r="UJE1" s="437"/>
      <c r="UJF1" s="437"/>
      <c r="UJG1" s="437"/>
      <c r="UJH1" s="437"/>
      <c r="UJI1" s="437"/>
      <c r="UJJ1" s="437"/>
      <c r="UJK1" s="437"/>
      <c r="UJL1" s="437"/>
      <c r="UJM1" s="437"/>
      <c r="UJN1" s="437"/>
      <c r="UJO1" s="437"/>
      <c r="UJP1" s="437"/>
      <c r="UJQ1" s="437"/>
      <c r="UJR1" s="437"/>
      <c r="UJS1" s="437"/>
      <c r="UJT1" s="437"/>
      <c r="UJU1" s="437"/>
      <c r="UJV1" s="437"/>
      <c r="UJW1" s="437"/>
      <c r="UJX1" s="437"/>
      <c r="UJY1" s="437"/>
      <c r="UJZ1" s="437"/>
      <c r="UKA1" s="437"/>
      <c r="UKB1" s="437"/>
      <c r="UKC1" s="437"/>
      <c r="UKD1" s="437"/>
      <c r="UKE1" s="437"/>
      <c r="UKF1" s="437"/>
      <c r="UKG1" s="437"/>
      <c r="UKH1" s="437"/>
      <c r="UKI1" s="437"/>
      <c r="UKJ1" s="437"/>
      <c r="UKK1" s="437"/>
      <c r="UKL1" s="437"/>
      <c r="UKM1" s="437"/>
      <c r="UKN1" s="437"/>
      <c r="UKO1" s="437"/>
      <c r="UKP1" s="437"/>
      <c r="UKQ1" s="437"/>
      <c r="UKR1" s="437"/>
      <c r="UKS1" s="437"/>
      <c r="UKT1" s="437"/>
      <c r="UKU1" s="437"/>
      <c r="UKV1" s="437"/>
      <c r="UKW1" s="437"/>
      <c r="UKX1" s="437"/>
      <c r="UKY1" s="437"/>
      <c r="UKZ1" s="437"/>
      <c r="ULA1" s="437"/>
      <c r="ULB1" s="437"/>
      <c r="ULC1" s="437"/>
      <c r="ULD1" s="437"/>
      <c r="ULE1" s="437"/>
      <c r="ULF1" s="437"/>
      <c r="ULG1" s="437"/>
      <c r="ULH1" s="437"/>
      <c r="ULI1" s="437"/>
      <c r="ULJ1" s="437"/>
      <c r="ULK1" s="437"/>
      <c r="ULL1" s="437"/>
      <c r="ULM1" s="437"/>
      <c r="ULN1" s="437"/>
      <c r="ULO1" s="437"/>
      <c r="ULP1" s="437"/>
      <c r="ULQ1" s="437"/>
      <c r="ULR1" s="437"/>
      <c r="ULS1" s="437"/>
      <c r="ULT1" s="437"/>
      <c r="ULU1" s="437"/>
      <c r="ULV1" s="437"/>
      <c r="ULW1" s="437"/>
      <c r="ULX1" s="437"/>
      <c r="ULY1" s="437"/>
      <c r="ULZ1" s="437"/>
      <c r="UMA1" s="437"/>
      <c r="UMB1" s="437"/>
      <c r="UMC1" s="437"/>
      <c r="UMD1" s="437"/>
      <c r="UME1" s="437"/>
      <c r="UMF1" s="437"/>
      <c r="UMG1" s="437"/>
      <c r="UMH1" s="437"/>
      <c r="UMI1" s="437"/>
      <c r="UMJ1" s="437"/>
      <c r="UMK1" s="437"/>
      <c r="UML1" s="437"/>
      <c r="UMM1" s="437"/>
      <c r="UMN1" s="437"/>
      <c r="UMO1" s="437"/>
      <c r="UMP1" s="437"/>
      <c r="UMQ1" s="437"/>
      <c r="UMR1" s="437"/>
      <c r="UMS1" s="437"/>
      <c r="UMT1" s="437"/>
      <c r="UMU1" s="437"/>
      <c r="UMV1" s="437"/>
      <c r="UMW1" s="437"/>
      <c r="UMX1" s="437"/>
      <c r="UMY1" s="437"/>
      <c r="UMZ1" s="437"/>
      <c r="UNA1" s="437"/>
      <c r="UNB1" s="437"/>
      <c r="UNC1" s="437"/>
      <c r="UND1" s="437"/>
      <c r="UNE1" s="437"/>
      <c r="UNF1" s="437"/>
      <c r="UNG1" s="437"/>
      <c r="UNH1" s="437"/>
      <c r="UNI1" s="437"/>
      <c r="UNJ1" s="437"/>
      <c r="UNK1" s="437"/>
      <c r="UNL1" s="437"/>
      <c r="UNM1" s="437"/>
      <c r="UNN1" s="437"/>
      <c r="UNO1" s="437"/>
      <c r="UNP1" s="437"/>
      <c r="UNQ1" s="437"/>
      <c r="UNR1" s="437"/>
      <c r="UNS1" s="437"/>
      <c r="UNT1" s="437"/>
      <c r="UNU1" s="437"/>
      <c r="UNV1" s="437"/>
      <c r="UNW1" s="437"/>
      <c r="UNX1" s="437"/>
      <c r="UNY1" s="437"/>
      <c r="UNZ1" s="437"/>
      <c r="UOA1" s="437"/>
      <c r="UOB1" s="437"/>
      <c r="UOC1" s="437"/>
      <c r="UOD1" s="437"/>
      <c r="UOE1" s="437"/>
      <c r="UOF1" s="437"/>
      <c r="UOG1" s="437"/>
      <c r="UOH1" s="437"/>
      <c r="UOI1" s="437"/>
      <c r="UOJ1" s="437"/>
      <c r="UOK1" s="437"/>
      <c r="UOL1" s="437"/>
      <c r="UOM1" s="437"/>
      <c r="UON1" s="437"/>
      <c r="UOO1" s="437"/>
      <c r="UOP1" s="437"/>
      <c r="UOQ1" s="437"/>
      <c r="UOR1" s="437"/>
      <c r="UOS1" s="437"/>
      <c r="UOT1" s="437"/>
      <c r="UOU1" s="437"/>
      <c r="UOV1" s="437"/>
      <c r="UOW1" s="437"/>
      <c r="UOX1" s="437"/>
      <c r="UOY1" s="437"/>
      <c r="UOZ1" s="437"/>
      <c r="UPA1" s="437"/>
      <c r="UPB1" s="437"/>
      <c r="UPC1" s="437"/>
      <c r="UPD1" s="437"/>
      <c r="UPE1" s="437"/>
      <c r="UPF1" s="437"/>
      <c r="UPG1" s="437"/>
      <c r="UPH1" s="437"/>
      <c r="UPI1" s="437"/>
      <c r="UPJ1" s="437"/>
      <c r="UPK1" s="437"/>
      <c r="UPL1" s="437"/>
      <c r="UPM1" s="437"/>
      <c r="UPN1" s="437"/>
      <c r="UPO1" s="437"/>
      <c r="UPP1" s="437"/>
      <c r="UPQ1" s="437"/>
      <c r="UPR1" s="437"/>
      <c r="UPS1" s="437"/>
      <c r="UPT1" s="437"/>
      <c r="UPU1" s="437"/>
      <c r="UPV1" s="437"/>
      <c r="UPW1" s="437"/>
      <c r="UPX1" s="437"/>
      <c r="UPY1" s="437"/>
      <c r="UPZ1" s="437"/>
      <c r="UQA1" s="437"/>
      <c r="UQB1" s="437"/>
      <c r="UQC1" s="437"/>
      <c r="UQD1" s="437"/>
      <c r="UQE1" s="437"/>
      <c r="UQF1" s="437"/>
      <c r="UQG1" s="437"/>
      <c r="UQH1" s="437"/>
      <c r="UQI1" s="437"/>
      <c r="UQJ1" s="437"/>
      <c r="UQK1" s="437"/>
      <c r="UQL1" s="437"/>
      <c r="UQM1" s="437"/>
      <c r="UQN1" s="437"/>
      <c r="UQO1" s="437"/>
      <c r="UQP1" s="437"/>
      <c r="UQQ1" s="437"/>
      <c r="UQR1" s="437"/>
      <c r="UQS1" s="437"/>
      <c r="UQT1" s="437"/>
      <c r="UQU1" s="437"/>
      <c r="UQV1" s="437"/>
      <c r="UQW1" s="437"/>
      <c r="UQX1" s="437"/>
      <c r="UQY1" s="437"/>
      <c r="UQZ1" s="437"/>
      <c r="URA1" s="437"/>
      <c r="URB1" s="437"/>
      <c r="URC1" s="437"/>
      <c r="URD1" s="437"/>
      <c r="URE1" s="437"/>
      <c r="URF1" s="437"/>
      <c r="URG1" s="437"/>
      <c r="URH1" s="437"/>
      <c r="URI1" s="437"/>
      <c r="URJ1" s="437"/>
      <c r="URK1" s="437"/>
      <c r="URL1" s="437"/>
      <c r="URM1" s="437"/>
      <c r="URN1" s="437"/>
      <c r="URO1" s="437"/>
      <c r="URP1" s="437"/>
      <c r="URQ1" s="437"/>
      <c r="URR1" s="437"/>
      <c r="URS1" s="437"/>
      <c r="URT1" s="437"/>
      <c r="URU1" s="437"/>
      <c r="URV1" s="437"/>
      <c r="URW1" s="437"/>
      <c r="URX1" s="437"/>
      <c r="URY1" s="437"/>
      <c r="URZ1" s="437"/>
      <c r="USA1" s="437"/>
      <c r="USB1" s="437"/>
      <c r="USC1" s="437"/>
      <c r="USD1" s="437"/>
      <c r="USE1" s="437"/>
      <c r="USF1" s="437"/>
      <c r="USG1" s="437"/>
      <c r="USH1" s="437"/>
      <c r="USI1" s="437"/>
      <c r="USJ1" s="437"/>
      <c r="USK1" s="437"/>
      <c r="USL1" s="437"/>
      <c r="USM1" s="437"/>
      <c r="USN1" s="437"/>
      <c r="USO1" s="437"/>
      <c r="USP1" s="437"/>
      <c r="USQ1" s="437"/>
      <c r="USR1" s="437"/>
      <c r="USS1" s="437"/>
      <c r="UST1" s="437"/>
      <c r="USU1" s="437"/>
      <c r="USV1" s="437"/>
      <c r="USW1" s="437"/>
      <c r="USX1" s="437"/>
      <c r="USY1" s="437"/>
      <c r="USZ1" s="437"/>
      <c r="UTA1" s="437"/>
      <c r="UTB1" s="437"/>
      <c r="UTC1" s="437"/>
      <c r="UTD1" s="437"/>
      <c r="UTE1" s="437"/>
      <c r="UTF1" s="437"/>
      <c r="UTG1" s="437"/>
      <c r="UTH1" s="437"/>
      <c r="UTI1" s="437"/>
      <c r="UTJ1" s="437"/>
      <c r="UTK1" s="437"/>
      <c r="UTL1" s="437"/>
      <c r="UTM1" s="437"/>
      <c r="UTN1" s="437"/>
      <c r="UTO1" s="437"/>
      <c r="UTP1" s="437"/>
      <c r="UTQ1" s="437"/>
      <c r="UTR1" s="437"/>
      <c r="UTS1" s="437"/>
      <c r="UTT1" s="437"/>
      <c r="UTU1" s="437"/>
      <c r="UTV1" s="437"/>
      <c r="UTW1" s="437"/>
      <c r="UTX1" s="437"/>
      <c r="UTY1" s="437"/>
      <c r="UTZ1" s="437"/>
      <c r="UUA1" s="437"/>
      <c r="UUB1" s="437"/>
      <c r="UUC1" s="437"/>
      <c r="UUD1" s="437"/>
      <c r="UUE1" s="437"/>
      <c r="UUF1" s="437"/>
      <c r="UUG1" s="437"/>
      <c r="UUH1" s="437"/>
      <c r="UUI1" s="437"/>
      <c r="UUJ1" s="437"/>
      <c r="UUK1" s="437"/>
      <c r="UUL1" s="437"/>
      <c r="UUM1" s="437"/>
      <c r="UUN1" s="437"/>
      <c r="UUO1" s="437"/>
      <c r="UUP1" s="437"/>
      <c r="UUQ1" s="437"/>
      <c r="UUR1" s="437"/>
      <c r="UUS1" s="437"/>
      <c r="UUT1" s="437"/>
      <c r="UUU1" s="437"/>
      <c r="UUV1" s="437"/>
      <c r="UUW1" s="437"/>
      <c r="UUX1" s="437"/>
      <c r="UUY1" s="437"/>
      <c r="UUZ1" s="437"/>
      <c r="UVA1" s="437"/>
      <c r="UVB1" s="437"/>
      <c r="UVC1" s="437"/>
      <c r="UVD1" s="437"/>
      <c r="UVE1" s="437"/>
      <c r="UVF1" s="437"/>
      <c r="UVG1" s="437"/>
      <c r="UVH1" s="437"/>
      <c r="UVI1" s="437"/>
      <c r="UVJ1" s="437"/>
      <c r="UVK1" s="437"/>
      <c r="UVL1" s="437"/>
      <c r="UVM1" s="437"/>
      <c r="UVN1" s="437"/>
      <c r="UVO1" s="437"/>
      <c r="UVP1" s="437"/>
      <c r="UVQ1" s="437"/>
      <c r="UVR1" s="437"/>
      <c r="UVS1" s="437"/>
      <c r="UVT1" s="437"/>
      <c r="UVU1" s="437"/>
      <c r="UVV1" s="437"/>
      <c r="UVW1" s="437"/>
      <c r="UVX1" s="437"/>
      <c r="UVY1" s="437"/>
      <c r="UVZ1" s="437"/>
      <c r="UWA1" s="437"/>
      <c r="UWB1" s="437"/>
      <c r="UWC1" s="437"/>
      <c r="UWD1" s="437"/>
      <c r="UWE1" s="437"/>
      <c r="UWF1" s="437"/>
      <c r="UWG1" s="437"/>
      <c r="UWH1" s="437"/>
      <c r="UWI1" s="437"/>
      <c r="UWJ1" s="437"/>
      <c r="UWK1" s="437"/>
      <c r="UWL1" s="437"/>
      <c r="UWM1" s="437"/>
      <c r="UWN1" s="437"/>
      <c r="UWO1" s="437"/>
      <c r="UWP1" s="437"/>
      <c r="UWQ1" s="437"/>
      <c r="UWR1" s="437"/>
      <c r="UWS1" s="437"/>
      <c r="UWT1" s="437"/>
      <c r="UWU1" s="437"/>
      <c r="UWV1" s="437"/>
      <c r="UWW1" s="437"/>
      <c r="UWX1" s="437"/>
      <c r="UWY1" s="437"/>
      <c r="UWZ1" s="437"/>
      <c r="UXA1" s="437"/>
      <c r="UXB1" s="437"/>
      <c r="UXC1" s="437"/>
      <c r="UXD1" s="437"/>
      <c r="UXE1" s="437"/>
      <c r="UXF1" s="437"/>
      <c r="UXG1" s="437"/>
      <c r="UXH1" s="437"/>
      <c r="UXI1" s="437"/>
      <c r="UXJ1" s="437"/>
      <c r="UXK1" s="437"/>
      <c r="UXL1" s="437"/>
      <c r="UXM1" s="437"/>
      <c r="UXN1" s="437"/>
      <c r="UXO1" s="437"/>
      <c r="UXP1" s="437"/>
      <c r="UXQ1" s="437"/>
      <c r="UXR1" s="437"/>
      <c r="UXS1" s="437"/>
      <c r="UXT1" s="437"/>
      <c r="UXU1" s="437"/>
      <c r="UXV1" s="437"/>
      <c r="UXW1" s="437"/>
      <c r="UXX1" s="437"/>
      <c r="UXY1" s="437"/>
      <c r="UXZ1" s="437"/>
      <c r="UYA1" s="437"/>
      <c r="UYB1" s="437"/>
      <c r="UYC1" s="437"/>
      <c r="UYD1" s="437"/>
      <c r="UYE1" s="437"/>
      <c r="UYF1" s="437"/>
      <c r="UYG1" s="437"/>
      <c r="UYH1" s="437"/>
      <c r="UYI1" s="437"/>
      <c r="UYJ1" s="437"/>
      <c r="UYK1" s="437"/>
      <c r="UYL1" s="437"/>
      <c r="UYM1" s="437"/>
      <c r="UYN1" s="437"/>
      <c r="UYO1" s="437"/>
      <c r="UYP1" s="437"/>
      <c r="UYQ1" s="437"/>
      <c r="UYR1" s="437"/>
      <c r="UYS1" s="437"/>
      <c r="UYT1" s="437"/>
      <c r="UYU1" s="437"/>
      <c r="UYV1" s="437"/>
      <c r="UYW1" s="437"/>
      <c r="UYX1" s="437"/>
      <c r="UYY1" s="437"/>
      <c r="UYZ1" s="437"/>
      <c r="UZA1" s="437"/>
      <c r="UZB1" s="437"/>
      <c r="UZC1" s="437"/>
      <c r="UZD1" s="437"/>
      <c r="UZE1" s="437"/>
      <c r="UZF1" s="437"/>
      <c r="UZG1" s="437"/>
      <c r="UZH1" s="437"/>
      <c r="UZI1" s="437"/>
      <c r="UZJ1" s="437"/>
      <c r="UZK1" s="437"/>
      <c r="UZL1" s="437"/>
      <c r="UZM1" s="437"/>
      <c r="UZN1" s="437"/>
      <c r="UZO1" s="437"/>
      <c r="UZP1" s="437"/>
      <c r="UZQ1" s="437"/>
      <c r="UZR1" s="437"/>
      <c r="UZS1" s="437"/>
      <c r="UZT1" s="437"/>
      <c r="UZU1" s="437"/>
      <c r="UZV1" s="437"/>
      <c r="UZW1" s="437"/>
      <c r="UZX1" s="437"/>
      <c r="UZY1" s="437"/>
      <c r="UZZ1" s="437"/>
      <c r="VAA1" s="437"/>
      <c r="VAB1" s="437"/>
      <c r="VAC1" s="437"/>
      <c r="VAD1" s="437"/>
      <c r="VAE1" s="437"/>
      <c r="VAF1" s="437"/>
      <c r="VAG1" s="437"/>
      <c r="VAH1" s="437"/>
      <c r="VAI1" s="437"/>
      <c r="VAJ1" s="437"/>
      <c r="VAK1" s="437"/>
      <c r="VAL1" s="437"/>
      <c r="VAM1" s="437"/>
      <c r="VAN1" s="437"/>
      <c r="VAO1" s="437"/>
      <c r="VAP1" s="437"/>
      <c r="VAQ1" s="437"/>
      <c r="VAR1" s="437"/>
      <c r="VAS1" s="437"/>
      <c r="VAT1" s="437"/>
      <c r="VAU1" s="437"/>
      <c r="VAV1" s="437"/>
      <c r="VAW1" s="437"/>
      <c r="VAX1" s="437"/>
      <c r="VAY1" s="437"/>
      <c r="VAZ1" s="437"/>
      <c r="VBA1" s="437"/>
      <c r="VBB1" s="437"/>
      <c r="VBC1" s="437"/>
      <c r="VBD1" s="437"/>
      <c r="VBE1" s="437"/>
      <c r="VBF1" s="437"/>
      <c r="VBG1" s="437"/>
      <c r="VBH1" s="437"/>
      <c r="VBI1" s="437"/>
      <c r="VBJ1" s="437"/>
      <c r="VBK1" s="437"/>
      <c r="VBL1" s="437"/>
      <c r="VBM1" s="437"/>
      <c r="VBN1" s="437"/>
      <c r="VBO1" s="437"/>
      <c r="VBP1" s="437"/>
      <c r="VBQ1" s="437"/>
      <c r="VBR1" s="437"/>
      <c r="VBS1" s="437"/>
      <c r="VBT1" s="437"/>
      <c r="VBU1" s="437"/>
      <c r="VBV1" s="437"/>
      <c r="VBW1" s="437"/>
      <c r="VBX1" s="437"/>
      <c r="VBY1" s="437"/>
      <c r="VBZ1" s="437"/>
      <c r="VCA1" s="437"/>
      <c r="VCB1" s="437"/>
      <c r="VCC1" s="437"/>
      <c r="VCD1" s="437"/>
      <c r="VCE1" s="437"/>
      <c r="VCF1" s="437"/>
      <c r="VCG1" s="437"/>
      <c r="VCH1" s="437"/>
      <c r="VCI1" s="437"/>
      <c r="VCJ1" s="437"/>
      <c r="VCK1" s="437"/>
      <c r="VCL1" s="437"/>
      <c r="VCM1" s="437"/>
      <c r="VCN1" s="437"/>
      <c r="VCO1" s="437"/>
      <c r="VCP1" s="437"/>
      <c r="VCQ1" s="437"/>
      <c r="VCR1" s="437"/>
      <c r="VCS1" s="437"/>
      <c r="VCT1" s="437"/>
      <c r="VCU1" s="437"/>
      <c r="VCV1" s="437"/>
      <c r="VCW1" s="437"/>
      <c r="VCX1" s="437"/>
      <c r="VCY1" s="437"/>
      <c r="VCZ1" s="437"/>
      <c r="VDA1" s="437"/>
      <c r="VDB1" s="437"/>
      <c r="VDC1" s="437"/>
      <c r="VDD1" s="437"/>
      <c r="VDE1" s="437"/>
      <c r="VDF1" s="437"/>
      <c r="VDG1" s="437"/>
      <c r="VDH1" s="437"/>
      <c r="VDI1" s="437"/>
      <c r="VDJ1" s="437"/>
      <c r="VDK1" s="437"/>
      <c r="VDL1" s="437"/>
      <c r="VDM1" s="437"/>
      <c r="VDN1" s="437"/>
      <c r="VDO1" s="437"/>
      <c r="VDP1" s="437"/>
      <c r="VDQ1" s="437"/>
      <c r="VDR1" s="437"/>
      <c r="VDS1" s="437"/>
      <c r="VDT1" s="437"/>
      <c r="VDU1" s="437"/>
      <c r="VDV1" s="437"/>
      <c r="VDW1" s="437"/>
      <c r="VDX1" s="437"/>
      <c r="VDY1" s="437"/>
      <c r="VDZ1" s="437"/>
      <c r="VEA1" s="437"/>
      <c r="VEB1" s="437"/>
      <c r="VEC1" s="437"/>
      <c r="VED1" s="437"/>
      <c r="VEE1" s="437"/>
      <c r="VEF1" s="437"/>
      <c r="VEG1" s="437"/>
      <c r="VEH1" s="437"/>
      <c r="VEI1" s="437"/>
      <c r="VEJ1" s="437"/>
      <c r="VEK1" s="437"/>
      <c r="VEL1" s="437"/>
      <c r="VEM1" s="437"/>
      <c r="VEN1" s="437"/>
      <c r="VEO1" s="437"/>
      <c r="VEP1" s="437"/>
      <c r="VEQ1" s="437"/>
      <c r="VER1" s="437"/>
      <c r="VES1" s="437"/>
      <c r="VET1" s="437"/>
      <c r="VEU1" s="437"/>
      <c r="VEV1" s="437"/>
      <c r="VEW1" s="437"/>
      <c r="VEX1" s="437"/>
      <c r="VEY1" s="437"/>
      <c r="VEZ1" s="437"/>
      <c r="VFA1" s="437"/>
      <c r="VFB1" s="437"/>
      <c r="VFC1" s="437"/>
      <c r="VFD1" s="437"/>
      <c r="VFE1" s="437"/>
      <c r="VFF1" s="437"/>
      <c r="VFG1" s="437"/>
      <c r="VFH1" s="437"/>
      <c r="VFI1" s="437"/>
      <c r="VFJ1" s="437"/>
      <c r="VFK1" s="437"/>
      <c r="VFL1" s="437"/>
      <c r="VFM1" s="437"/>
      <c r="VFN1" s="437"/>
      <c r="VFO1" s="437"/>
      <c r="VFP1" s="437"/>
      <c r="VFQ1" s="437"/>
      <c r="VFR1" s="437"/>
      <c r="VFS1" s="437"/>
      <c r="VFT1" s="437"/>
      <c r="VFU1" s="437"/>
      <c r="VFV1" s="437"/>
      <c r="VFW1" s="437"/>
      <c r="VFX1" s="437"/>
      <c r="VFY1" s="437"/>
      <c r="VFZ1" s="437"/>
      <c r="VGA1" s="437"/>
      <c r="VGB1" s="437"/>
      <c r="VGC1" s="437"/>
      <c r="VGD1" s="437"/>
      <c r="VGE1" s="437"/>
      <c r="VGF1" s="437"/>
      <c r="VGG1" s="437"/>
      <c r="VGH1" s="437"/>
      <c r="VGI1" s="437"/>
      <c r="VGJ1" s="437"/>
      <c r="VGK1" s="437"/>
      <c r="VGL1" s="437"/>
      <c r="VGM1" s="437"/>
      <c r="VGN1" s="437"/>
      <c r="VGO1" s="437"/>
      <c r="VGP1" s="437"/>
      <c r="VGQ1" s="437"/>
      <c r="VGR1" s="437"/>
      <c r="VGS1" s="437"/>
      <c r="VGT1" s="437"/>
      <c r="VGU1" s="437"/>
      <c r="VGV1" s="437"/>
      <c r="VGW1" s="437"/>
      <c r="VGX1" s="437"/>
      <c r="VGY1" s="437"/>
      <c r="VGZ1" s="437"/>
      <c r="VHA1" s="437"/>
      <c r="VHB1" s="437"/>
      <c r="VHC1" s="437"/>
      <c r="VHD1" s="437"/>
      <c r="VHE1" s="437"/>
      <c r="VHF1" s="437"/>
      <c r="VHG1" s="437"/>
      <c r="VHH1" s="437"/>
      <c r="VHI1" s="437"/>
      <c r="VHJ1" s="437"/>
      <c r="VHK1" s="437"/>
      <c r="VHL1" s="437"/>
      <c r="VHM1" s="437"/>
      <c r="VHN1" s="437"/>
      <c r="VHO1" s="437"/>
      <c r="VHP1" s="437"/>
      <c r="VHQ1" s="437"/>
      <c r="VHR1" s="437"/>
      <c r="VHS1" s="437"/>
      <c r="VHT1" s="437"/>
      <c r="VHU1" s="437"/>
      <c r="VHV1" s="437"/>
      <c r="VHW1" s="437"/>
      <c r="VHX1" s="437"/>
      <c r="VHY1" s="437"/>
      <c r="VHZ1" s="437"/>
      <c r="VIA1" s="437"/>
      <c r="VIB1" s="437"/>
      <c r="VIC1" s="437"/>
      <c r="VID1" s="437"/>
      <c r="VIE1" s="437"/>
      <c r="VIF1" s="437"/>
      <c r="VIG1" s="437"/>
      <c r="VIH1" s="437"/>
      <c r="VII1" s="437"/>
      <c r="VIJ1" s="437"/>
      <c r="VIK1" s="437"/>
      <c r="VIL1" s="437"/>
      <c r="VIM1" s="437"/>
      <c r="VIN1" s="437"/>
      <c r="VIO1" s="437"/>
      <c r="VIP1" s="437"/>
      <c r="VIQ1" s="437"/>
      <c r="VIR1" s="437"/>
      <c r="VIS1" s="437"/>
      <c r="VIT1" s="437"/>
      <c r="VIU1" s="437"/>
      <c r="VIV1" s="437"/>
      <c r="VIW1" s="437"/>
      <c r="VIX1" s="437"/>
      <c r="VIY1" s="437"/>
      <c r="VIZ1" s="437"/>
      <c r="VJA1" s="437"/>
      <c r="VJB1" s="437"/>
      <c r="VJC1" s="437"/>
      <c r="VJD1" s="437"/>
      <c r="VJE1" s="437"/>
      <c r="VJF1" s="437"/>
      <c r="VJG1" s="437"/>
      <c r="VJH1" s="437"/>
      <c r="VJI1" s="437"/>
      <c r="VJJ1" s="437"/>
      <c r="VJK1" s="437"/>
      <c r="VJL1" s="437"/>
      <c r="VJM1" s="437"/>
      <c r="VJN1" s="437"/>
      <c r="VJO1" s="437"/>
      <c r="VJP1" s="437"/>
      <c r="VJQ1" s="437"/>
      <c r="VJR1" s="437"/>
      <c r="VJS1" s="437"/>
      <c r="VJT1" s="437"/>
      <c r="VJU1" s="437"/>
      <c r="VJV1" s="437"/>
      <c r="VJW1" s="437"/>
      <c r="VJX1" s="437"/>
      <c r="VJY1" s="437"/>
      <c r="VJZ1" s="437"/>
      <c r="VKA1" s="437"/>
      <c r="VKB1" s="437"/>
      <c r="VKC1" s="437"/>
      <c r="VKD1" s="437"/>
      <c r="VKE1" s="437"/>
      <c r="VKF1" s="437"/>
      <c r="VKG1" s="437"/>
      <c r="VKH1" s="437"/>
      <c r="VKI1" s="437"/>
      <c r="VKJ1" s="437"/>
      <c r="VKK1" s="437"/>
      <c r="VKL1" s="437"/>
      <c r="VKM1" s="437"/>
      <c r="VKN1" s="437"/>
      <c r="VKO1" s="437"/>
      <c r="VKP1" s="437"/>
      <c r="VKQ1" s="437"/>
      <c r="VKR1" s="437"/>
      <c r="VKS1" s="437"/>
      <c r="VKT1" s="437"/>
      <c r="VKU1" s="437"/>
      <c r="VKV1" s="437"/>
      <c r="VKW1" s="437"/>
      <c r="VKX1" s="437"/>
      <c r="VKY1" s="437"/>
      <c r="VKZ1" s="437"/>
      <c r="VLA1" s="437"/>
      <c r="VLB1" s="437"/>
      <c r="VLC1" s="437"/>
      <c r="VLD1" s="437"/>
      <c r="VLE1" s="437"/>
      <c r="VLF1" s="437"/>
      <c r="VLG1" s="437"/>
      <c r="VLH1" s="437"/>
      <c r="VLI1" s="437"/>
      <c r="VLJ1" s="437"/>
      <c r="VLK1" s="437"/>
      <c r="VLL1" s="437"/>
      <c r="VLM1" s="437"/>
      <c r="VLN1" s="437"/>
      <c r="VLO1" s="437"/>
      <c r="VLP1" s="437"/>
      <c r="VLQ1" s="437"/>
      <c r="VLR1" s="437"/>
      <c r="VLS1" s="437"/>
      <c r="VLT1" s="437"/>
      <c r="VLU1" s="437"/>
      <c r="VLV1" s="437"/>
      <c r="VLW1" s="437"/>
      <c r="VLX1" s="437"/>
      <c r="VLY1" s="437"/>
      <c r="VLZ1" s="437"/>
      <c r="VMA1" s="437"/>
      <c r="VMB1" s="437"/>
      <c r="VMC1" s="437"/>
      <c r="VMD1" s="437"/>
      <c r="VME1" s="437"/>
      <c r="VMF1" s="437"/>
      <c r="VMG1" s="437"/>
      <c r="VMH1" s="437"/>
      <c r="VMI1" s="437"/>
      <c r="VMJ1" s="437"/>
      <c r="VMK1" s="437"/>
      <c r="VML1" s="437"/>
      <c r="VMM1" s="437"/>
      <c r="VMN1" s="437"/>
      <c r="VMO1" s="437"/>
      <c r="VMP1" s="437"/>
      <c r="VMQ1" s="437"/>
      <c r="VMR1" s="437"/>
      <c r="VMS1" s="437"/>
      <c r="VMT1" s="437"/>
      <c r="VMU1" s="437"/>
      <c r="VMV1" s="437"/>
      <c r="VMW1" s="437"/>
      <c r="VMX1" s="437"/>
      <c r="VMY1" s="437"/>
      <c r="VMZ1" s="437"/>
      <c r="VNA1" s="437"/>
      <c r="VNB1" s="437"/>
      <c r="VNC1" s="437"/>
      <c r="VND1" s="437"/>
      <c r="VNE1" s="437"/>
      <c r="VNF1" s="437"/>
      <c r="VNG1" s="437"/>
      <c r="VNH1" s="437"/>
      <c r="VNI1" s="437"/>
      <c r="VNJ1" s="437"/>
      <c r="VNK1" s="437"/>
      <c r="VNL1" s="437"/>
      <c r="VNM1" s="437"/>
      <c r="VNN1" s="437"/>
      <c r="VNO1" s="437"/>
      <c r="VNP1" s="437"/>
      <c r="VNQ1" s="437"/>
      <c r="VNR1" s="437"/>
      <c r="VNS1" s="437"/>
      <c r="VNT1" s="437"/>
      <c r="VNU1" s="437"/>
      <c r="VNV1" s="437"/>
      <c r="VNW1" s="437"/>
      <c r="VNX1" s="437"/>
      <c r="VNY1" s="437"/>
      <c r="VNZ1" s="437"/>
      <c r="VOA1" s="437"/>
      <c r="VOB1" s="437"/>
      <c r="VOC1" s="437"/>
      <c r="VOD1" s="437"/>
      <c r="VOE1" s="437"/>
      <c r="VOF1" s="437"/>
      <c r="VOG1" s="437"/>
      <c r="VOH1" s="437"/>
      <c r="VOI1" s="437"/>
      <c r="VOJ1" s="437"/>
      <c r="VOK1" s="437"/>
      <c r="VOL1" s="437"/>
      <c r="VOM1" s="437"/>
      <c r="VON1" s="437"/>
      <c r="VOO1" s="437"/>
      <c r="VOP1" s="437"/>
      <c r="VOQ1" s="437"/>
      <c r="VOR1" s="437"/>
      <c r="VOS1" s="437"/>
      <c r="VOT1" s="437"/>
      <c r="VOU1" s="437"/>
      <c r="VOV1" s="437"/>
      <c r="VOW1" s="437"/>
      <c r="VOX1" s="437"/>
      <c r="VOY1" s="437"/>
      <c r="VOZ1" s="437"/>
      <c r="VPA1" s="437"/>
      <c r="VPB1" s="437"/>
      <c r="VPC1" s="437"/>
      <c r="VPD1" s="437"/>
      <c r="VPE1" s="437"/>
      <c r="VPF1" s="437"/>
      <c r="VPG1" s="437"/>
      <c r="VPH1" s="437"/>
      <c r="VPI1" s="437"/>
      <c r="VPJ1" s="437"/>
      <c r="VPK1" s="437"/>
      <c r="VPL1" s="437"/>
      <c r="VPM1" s="437"/>
      <c r="VPN1" s="437"/>
      <c r="VPO1" s="437"/>
      <c r="VPP1" s="437"/>
      <c r="VPQ1" s="437"/>
      <c r="VPR1" s="437"/>
      <c r="VPS1" s="437"/>
      <c r="VPT1" s="437"/>
      <c r="VPU1" s="437"/>
      <c r="VPV1" s="437"/>
      <c r="VPW1" s="437"/>
      <c r="VPX1" s="437"/>
      <c r="VPY1" s="437"/>
      <c r="VPZ1" s="437"/>
      <c r="VQA1" s="437"/>
      <c r="VQB1" s="437"/>
      <c r="VQC1" s="437"/>
      <c r="VQD1" s="437"/>
      <c r="VQE1" s="437"/>
      <c r="VQF1" s="437"/>
      <c r="VQG1" s="437"/>
      <c r="VQH1" s="437"/>
      <c r="VQI1" s="437"/>
      <c r="VQJ1" s="437"/>
      <c r="VQK1" s="437"/>
      <c r="VQL1" s="437"/>
      <c r="VQM1" s="437"/>
      <c r="VQN1" s="437"/>
      <c r="VQO1" s="437"/>
      <c r="VQP1" s="437"/>
      <c r="VQQ1" s="437"/>
      <c r="VQR1" s="437"/>
      <c r="VQS1" s="437"/>
      <c r="VQT1" s="437"/>
      <c r="VQU1" s="437"/>
      <c r="VQV1" s="437"/>
      <c r="VQW1" s="437"/>
      <c r="VQX1" s="437"/>
      <c r="VQY1" s="437"/>
      <c r="VQZ1" s="437"/>
      <c r="VRA1" s="437"/>
      <c r="VRB1" s="437"/>
      <c r="VRC1" s="437"/>
      <c r="VRD1" s="437"/>
      <c r="VRE1" s="437"/>
      <c r="VRF1" s="437"/>
      <c r="VRG1" s="437"/>
      <c r="VRH1" s="437"/>
      <c r="VRI1" s="437"/>
      <c r="VRJ1" s="437"/>
      <c r="VRK1" s="437"/>
      <c r="VRL1" s="437"/>
      <c r="VRM1" s="437"/>
      <c r="VRN1" s="437"/>
      <c r="VRO1" s="437"/>
      <c r="VRP1" s="437"/>
      <c r="VRQ1" s="437"/>
      <c r="VRR1" s="437"/>
      <c r="VRS1" s="437"/>
      <c r="VRT1" s="437"/>
      <c r="VRU1" s="437"/>
      <c r="VRV1" s="437"/>
      <c r="VRW1" s="437"/>
      <c r="VRX1" s="437"/>
      <c r="VRY1" s="437"/>
      <c r="VRZ1" s="437"/>
      <c r="VSA1" s="437"/>
      <c r="VSB1" s="437"/>
      <c r="VSC1" s="437"/>
      <c r="VSD1" s="437"/>
      <c r="VSE1" s="437"/>
      <c r="VSF1" s="437"/>
      <c r="VSG1" s="437"/>
      <c r="VSH1" s="437"/>
      <c r="VSI1" s="437"/>
      <c r="VSJ1" s="437"/>
      <c r="VSK1" s="437"/>
      <c r="VSL1" s="437"/>
      <c r="VSM1" s="437"/>
      <c r="VSN1" s="437"/>
      <c r="VSO1" s="437"/>
      <c r="VSP1" s="437"/>
      <c r="VSQ1" s="437"/>
      <c r="VSR1" s="437"/>
      <c r="VSS1" s="437"/>
      <c r="VST1" s="437"/>
      <c r="VSU1" s="437"/>
      <c r="VSV1" s="437"/>
      <c r="VSW1" s="437"/>
      <c r="VSX1" s="437"/>
      <c r="VSY1" s="437"/>
      <c r="VSZ1" s="437"/>
      <c r="VTA1" s="437"/>
      <c r="VTB1" s="437"/>
      <c r="VTC1" s="437"/>
      <c r="VTD1" s="437"/>
      <c r="VTE1" s="437"/>
      <c r="VTF1" s="437"/>
      <c r="VTG1" s="437"/>
      <c r="VTH1" s="437"/>
      <c r="VTI1" s="437"/>
      <c r="VTJ1" s="437"/>
      <c r="VTK1" s="437"/>
      <c r="VTL1" s="437"/>
      <c r="VTM1" s="437"/>
      <c r="VTN1" s="437"/>
      <c r="VTO1" s="437"/>
      <c r="VTP1" s="437"/>
      <c r="VTQ1" s="437"/>
      <c r="VTR1" s="437"/>
      <c r="VTS1" s="437"/>
      <c r="VTT1" s="437"/>
      <c r="VTU1" s="437"/>
      <c r="VTV1" s="437"/>
      <c r="VTW1" s="437"/>
      <c r="VTX1" s="437"/>
      <c r="VTY1" s="437"/>
      <c r="VTZ1" s="437"/>
      <c r="VUA1" s="437"/>
      <c r="VUB1" s="437"/>
      <c r="VUC1" s="437"/>
      <c r="VUD1" s="437"/>
      <c r="VUE1" s="437"/>
      <c r="VUF1" s="437"/>
      <c r="VUG1" s="437"/>
      <c r="VUH1" s="437"/>
      <c r="VUI1" s="437"/>
      <c r="VUJ1" s="437"/>
      <c r="VUK1" s="437"/>
      <c r="VUL1" s="437"/>
      <c r="VUM1" s="437"/>
      <c r="VUN1" s="437"/>
      <c r="VUO1" s="437"/>
      <c r="VUP1" s="437"/>
      <c r="VUQ1" s="437"/>
      <c r="VUR1" s="437"/>
      <c r="VUS1" s="437"/>
      <c r="VUT1" s="437"/>
      <c r="VUU1" s="437"/>
      <c r="VUV1" s="437"/>
      <c r="VUW1" s="437"/>
      <c r="VUX1" s="437"/>
      <c r="VUY1" s="437"/>
      <c r="VUZ1" s="437"/>
      <c r="VVA1" s="437"/>
      <c r="VVB1" s="437"/>
      <c r="VVC1" s="437"/>
      <c r="VVD1" s="437"/>
      <c r="VVE1" s="437"/>
      <c r="VVF1" s="437"/>
      <c r="VVG1" s="437"/>
      <c r="VVH1" s="437"/>
      <c r="VVI1" s="437"/>
      <c r="VVJ1" s="437"/>
      <c r="VVK1" s="437"/>
      <c r="VVL1" s="437"/>
      <c r="VVM1" s="437"/>
      <c r="VVN1" s="437"/>
      <c r="VVO1" s="437"/>
      <c r="VVP1" s="437"/>
      <c r="VVQ1" s="437"/>
      <c r="VVR1" s="437"/>
      <c r="VVS1" s="437"/>
      <c r="VVT1" s="437"/>
      <c r="VVU1" s="437"/>
      <c r="VVV1" s="437"/>
      <c r="VVW1" s="437"/>
      <c r="VVX1" s="437"/>
      <c r="VVY1" s="437"/>
      <c r="VVZ1" s="437"/>
      <c r="VWA1" s="437"/>
      <c r="VWB1" s="437"/>
      <c r="VWC1" s="437"/>
      <c r="VWD1" s="437"/>
      <c r="VWE1" s="437"/>
      <c r="VWF1" s="437"/>
      <c r="VWG1" s="437"/>
      <c r="VWH1" s="437"/>
      <c r="VWI1" s="437"/>
      <c r="VWJ1" s="437"/>
      <c r="VWK1" s="437"/>
      <c r="VWL1" s="437"/>
      <c r="VWM1" s="437"/>
      <c r="VWN1" s="437"/>
      <c r="VWO1" s="437"/>
      <c r="VWP1" s="437"/>
      <c r="VWQ1" s="437"/>
      <c r="VWR1" s="437"/>
      <c r="VWS1" s="437"/>
      <c r="VWT1" s="437"/>
      <c r="VWU1" s="437"/>
      <c r="VWV1" s="437"/>
      <c r="VWW1" s="437"/>
      <c r="VWX1" s="437"/>
      <c r="VWY1" s="437"/>
      <c r="VWZ1" s="437"/>
      <c r="VXA1" s="437"/>
      <c r="VXB1" s="437"/>
      <c r="VXC1" s="437"/>
      <c r="VXD1" s="437"/>
      <c r="VXE1" s="437"/>
      <c r="VXF1" s="437"/>
      <c r="VXG1" s="437"/>
      <c r="VXH1" s="437"/>
      <c r="VXI1" s="437"/>
      <c r="VXJ1" s="437"/>
      <c r="VXK1" s="437"/>
      <c r="VXL1" s="437"/>
      <c r="VXM1" s="437"/>
      <c r="VXN1" s="437"/>
      <c r="VXO1" s="437"/>
      <c r="VXP1" s="437"/>
      <c r="VXQ1" s="437"/>
      <c r="VXR1" s="437"/>
      <c r="VXS1" s="437"/>
      <c r="VXT1" s="437"/>
      <c r="VXU1" s="437"/>
      <c r="VXV1" s="437"/>
      <c r="VXW1" s="437"/>
      <c r="VXX1" s="437"/>
      <c r="VXY1" s="437"/>
      <c r="VXZ1" s="437"/>
      <c r="VYA1" s="437"/>
      <c r="VYB1" s="437"/>
      <c r="VYC1" s="437"/>
      <c r="VYD1" s="437"/>
      <c r="VYE1" s="437"/>
      <c r="VYF1" s="437"/>
      <c r="VYG1" s="437"/>
      <c r="VYH1" s="437"/>
      <c r="VYI1" s="437"/>
      <c r="VYJ1" s="437"/>
      <c r="VYK1" s="437"/>
      <c r="VYL1" s="437"/>
      <c r="VYM1" s="437"/>
      <c r="VYN1" s="437"/>
      <c r="VYO1" s="437"/>
      <c r="VYP1" s="437"/>
      <c r="VYQ1" s="437"/>
      <c r="VYR1" s="437"/>
      <c r="VYS1" s="437"/>
      <c r="VYT1" s="437"/>
      <c r="VYU1" s="437"/>
      <c r="VYV1" s="437"/>
      <c r="VYW1" s="437"/>
      <c r="VYX1" s="437"/>
      <c r="VYY1" s="437"/>
      <c r="VYZ1" s="437"/>
      <c r="VZA1" s="437"/>
      <c r="VZB1" s="437"/>
      <c r="VZC1" s="437"/>
      <c r="VZD1" s="437"/>
      <c r="VZE1" s="437"/>
      <c r="VZF1" s="437"/>
      <c r="VZG1" s="437"/>
      <c r="VZH1" s="437"/>
      <c r="VZI1" s="437"/>
      <c r="VZJ1" s="437"/>
      <c r="VZK1" s="437"/>
      <c r="VZL1" s="437"/>
      <c r="VZM1" s="437"/>
      <c r="VZN1" s="437"/>
      <c r="VZO1" s="437"/>
      <c r="VZP1" s="437"/>
      <c r="VZQ1" s="437"/>
      <c r="VZR1" s="437"/>
      <c r="VZS1" s="437"/>
      <c r="VZT1" s="437"/>
      <c r="VZU1" s="437"/>
      <c r="VZV1" s="437"/>
      <c r="VZW1" s="437"/>
      <c r="VZX1" s="437"/>
      <c r="VZY1" s="437"/>
      <c r="VZZ1" s="437"/>
      <c r="WAA1" s="437"/>
      <c r="WAB1" s="437"/>
      <c r="WAC1" s="437"/>
      <c r="WAD1" s="437"/>
      <c r="WAE1" s="437"/>
      <c r="WAF1" s="437"/>
      <c r="WAG1" s="437"/>
      <c r="WAH1" s="437"/>
      <c r="WAI1" s="437"/>
      <c r="WAJ1" s="437"/>
      <c r="WAK1" s="437"/>
      <c r="WAL1" s="437"/>
      <c r="WAM1" s="437"/>
      <c r="WAN1" s="437"/>
      <c r="WAO1" s="437"/>
      <c r="WAP1" s="437"/>
      <c r="WAQ1" s="437"/>
      <c r="WAR1" s="437"/>
      <c r="WAS1" s="437"/>
      <c r="WAT1" s="437"/>
      <c r="WAU1" s="437"/>
      <c r="WAV1" s="437"/>
      <c r="WAW1" s="437"/>
      <c r="WAX1" s="437"/>
      <c r="WAY1" s="437"/>
      <c r="WAZ1" s="437"/>
      <c r="WBA1" s="437"/>
      <c r="WBB1" s="437"/>
      <c r="WBC1" s="437"/>
      <c r="WBD1" s="437"/>
      <c r="WBE1" s="437"/>
      <c r="WBF1" s="437"/>
      <c r="WBG1" s="437"/>
      <c r="WBH1" s="437"/>
      <c r="WBI1" s="437"/>
      <c r="WBJ1" s="437"/>
      <c r="WBK1" s="437"/>
      <c r="WBL1" s="437"/>
      <c r="WBM1" s="437"/>
      <c r="WBN1" s="437"/>
      <c r="WBO1" s="437"/>
      <c r="WBP1" s="437"/>
      <c r="WBQ1" s="437"/>
      <c r="WBR1" s="437"/>
      <c r="WBS1" s="437"/>
      <c r="WBT1" s="437"/>
      <c r="WBU1" s="437"/>
      <c r="WBV1" s="437"/>
      <c r="WBW1" s="437"/>
      <c r="WBX1" s="437"/>
      <c r="WBY1" s="437"/>
      <c r="WBZ1" s="437"/>
      <c r="WCA1" s="437"/>
      <c r="WCB1" s="437"/>
      <c r="WCC1" s="437"/>
      <c r="WCD1" s="437"/>
      <c r="WCE1" s="437"/>
      <c r="WCF1" s="437"/>
      <c r="WCG1" s="437"/>
      <c r="WCH1" s="437"/>
      <c r="WCI1" s="437"/>
      <c r="WCJ1" s="437"/>
      <c r="WCK1" s="437"/>
      <c r="WCL1" s="437"/>
      <c r="WCM1" s="437"/>
      <c r="WCN1" s="437"/>
      <c r="WCO1" s="437"/>
      <c r="WCP1" s="437"/>
      <c r="WCQ1" s="437"/>
      <c r="WCR1" s="437"/>
      <c r="WCS1" s="437"/>
      <c r="WCT1" s="437"/>
      <c r="WCU1" s="437"/>
      <c r="WCV1" s="437"/>
      <c r="WCW1" s="437"/>
      <c r="WCX1" s="437"/>
      <c r="WCY1" s="437"/>
      <c r="WCZ1" s="437"/>
      <c r="WDA1" s="437"/>
      <c r="WDB1" s="437"/>
      <c r="WDC1" s="437"/>
      <c r="WDD1" s="437"/>
      <c r="WDE1" s="437"/>
      <c r="WDF1" s="437"/>
      <c r="WDG1" s="437"/>
      <c r="WDH1" s="437"/>
      <c r="WDI1" s="437"/>
      <c r="WDJ1" s="437"/>
      <c r="WDK1" s="437"/>
      <c r="WDL1" s="437"/>
      <c r="WDM1" s="437"/>
      <c r="WDN1" s="437"/>
      <c r="WDO1" s="437"/>
      <c r="WDP1" s="437"/>
      <c r="WDQ1" s="437"/>
      <c r="WDR1" s="437"/>
      <c r="WDS1" s="437"/>
      <c r="WDT1" s="437"/>
      <c r="WDU1" s="437"/>
      <c r="WDV1" s="437"/>
      <c r="WDW1" s="437"/>
      <c r="WDX1" s="437"/>
      <c r="WDY1" s="437"/>
      <c r="WDZ1" s="437"/>
      <c r="WEA1" s="437"/>
      <c r="WEB1" s="437"/>
      <c r="WEC1" s="437"/>
      <c r="WED1" s="437"/>
      <c r="WEE1" s="437"/>
      <c r="WEF1" s="437"/>
      <c r="WEG1" s="437"/>
      <c r="WEH1" s="437"/>
      <c r="WEI1" s="437"/>
      <c r="WEJ1" s="437"/>
      <c r="WEK1" s="437"/>
      <c r="WEL1" s="437"/>
      <c r="WEM1" s="437"/>
      <c r="WEN1" s="437"/>
      <c r="WEO1" s="437"/>
      <c r="WEP1" s="437"/>
      <c r="WEQ1" s="437"/>
      <c r="WER1" s="437"/>
      <c r="WES1" s="437"/>
      <c r="WET1" s="437"/>
      <c r="WEU1" s="437"/>
      <c r="WEV1" s="437"/>
      <c r="WEW1" s="437"/>
      <c r="WEX1" s="437"/>
      <c r="WEY1" s="437"/>
      <c r="WEZ1" s="437"/>
      <c r="WFA1" s="437"/>
      <c r="WFB1" s="437"/>
      <c r="WFC1" s="437"/>
      <c r="WFD1" s="437"/>
      <c r="WFE1" s="437"/>
      <c r="WFF1" s="437"/>
      <c r="WFG1" s="437"/>
      <c r="WFH1" s="437"/>
      <c r="WFI1" s="437"/>
      <c r="WFJ1" s="437"/>
      <c r="WFK1" s="437"/>
      <c r="WFL1" s="437"/>
      <c r="WFM1" s="437"/>
      <c r="WFN1" s="437"/>
      <c r="WFO1" s="437"/>
      <c r="WFP1" s="437"/>
      <c r="WFQ1" s="437"/>
      <c r="WFR1" s="437"/>
      <c r="WFS1" s="437"/>
      <c r="WFT1" s="437"/>
      <c r="WFU1" s="437"/>
      <c r="WFV1" s="437"/>
      <c r="WFW1" s="437"/>
      <c r="WFX1" s="437"/>
      <c r="WFY1" s="437"/>
      <c r="WFZ1" s="437"/>
      <c r="WGA1" s="437"/>
      <c r="WGB1" s="437"/>
      <c r="WGC1" s="437"/>
      <c r="WGD1" s="437"/>
      <c r="WGE1" s="437"/>
      <c r="WGF1" s="437"/>
      <c r="WGG1" s="437"/>
      <c r="WGH1" s="437"/>
      <c r="WGI1" s="437"/>
      <c r="WGJ1" s="437"/>
      <c r="WGK1" s="437"/>
      <c r="WGL1" s="437"/>
      <c r="WGM1" s="437"/>
      <c r="WGN1" s="437"/>
      <c r="WGO1" s="437"/>
      <c r="WGP1" s="437"/>
      <c r="WGQ1" s="437"/>
      <c r="WGR1" s="437"/>
      <c r="WGS1" s="437"/>
      <c r="WGT1" s="437"/>
      <c r="WGU1" s="437"/>
      <c r="WGV1" s="437"/>
      <c r="WGW1" s="437"/>
      <c r="WGX1" s="437"/>
      <c r="WGY1" s="437"/>
      <c r="WGZ1" s="437"/>
      <c r="WHA1" s="437"/>
      <c r="WHB1" s="437"/>
      <c r="WHC1" s="437"/>
      <c r="WHD1" s="437"/>
      <c r="WHE1" s="437"/>
      <c r="WHF1" s="437"/>
      <c r="WHG1" s="437"/>
      <c r="WHH1" s="437"/>
      <c r="WHI1" s="437"/>
      <c r="WHJ1" s="437"/>
      <c r="WHK1" s="437"/>
      <c r="WHL1" s="437"/>
      <c r="WHM1" s="437"/>
      <c r="WHN1" s="437"/>
      <c r="WHO1" s="437"/>
      <c r="WHP1" s="437"/>
      <c r="WHQ1" s="437"/>
      <c r="WHR1" s="437"/>
      <c r="WHS1" s="437"/>
      <c r="WHT1" s="437"/>
      <c r="WHU1" s="437"/>
      <c r="WHV1" s="437"/>
      <c r="WHW1" s="437"/>
      <c r="WHX1" s="437"/>
      <c r="WHY1" s="437"/>
      <c r="WHZ1" s="437"/>
      <c r="WIA1" s="437"/>
      <c r="WIB1" s="437"/>
      <c r="WIC1" s="437"/>
      <c r="WID1" s="437"/>
      <c r="WIE1" s="437"/>
      <c r="WIF1" s="437"/>
      <c r="WIG1" s="437"/>
      <c r="WIH1" s="437"/>
      <c r="WII1" s="437"/>
      <c r="WIJ1" s="437"/>
      <c r="WIK1" s="437"/>
      <c r="WIL1" s="437"/>
      <c r="WIM1" s="437"/>
      <c r="WIN1" s="437"/>
      <c r="WIO1" s="437"/>
      <c r="WIP1" s="437"/>
      <c r="WIQ1" s="437"/>
      <c r="WIR1" s="437"/>
      <c r="WIS1" s="437"/>
      <c r="WIT1" s="437"/>
      <c r="WIU1" s="437"/>
      <c r="WIV1" s="437"/>
      <c r="WIW1" s="437"/>
      <c r="WIX1" s="437"/>
      <c r="WIY1" s="437"/>
      <c r="WIZ1" s="437"/>
      <c r="WJA1" s="437"/>
      <c r="WJB1" s="437"/>
      <c r="WJC1" s="437"/>
      <c r="WJD1" s="437"/>
      <c r="WJE1" s="437"/>
      <c r="WJF1" s="437"/>
      <c r="WJG1" s="437"/>
      <c r="WJH1" s="437"/>
      <c r="WJI1" s="437"/>
      <c r="WJJ1" s="437"/>
      <c r="WJK1" s="437"/>
      <c r="WJL1" s="437"/>
      <c r="WJM1" s="437"/>
      <c r="WJN1" s="437"/>
      <c r="WJO1" s="437"/>
      <c r="WJP1" s="437"/>
      <c r="WJQ1" s="437"/>
      <c r="WJR1" s="437"/>
      <c r="WJS1" s="437"/>
      <c r="WJT1" s="437"/>
      <c r="WJU1" s="437"/>
      <c r="WJV1" s="437"/>
      <c r="WJW1" s="437"/>
      <c r="WJX1" s="437"/>
      <c r="WJY1" s="437"/>
      <c r="WJZ1" s="437"/>
      <c r="WKA1" s="437"/>
      <c r="WKB1" s="437"/>
      <c r="WKC1" s="437"/>
      <c r="WKD1" s="437"/>
      <c r="WKE1" s="437"/>
      <c r="WKF1" s="437"/>
      <c r="WKG1" s="437"/>
      <c r="WKH1" s="437"/>
      <c r="WKI1" s="437"/>
      <c r="WKJ1" s="437"/>
      <c r="WKK1" s="437"/>
      <c r="WKL1" s="437"/>
      <c r="WKM1" s="437"/>
      <c r="WKN1" s="437"/>
      <c r="WKO1" s="437"/>
      <c r="WKP1" s="437"/>
      <c r="WKQ1" s="437"/>
      <c r="WKR1" s="437"/>
      <c r="WKS1" s="437"/>
      <c r="WKT1" s="437"/>
      <c r="WKU1" s="437"/>
      <c r="WKV1" s="437"/>
      <c r="WKW1" s="437"/>
      <c r="WKX1" s="437"/>
      <c r="WKY1" s="437"/>
      <c r="WKZ1" s="437"/>
      <c r="WLA1" s="437"/>
      <c r="WLB1" s="437"/>
      <c r="WLC1" s="437"/>
      <c r="WLD1" s="437"/>
      <c r="WLE1" s="437"/>
      <c r="WLF1" s="437"/>
      <c r="WLG1" s="437"/>
      <c r="WLH1" s="437"/>
      <c r="WLI1" s="437"/>
      <c r="WLJ1" s="437"/>
      <c r="WLK1" s="437"/>
      <c r="WLL1" s="437"/>
      <c r="WLM1" s="437"/>
      <c r="WLN1" s="437"/>
      <c r="WLO1" s="437"/>
      <c r="WLP1" s="437"/>
      <c r="WLQ1" s="437"/>
      <c r="WLR1" s="437"/>
      <c r="WLS1" s="437"/>
      <c r="WLT1" s="437"/>
      <c r="WLU1" s="437"/>
      <c r="WLV1" s="437"/>
      <c r="WLW1" s="437"/>
      <c r="WLX1" s="437"/>
      <c r="WLY1" s="437"/>
      <c r="WLZ1" s="437"/>
      <c r="WMA1" s="437"/>
      <c r="WMB1" s="437"/>
      <c r="WMC1" s="437"/>
      <c r="WMD1" s="437"/>
      <c r="WME1" s="437"/>
      <c r="WMF1" s="437"/>
      <c r="WMG1" s="437"/>
      <c r="WMH1" s="437"/>
      <c r="WMI1" s="437"/>
      <c r="WMJ1" s="437"/>
      <c r="WMK1" s="437"/>
      <c r="WML1" s="437"/>
      <c r="WMM1" s="437"/>
      <c r="WMN1" s="437"/>
      <c r="WMO1" s="437"/>
      <c r="WMP1" s="437"/>
      <c r="WMQ1" s="437"/>
      <c r="WMR1" s="437"/>
      <c r="WMS1" s="437"/>
      <c r="WMT1" s="437"/>
      <c r="WMU1" s="437"/>
      <c r="WMV1" s="437"/>
      <c r="WMW1" s="437"/>
      <c r="WMX1" s="437"/>
      <c r="WMY1" s="437"/>
      <c r="WMZ1" s="437"/>
      <c r="WNA1" s="437"/>
      <c r="WNB1" s="437"/>
      <c r="WNC1" s="437"/>
      <c r="WND1" s="437"/>
      <c r="WNE1" s="437"/>
      <c r="WNF1" s="437"/>
      <c r="WNG1" s="437"/>
      <c r="WNH1" s="437"/>
      <c r="WNI1" s="437"/>
      <c r="WNJ1" s="437"/>
      <c r="WNK1" s="437"/>
      <c r="WNL1" s="437"/>
      <c r="WNM1" s="437"/>
      <c r="WNN1" s="437"/>
      <c r="WNO1" s="437"/>
      <c r="WNP1" s="437"/>
      <c r="WNQ1" s="437"/>
      <c r="WNR1" s="437"/>
      <c r="WNS1" s="437"/>
      <c r="WNT1" s="437"/>
      <c r="WNU1" s="437"/>
      <c r="WNV1" s="437"/>
      <c r="WNW1" s="437"/>
      <c r="WNX1" s="437"/>
      <c r="WNY1" s="437"/>
      <c r="WNZ1" s="437"/>
      <c r="WOA1" s="437"/>
      <c r="WOB1" s="437"/>
      <c r="WOC1" s="437"/>
      <c r="WOD1" s="437"/>
      <c r="WOE1" s="437"/>
      <c r="WOF1" s="437"/>
      <c r="WOG1" s="437"/>
      <c r="WOH1" s="437"/>
      <c r="WOI1" s="437"/>
      <c r="WOJ1" s="437"/>
      <c r="WOK1" s="437"/>
      <c r="WOL1" s="437"/>
      <c r="WOM1" s="437"/>
      <c r="WON1" s="437"/>
      <c r="WOO1" s="437"/>
      <c r="WOP1" s="437"/>
      <c r="WOQ1" s="437"/>
      <c r="WOR1" s="437"/>
      <c r="WOS1" s="437"/>
      <c r="WOT1" s="437"/>
      <c r="WOU1" s="437"/>
      <c r="WOV1" s="437"/>
      <c r="WOW1" s="437"/>
      <c r="WOX1" s="437"/>
      <c r="WOY1" s="437"/>
      <c r="WOZ1" s="437"/>
      <c r="WPA1" s="437"/>
      <c r="WPB1" s="437"/>
      <c r="WPC1" s="437"/>
      <c r="WPD1" s="437"/>
      <c r="WPE1" s="437"/>
      <c r="WPF1" s="437"/>
      <c r="WPG1" s="437"/>
      <c r="WPH1" s="437"/>
      <c r="WPI1" s="437"/>
      <c r="WPJ1" s="437"/>
      <c r="WPK1" s="437"/>
      <c r="WPL1" s="437"/>
      <c r="WPM1" s="437"/>
      <c r="WPN1" s="437"/>
      <c r="WPO1" s="437"/>
      <c r="WPP1" s="437"/>
      <c r="WPQ1" s="437"/>
      <c r="WPR1" s="437"/>
      <c r="WPS1" s="437"/>
      <c r="WPT1" s="437"/>
      <c r="WPU1" s="437"/>
      <c r="WPV1" s="437"/>
      <c r="WPW1" s="437"/>
      <c r="WPX1" s="437"/>
      <c r="WPY1" s="437"/>
      <c r="WPZ1" s="437"/>
      <c r="WQA1" s="437"/>
      <c r="WQB1" s="437"/>
      <c r="WQC1" s="437"/>
      <c r="WQD1" s="437"/>
      <c r="WQE1" s="437"/>
      <c r="WQF1" s="437"/>
      <c r="WQG1" s="437"/>
      <c r="WQH1" s="437"/>
      <c r="WQI1" s="437"/>
      <c r="WQJ1" s="437"/>
      <c r="WQK1" s="437"/>
      <c r="WQL1" s="437"/>
      <c r="WQM1" s="437"/>
      <c r="WQN1" s="437"/>
      <c r="WQO1" s="437"/>
      <c r="WQP1" s="437"/>
      <c r="WQQ1" s="437"/>
      <c r="WQR1" s="437"/>
      <c r="WQS1" s="437"/>
      <c r="WQT1" s="437"/>
      <c r="WQU1" s="437"/>
      <c r="WQV1" s="437"/>
      <c r="WQW1" s="437"/>
      <c r="WQX1" s="437"/>
      <c r="WQY1" s="437"/>
      <c r="WQZ1" s="437"/>
      <c r="WRA1" s="437"/>
      <c r="WRB1" s="437"/>
      <c r="WRC1" s="437"/>
      <c r="WRD1" s="437"/>
      <c r="WRE1" s="437"/>
      <c r="WRF1" s="437"/>
      <c r="WRG1" s="437"/>
      <c r="WRH1" s="437"/>
      <c r="WRI1" s="437"/>
      <c r="WRJ1" s="437"/>
      <c r="WRK1" s="437"/>
      <c r="WRL1" s="437"/>
      <c r="WRM1" s="437"/>
      <c r="WRN1" s="437"/>
      <c r="WRO1" s="437"/>
      <c r="WRP1" s="437"/>
      <c r="WRQ1" s="437"/>
      <c r="WRR1" s="437"/>
      <c r="WRS1" s="437"/>
      <c r="WRT1" s="437"/>
      <c r="WRU1" s="437"/>
      <c r="WRV1" s="437"/>
      <c r="WRW1" s="437"/>
      <c r="WRX1" s="437"/>
      <c r="WRY1" s="437"/>
      <c r="WRZ1" s="437"/>
      <c r="WSA1" s="437"/>
      <c r="WSB1" s="437"/>
      <c r="WSC1" s="437"/>
      <c r="WSD1" s="437"/>
      <c r="WSE1" s="437"/>
      <c r="WSF1" s="437"/>
      <c r="WSG1" s="437"/>
      <c r="WSH1" s="437"/>
      <c r="WSI1" s="437"/>
      <c r="WSJ1" s="437"/>
      <c r="WSK1" s="437"/>
      <c r="WSL1" s="437"/>
      <c r="WSM1" s="437"/>
      <c r="WSN1" s="437"/>
      <c r="WSO1" s="437"/>
      <c r="WSP1" s="437"/>
      <c r="WSQ1" s="437"/>
      <c r="WSR1" s="437"/>
      <c r="WSS1" s="437"/>
      <c r="WST1" s="437"/>
      <c r="WSU1" s="437"/>
      <c r="WSV1" s="437"/>
      <c r="WSW1" s="437"/>
      <c r="WSX1" s="437"/>
      <c r="WSY1" s="437"/>
      <c r="WSZ1" s="437"/>
      <c r="WTA1" s="437"/>
      <c r="WTB1" s="437"/>
      <c r="WTC1" s="437"/>
      <c r="WTD1" s="437"/>
      <c r="WTE1" s="437"/>
      <c r="WTF1" s="437"/>
      <c r="WTG1" s="437"/>
      <c r="WTH1" s="437"/>
      <c r="WTI1" s="437"/>
      <c r="WTJ1" s="437"/>
      <c r="WTK1" s="437"/>
      <c r="WTL1" s="437"/>
      <c r="WTM1" s="437"/>
      <c r="WTN1" s="437"/>
      <c r="WTO1" s="437"/>
      <c r="WTP1" s="437"/>
      <c r="WTQ1" s="437"/>
      <c r="WTR1" s="437"/>
      <c r="WTS1" s="437"/>
      <c r="WTT1" s="437"/>
      <c r="WTU1" s="437"/>
      <c r="WTV1" s="437"/>
      <c r="WTW1" s="437"/>
      <c r="WTX1" s="437"/>
      <c r="WTY1" s="437"/>
      <c r="WTZ1" s="437"/>
      <c r="WUA1" s="437"/>
      <c r="WUB1" s="437"/>
      <c r="WUC1" s="437"/>
      <c r="WUD1" s="437"/>
      <c r="WUE1" s="437"/>
      <c r="WUF1" s="437"/>
      <c r="WUG1" s="437"/>
      <c r="WUH1" s="437"/>
      <c r="WUI1" s="437"/>
      <c r="WUJ1" s="437"/>
      <c r="WUK1" s="437"/>
      <c r="WUL1" s="437"/>
      <c r="WUM1" s="437"/>
      <c r="WUN1" s="437"/>
      <c r="WUO1" s="437"/>
      <c r="WUP1" s="437"/>
      <c r="WUQ1" s="437"/>
      <c r="WUR1" s="437"/>
      <c r="WUS1" s="437"/>
      <c r="WUT1" s="437"/>
      <c r="WUU1" s="437"/>
      <c r="WUV1" s="437"/>
      <c r="WUW1" s="437"/>
      <c r="WUX1" s="437"/>
      <c r="WUY1" s="437"/>
      <c r="WUZ1" s="437"/>
      <c r="WVA1" s="437"/>
      <c r="WVB1" s="437"/>
      <c r="WVC1" s="437"/>
      <c r="WVD1" s="437"/>
      <c r="WVE1" s="437"/>
      <c r="WVF1" s="437"/>
      <c r="WVG1" s="437"/>
      <c r="WVH1" s="437"/>
      <c r="WVI1" s="437"/>
      <c r="WVJ1" s="437"/>
      <c r="WVK1" s="437"/>
      <c r="WVL1" s="437"/>
      <c r="WVM1" s="437"/>
      <c r="WVN1" s="437"/>
      <c r="WVO1" s="437"/>
      <c r="WVP1" s="437"/>
      <c r="WVQ1" s="437"/>
      <c r="WVR1" s="437"/>
      <c r="WVS1" s="437"/>
      <c r="WVT1" s="437"/>
      <c r="WVU1" s="437"/>
      <c r="WVV1" s="437"/>
      <c r="WVW1" s="437"/>
      <c r="WVX1" s="437"/>
      <c r="WVY1" s="437"/>
      <c r="WVZ1" s="437"/>
      <c r="WWA1" s="437"/>
      <c r="WWB1" s="437"/>
      <c r="WWC1" s="437"/>
      <c r="WWD1" s="437"/>
      <c r="WWE1" s="437"/>
      <c r="WWF1" s="437"/>
      <c r="WWG1" s="437"/>
      <c r="WWH1" s="437"/>
      <c r="WWI1" s="437"/>
      <c r="WWJ1" s="437"/>
      <c r="WWK1" s="437"/>
      <c r="WWL1" s="437"/>
      <c r="WWM1" s="437"/>
      <c r="WWN1" s="437"/>
      <c r="WWO1" s="437"/>
      <c r="WWP1" s="437"/>
      <c r="WWQ1" s="437"/>
      <c r="WWR1" s="437"/>
      <c r="WWS1" s="437"/>
      <c r="WWT1" s="437"/>
      <c r="WWU1" s="437"/>
      <c r="WWV1" s="437"/>
      <c r="WWW1" s="437"/>
      <c r="WWX1" s="437"/>
      <c r="WWY1" s="437"/>
      <c r="WWZ1" s="437"/>
      <c r="WXA1" s="437"/>
      <c r="WXB1" s="437"/>
      <c r="WXC1" s="437"/>
      <c r="WXD1" s="437"/>
      <c r="WXE1" s="437"/>
      <c r="WXF1" s="437"/>
      <c r="WXG1" s="437"/>
      <c r="WXH1" s="437"/>
      <c r="WXI1" s="437"/>
      <c r="WXJ1" s="437"/>
      <c r="WXK1" s="437"/>
      <c r="WXL1" s="437"/>
      <c r="WXM1" s="437"/>
      <c r="WXN1" s="437"/>
      <c r="WXO1" s="437"/>
      <c r="WXP1" s="437"/>
      <c r="WXQ1" s="437"/>
      <c r="WXR1" s="437"/>
      <c r="WXS1" s="437"/>
      <c r="WXT1" s="437"/>
      <c r="WXU1" s="437"/>
      <c r="WXV1" s="437"/>
      <c r="WXW1" s="437"/>
      <c r="WXX1" s="437"/>
      <c r="WXY1" s="437"/>
      <c r="WXZ1" s="437"/>
      <c r="WYA1" s="437"/>
      <c r="WYB1" s="437"/>
      <c r="WYC1" s="437"/>
      <c r="WYD1" s="437"/>
      <c r="WYE1" s="437"/>
      <c r="WYF1" s="437"/>
      <c r="WYG1" s="437"/>
      <c r="WYH1" s="437"/>
      <c r="WYI1" s="437"/>
      <c r="WYJ1" s="437"/>
      <c r="WYK1" s="437"/>
      <c r="WYL1" s="437"/>
      <c r="WYM1" s="437"/>
      <c r="WYN1" s="437"/>
      <c r="WYO1" s="437"/>
      <c r="WYP1" s="437"/>
      <c r="WYQ1" s="437"/>
      <c r="WYR1" s="437"/>
      <c r="WYS1" s="437"/>
      <c r="WYT1" s="437"/>
      <c r="WYU1" s="437"/>
      <c r="WYV1" s="437"/>
      <c r="WYW1" s="437"/>
      <c r="WYX1" s="437"/>
      <c r="WYY1" s="437"/>
      <c r="WYZ1" s="437"/>
      <c r="WZA1" s="437"/>
      <c r="WZB1" s="437"/>
      <c r="WZC1" s="437"/>
      <c r="WZD1" s="437"/>
      <c r="WZE1" s="437"/>
      <c r="WZF1" s="437"/>
      <c r="WZG1" s="437"/>
      <c r="WZH1" s="437"/>
      <c r="WZI1" s="437"/>
      <c r="WZJ1" s="437"/>
      <c r="WZK1" s="437"/>
      <c r="WZL1" s="437"/>
      <c r="WZM1" s="437"/>
      <c r="WZN1" s="437"/>
      <c r="WZO1" s="437"/>
      <c r="WZP1" s="437"/>
      <c r="WZQ1" s="437"/>
      <c r="WZR1" s="437"/>
      <c r="WZS1" s="437"/>
      <c r="WZT1" s="437"/>
      <c r="WZU1" s="437"/>
      <c r="WZV1" s="437"/>
      <c r="WZW1" s="437"/>
      <c r="WZX1" s="437"/>
      <c r="WZY1" s="437"/>
      <c r="WZZ1" s="437"/>
      <c r="XAA1" s="437"/>
      <c r="XAB1" s="437"/>
      <c r="XAC1" s="437"/>
      <c r="XAD1" s="437"/>
      <c r="XAE1" s="437"/>
      <c r="XAF1" s="437"/>
      <c r="XAG1" s="437"/>
      <c r="XAH1" s="437"/>
      <c r="XAI1" s="437"/>
      <c r="XAJ1" s="437"/>
      <c r="XAK1" s="437"/>
      <c r="XAL1" s="437"/>
      <c r="XAM1" s="437"/>
      <c r="XAN1" s="437"/>
      <c r="XAO1" s="437"/>
      <c r="XAP1" s="437"/>
      <c r="XAQ1" s="437"/>
      <c r="XAR1" s="437"/>
      <c r="XAS1" s="437"/>
      <c r="XAT1" s="437"/>
      <c r="XAU1" s="437"/>
      <c r="XAV1" s="437"/>
      <c r="XAW1" s="437"/>
      <c r="XAX1" s="437"/>
      <c r="XAY1" s="437"/>
      <c r="XAZ1" s="437"/>
      <c r="XBA1" s="437"/>
      <c r="XBB1" s="437"/>
      <c r="XBC1" s="437"/>
      <c r="XBD1" s="437"/>
      <c r="XBE1" s="437"/>
      <c r="XBF1" s="437"/>
      <c r="XBG1" s="437"/>
      <c r="XBH1" s="437"/>
      <c r="XBI1" s="437"/>
      <c r="XBJ1" s="437"/>
      <c r="XBK1" s="437"/>
      <c r="XBL1" s="437"/>
      <c r="XBM1" s="437"/>
      <c r="XBN1" s="437"/>
      <c r="XBO1" s="437"/>
      <c r="XBP1" s="437"/>
      <c r="XBQ1" s="437"/>
      <c r="XBR1" s="437"/>
      <c r="XBS1" s="437"/>
      <c r="XBT1" s="437"/>
      <c r="XBU1" s="437"/>
      <c r="XBV1" s="437"/>
      <c r="XBW1" s="437"/>
      <c r="XBX1" s="437"/>
      <c r="XBY1" s="437"/>
      <c r="XBZ1" s="437"/>
      <c r="XCA1" s="437"/>
      <c r="XCB1" s="437"/>
      <c r="XCC1" s="437"/>
      <c r="XCD1" s="437"/>
      <c r="XCE1" s="437"/>
      <c r="XCF1" s="437"/>
      <c r="XCG1" s="437"/>
      <c r="XCH1" s="437"/>
      <c r="XCI1" s="437"/>
      <c r="XCJ1" s="437"/>
      <c r="XCK1" s="437"/>
      <c r="XCL1" s="437"/>
      <c r="XCM1" s="437"/>
      <c r="XCN1" s="437"/>
      <c r="XCO1" s="437"/>
      <c r="XCP1" s="437"/>
      <c r="XCQ1" s="437"/>
      <c r="XCR1" s="437"/>
      <c r="XCS1" s="437"/>
      <c r="XCT1" s="437"/>
      <c r="XCU1" s="437"/>
      <c r="XCV1" s="437"/>
      <c r="XCW1" s="437"/>
      <c r="XCX1" s="437"/>
      <c r="XCY1" s="437"/>
      <c r="XCZ1" s="437"/>
      <c r="XDA1" s="437"/>
      <c r="XDB1" s="437"/>
      <c r="XDC1" s="437"/>
      <c r="XDD1" s="437"/>
      <c r="XDE1" s="437"/>
      <c r="XDF1" s="437"/>
      <c r="XDG1" s="437"/>
      <c r="XDH1" s="437"/>
      <c r="XDI1" s="437"/>
      <c r="XDJ1" s="437"/>
      <c r="XDK1" s="437"/>
      <c r="XDL1" s="437"/>
      <c r="XDM1" s="437"/>
      <c r="XDN1" s="437"/>
      <c r="XDO1" s="437"/>
      <c r="XDP1" s="437"/>
      <c r="XDQ1" s="437"/>
      <c r="XDR1" s="437"/>
      <c r="XDS1" s="437"/>
      <c r="XDT1" s="437"/>
      <c r="XDU1" s="437"/>
      <c r="XDV1" s="437"/>
      <c r="XDW1" s="437"/>
      <c r="XDX1" s="437"/>
      <c r="XDY1" s="437"/>
      <c r="XDZ1" s="437"/>
      <c r="XEA1" s="437"/>
      <c r="XEB1" s="437"/>
      <c r="XEC1" s="437"/>
      <c r="XED1" s="437"/>
      <c r="XEE1" s="437"/>
      <c r="XEF1" s="437"/>
      <c r="XEG1" s="437"/>
      <c r="XEH1" s="437"/>
      <c r="XEI1" s="437"/>
      <c r="XEJ1" s="437"/>
      <c r="XEK1" s="437"/>
      <c r="XEL1" s="437"/>
      <c r="XEM1" s="437"/>
      <c r="XEN1" s="437"/>
      <c r="XEO1" s="437"/>
      <c r="XEP1" s="437"/>
      <c r="XEQ1" s="437"/>
      <c r="XER1" s="437"/>
      <c r="XES1" s="437"/>
      <c r="XET1" s="437"/>
      <c r="XEU1" s="437"/>
      <c r="XEV1" s="437"/>
      <c r="XEW1" s="437"/>
      <c r="XEX1" s="437"/>
      <c r="XEY1" s="437"/>
      <c r="XEZ1" s="437"/>
      <c r="XFA1" s="437"/>
      <c r="XFB1" s="437"/>
      <c r="XFC1" s="437"/>
      <c r="XFD1" s="437"/>
    </row>
    <row r="2" spans="1:16384">
      <c r="A2" t="s">
        <v>180</v>
      </c>
      <c r="B2" t="s">
        <v>23</v>
      </c>
      <c r="C2" t="s">
        <v>22</v>
      </c>
      <c r="D2" t="s">
        <v>76</v>
      </c>
      <c r="E2" t="s">
        <v>181</v>
      </c>
      <c r="F2" s="187" t="s">
        <v>5</v>
      </c>
      <c r="G2" s="187" t="s">
        <v>6</v>
      </c>
      <c r="H2" s="187" t="s">
        <v>7</v>
      </c>
      <c r="I2" s="187" t="s">
        <v>8</v>
      </c>
      <c r="J2" s="187" t="s">
        <v>9</v>
      </c>
      <c r="K2" s="450" t="s">
        <v>34</v>
      </c>
      <c r="L2" s="189" t="s">
        <v>35</v>
      </c>
      <c r="M2" s="189" t="s">
        <v>36</v>
      </c>
      <c r="N2" s="189" t="s">
        <v>37</v>
      </c>
      <c r="O2" s="447" t="s">
        <v>38</v>
      </c>
    </row>
    <row r="4" spans="1:16384">
      <c r="A4" t="s">
        <v>31</v>
      </c>
      <c r="B4" t="s">
        <v>78</v>
      </c>
      <c r="C4" t="s">
        <v>132</v>
      </c>
      <c r="D4" t="s">
        <v>74</v>
      </c>
      <c r="E4" t="s">
        <v>182</v>
      </c>
      <c r="F4" s="242">
        <f>IF('Input overrides'!F4&lt;&gt;"",'Input overrides'!F4,F_Inputs!F4)*Rebasing</f>
        <v>68.30994994587364</v>
      </c>
      <c r="G4" s="242">
        <f>IF('Input overrides'!G4&lt;&gt;"",'Input overrides'!G4,F_Inputs!G4)*Rebasing</f>
        <v>71.701579396244242</v>
      </c>
      <c r="H4" s="242">
        <f>IF('Input overrides'!H4&lt;&gt;"",'Input overrides'!H4,F_Inputs!H4)*Rebasing</f>
        <v>74.853981907840264</v>
      </c>
      <c r="I4" s="242">
        <f ca="1">IF('Input overrides'!I4&lt;&gt;"",'Input overrides'!I4,F_Inputs!I4)*Rebasing</f>
        <v>67.321406396621526</v>
      </c>
      <c r="J4" s="242">
        <f>IF('Input overrides'!J4&lt;&gt;"",'Input overrides'!J4,F_Inputs!J4)*Rebasing</f>
        <v>67.733798726621487</v>
      </c>
      <c r="K4" s="242">
        <f ca="1">IF('Input overrides'!K4&lt;&gt;"",'Input overrides'!K4,F_Inputs!K4)*Rebasing</f>
        <v>68.670189112235548</v>
      </c>
      <c r="L4" s="242">
        <f ca="1">IF('Input overrides'!L4&lt;&gt;"",'Input overrides'!L4,F_Inputs!L4)*Rebasing</f>
        <v>69.404352124191789</v>
      </c>
      <c r="M4" s="242">
        <f ca="1">IF('Input overrides'!M4&lt;&gt;"",'Input overrides'!M4,F_Inputs!M4)*Rebasing</f>
        <v>70.215282803383616</v>
      </c>
      <c r="N4" s="242">
        <f ca="1">IF('Input overrides'!N4&lt;&gt;"",'Input overrides'!N4,F_Inputs!N4)*Rebasing</f>
        <v>71.119636271047668</v>
      </c>
      <c r="O4" s="242">
        <f ca="1">IF('Input overrides'!O4&lt;&gt;"",'Input overrides'!O4,F_Inputs!O4)*Rebasing</f>
        <v>72.118108864712156</v>
      </c>
      <c r="Q4" s="242"/>
    </row>
    <row r="5" spans="1:16384">
      <c r="A5" t="s">
        <v>31</v>
      </c>
      <c r="B5" t="s">
        <v>97</v>
      </c>
      <c r="C5" t="s">
        <v>99</v>
      </c>
      <c r="D5" t="s">
        <v>74</v>
      </c>
      <c r="E5" t="s">
        <v>182</v>
      </c>
      <c r="F5" s="242">
        <f>IF('Input overrides'!F5&lt;&gt;"",'Input overrides'!F5,F_Inputs!F5)*Rebasing</f>
        <v>11.768832144689044</v>
      </c>
      <c r="G5" s="242">
        <f>IF('Input overrides'!G5&lt;&gt;"",'Input overrides'!G5,F_Inputs!G5)*Rebasing</f>
        <v>8.4054410518999969</v>
      </c>
      <c r="H5" s="242">
        <f>IF('Input overrides'!H5&lt;&gt;"",'Input overrides'!H5,F_Inputs!H5)*Rebasing</f>
        <v>1.7465082256579982</v>
      </c>
      <c r="I5" s="242">
        <f>IF('Input overrides'!I5&lt;&gt;"",'Input overrides'!I5,F_Inputs!I5)*Rebasing</f>
        <v>4.0023743938729712</v>
      </c>
      <c r="J5" s="242">
        <f>IF('Input overrides'!J5&lt;&gt;"",'Input overrides'!J5,F_Inputs!J5)*Rebasing</f>
        <v>0.92094292961616253</v>
      </c>
      <c r="K5" s="242">
        <f>IF('Input overrides'!K5&lt;&gt;"",'Input overrides'!K5,F_Inputs!K5)*Rebasing</f>
        <v>3.2080832798147232</v>
      </c>
      <c r="L5" s="242">
        <f>IF('Input overrides'!L5&lt;&gt;"",'Input overrides'!L5,F_Inputs!L5)*Rebasing</f>
        <v>2.4484407006991544</v>
      </c>
      <c r="M5" s="242">
        <f>IF('Input overrides'!M5&lt;&gt;"",'Input overrides'!M5,F_Inputs!M5)*Rebasing</f>
        <v>1.8552670110718252</v>
      </c>
      <c r="N5" s="242">
        <f>IF('Input overrides'!N5&lt;&gt;"",'Input overrides'!N5,F_Inputs!N5)*Rebasing</f>
        <v>1.1780321124913802</v>
      </c>
      <c r="O5" s="242">
        <f>IF('Input overrides'!O5&lt;&gt;"",'Input overrides'!O5,F_Inputs!O5)*Rebasing</f>
        <v>0.2843231162142319</v>
      </c>
    </row>
    <row r="6" spans="1:16384">
      <c r="A6" t="s">
        <v>31</v>
      </c>
      <c r="B6" t="s">
        <v>98</v>
      </c>
      <c r="C6" t="s">
        <v>100</v>
      </c>
      <c r="D6" t="s">
        <v>74</v>
      </c>
      <c r="E6" t="s">
        <v>182</v>
      </c>
      <c r="F6" s="242">
        <f>IF('Input overrides'!F6&lt;&gt;"",'Input overrides'!F6,F_Inputs!F6)*Rebasing</f>
        <v>0</v>
      </c>
      <c r="G6" s="242">
        <f>IF('Input overrides'!G6&lt;&gt;"",'Input overrides'!G6,F_Inputs!G6)*Rebasing</f>
        <v>0</v>
      </c>
      <c r="H6" s="242">
        <f>IF('Input overrides'!H6&lt;&gt;"",'Input overrides'!H6,F_Inputs!H6)*Rebasing</f>
        <v>0</v>
      </c>
      <c r="I6" s="242">
        <f>IF('Input overrides'!I6&lt;&gt;"",'Input overrides'!I6,F_Inputs!I6)*Rebasing</f>
        <v>0</v>
      </c>
      <c r="J6" s="242">
        <f>IF('Input overrides'!J6&lt;&gt;"",'Input overrides'!J6,F_Inputs!J6)*Rebasing</f>
        <v>0</v>
      </c>
      <c r="K6" s="242">
        <f>IF('Input overrides'!K6&lt;&gt;"",'Input overrides'!K6,F_Inputs!K6)*Rebasing</f>
        <v>0.95451350460011231</v>
      </c>
      <c r="L6" s="242">
        <f>IF('Input overrides'!L6&lt;&gt;"",'Input overrides'!L6,F_Inputs!L6)*Rebasing</f>
        <v>2.8312201420175542</v>
      </c>
      <c r="M6" s="242">
        <f>IF('Input overrides'!M6&lt;&gt;"",'Input overrides'!M6,F_Inputs!M6)*Rebasing</f>
        <v>3.9736086737378558</v>
      </c>
      <c r="N6" s="242">
        <f>IF('Input overrides'!N6&lt;&gt;"",'Input overrides'!N6,F_Inputs!N6)*Rebasing</f>
        <v>4.4383293786617095</v>
      </c>
      <c r="O6" s="242">
        <f>IF('Input overrides'!O6&lt;&gt;"",'Input overrides'!O6,F_Inputs!O6)*Rebasing</f>
        <v>4.8265817261941386</v>
      </c>
    </row>
    <row r="7" spans="1:16384">
      <c r="A7" t="s">
        <v>31</v>
      </c>
      <c r="B7" t="s">
        <v>79</v>
      </c>
      <c r="C7" t="s">
        <v>135</v>
      </c>
      <c r="D7" t="s">
        <v>74</v>
      </c>
      <c r="E7" t="s">
        <v>182</v>
      </c>
      <c r="F7" s="242">
        <f>IF('Input overrides'!F7&lt;&gt;"",'Input overrides'!F7,F_Inputs!F7)*Rebasing</f>
        <v>0.22560470000000005</v>
      </c>
      <c r="G7" s="242">
        <f>IF('Input overrides'!G7&lt;&gt;"",'Input overrides'!G7,F_Inputs!G7)*Rebasing</f>
        <v>0.24649238999999989</v>
      </c>
      <c r="H7" s="242">
        <f>IF('Input overrides'!H7&lt;&gt;"",'Input overrides'!H7,F_Inputs!H7)*Rebasing</f>
        <v>0.27236847999999947</v>
      </c>
      <c r="I7" s="242">
        <f>IF('Input overrides'!I7&lt;&gt;"",'Input overrides'!I7,F_Inputs!I7)*Rebasing</f>
        <v>0.29823983999999981</v>
      </c>
      <c r="J7" s="242">
        <f>IF('Input overrides'!J7&lt;&gt;"",'Input overrides'!J7,F_Inputs!J7)*Rebasing</f>
        <v>0.32121704000000001</v>
      </c>
      <c r="K7" s="242">
        <f>IF('Input overrides'!K7&lt;&gt;"",'Input overrides'!K7,F_Inputs!K7)*Rebasing</f>
        <v>0.34366351999999967</v>
      </c>
      <c r="L7" s="242">
        <f>IF('Input overrides'!L7&lt;&gt;"",'Input overrides'!L7,F_Inputs!L7)*Rebasing</f>
        <v>0.36618688000000021</v>
      </c>
      <c r="M7" s="242">
        <f>IF('Input overrides'!M7&lt;&gt;"",'Input overrides'!M7,F_Inputs!M7)*Rebasing</f>
        <v>0.38883424000000028</v>
      </c>
      <c r="N7" s="242">
        <f>IF('Input overrides'!N7&lt;&gt;"",'Input overrides'!N7,F_Inputs!N7)*Rebasing</f>
        <v>0.41123607999999995</v>
      </c>
      <c r="O7" s="242">
        <f>IF('Input overrides'!O7&lt;&gt;"",'Input overrides'!O7,F_Inputs!O7)*Rebasing</f>
        <v>0.43248471999999988</v>
      </c>
    </row>
    <row r="8" spans="1:16384">
      <c r="A8" t="s">
        <v>31</v>
      </c>
      <c r="B8" t="s">
        <v>80</v>
      </c>
      <c r="C8" t="s">
        <v>136</v>
      </c>
      <c r="D8" t="s">
        <v>74</v>
      </c>
      <c r="E8" t="s">
        <v>182</v>
      </c>
      <c r="F8" s="242">
        <f>IF('Input overrides'!F8&lt;&gt;"",'Input overrides'!F8,F_Inputs!F8)*Rebasing</f>
        <v>1.3493582700000037</v>
      </c>
      <c r="G8" s="242">
        <f>IF('Input overrides'!G8&lt;&gt;"",'Input overrides'!G8,F_Inputs!G8)*Rebasing</f>
        <v>1.4561218500000006</v>
      </c>
      <c r="H8" s="242">
        <f>IF('Input overrides'!H8&lt;&gt;"",'Input overrides'!H8,F_Inputs!H8)*Rebasing</f>
        <v>1.5496873399999955</v>
      </c>
      <c r="I8" s="242">
        <f>IF('Input overrides'!I8&lt;&gt;"",'Input overrides'!I8,F_Inputs!I8)*Rebasing</f>
        <v>1.5955344800000013</v>
      </c>
      <c r="J8" s="242">
        <f>IF('Input overrides'!J8&lt;&gt;"",'Input overrides'!J8,F_Inputs!J8)*Rebasing</f>
        <v>1.6422796600000003</v>
      </c>
      <c r="K8" s="242">
        <f>IF('Input overrides'!K8&lt;&gt;"",'Input overrides'!K8,F_Inputs!K8)*Rebasing</f>
        <v>1.6891818400000023</v>
      </c>
      <c r="L8" s="242">
        <f>IF('Input overrides'!L8&lt;&gt;"",'Input overrides'!L8,F_Inputs!L8)*Rebasing</f>
        <v>1.7368941400000049</v>
      </c>
      <c r="M8" s="242">
        <f>IF('Input overrides'!M8&lt;&gt;"",'Input overrides'!M8,F_Inputs!M8)*Rebasing</f>
        <v>1.7857713799999999</v>
      </c>
      <c r="N8" s="242">
        <f>IF('Input overrides'!N8&lt;&gt;"",'Input overrides'!N8,F_Inputs!N8)*Rebasing</f>
        <v>1.8372924999999978</v>
      </c>
      <c r="O8" s="242">
        <f>IF('Input overrides'!O8&lt;&gt;"",'Input overrides'!O8,F_Inputs!O8)*Rebasing</f>
        <v>1.892170280000004</v>
      </c>
    </row>
    <row r="9" spans="1:16384">
      <c r="A9" t="s">
        <v>31</v>
      </c>
      <c r="B9" t="s">
        <v>81</v>
      </c>
      <c r="C9" t="s">
        <v>137</v>
      </c>
      <c r="D9" t="s">
        <v>74</v>
      </c>
      <c r="E9" t="s">
        <v>182</v>
      </c>
      <c r="F9" s="242">
        <f>IF('Input overrides'!F9&lt;&gt;"",'Input overrides'!F9,F_Inputs!F9)*Rebasing</f>
        <v>3.7659991200000045</v>
      </c>
      <c r="G9" s="242">
        <f>IF('Input overrides'!G9&lt;&gt;"",'Input overrides'!G9,F_Inputs!G9)*Rebasing</f>
        <v>4.0955810400000008</v>
      </c>
      <c r="H9" s="242">
        <f>IF('Input overrides'!H9&lt;&gt;"",'Input overrides'!H9,F_Inputs!H9)*Rebasing</f>
        <v>4.4151955100000038</v>
      </c>
      <c r="I9" s="242">
        <f>IF('Input overrides'!I9&lt;&gt;"",'Input overrides'!I9,F_Inputs!I9)*Rebasing</f>
        <v>4.6073828299999988</v>
      </c>
      <c r="J9" s="242">
        <f>IF('Input overrides'!J9&lt;&gt;"",'Input overrides'!J9,F_Inputs!J9)*Rebasing</f>
        <v>4.7819805500000045</v>
      </c>
      <c r="K9" s="242">
        <f>IF('Input overrides'!K9&lt;&gt;"",'Input overrides'!K9,F_Inputs!K9)*Rebasing</f>
        <v>4.9470331200000013</v>
      </c>
      <c r="L9" s="242">
        <f>IF('Input overrides'!L9&lt;&gt;"",'Input overrides'!L9,F_Inputs!L9)*Rebasing</f>
        <v>5.1122741500000037</v>
      </c>
      <c r="M9" s="242">
        <f>IF('Input overrides'!M9&lt;&gt;"",'Input overrides'!M9,F_Inputs!M9)*Rebasing</f>
        <v>5.2775849800000048</v>
      </c>
      <c r="N9" s="242">
        <f>IF('Input overrides'!N9&lt;&gt;"",'Input overrides'!N9,F_Inputs!N9)*Rebasing</f>
        <v>5.4431750099999956</v>
      </c>
      <c r="O9" s="242">
        <f>IF('Input overrides'!O9&lt;&gt;"",'Input overrides'!O9,F_Inputs!O9)*Rebasing</f>
        <v>5.601436039999995</v>
      </c>
    </row>
    <row r="10" spans="1:16384">
      <c r="A10" t="s">
        <v>31</v>
      </c>
      <c r="B10" t="s">
        <v>82</v>
      </c>
      <c r="C10" t="s">
        <v>89</v>
      </c>
      <c r="D10" t="s">
        <v>183</v>
      </c>
      <c r="E10" t="s">
        <v>182</v>
      </c>
      <c r="F10" s="242">
        <f>IF('Input overrides'!F10&lt;&gt;"",'Input overrides'!F10,F_Inputs!F10)</f>
        <v>132.48400000000001</v>
      </c>
      <c r="G10" s="242">
        <f>IF('Input overrides'!G10&lt;&gt;"",'Input overrides'!G10,F_Inputs!G10)</f>
        <v>128.56700000000001</v>
      </c>
      <c r="H10" s="242">
        <f>IF('Input overrides'!H10&lt;&gt;"",'Input overrides'!H10,F_Inputs!H10)</f>
        <v>122.422</v>
      </c>
      <c r="I10" s="242">
        <f>IF('Input overrides'!I10&lt;&gt;"",'Input overrides'!I10,F_Inputs!I10)</f>
        <v>115.05200000000001</v>
      </c>
      <c r="J10" s="242">
        <f>IF('Input overrides'!J10&lt;&gt;"",'Input overrides'!J10,F_Inputs!J10)</f>
        <v>105.756</v>
      </c>
      <c r="K10" s="518">
        <f>IF('Input overrides'!K10&lt;&gt;"",'Input overrides'!K10,F_Inputs!K10)</f>
        <v>98.325000000000003</v>
      </c>
      <c r="L10" s="519">
        <f>IF('Input overrides'!L10&lt;&gt;"",'Input overrides'!L10,F_Inputs!L10)</f>
        <v>90.906999999999996</v>
      </c>
      <c r="M10" s="519">
        <f>IF('Input overrides'!M10&lt;&gt;"",'Input overrides'!M10,F_Inputs!M10)</f>
        <v>83.548000000000002</v>
      </c>
      <c r="N10" s="519">
        <f>IF('Input overrides'!N10&lt;&gt;"",'Input overrides'!N10,F_Inputs!N10)</f>
        <v>76.350999999999999</v>
      </c>
      <c r="O10" s="519">
        <f>IF('Input overrides'!O10&lt;&gt;"",'Input overrides'!O10,F_Inputs!O10)</f>
        <v>69.706999999999994</v>
      </c>
    </row>
    <row r="11" spans="1:16384">
      <c r="A11" t="s">
        <v>31</v>
      </c>
      <c r="B11" t="s">
        <v>87</v>
      </c>
      <c r="C11" t="s">
        <v>90</v>
      </c>
      <c r="D11" t="s">
        <v>183</v>
      </c>
      <c r="E11" t="s">
        <v>182</v>
      </c>
      <c r="F11" s="242">
        <f>IF('Input overrides'!F11&lt;&gt;"",'Input overrides'!F11,F_Inputs!F11)</f>
        <v>98.088999999999999</v>
      </c>
      <c r="G11" s="242">
        <f>IF('Input overrides'!G11&lt;&gt;"",'Input overrides'!G11,F_Inputs!G11)</f>
        <v>102.279</v>
      </c>
      <c r="H11" s="242">
        <f>IF('Input overrides'!H11&lt;&gt;"",'Input overrides'!H11,F_Inputs!H11)</f>
        <v>109.82599999999999</v>
      </c>
      <c r="I11" s="242">
        <f>IF('Input overrides'!I11&lt;&gt;"",'Input overrides'!I11,F_Inputs!I11)</f>
        <v>117.932</v>
      </c>
      <c r="J11" s="242">
        <f>IF('Input overrides'!J11&lt;&gt;"",'Input overrides'!J11,F_Inputs!J11)</f>
        <v>129.523</v>
      </c>
      <c r="K11" s="518">
        <f>IF('Input overrides'!K11&lt;&gt;"",'Input overrides'!K11,F_Inputs!K11)</f>
        <v>138.57400000000001</v>
      </c>
      <c r="L11" s="519">
        <f>IF('Input overrides'!L11&lt;&gt;"",'Input overrides'!L11,F_Inputs!L11)</f>
        <v>147.65600000000001</v>
      </c>
      <c r="M11" s="519">
        <f>IF('Input overrides'!M11&lt;&gt;"",'Input overrides'!M11,F_Inputs!M11)</f>
        <v>156.78800000000001</v>
      </c>
      <c r="N11" s="519">
        <f>IF('Input overrides'!N11&lt;&gt;"",'Input overrides'!N11,F_Inputs!N11)</f>
        <v>165.821</v>
      </c>
      <c r="O11" s="519">
        <f>IF('Input overrides'!O11&lt;&gt;"",'Input overrides'!O11,F_Inputs!O11)</f>
        <v>174.38900000000001</v>
      </c>
    </row>
    <row r="12" spans="1:16384">
      <c r="A12" t="s">
        <v>31</v>
      </c>
      <c r="B12" t="s">
        <v>83</v>
      </c>
      <c r="C12" t="s">
        <v>91</v>
      </c>
      <c r="D12" t="s">
        <v>183</v>
      </c>
      <c r="E12" t="s">
        <v>182</v>
      </c>
      <c r="F12" s="242">
        <f>IF('Input overrides'!F12&lt;&gt;"",'Input overrides'!F12,F_Inputs!F12)</f>
        <v>325.209</v>
      </c>
      <c r="G12" s="242">
        <f>IF('Input overrides'!G12&lt;&gt;"",'Input overrides'!G12,F_Inputs!G12)</f>
        <v>315.14499999999998</v>
      </c>
      <c r="H12" s="242">
        <f>IF('Input overrides'!H12&lt;&gt;"",'Input overrides'!H12,F_Inputs!H12)</f>
        <v>303.37099999999998</v>
      </c>
      <c r="I12" s="242">
        <f>IF('Input overrides'!I12&lt;&gt;"",'Input overrides'!I12,F_Inputs!I12)</f>
        <v>292.30700000000002</v>
      </c>
      <c r="J12" s="242">
        <f>IF('Input overrides'!J12&lt;&gt;"",'Input overrides'!J12,F_Inputs!J12)</f>
        <v>281.13900000000001</v>
      </c>
      <c r="K12" s="518">
        <f>IF('Input overrides'!K12&lt;&gt;"",'Input overrides'!K12,F_Inputs!K12)</f>
        <v>269.91699999999997</v>
      </c>
      <c r="L12" s="519">
        <f>IF('Input overrides'!L12&lt;&gt;"",'Input overrides'!L12,F_Inputs!L12)</f>
        <v>258.678</v>
      </c>
      <c r="M12" s="519">
        <f>IF('Input overrides'!M12&lt;&gt;"",'Input overrides'!M12,F_Inputs!M12)</f>
        <v>247.46199999999999</v>
      </c>
      <c r="N12" s="519">
        <f>IF('Input overrides'!N12&lt;&gt;"",'Input overrides'!N12,F_Inputs!N12)</f>
        <v>236.30699999999999</v>
      </c>
      <c r="O12" s="519">
        <f>IF('Input overrides'!O12&lt;&gt;"",'Input overrides'!O12,F_Inputs!O12)</f>
        <v>225.24799999999999</v>
      </c>
    </row>
    <row r="13" spans="1:16384">
      <c r="A13" t="s">
        <v>31</v>
      </c>
      <c r="B13" t="s">
        <v>84</v>
      </c>
      <c r="C13" t="s">
        <v>92</v>
      </c>
      <c r="D13" t="s">
        <v>183</v>
      </c>
      <c r="E13" t="s">
        <v>182</v>
      </c>
      <c r="F13" s="242">
        <f>IF('Input overrides'!F13&lt;&gt;"",'Input overrides'!F13,F_Inputs!F13)</f>
        <v>463.697</v>
      </c>
      <c r="G13" s="242">
        <f>IF('Input overrides'!G13&lt;&gt;"",'Input overrides'!G13,F_Inputs!G13)</f>
        <v>477.41699999999997</v>
      </c>
      <c r="H13" s="242">
        <f>IF('Input overrides'!H13&lt;&gt;"",'Input overrides'!H13,F_Inputs!H13)</f>
        <v>493.53100000000001</v>
      </c>
      <c r="I13" s="242">
        <f>IF('Input overrides'!I13&lt;&gt;"",'Input overrides'!I13,F_Inputs!I13)</f>
        <v>505.98099999999999</v>
      </c>
      <c r="J13" s="242">
        <f>IF('Input overrides'!J13&lt;&gt;"",'Input overrides'!J13,F_Inputs!J13)</f>
        <v>523.01900000000001</v>
      </c>
      <c r="K13" s="518">
        <f>IF('Input overrides'!K13&lt;&gt;"",'Input overrides'!K13,F_Inputs!K13)</f>
        <v>537.95600000000002</v>
      </c>
      <c r="L13" s="519">
        <f>IF('Input overrides'!L13&lt;&gt;"",'Input overrides'!L13,F_Inputs!L13)</f>
        <v>553.15099999999995</v>
      </c>
      <c r="M13" s="519">
        <f>IF('Input overrides'!M13&lt;&gt;"",'Input overrides'!M13,F_Inputs!M13)</f>
        <v>568.71699999999998</v>
      </c>
      <c r="N13" s="519">
        <f>IF('Input overrides'!N13&lt;&gt;"",'Input overrides'!N13,F_Inputs!N13)</f>
        <v>585.125</v>
      </c>
      <c r="O13" s="519">
        <f>IF('Input overrides'!O13&lt;&gt;"",'Input overrides'!O13,F_Inputs!O13)</f>
        <v>602.60199999999998</v>
      </c>
    </row>
    <row r="14" spans="1:16384">
      <c r="A14" t="s">
        <v>31</v>
      </c>
      <c r="B14" t="s">
        <v>85</v>
      </c>
      <c r="C14" t="s">
        <v>93</v>
      </c>
      <c r="D14" t="s">
        <v>183</v>
      </c>
      <c r="E14" t="s">
        <v>182</v>
      </c>
      <c r="F14" s="242">
        <f>IF('Input overrides'!F14&lt;&gt;"",'Input overrides'!F14,F_Inputs!F14)</f>
        <v>480.96499999999997</v>
      </c>
      <c r="G14" s="242">
        <f>IF('Input overrides'!G14&lt;&gt;"",'Input overrides'!G14,F_Inputs!G14)</f>
        <v>449.88799999999998</v>
      </c>
      <c r="H14" s="242">
        <f>IF('Input overrides'!H14&lt;&gt;"",'Input overrides'!H14,F_Inputs!H14)</f>
        <v>407.28300000000002</v>
      </c>
      <c r="I14" s="242">
        <f>IF('Input overrides'!I14&lt;&gt;"",'Input overrides'!I14,F_Inputs!I14)</f>
        <v>369.65300000000002</v>
      </c>
      <c r="J14" s="242">
        <f>IF('Input overrides'!J14&lt;&gt;"",'Input overrides'!J14,F_Inputs!J14)</f>
        <v>329.61099999999999</v>
      </c>
      <c r="K14" s="518">
        <f>IF('Input overrides'!K14&lt;&gt;"",'Input overrides'!K14,F_Inputs!K14)</f>
        <v>296.858</v>
      </c>
      <c r="L14" s="519">
        <f>IF('Input overrides'!L14&lt;&gt;"",'Input overrides'!L14,F_Inputs!L14)</f>
        <v>264.87700000000001</v>
      </c>
      <c r="M14" s="519">
        <f>IF('Input overrides'!M14&lt;&gt;"",'Input overrides'!M14,F_Inputs!M14)</f>
        <v>233.91</v>
      </c>
      <c r="N14" s="519">
        <f>IF('Input overrides'!N14&lt;&gt;"",'Input overrides'!N14,F_Inputs!N14)</f>
        <v>203.89099999999999</v>
      </c>
      <c r="O14" s="519">
        <f>IF('Input overrides'!O14&lt;&gt;"",'Input overrides'!O14,F_Inputs!O14)</f>
        <v>176.89099999999999</v>
      </c>
    </row>
    <row r="15" spans="1:16384">
      <c r="A15" t="s">
        <v>31</v>
      </c>
      <c r="B15" t="s">
        <v>86</v>
      </c>
      <c r="C15" t="s">
        <v>94</v>
      </c>
      <c r="D15" t="s">
        <v>183</v>
      </c>
      <c r="E15" t="s">
        <v>182</v>
      </c>
      <c r="F15" s="242">
        <f>IF('Input overrides'!F15&lt;&gt;"",'Input overrides'!F15,F_Inputs!F15)</f>
        <v>1165.944</v>
      </c>
      <c r="G15" s="242">
        <f>IF('Input overrides'!G15&lt;&gt;"",'Input overrides'!G15,F_Inputs!G15)</f>
        <v>1208.136</v>
      </c>
      <c r="H15" s="242">
        <f>IF('Input overrides'!H15&lt;&gt;"",'Input overrides'!H15,F_Inputs!H15)</f>
        <v>1265.0989999999999</v>
      </c>
      <c r="I15" s="242">
        <f>IF('Input overrides'!I15&lt;&gt;"",'Input overrides'!I15,F_Inputs!I15)</f>
        <v>1314.7380000000001</v>
      </c>
      <c r="J15" s="242">
        <f>IF('Input overrides'!J15&lt;&gt;"",'Input overrides'!J15,F_Inputs!J15)</f>
        <v>1370.1949999999999</v>
      </c>
      <c r="K15" s="518">
        <f>IF('Input overrides'!K15&lt;&gt;"",'Input overrides'!K15,F_Inputs!K15)</f>
        <v>1417.4880000000001</v>
      </c>
      <c r="L15" s="519">
        <f>IF('Input overrides'!L15&lt;&gt;"",'Input overrides'!L15,F_Inputs!L15)</f>
        <v>1464.835</v>
      </c>
      <c r="M15" s="519">
        <f>IF('Input overrides'!M15&lt;&gt;"",'Input overrides'!M15,F_Inputs!M15)</f>
        <v>1512.202</v>
      </c>
      <c r="N15" s="519">
        <f>IF('Input overrides'!N15&lt;&gt;"",'Input overrides'!N15,F_Inputs!N15)</f>
        <v>1559.6489999999999</v>
      </c>
      <c r="O15" s="519">
        <f>IF('Input overrides'!O15&lt;&gt;"",'Input overrides'!O15,F_Inputs!O15)</f>
        <v>1604.9960000000001</v>
      </c>
    </row>
    <row r="16" spans="1:16384">
      <c r="A16" t="s">
        <v>31</v>
      </c>
      <c r="B16" s="246" t="s">
        <v>174</v>
      </c>
      <c r="C16" t="s">
        <v>184</v>
      </c>
      <c r="D16" t="s">
        <v>74</v>
      </c>
      <c r="E16" t="s">
        <v>182</v>
      </c>
      <c r="F16" s="242">
        <f>IF('Input overrides'!F16&lt;&gt;"",'Input overrides'!F16,F_Inputs!F16)*Rebasing</f>
        <v>0</v>
      </c>
      <c r="G16" s="242">
        <f>IF('Input overrides'!G16&lt;&gt;"",'Input overrides'!G16,F_Inputs!G16)*Rebasing</f>
        <v>0</v>
      </c>
      <c r="H16" s="242">
        <f>IF('Input overrides'!H16&lt;&gt;"",'Input overrides'!H16,F_Inputs!H16)*Rebasing</f>
        <v>0</v>
      </c>
      <c r="I16" s="242">
        <f>IF('Input overrides'!I16&lt;&gt;"",'Input overrides'!I16,F_Inputs!I16)*Rebasing</f>
        <v>0</v>
      </c>
      <c r="J16" s="242">
        <f>IF('Input overrides'!J16&lt;&gt;"",'Input overrides'!J16,F_Inputs!J16)*Rebasing</f>
        <v>0</v>
      </c>
      <c r="K16" s="242">
        <f>IF('Input overrides'!K16&lt;&gt;"",'Input overrides'!K16,F_Inputs!K16)*Rebasing</f>
        <v>0</v>
      </c>
      <c r="L16" s="242">
        <f>IF('Input overrides'!L16&lt;&gt;"",'Input overrides'!L16,F_Inputs!L16)*Rebasing</f>
        <v>0</v>
      </c>
      <c r="M16" s="242">
        <f>IF('Input overrides'!M16&lt;&gt;"",'Input overrides'!M16,F_Inputs!M16)*Rebasing</f>
        <v>0</v>
      </c>
      <c r="N16" s="242">
        <f>IF('Input overrides'!N16&lt;&gt;"",'Input overrides'!N16,F_Inputs!N16)*Rebasing</f>
        <v>0</v>
      </c>
      <c r="O16" s="242">
        <f>IF('Input overrides'!O16&lt;&gt;"",'Input overrides'!O16,F_Inputs!O16)*Rebasing</f>
        <v>0</v>
      </c>
    </row>
    <row r="17" spans="1:17">
      <c r="A17" t="s">
        <v>31</v>
      </c>
      <c r="B17" t="s">
        <v>156</v>
      </c>
      <c r="C17" t="s">
        <v>157</v>
      </c>
      <c r="D17" t="s">
        <v>74</v>
      </c>
      <c r="E17" t="s">
        <v>182</v>
      </c>
      <c r="F17" s="242">
        <f>IF('Input overrides'!F17&lt;&gt;"",'Input overrides'!F17,F_Inputs!F17)*Rebasing</f>
        <v>1.6662399999999968</v>
      </c>
      <c r="G17" s="242">
        <f>IF('Input overrides'!G17&lt;&gt;"",'Input overrides'!G17,F_Inputs!G17)*Rebasing</f>
        <v>1.7445600000000043</v>
      </c>
      <c r="H17" s="242">
        <f>IF('Input overrides'!H17&lt;&gt;"",'Input overrides'!H17,F_Inputs!H17)*Rebasing</f>
        <v>1.7280000000000006</v>
      </c>
      <c r="I17" s="242">
        <f>IF('Input overrides'!I17&lt;&gt;"",'Input overrides'!I17,F_Inputs!I17)*Rebasing</f>
        <v>1.7732007871072051</v>
      </c>
      <c r="J17" s="242">
        <f>IF('Input overrides'!J17&lt;&gt;"",'Input overrides'!J17,F_Inputs!J17)*Rebasing</f>
        <v>1.7193090539831746</v>
      </c>
      <c r="K17" s="242">
        <f>IF('Input overrides'!K17&lt;&gt;"",'Input overrides'!K17,F_Inputs!K17)*Rebasing</f>
        <v>1.7671508664770625</v>
      </c>
      <c r="L17" s="242">
        <f>IF('Input overrides'!L17&lt;&gt;"",'Input overrides'!L17,F_Inputs!L17)*Rebasing</f>
        <v>1.7671508664770625</v>
      </c>
      <c r="M17" s="242">
        <f>IF('Input overrides'!M17&lt;&gt;"",'Input overrides'!M17,F_Inputs!M17)*Rebasing</f>
        <v>1.7671508664770625</v>
      </c>
      <c r="N17" s="242">
        <f>IF('Input overrides'!N17&lt;&gt;"",'Input overrides'!N17,F_Inputs!N17)*Rebasing</f>
        <v>1.7671508664770625</v>
      </c>
      <c r="O17" s="242">
        <f>IF('Input overrides'!O17&lt;&gt;"",'Input overrides'!O17,F_Inputs!O17)*Rebasing</f>
        <v>1.7671508664770625</v>
      </c>
    </row>
    <row r="18" spans="1:17">
      <c r="A18" t="s">
        <v>31</v>
      </c>
      <c r="B18" t="s">
        <v>159</v>
      </c>
      <c r="C18" t="s">
        <v>158</v>
      </c>
      <c r="D18" t="s">
        <v>74</v>
      </c>
      <c r="E18" t="s">
        <v>182</v>
      </c>
      <c r="F18" s="242">
        <f>IF('Input overrides'!F18&lt;&gt;"",'Input overrides'!F18,F_Inputs!F18)*Rebasing</f>
        <v>0</v>
      </c>
      <c r="G18" s="242">
        <f>IF('Input overrides'!G18&lt;&gt;"",'Input overrides'!G18,F_Inputs!G18)*Rebasing</f>
        <v>0</v>
      </c>
      <c r="H18" s="242">
        <f>IF('Input overrides'!H18&lt;&gt;"",'Input overrides'!H18,F_Inputs!H18)*Rebasing</f>
        <v>0</v>
      </c>
      <c r="I18" s="242">
        <f>IF('Input overrides'!I18&lt;&gt;"",'Input overrides'!I18,F_Inputs!I18)*Rebasing</f>
        <v>0</v>
      </c>
      <c r="J18" s="242">
        <f>IF('Input overrides'!J18&lt;&gt;"",'Input overrides'!J18,F_Inputs!J18)*Rebasing</f>
        <v>0</v>
      </c>
      <c r="K18" s="242">
        <f>IF('Input overrides'!K18&lt;&gt;"",'Input overrides'!K18,F_Inputs!K18)*Rebasing</f>
        <v>0</v>
      </c>
      <c r="L18" s="242">
        <f>IF('Input overrides'!L18&lt;&gt;"",'Input overrides'!L18,F_Inputs!L18)*Rebasing</f>
        <v>0</v>
      </c>
      <c r="M18" s="242">
        <f>IF('Input overrides'!M18&lt;&gt;"",'Input overrides'!M18,F_Inputs!M18)*Rebasing</f>
        <v>0</v>
      </c>
      <c r="N18" s="242">
        <f>IF('Input overrides'!N18&lt;&gt;"",'Input overrides'!N18,F_Inputs!N18)*Rebasing</f>
        <v>0</v>
      </c>
      <c r="O18" s="242">
        <f>IF('Input overrides'!O18&lt;&gt;"",'Input overrides'!O18,F_Inputs!O18)*Rebasing</f>
        <v>0</v>
      </c>
    </row>
    <row r="19" spans="1:17">
      <c r="A19" t="s">
        <v>32</v>
      </c>
      <c r="B19" t="s">
        <v>78</v>
      </c>
      <c r="C19" t="s">
        <v>132</v>
      </c>
      <c r="D19" t="s">
        <v>74</v>
      </c>
      <c r="E19" t="s">
        <v>182</v>
      </c>
      <c r="F19" s="242">
        <f>IF('Input overrides'!F19&lt;&gt;"",'Input overrides'!F19,F_Inputs!F23)*Rebasing</f>
        <v>46.144446029381037</v>
      </c>
      <c r="G19" s="242">
        <f>IF('Input overrides'!G19&lt;&gt;"",'Input overrides'!G19,F_Inputs!G23)*Rebasing</f>
        <v>49.902577932547374</v>
      </c>
      <c r="H19" s="242">
        <f>IF('Input overrides'!H19&lt;&gt;"",'Input overrides'!H19,F_Inputs!H23)*Rebasing</f>
        <v>43.44656811645585</v>
      </c>
      <c r="I19" s="242">
        <f ca="1">IF('Input overrides'!I19&lt;&gt;"",'Input overrides'!I19,F_Inputs!I23)*Rebasing</f>
        <v>44.455777382551858</v>
      </c>
      <c r="J19" s="242">
        <f>IF('Input overrides'!J19&lt;&gt;"",'Input overrides'!J19,F_Inputs!J23)*Rebasing</f>
        <v>45.05551386023204</v>
      </c>
      <c r="K19" s="242">
        <f ca="1">IF('Input overrides'!K19&lt;&gt;"",'Input overrides'!K19,F_Inputs!K23)*Rebasing</f>
        <v>44.334265568615614</v>
      </c>
      <c r="L19" s="242">
        <f ca="1">IF('Input overrides'!L19&lt;&gt;"",'Input overrides'!L19,F_Inputs!L23)*Rebasing</f>
        <v>43.046380526439187</v>
      </c>
      <c r="M19" s="242">
        <f ca="1">IF('Input overrides'!M19&lt;&gt;"",'Input overrides'!M19,F_Inputs!M23)*Rebasing</f>
        <v>42.106483392000321</v>
      </c>
      <c r="N19" s="242">
        <f ca="1">IF('Input overrides'!N19&lt;&gt;"",'Input overrides'!N19,F_Inputs!N23)*Rebasing</f>
        <v>41.16078568387158</v>
      </c>
      <c r="O19" s="242">
        <f ca="1">IF('Input overrides'!O19&lt;&gt;"",'Input overrides'!O19,F_Inputs!O23)*Rebasing</f>
        <v>41.26293695485284</v>
      </c>
      <c r="Q19" s="242"/>
    </row>
    <row r="20" spans="1:17">
      <c r="A20" t="s">
        <v>32</v>
      </c>
      <c r="B20" t="s">
        <v>97</v>
      </c>
      <c r="C20" t="s">
        <v>99</v>
      </c>
      <c r="D20" t="s">
        <v>74</v>
      </c>
      <c r="E20" t="s">
        <v>182</v>
      </c>
      <c r="F20" s="242">
        <f>IF('Input overrides'!F20&lt;&gt;"",'Input overrides'!F20,F_Inputs!F24)*Rebasing</f>
        <v>0.40898428708647944</v>
      </c>
      <c r="G20" s="242">
        <f>IF('Input overrides'!G20&lt;&gt;"",'Input overrides'!G20,F_Inputs!G24)*Rebasing</f>
        <v>0.66118043682027738</v>
      </c>
      <c r="H20" s="242">
        <f>IF('Input overrides'!H20&lt;&gt;"",'Input overrides'!H20,F_Inputs!H24)*Rebasing</f>
        <v>0.90400923305808434</v>
      </c>
      <c r="I20" s="242">
        <f>IF('Input overrides'!I20&lt;&gt;"",'Input overrides'!I20,F_Inputs!I24)*Rebasing</f>
        <v>1.3729930405700668</v>
      </c>
      <c r="J20" s="242">
        <f>IF('Input overrides'!J20&lt;&gt;"",'Input overrides'!J20,F_Inputs!J24)*Rebasing</f>
        <v>1.7984259391710091</v>
      </c>
      <c r="K20" s="242">
        <f>IF('Input overrides'!K20&lt;&gt;"",'Input overrides'!K20,F_Inputs!K24)*Rebasing</f>
        <v>3.5443806409863425</v>
      </c>
      <c r="L20" s="242">
        <f>IF('Input overrides'!L20&lt;&gt;"",'Input overrides'!L20,F_Inputs!L24)*Rebasing</f>
        <v>3.4209189060318108</v>
      </c>
      <c r="M20" s="242">
        <f>IF('Input overrides'!M20&lt;&gt;"",'Input overrides'!M20,F_Inputs!M24)*Rebasing</f>
        <v>3.2305820646435746</v>
      </c>
      <c r="N20" s="242">
        <f>IF('Input overrides'!N20&lt;&gt;"",'Input overrides'!N20,F_Inputs!N24)*Rebasing</f>
        <v>3.1503319369231293</v>
      </c>
      <c r="O20" s="242">
        <f>IF('Input overrides'!O20&lt;&gt;"",'Input overrides'!O20,F_Inputs!O24)*Rebasing</f>
        <v>3.1451876979666906</v>
      </c>
    </row>
    <row r="21" spans="1:17">
      <c r="A21" t="s">
        <v>32</v>
      </c>
      <c r="B21" t="s">
        <v>98</v>
      </c>
      <c r="C21" t="s">
        <v>100</v>
      </c>
      <c r="D21" t="s">
        <v>74</v>
      </c>
      <c r="E21" t="s">
        <v>182</v>
      </c>
      <c r="F21" s="242">
        <f>IF('Input overrides'!F21&lt;&gt;"",'Input overrides'!F21,F_Inputs!F25)*Rebasing</f>
        <v>0</v>
      </c>
      <c r="G21" s="242">
        <f>IF('Input overrides'!G21&lt;&gt;"",'Input overrides'!G21,F_Inputs!G25)*Rebasing</f>
        <v>0</v>
      </c>
      <c r="H21" s="242">
        <f>IF('Input overrides'!H21&lt;&gt;"",'Input overrides'!H21,F_Inputs!H25)*Rebasing</f>
        <v>0</v>
      </c>
      <c r="I21" s="242">
        <f>IF('Input overrides'!I21&lt;&gt;"",'Input overrides'!I21,F_Inputs!I25)*Rebasing</f>
        <v>0</v>
      </c>
      <c r="J21" s="242">
        <f>IF('Input overrides'!J21&lt;&gt;"",'Input overrides'!J21,F_Inputs!J25)*Rebasing</f>
        <v>0</v>
      </c>
      <c r="K21" s="242">
        <f>IF('Input overrides'!K21&lt;&gt;"",'Input overrides'!K21,F_Inputs!K25)*Rebasing</f>
        <v>0.73562617077075032</v>
      </c>
      <c r="L21" s="242">
        <f>IF('Input overrides'!L21&lt;&gt;"",'Input overrides'!L21,F_Inputs!L25)*Rebasing</f>
        <v>1.1872903511460782</v>
      </c>
      <c r="M21" s="242">
        <f>IF('Input overrides'!M21&lt;&gt;"",'Input overrides'!M21,F_Inputs!M25)*Rebasing</f>
        <v>1.3611656278737101</v>
      </c>
      <c r="N21" s="242">
        <f>IF('Input overrides'!N21&lt;&gt;"",'Input overrides'!N21,F_Inputs!N25)*Rebasing</f>
        <v>1.4815408194543782</v>
      </c>
      <c r="O21" s="242">
        <f>IF('Input overrides'!O21&lt;&gt;"",'Input overrides'!O21,F_Inputs!O25)*Rebasing</f>
        <v>1.5617909471748239</v>
      </c>
    </row>
    <row r="22" spans="1:17">
      <c r="A22" t="s">
        <v>32</v>
      </c>
      <c r="B22" t="s">
        <v>79</v>
      </c>
      <c r="C22" t="s">
        <v>135</v>
      </c>
      <c r="D22" t="s">
        <v>74</v>
      </c>
      <c r="E22" t="s">
        <v>182</v>
      </c>
      <c r="F22" s="242">
        <f>IF('Input overrides'!F22&lt;&gt;"",'Input overrides'!F22,F_Inputs!F26)*Rebasing</f>
        <v>9.2596301215898638E-2</v>
      </c>
      <c r="G22" s="242">
        <f>IF('Input overrides'!G22&lt;&gt;"",'Input overrides'!G22,F_Inputs!G26)*Rebasing</f>
        <v>9.4653996798474166E-2</v>
      </c>
      <c r="H22" s="242">
        <f>IF('Input overrides'!H22&lt;&gt;"",'Input overrides'!H22,F_Inputs!H26)*Rebasing</f>
        <v>0.18494813642599139</v>
      </c>
      <c r="I22" s="242">
        <f>IF('Input overrides'!I22&lt;&gt;"",'Input overrides'!I22,F_Inputs!I26)*Rebasing</f>
        <v>0.20415154471369104</v>
      </c>
      <c r="J22" s="242">
        <f>IF('Input overrides'!J22&lt;&gt;"",'Input overrides'!J22,F_Inputs!J26)*Rebasing</f>
        <v>0.20298737674026629</v>
      </c>
      <c r="K22" s="242">
        <f>IF('Input overrides'!K22&lt;&gt;"",'Input overrides'!K22,F_Inputs!K26)*Rebasing</f>
        <v>0.20054201110960143</v>
      </c>
      <c r="L22" s="242">
        <f>IF('Input overrides'!L22&lt;&gt;"",'Input overrides'!L22,F_Inputs!L26)*Rebasing</f>
        <v>0.19617153215527935</v>
      </c>
      <c r="M22" s="242">
        <f>IF('Input overrides'!M22&lt;&gt;"",'Input overrides'!M22,F_Inputs!M26)*Rebasing</f>
        <v>0.1919389046355684</v>
      </c>
      <c r="N22" s="242">
        <f>IF('Input overrides'!N22&lt;&gt;"",'Input overrides'!N22,F_Inputs!N26)*Rebasing</f>
        <v>0.18573815852926345</v>
      </c>
      <c r="O22" s="242">
        <f>IF('Input overrides'!O22&lt;&gt;"",'Input overrides'!O22,F_Inputs!O26)*Rebasing</f>
        <v>0.18494766540255006</v>
      </c>
    </row>
    <row r="23" spans="1:17">
      <c r="A23" t="s">
        <v>32</v>
      </c>
      <c r="B23" t="s">
        <v>80</v>
      </c>
      <c r="C23" t="s">
        <v>136</v>
      </c>
      <c r="D23" t="s">
        <v>74</v>
      </c>
      <c r="E23" t="s">
        <v>182</v>
      </c>
      <c r="F23" s="242">
        <f>IF('Input overrides'!F23&lt;&gt;"",'Input overrides'!F23,F_Inputs!F27)*Rebasing</f>
        <v>0.21605803617043015</v>
      </c>
      <c r="G23" s="242">
        <f>IF('Input overrides'!G23&lt;&gt;"",'Input overrides'!G23,F_Inputs!G27)*Rebasing</f>
        <v>0.22840420966588332</v>
      </c>
      <c r="H23" s="242">
        <f>IF('Input overrides'!H23&lt;&gt;"",'Input overrides'!H23,F_Inputs!H27)*Rebasing</f>
        <v>0.50385299209989287</v>
      </c>
      <c r="I23" s="242">
        <f>IF('Input overrides'!I23&lt;&gt;"",'Input overrides'!I23,F_Inputs!I27)*Rebasing</f>
        <v>0.54522751154398774</v>
      </c>
      <c r="J23" s="242">
        <f>IF('Input overrides'!J23&lt;&gt;"",'Input overrides'!J23,F_Inputs!J27)*Rebasing</f>
        <v>0.53216730752865649</v>
      </c>
      <c r="K23" s="242">
        <f>IF('Input overrides'!K23&lt;&gt;"",'Input overrides'!K23,F_Inputs!K27)*Rebasing</f>
        <v>0.51582865756261131</v>
      </c>
      <c r="L23" s="242">
        <f>IF('Input overrides'!L23&lt;&gt;"",'Input overrides'!L23,F_Inputs!L27)*Rebasing</f>
        <v>0.49509832024804401</v>
      </c>
      <c r="M23" s="242">
        <f>IF('Input overrides'!M23&lt;&gt;"",'Input overrides'!M23,F_Inputs!M27)*Rebasing</f>
        <v>0.47400604376505634</v>
      </c>
      <c r="N23" s="242">
        <f>IF('Input overrides'!N23&lt;&gt;"",'Input overrides'!N23,F_Inputs!N27)*Rebasing</f>
        <v>0.45043644627574597</v>
      </c>
      <c r="O23" s="242">
        <f>IF('Input overrides'!O23&lt;&gt;"",'Input overrides'!O23,F_Inputs!O27)*Rebasing</f>
        <v>0.4416957510851961</v>
      </c>
    </row>
    <row r="24" spans="1:17">
      <c r="A24" t="s">
        <v>32</v>
      </c>
      <c r="B24" t="s">
        <v>81</v>
      </c>
      <c r="C24" t="s">
        <v>137</v>
      </c>
      <c r="D24" t="s">
        <v>74</v>
      </c>
      <c r="E24" t="s">
        <v>182</v>
      </c>
      <c r="F24" s="242">
        <f>IF('Input overrides'!F24&lt;&gt;"",'Input overrides'!F24,F_Inputs!F28)*Rebasing</f>
        <v>1.5545890126358093</v>
      </c>
      <c r="G24" s="242">
        <f>IF('Input overrides'!G24&lt;&gt;"",'Input overrides'!G24,F_Inputs!G28)*Rebasing</f>
        <v>1.5875121419570177</v>
      </c>
      <c r="H24" s="242">
        <f>IF('Input overrides'!H24&lt;&gt;"",'Input overrides'!H24,F_Inputs!H28)*Rebasing</f>
        <v>3.1469695236679307</v>
      </c>
      <c r="I24" s="242">
        <f>IF('Input overrides'!I24&lt;&gt;"",'Input overrides'!I24,F_Inputs!I28)*Rebasing</f>
        <v>3.5516720350692226</v>
      </c>
      <c r="J24" s="242">
        <f>IF('Input overrides'!J24&lt;&gt;"",'Input overrides'!J24,F_Inputs!J28)*Rebasing</f>
        <v>3.6096067371810263</v>
      </c>
      <c r="K24" s="242">
        <f>IF('Input overrides'!K24&lt;&gt;"",'Input overrides'!K24,F_Inputs!K28)*Rebasing</f>
        <v>3.6289712812643722</v>
      </c>
      <c r="L24" s="242">
        <f>IF('Input overrides'!L24&lt;&gt;"",'Input overrides'!L24,F_Inputs!L28)*Rebasing</f>
        <v>3.6038451896012882</v>
      </c>
      <c r="M24" s="242">
        <f>IF('Input overrides'!M24&lt;&gt;"",'Input overrides'!M24,F_Inputs!M28)*Rebasing</f>
        <v>3.5665294034013098</v>
      </c>
      <c r="N24" s="242">
        <f>IF('Input overrides'!N24&lt;&gt;"",'Input overrides'!N24,F_Inputs!N28)*Rebasing</f>
        <v>3.4962595487921275</v>
      </c>
      <c r="O24" s="242">
        <f>IF('Input overrides'!O24&lt;&gt;"",'Input overrides'!O24,F_Inputs!O28)*Rebasing</f>
        <v>3.5188800329034891</v>
      </c>
    </row>
    <row r="25" spans="1:17">
      <c r="A25" t="s">
        <v>32</v>
      </c>
      <c r="B25" t="s">
        <v>82</v>
      </c>
      <c r="C25" t="s">
        <v>89</v>
      </c>
      <c r="D25" t="s">
        <v>183</v>
      </c>
      <c r="E25" t="s">
        <v>182</v>
      </c>
      <c r="F25" s="242">
        <f>IF('Input overrides'!F25&lt;&gt;"",'Input overrides'!F25,F_Inputs!F29)</f>
        <v>55.576000000000001</v>
      </c>
      <c r="G25" s="242">
        <f>IF('Input overrides'!G25&lt;&gt;"",'Input overrides'!G25,F_Inputs!G29)</f>
        <v>54.869</v>
      </c>
      <c r="H25" s="242">
        <f>IF('Input overrides'!H25&lt;&gt;"",'Input overrides'!H25,F_Inputs!H29)</f>
        <v>54.43</v>
      </c>
      <c r="I25" s="242">
        <f>IF('Input overrides'!I25&lt;&gt;"",'Input overrides'!I25,F_Inputs!I29)</f>
        <v>54.045999999999999</v>
      </c>
      <c r="J25" s="242">
        <f>IF('Input overrides'!J25&lt;&gt;"",'Input overrides'!J25,F_Inputs!J29)</f>
        <v>53.624000000000002</v>
      </c>
      <c r="K25" s="518">
        <f>IF('Input overrides'!K25&lt;&gt;"",'Input overrides'!K25,F_Inputs!K29)</f>
        <v>53.197000000000003</v>
      </c>
      <c r="L25" s="519">
        <f>IF('Input overrides'!L25&lt;&gt;"",'Input overrides'!L25,F_Inputs!L29)</f>
        <v>52.78</v>
      </c>
      <c r="M25" s="519">
        <f>IF('Input overrides'!M25&lt;&gt;"",'Input overrides'!M25,F_Inputs!M29)</f>
        <v>52.375</v>
      </c>
      <c r="N25" s="519">
        <f>IF('Input overrides'!N25&lt;&gt;"",'Input overrides'!N25,F_Inputs!N29)</f>
        <v>51.981000000000002</v>
      </c>
      <c r="O25" s="519">
        <f>IF('Input overrides'!O25&lt;&gt;"",'Input overrides'!O25,F_Inputs!O29)</f>
        <v>51.595999999999997</v>
      </c>
    </row>
    <row r="26" spans="1:17">
      <c r="A26" t="s">
        <v>32</v>
      </c>
      <c r="B26" t="s">
        <v>87</v>
      </c>
      <c r="C26" t="s">
        <v>90</v>
      </c>
      <c r="D26" t="s">
        <v>183</v>
      </c>
      <c r="E26" t="s">
        <v>182</v>
      </c>
      <c r="F26" s="242">
        <f>IF('Input overrides'!F26&lt;&gt;"",'Input overrides'!F26,F_Inputs!F30)</f>
        <v>22.231999999999999</v>
      </c>
      <c r="G26" s="242">
        <f>IF('Input overrides'!G26&lt;&gt;"",'Input overrides'!G26,F_Inputs!G30)</f>
        <v>23.146999999999998</v>
      </c>
      <c r="H26" s="242">
        <f>IF('Input overrides'!H26&lt;&gt;"",'Input overrides'!H26,F_Inputs!H30)</f>
        <v>23.713000000000001</v>
      </c>
      <c r="I26" s="242">
        <f>IF('Input overrides'!I26&lt;&gt;"",'Input overrides'!I26,F_Inputs!I30)</f>
        <v>24.497</v>
      </c>
      <c r="J26" s="242">
        <f>IF('Input overrides'!J26&lt;&gt;"",'Input overrides'!J26,F_Inputs!J30)</f>
        <v>25.318999999999999</v>
      </c>
      <c r="K26" s="518">
        <f>IF('Input overrides'!K26&lt;&gt;"",'Input overrides'!K26,F_Inputs!K30)</f>
        <v>26.146000000000001</v>
      </c>
      <c r="L26" s="519">
        <f>IF('Input overrides'!L26&lt;&gt;"",'Input overrides'!L26,F_Inputs!L30)</f>
        <v>26.99</v>
      </c>
      <c r="M26" s="519">
        <f>IF('Input overrides'!M26&lt;&gt;"",'Input overrides'!M26,F_Inputs!M30)</f>
        <v>27.847999999999999</v>
      </c>
      <c r="N26" s="519">
        <f>IF('Input overrides'!N26&lt;&gt;"",'Input overrides'!N26,F_Inputs!N30)</f>
        <v>28.722000000000001</v>
      </c>
      <c r="O26" s="519">
        <f>IF('Input overrides'!O26&lt;&gt;"",'Input overrides'!O26,F_Inputs!O30)</f>
        <v>29.614000000000001</v>
      </c>
    </row>
    <row r="27" spans="1:17">
      <c r="A27" t="s">
        <v>32</v>
      </c>
      <c r="B27" t="s">
        <v>83</v>
      </c>
      <c r="C27" t="s">
        <v>91</v>
      </c>
      <c r="D27" t="s">
        <v>183</v>
      </c>
      <c r="E27" t="s">
        <v>182</v>
      </c>
      <c r="F27" s="242">
        <f>IF('Input overrides'!F27&lt;&gt;"",'Input overrides'!F27,F_Inputs!F31)</f>
        <v>70.182000000000002</v>
      </c>
      <c r="G27" s="242">
        <f>IF('Input overrides'!G27&lt;&gt;"",'Input overrides'!G27,F_Inputs!G31)</f>
        <v>66.59</v>
      </c>
      <c r="H27" s="242">
        <f>IF('Input overrides'!H27&lt;&gt;"",'Input overrides'!H27,F_Inputs!H31)</f>
        <v>59.552</v>
      </c>
      <c r="I27" s="242">
        <f>IF('Input overrides'!I27&lt;&gt;"",'Input overrides'!I27,F_Inputs!I31)</f>
        <v>59.167999999999999</v>
      </c>
      <c r="J27" s="242">
        <f>IF('Input overrides'!J27&lt;&gt;"",'Input overrides'!J27,F_Inputs!J31)</f>
        <v>58.746000000000002</v>
      </c>
      <c r="K27" s="518">
        <f>IF('Input overrides'!K27&lt;&gt;"",'Input overrides'!K27,F_Inputs!K31)</f>
        <v>58.319000000000003</v>
      </c>
      <c r="L27" s="519">
        <f>IF('Input overrides'!L27&lt;&gt;"",'Input overrides'!L27,F_Inputs!L31)</f>
        <v>57.902000000000001</v>
      </c>
      <c r="M27" s="519">
        <f>IF('Input overrides'!M27&lt;&gt;"",'Input overrides'!M27,F_Inputs!M31)</f>
        <v>57.497</v>
      </c>
      <c r="N27" s="519">
        <f>IF('Input overrides'!N27&lt;&gt;"",'Input overrides'!N27,F_Inputs!N31)</f>
        <v>57.103000000000002</v>
      </c>
      <c r="O27" s="519">
        <f>IF('Input overrides'!O27&lt;&gt;"",'Input overrides'!O27,F_Inputs!O31)</f>
        <v>56.718000000000004</v>
      </c>
    </row>
    <row r="28" spans="1:17">
      <c r="A28" t="s">
        <v>32</v>
      </c>
      <c r="B28" t="s">
        <v>84</v>
      </c>
      <c r="C28" t="s">
        <v>92</v>
      </c>
      <c r="D28" t="s">
        <v>183</v>
      </c>
      <c r="E28" t="s">
        <v>182</v>
      </c>
      <c r="F28" s="242">
        <f>IF('Input overrides'!F28&lt;&gt;"",'Input overrides'!F28,F_Inputs!F32)</f>
        <v>51.960999999999999</v>
      </c>
      <c r="G28" s="242">
        <f>IF('Input overrides'!G28&lt;&gt;"",'Input overrides'!G28,F_Inputs!G32)</f>
        <v>56.100999999999999</v>
      </c>
      <c r="H28" s="242">
        <f>IF('Input overrides'!H28&lt;&gt;"",'Input overrides'!H28,F_Inputs!H32)</f>
        <v>64.727999999999994</v>
      </c>
      <c r="I28" s="242">
        <f>IF('Input overrides'!I28&lt;&gt;"",'Input overrides'!I28,F_Inputs!I32)</f>
        <v>65.512</v>
      </c>
      <c r="J28" s="242">
        <f>IF('Input overrides'!J28&lt;&gt;"",'Input overrides'!J28,F_Inputs!J32)</f>
        <v>66.334000000000003</v>
      </c>
      <c r="K28" s="518">
        <f>IF('Input overrides'!K28&lt;&gt;"",'Input overrides'!K28,F_Inputs!K32)</f>
        <v>67.161000000000001</v>
      </c>
      <c r="L28" s="519">
        <f>IF('Input overrides'!L28&lt;&gt;"",'Input overrides'!L28,F_Inputs!L32)</f>
        <v>68.004999999999995</v>
      </c>
      <c r="M28" s="519">
        <f>IF('Input overrides'!M28&lt;&gt;"",'Input overrides'!M28,F_Inputs!M32)</f>
        <v>68.863</v>
      </c>
      <c r="N28" s="519">
        <f>IF('Input overrides'!N28&lt;&gt;"",'Input overrides'!N28,F_Inputs!N32)</f>
        <v>69.736999999999995</v>
      </c>
      <c r="O28" s="519">
        <f>IF('Input overrides'!O28&lt;&gt;"",'Input overrides'!O28,F_Inputs!O32)</f>
        <v>70.629000000000005</v>
      </c>
    </row>
    <row r="29" spans="1:17">
      <c r="A29" t="s">
        <v>32</v>
      </c>
      <c r="B29" t="s">
        <v>85</v>
      </c>
      <c r="C29" t="s">
        <v>93</v>
      </c>
      <c r="D29" t="s">
        <v>183</v>
      </c>
      <c r="E29" t="s">
        <v>182</v>
      </c>
      <c r="F29" s="242">
        <f>IF('Input overrides'!F29&lt;&gt;"",'Input overrides'!F29,F_Inputs!F33)</f>
        <v>764.51599999999996</v>
      </c>
      <c r="G29" s="242">
        <f>IF('Input overrides'!G29&lt;&gt;"",'Input overrides'!G29,F_Inputs!G33)</f>
        <v>754.78700000000003</v>
      </c>
      <c r="H29" s="242">
        <f>IF('Input overrides'!H29&lt;&gt;"",'Input overrides'!H29,F_Inputs!H33)</f>
        <v>740.98299999999995</v>
      </c>
      <c r="I29" s="242">
        <f>IF('Input overrides'!I29&lt;&gt;"",'Input overrides'!I29,F_Inputs!I33)</f>
        <v>723.71</v>
      </c>
      <c r="J29" s="242">
        <f>IF('Input overrides'!J29&lt;&gt;"",'Input overrides'!J29,F_Inputs!J33)</f>
        <v>706.447</v>
      </c>
      <c r="K29" s="518">
        <f>IF('Input overrides'!K29&lt;&gt;"",'Input overrides'!K29,F_Inputs!K33)</f>
        <v>688.87300000000005</v>
      </c>
      <c r="L29" s="519">
        <f>IF('Input overrides'!L29&lt;&gt;"",'Input overrides'!L29,F_Inputs!L33)</f>
        <v>671.755</v>
      </c>
      <c r="M29" s="519">
        <f>IF('Input overrides'!M29&lt;&gt;"",'Input overrides'!M29,F_Inputs!M33)</f>
        <v>655.08000000000004</v>
      </c>
      <c r="N29" s="519">
        <f>IF('Input overrides'!N29&lt;&gt;"",'Input overrides'!N29,F_Inputs!N33)</f>
        <v>638.83500000000004</v>
      </c>
      <c r="O29" s="519">
        <f>IF('Input overrides'!O29&lt;&gt;"",'Input overrides'!O29,F_Inputs!O33)</f>
        <v>623.00900000000001</v>
      </c>
    </row>
    <row r="30" spans="1:17">
      <c r="A30" t="s">
        <v>32</v>
      </c>
      <c r="B30" t="s">
        <v>86</v>
      </c>
      <c r="C30" t="s">
        <v>94</v>
      </c>
      <c r="D30" t="s">
        <v>183</v>
      </c>
      <c r="E30" t="s">
        <v>182</v>
      </c>
      <c r="F30" s="242">
        <f>IF('Input overrides'!F30&lt;&gt;"",'Input overrides'!F30,F_Inputs!F34)</f>
        <v>373.75099999999998</v>
      </c>
      <c r="G30" s="242">
        <f>IF('Input overrides'!G30&lt;&gt;"",'Input overrides'!G30,F_Inputs!G34)</f>
        <v>389.12400000000002</v>
      </c>
      <c r="H30" s="242">
        <f>IF('Input overrides'!H30&lt;&gt;"",'Input overrides'!H30,F_Inputs!H34)</f>
        <v>404.53100000000001</v>
      </c>
      <c r="I30" s="242">
        <f>IF('Input overrides'!I30&lt;&gt;"",'Input overrides'!I30,F_Inputs!I34)</f>
        <v>427.11799999999999</v>
      </c>
      <c r="J30" s="242">
        <f>IF('Input overrides'!J30&lt;&gt;"",'Input overrides'!J30,F_Inputs!J34)</f>
        <v>449.69499999999999</v>
      </c>
      <c r="K30" s="518">
        <f>IF('Input overrides'!K30&lt;&gt;"",'Input overrides'!K30,F_Inputs!K34)</f>
        <v>472.58300000000003</v>
      </c>
      <c r="L30" s="519">
        <f>IF('Input overrides'!L30&lt;&gt;"",'Input overrides'!L30,F_Inputs!L34)</f>
        <v>495.37</v>
      </c>
      <c r="M30" s="519">
        <f>IF('Input overrides'!M30&lt;&gt;"",'Input overrides'!M30,F_Inputs!M34)</f>
        <v>518.07000000000005</v>
      </c>
      <c r="N30" s="519">
        <f>IF('Input overrides'!N30&lt;&gt;"",'Input overrides'!N30,F_Inputs!N34)</f>
        <v>540.69299999999998</v>
      </c>
      <c r="O30" s="519">
        <f>IF('Input overrides'!O30&lt;&gt;"",'Input overrides'!O30,F_Inputs!O34)</f>
        <v>563.25199999999995</v>
      </c>
    </row>
    <row r="31" spans="1:17">
      <c r="A31" t="s">
        <v>32</v>
      </c>
      <c r="B31" t="s">
        <v>174</v>
      </c>
      <c r="C31" t="s">
        <v>184</v>
      </c>
      <c r="D31" t="s">
        <v>74</v>
      </c>
      <c r="E31" t="s">
        <v>182</v>
      </c>
      <c r="F31" s="242">
        <f>IF('Input overrides'!F31&lt;&gt;"",'Input overrides'!F31,F_Inputs!F35)*Rebasing</f>
        <v>0</v>
      </c>
      <c r="G31" s="242">
        <f>IF('Input overrides'!G31&lt;&gt;"",'Input overrides'!G31,F_Inputs!G35)*Rebasing</f>
        <v>0</v>
      </c>
      <c r="H31" s="242">
        <f>IF('Input overrides'!H31&lt;&gt;"",'Input overrides'!H31,F_Inputs!H35)*Rebasing</f>
        <v>0</v>
      </c>
      <c r="I31" s="242">
        <f>IF('Input overrides'!I31&lt;&gt;"",'Input overrides'!I31,F_Inputs!I35)*Rebasing</f>
        <v>0</v>
      </c>
      <c r="J31" s="242">
        <f>IF('Input overrides'!J31&lt;&gt;"",'Input overrides'!J31,F_Inputs!J35)*Rebasing</f>
        <v>0</v>
      </c>
      <c r="K31" s="242">
        <f>IF('Input overrides'!K31&lt;&gt;"",'Input overrides'!K31,F_Inputs!K35)*Rebasing</f>
        <v>0</v>
      </c>
      <c r="L31" s="242">
        <f>IF('Input overrides'!L31&lt;&gt;"",'Input overrides'!L31,F_Inputs!L35)*Rebasing</f>
        <v>0</v>
      </c>
      <c r="M31" s="242">
        <f>IF('Input overrides'!M31&lt;&gt;"",'Input overrides'!M31,F_Inputs!M35)*Rebasing</f>
        <v>0</v>
      </c>
      <c r="N31" s="242">
        <f>IF('Input overrides'!N31&lt;&gt;"",'Input overrides'!N31,F_Inputs!N35)*Rebasing</f>
        <v>0</v>
      </c>
      <c r="O31" s="242">
        <f>IF('Input overrides'!O31&lt;&gt;"",'Input overrides'!O31,F_Inputs!O35)*Rebasing</f>
        <v>0</v>
      </c>
    </row>
    <row r="32" spans="1:17">
      <c r="A32" t="s">
        <v>32</v>
      </c>
      <c r="B32" t="s">
        <v>156</v>
      </c>
      <c r="C32" t="s">
        <v>157</v>
      </c>
      <c r="D32" t="s">
        <v>74</v>
      </c>
      <c r="E32" t="s">
        <v>182</v>
      </c>
      <c r="F32" s="242">
        <f>IF('Input overrides'!F32&lt;&gt;"",'Input overrides'!F32,F_Inputs!F36)*Rebasing</f>
        <v>0.12037519158066824</v>
      </c>
      <c r="G32" s="242">
        <f>IF('Input overrides'!G32&lt;&gt;"",'Input overrides'!G32,F_Inputs!G36)*Rebasing</f>
        <v>0.23457729641360991</v>
      </c>
      <c r="H32" s="242">
        <f>IF('Input overrides'!H32&lt;&gt;"",'Input overrides'!H32,F_Inputs!H36)*Rebasing</f>
        <v>11.325556486495691</v>
      </c>
      <c r="I32" s="242">
        <f>IF('Input overrides'!I32&lt;&gt;"",'Input overrides'!I32,F_Inputs!I36)*Rebasing</f>
        <v>10.608698879621056</v>
      </c>
      <c r="J32" s="242">
        <f>IF('Input overrides'!J32&lt;&gt;"",'Input overrides'!J32,F_Inputs!J36)*Rebasing</f>
        <v>14.448109533054051</v>
      </c>
      <c r="K32" s="242">
        <f>IF('Input overrides'!K32&lt;&gt;"",'Input overrides'!K32,F_Inputs!K36)*Rebasing</f>
        <v>10.002212297022298</v>
      </c>
      <c r="L32" s="242">
        <f>IF('Input overrides'!L32&lt;&gt;"",'Input overrides'!L32,F_Inputs!L36)*Rebasing</f>
        <v>9.5078274221615597</v>
      </c>
      <c r="M32" s="242">
        <f>IF('Input overrides'!M32&lt;&gt;"",'Input overrides'!M32,F_Inputs!M36)*Rebasing</f>
        <v>9.0368947539600253</v>
      </c>
      <c r="N32" s="242">
        <f>IF('Input overrides'!N32&lt;&gt;"",'Input overrides'!N32,F_Inputs!N36)*Rebasing</f>
        <v>8.5902884342970793</v>
      </c>
      <c r="O32" s="242">
        <f>IF('Input overrides'!O32&lt;&gt;"",'Input overrides'!O32,F_Inputs!O36)*Rebasing</f>
        <v>8.1660124306172808</v>
      </c>
    </row>
    <row r="33" spans="1:17">
      <c r="A33" t="s">
        <v>32</v>
      </c>
      <c r="B33" t="s">
        <v>159</v>
      </c>
      <c r="C33" t="s">
        <v>158</v>
      </c>
      <c r="D33" t="s">
        <v>74</v>
      </c>
      <c r="E33" t="s">
        <v>182</v>
      </c>
      <c r="F33" s="242">
        <f>IF('Input overrides'!F33&lt;&gt;"",'Input overrides'!F33,F_Inputs!F37)*Rebasing</f>
        <v>0</v>
      </c>
      <c r="G33" s="242">
        <f>IF('Input overrides'!G33&lt;&gt;"",'Input overrides'!G33,F_Inputs!G37)*Rebasing</f>
        <v>0</v>
      </c>
      <c r="H33" s="242">
        <f>IF('Input overrides'!H33&lt;&gt;"",'Input overrides'!H33,F_Inputs!H37)*Rebasing</f>
        <v>0</v>
      </c>
      <c r="I33" s="242">
        <f>IF('Input overrides'!I33&lt;&gt;"",'Input overrides'!I33,F_Inputs!I37)*Rebasing</f>
        <v>0</v>
      </c>
      <c r="J33" s="242">
        <f>IF('Input overrides'!J33&lt;&gt;"",'Input overrides'!J33,F_Inputs!J37)*Rebasing</f>
        <v>0</v>
      </c>
      <c r="K33" s="242">
        <f>IF('Input overrides'!K33&lt;&gt;"",'Input overrides'!K33,F_Inputs!K37)*Rebasing</f>
        <v>0</v>
      </c>
      <c r="L33" s="242">
        <f>IF('Input overrides'!L33&lt;&gt;"",'Input overrides'!L33,F_Inputs!L37)*Rebasing</f>
        <v>0</v>
      </c>
      <c r="M33" s="242">
        <f>IF('Input overrides'!M33&lt;&gt;"",'Input overrides'!M33,F_Inputs!M37)*Rebasing</f>
        <v>0</v>
      </c>
      <c r="N33" s="242">
        <f>IF('Input overrides'!N33&lt;&gt;"",'Input overrides'!N33,F_Inputs!N37)*Rebasing</f>
        <v>0</v>
      </c>
      <c r="O33" s="242">
        <f>IF('Input overrides'!O33&lt;&gt;"",'Input overrides'!O33,F_Inputs!O37)*Rebasing</f>
        <v>0</v>
      </c>
    </row>
    <row r="34" spans="1:17">
      <c r="A34" t="s">
        <v>33</v>
      </c>
      <c r="B34" t="s">
        <v>78</v>
      </c>
      <c r="C34" t="s">
        <v>132</v>
      </c>
      <c r="D34" t="s">
        <v>74</v>
      </c>
      <c r="E34" t="s">
        <v>182</v>
      </c>
      <c r="F34" s="242">
        <f>IF('Input overrides'!F34&lt;&gt;"",'Input overrides'!F34,F_Inputs!F42)*Rebasing</f>
        <v>40.165536877437759</v>
      </c>
      <c r="G34" s="242">
        <f>IF('Input overrides'!G34&lt;&gt;"",'Input overrides'!G34,F_Inputs!G42)*Rebasing</f>
        <v>40.55245814246372</v>
      </c>
      <c r="H34" s="242">
        <f>IF('Input overrides'!H34&lt;&gt;"",'Input overrides'!H34,F_Inputs!H42)*Rebasing</f>
        <v>41.641164030030872</v>
      </c>
      <c r="I34" s="242">
        <f ca="1">IF('Input overrides'!I34&lt;&gt;"",'Input overrides'!I34,F_Inputs!I42)*Rebasing</f>
        <v>45.32599656382083</v>
      </c>
      <c r="J34" s="242">
        <f>IF('Input overrides'!J34&lt;&gt;"",'Input overrides'!J34,F_Inputs!J42)*Rebasing</f>
        <v>43.012446749739908</v>
      </c>
      <c r="K34" s="242">
        <f ca="1">IF('Input overrides'!K34&lt;&gt;"",'Input overrides'!K34,F_Inputs!K42)*Rebasing</f>
        <v>46.602780441087852</v>
      </c>
      <c r="L34" s="242">
        <f ca="1">IF('Input overrides'!L34&lt;&gt;"",'Input overrides'!L34,F_Inputs!L42)*Rebasing</f>
        <v>47.037881548490823</v>
      </c>
      <c r="M34" s="242">
        <f ca="1">IF('Input overrides'!M34&lt;&gt;"",'Input overrides'!M34,F_Inputs!M42)*Rebasing</f>
        <v>47.480182910626326</v>
      </c>
      <c r="N34" s="242">
        <f ca="1">IF('Input overrides'!N34&lt;&gt;"",'Input overrides'!N34,F_Inputs!N42)*Rebasing</f>
        <v>47.928655919675244</v>
      </c>
      <c r="O34" s="242">
        <f ca="1">IF('Input overrides'!O34&lt;&gt;"",'Input overrides'!O34,F_Inputs!O42)*Rebasing</f>
        <v>48.382271967818859</v>
      </c>
      <c r="Q34" s="242"/>
    </row>
    <row r="35" spans="1:17">
      <c r="A35" t="s">
        <v>33</v>
      </c>
      <c r="B35" t="s">
        <v>97</v>
      </c>
      <c r="C35" t="s">
        <v>99</v>
      </c>
      <c r="D35" t="s">
        <v>74</v>
      </c>
      <c r="E35" t="s">
        <v>182</v>
      </c>
      <c r="F35" s="242">
        <f>IF('Input overrides'!F35&lt;&gt;"",'Input overrides'!F35,F_Inputs!F43)*Rebasing</f>
        <v>1.3135985267159433</v>
      </c>
      <c r="G35" s="242">
        <f>IF('Input overrides'!G35&lt;&gt;"",'Input overrides'!G35,F_Inputs!G43)*Rebasing</f>
        <v>1.167865333742957</v>
      </c>
      <c r="H35" s="242">
        <f>IF('Input overrides'!H35&lt;&gt;"",'Input overrides'!H35,F_Inputs!H43)*Rebasing</f>
        <v>1.1968818402895507</v>
      </c>
      <c r="I35" s="242">
        <f>IF('Input overrides'!I35&lt;&gt;"",'Input overrides'!I35,F_Inputs!I43)*Rebasing</f>
        <v>2.8960038347508417</v>
      </c>
      <c r="J35" s="242">
        <f>IF('Input overrides'!J35&lt;&gt;"",'Input overrides'!J35,F_Inputs!J43)*Rebasing</f>
        <v>1.0649974294301665</v>
      </c>
      <c r="K35" s="242">
        <f>IF('Input overrides'!K35&lt;&gt;"",'Input overrides'!K35,F_Inputs!K43)*Rebasing</f>
        <v>2.624003474580868</v>
      </c>
      <c r="L35" s="242">
        <f>IF('Input overrides'!L35&lt;&gt;"",'Input overrides'!L35,F_Inputs!L43)*Rebasing</f>
        <v>2.2750030124510277</v>
      </c>
      <c r="M35" s="242">
        <f>IF('Input overrides'!M35&lt;&gt;"",'Input overrides'!M35,F_Inputs!M43)*Rebasing</f>
        <v>1.8570024589545318</v>
      </c>
      <c r="N35" s="242">
        <f>IF('Input overrides'!N35&lt;&gt;"",'Input overrides'!N35,F_Inputs!N43)*Rebasing</f>
        <v>1.4800019597483607</v>
      </c>
      <c r="O35" s="242">
        <f>IF('Input overrides'!O35&lt;&gt;"",'Input overrides'!O35,F_Inputs!O43)*Rebasing</f>
        <v>1.3510017889324544</v>
      </c>
    </row>
    <row r="36" spans="1:17">
      <c r="A36" t="s">
        <v>33</v>
      </c>
      <c r="B36" t="s">
        <v>98</v>
      </c>
      <c r="C36" t="s">
        <v>100</v>
      </c>
      <c r="D36" t="s">
        <v>74</v>
      </c>
      <c r="E36" t="s">
        <v>182</v>
      </c>
      <c r="F36" s="242">
        <f>IF('Input overrides'!F36&lt;&gt;"",'Input overrides'!F36,F_Inputs!F44)*Rebasing</f>
        <v>0</v>
      </c>
      <c r="G36" s="242">
        <f>IF('Input overrides'!G36&lt;&gt;"",'Input overrides'!G36,F_Inputs!G44)*Rebasing</f>
        <v>0</v>
      </c>
      <c r="H36" s="242">
        <f>IF('Input overrides'!H36&lt;&gt;"",'Input overrides'!H36,F_Inputs!H44)*Rebasing</f>
        <v>0</v>
      </c>
      <c r="I36" s="242">
        <f>IF('Input overrides'!I36&lt;&gt;"",'Input overrides'!I36,F_Inputs!I44)*Rebasing</f>
        <v>0</v>
      </c>
      <c r="J36" s="242">
        <f>IF('Input overrides'!J36&lt;&gt;"",'Input overrides'!J36,F_Inputs!J44)*Rebasing</f>
        <v>0</v>
      </c>
      <c r="K36" s="242">
        <f>IF('Input overrides'!K36&lt;&gt;"",'Input overrides'!K36,F_Inputs!K44)*Rebasing</f>
        <v>1.0040013294509134</v>
      </c>
      <c r="L36" s="242">
        <f>IF('Input overrides'!L36&lt;&gt;"",'Input overrides'!L36,F_Inputs!L44)*Rebasing</f>
        <v>1.6090021305642646</v>
      </c>
      <c r="M36" s="242">
        <f>IF('Input overrides'!M36&lt;&gt;"",'Input overrides'!M36,F_Inputs!M44)*Rebasing</f>
        <v>2.2990030442307283</v>
      </c>
      <c r="N36" s="242">
        <f>IF('Input overrides'!N36&lt;&gt;"",'Input overrides'!N36,F_Inputs!N44)*Rebasing</f>
        <v>2.835003753977428</v>
      </c>
      <c r="O36" s="242">
        <f>IF('Input overrides'!O36&lt;&gt;"",'Input overrides'!O36,F_Inputs!O44)*Rebasing</f>
        <v>3.4270045378767682</v>
      </c>
    </row>
    <row r="37" spans="1:17">
      <c r="A37" t="s">
        <v>33</v>
      </c>
      <c r="B37" t="s">
        <v>79</v>
      </c>
      <c r="C37" t="s">
        <v>135</v>
      </c>
      <c r="D37" t="s">
        <v>74</v>
      </c>
      <c r="E37" t="s">
        <v>182</v>
      </c>
      <c r="F37" s="242">
        <f>IF('Input overrides'!F37&lt;&gt;"",'Input overrides'!F37,F_Inputs!F45)*Rebasing</f>
        <v>0.89300118246978666</v>
      </c>
      <c r="G37" s="242">
        <f>IF('Input overrides'!G37&lt;&gt;"",'Input overrides'!G37,F_Inputs!G45)*Rebasing</f>
        <v>1.0290013625547714</v>
      </c>
      <c r="H37" s="242">
        <f>IF('Input overrides'!H37&lt;&gt;"",'Input overrides'!H37,F_Inputs!H45)*Rebasing</f>
        <v>1.0080013347475305</v>
      </c>
      <c r="I37" s="242">
        <f>IF('Input overrides'!I37&lt;&gt;"",'Input overrides'!I37,F_Inputs!I45)*Rebasing</f>
        <v>1.0490013890378536</v>
      </c>
      <c r="J37" s="242">
        <f>IF('Input overrides'!J37&lt;&gt;"",'Input overrides'!J37,F_Inputs!J45)*Rebasing</f>
        <v>1.0900014433281811</v>
      </c>
      <c r="K37" s="242">
        <f>IF('Input overrides'!K37&lt;&gt;"",'Input overrides'!K37,F_Inputs!K45)*Rebasing</f>
        <v>1.1340015015909761</v>
      </c>
      <c r="L37" s="242">
        <f>IF('Input overrides'!L37&lt;&gt;"",'Input overrides'!L37,F_Inputs!L45)*Rebasing</f>
        <v>1.1780015598537612</v>
      </c>
      <c r="M37" s="242">
        <f>IF('Input overrides'!M37&lt;&gt;"",'Input overrides'!M37,F_Inputs!M45)*Rebasing</f>
        <v>1.2240016207648614</v>
      </c>
      <c r="N37" s="242">
        <f>IF('Input overrides'!N37&lt;&gt;"",'Input overrides'!N37,F_Inputs!N45)*Rebasing</f>
        <v>1.2700016816759516</v>
      </c>
      <c r="O37" s="242">
        <f>IF('Input overrides'!O37&lt;&gt;"",'Input overrides'!O37,F_Inputs!O45)*Rebasing</f>
        <v>1.3150017412628994</v>
      </c>
    </row>
    <row r="38" spans="1:17">
      <c r="A38" t="s">
        <v>33</v>
      </c>
      <c r="B38" t="s">
        <v>80</v>
      </c>
      <c r="C38" t="s">
        <v>136</v>
      </c>
      <c r="D38" t="s">
        <v>74</v>
      </c>
      <c r="E38" t="s">
        <v>182</v>
      </c>
      <c r="F38" s="242">
        <f>IF('Input overrides'!F38&lt;&gt;"",'Input overrides'!F38,F_Inputs!F46)*Rebasing</f>
        <v>6.8000090042492162E-2</v>
      </c>
      <c r="G38" s="242">
        <f>IF('Input overrides'!G38&lt;&gt;"",'Input overrides'!G38,F_Inputs!G46)*Rebasing</f>
        <v>7.900010460818932E-2</v>
      </c>
      <c r="H38" s="242">
        <f>IF('Input overrides'!H38&lt;&gt;"",'Input overrides'!H38,F_Inputs!H46)*Rebasing</f>
        <v>7.7000101959880787E-2</v>
      </c>
      <c r="I38" s="242">
        <f>IF('Input overrides'!I38&lt;&gt;"",'Input overrides'!I38,F_Inputs!I46)*Rebasing</f>
        <v>8.3000109904806593E-2</v>
      </c>
      <c r="J38" s="242">
        <f>IF('Input overrides'!J38&lt;&gt;"",'Input overrides'!J38,F_Inputs!J46)*Rebasing</f>
        <v>8.800011652557807E-2</v>
      </c>
      <c r="K38" s="242">
        <f>IF('Input overrides'!K38&lt;&gt;"",'Input overrides'!K38,F_Inputs!K46)*Rebasing</f>
        <v>9.4000124470503862E-2</v>
      </c>
      <c r="L38" s="242">
        <f>IF('Input overrides'!L38&lt;&gt;"",'Input overrides'!L38,F_Inputs!L46)*Rebasing</f>
        <v>9.900013109127534E-2</v>
      </c>
      <c r="M38" s="242">
        <f>IF('Input overrides'!M38&lt;&gt;"",'Input overrides'!M38,F_Inputs!M46)*Rebasing</f>
        <v>0.10400013771204701</v>
      </c>
      <c r="N38" s="242">
        <f>IF('Input overrides'!N38&lt;&gt;"",'Input overrides'!N38,F_Inputs!N46)*Rebasing</f>
        <v>0.11000014565697272</v>
      </c>
      <c r="O38" s="242">
        <f>IF('Input overrides'!O38&lt;&gt;"",'Input overrides'!O38,F_Inputs!O46)*Rebasing</f>
        <v>0.1160001536018984</v>
      </c>
    </row>
    <row r="39" spans="1:17">
      <c r="A39" t="s">
        <v>33</v>
      </c>
      <c r="B39" t="s">
        <v>81</v>
      </c>
      <c r="C39" t="s">
        <v>137</v>
      </c>
      <c r="D39" t="s">
        <v>74</v>
      </c>
      <c r="E39" t="s">
        <v>182</v>
      </c>
      <c r="F39" s="242">
        <f>IF('Input overrides'!F39&lt;&gt;"",'Input overrides'!F39,F_Inputs!F47)*Rebasing</f>
        <v>1.2290016273856346</v>
      </c>
      <c r="G39" s="242">
        <f>IF('Input overrides'!G39&lt;&gt;"",'Input overrides'!G39,F_Inputs!G47)*Rebasing</f>
        <v>1.4640019385618892</v>
      </c>
      <c r="H39" s="242">
        <f>IF('Input overrides'!H39&lt;&gt;"",'Input overrides'!H39,F_Inputs!H47)*Rebasing</f>
        <v>1.4890019716657443</v>
      </c>
      <c r="I39" s="242">
        <f>IF('Input overrides'!I39&lt;&gt;"",'Input overrides'!I39,F_Inputs!I47)*Rebasing</f>
        <v>1.5940021107019493</v>
      </c>
      <c r="J39" s="242">
        <f>IF('Input overrides'!J39&lt;&gt;"",'Input overrides'!J39,F_Inputs!J47)*Rebasing</f>
        <v>1.7010022523864592</v>
      </c>
      <c r="K39" s="242">
        <f>IF('Input overrides'!K39&lt;&gt;"",'Input overrides'!K39,F_Inputs!K47)*Rebasing</f>
        <v>1.8080023940709689</v>
      </c>
      <c r="L39" s="242">
        <f>IF('Input overrides'!L39&lt;&gt;"",'Input overrides'!L39,F_Inputs!L47)*Rebasing</f>
        <v>1.9160025370796312</v>
      </c>
      <c r="M39" s="242">
        <f>IF('Input overrides'!M39&lt;&gt;"",'Input overrides'!M39,F_Inputs!M47)*Rebasing</f>
        <v>2.0260026827365989</v>
      </c>
      <c r="N39" s="242">
        <f>IF('Input overrides'!N39&lt;&gt;"",'Input overrides'!N39,F_Inputs!N47)*Rebasing</f>
        <v>2.1350028270694241</v>
      </c>
      <c r="O39" s="242">
        <f>IF('Input overrides'!O39&lt;&gt;"",'Input overrides'!O39,F_Inputs!O47)*Rebasing</f>
        <v>2.2450029727263918</v>
      </c>
    </row>
    <row r="40" spans="1:17">
      <c r="A40" t="s">
        <v>33</v>
      </c>
      <c r="B40" t="s">
        <v>82</v>
      </c>
      <c r="C40" t="s">
        <v>89</v>
      </c>
      <c r="D40" t="s">
        <v>183</v>
      </c>
      <c r="E40" t="s">
        <v>182</v>
      </c>
      <c r="F40" s="242">
        <f>IF('Input overrides'!F40&lt;&gt;"",'Input overrides'!F40,F_Inputs!F48)</f>
        <v>365.255</v>
      </c>
      <c r="G40" s="242">
        <f>IF('Input overrides'!G40&lt;&gt;"",'Input overrides'!G40,F_Inputs!G48)</f>
        <v>352.85599999999999</v>
      </c>
      <c r="H40" s="242">
        <f>IF('Input overrides'!H40&lt;&gt;"",'Input overrides'!H40,F_Inputs!H48)</f>
        <v>340.86700000000002</v>
      </c>
      <c r="I40" s="242">
        <f>IF('Input overrides'!I40&lt;&gt;"",'Input overrides'!I40,F_Inputs!I48)</f>
        <v>328.83100000000002</v>
      </c>
      <c r="J40" s="242">
        <f>IF('Input overrides'!J40&lt;&gt;"",'Input overrides'!J40,F_Inputs!J48)</f>
        <v>317.02499999999998</v>
      </c>
      <c r="K40" s="518">
        <f>IF('Input overrides'!K40&lt;&gt;"",'Input overrides'!K40,F_Inputs!K48)</f>
        <v>304.31200000000001</v>
      </c>
      <c r="L40" s="519">
        <f>IF('Input overrides'!L40&lt;&gt;"",'Input overrides'!L40,F_Inputs!L48)</f>
        <v>291.65899999999999</v>
      </c>
      <c r="M40" s="519">
        <f>IF('Input overrides'!M40&lt;&gt;"",'Input overrides'!M40,F_Inputs!M48)</f>
        <v>278.53100000000001</v>
      </c>
      <c r="N40" s="519">
        <f>IF('Input overrides'!N40&lt;&gt;"",'Input overrides'!N40,F_Inputs!N48)</f>
        <v>265.41000000000003</v>
      </c>
      <c r="O40" s="519">
        <f>IF('Input overrides'!O40&lt;&gt;"",'Input overrides'!O40,F_Inputs!O48)</f>
        <v>252.82300000000001</v>
      </c>
    </row>
    <row r="41" spans="1:17">
      <c r="A41" t="s">
        <v>33</v>
      </c>
      <c r="B41" t="s">
        <v>87</v>
      </c>
      <c r="C41" t="s">
        <v>90</v>
      </c>
      <c r="D41" t="s">
        <v>183</v>
      </c>
      <c r="E41" t="s">
        <v>182</v>
      </c>
      <c r="F41" s="242">
        <f>IF('Input overrides'!F41&lt;&gt;"",'Input overrides'!F41,F_Inputs!F49)</f>
        <v>351.31299999999999</v>
      </c>
      <c r="G41" s="242">
        <f>IF('Input overrides'!G41&lt;&gt;"",'Input overrides'!G41,F_Inputs!G49)</f>
        <v>364.88799999999998</v>
      </c>
      <c r="H41" s="242">
        <f>IF('Input overrides'!H41&lt;&gt;"",'Input overrides'!H41,F_Inputs!H49)</f>
        <v>379.97</v>
      </c>
      <c r="I41" s="242">
        <f>IF('Input overrides'!I41&lt;&gt;"",'Input overrides'!I41,F_Inputs!I49)</f>
        <v>395.48099999999999</v>
      </c>
      <c r="J41" s="242">
        <f>IF('Input overrides'!J41&lt;&gt;"",'Input overrides'!J41,F_Inputs!J49)</f>
        <v>411.11</v>
      </c>
      <c r="K41" s="518">
        <f>IF('Input overrides'!K41&lt;&gt;"",'Input overrides'!K41,F_Inputs!K49)</f>
        <v>427.69400000000002</v>
      </c>
      <c r="L41" s="519">
        <f>IF('Input overrides'!L41&lt;&gt;"",'Input overrides'!L41,F_Inputs!L49)</f>
        <v>444.28300000000002</v>
      </c>
      <c r="M41" s="519">
        <f>IF('Input overrides'!M41&lt;&gt;"",'Input overrides'!M41,F_Inputs!M49)</f>
        <v>461.40100000000001</v>
      </c>
      <c r="N41" s="519">
        <f>IF('Input overrides'!N41&lt;&gt;"",'Input overrides'!N41,F_Inputs!N49)</f>
        <v>478.72699999999998</v>
      </c>
      <c r="O41" s="519">
        <f>IF('Input overrides'!O41&lt;&gt;"",'Input overrides'!O41,F_Inputs!O49)</f>
        <v>495.71199999999999</v>
      </c>
    </row>
    <row r="42" spans="1:17">
      <c r="A42" t="s">
        <v>33</v>
      </c>
      <c r="B42" t="s">
        <v>83</v>
      </c>
      <c r="C42" t="s">
        <v>91</v>
      </c>
      <c r="D42" t="s">
        <v>183</v>
      </c>
      <c r="E42" t="s">
        <v>182</v>
      </c>
      <c r="F42" s="242">
        <f>IF('Input overrides'!F42&lt;&gt;"",'Input overrides'!F42,F_Inputs!F50)</f>
        <v>37.493000000000002</v>
      </c>
      <c r="G42" s="242">
        <f>IF('Input overrides'!G42&lt;&gt;"",'Input overrides'!G42,F_Inputs!G50)</f>
        <v>35.715000000000003</v>
      </c>
      <c r="H42" s="242">
        <f>IF('Input overrides'!H42&lt;&gt;"",'Input overrides'!H42,F_Inputs!H50)</f>
        <v>35.939</v>
      </c>
      <c r="I42" s="242">
        <f>IF('Input overrides'!I42&lt;&gt;"",'Input overrides'!I42,F_Inputs!I50)</f>
        <v>35.195999999999998</v>
      </c>
      <c r="J42" s="242">
        <f>IF('Input overrides'!J42&lt;&gt;"",'Input overrides'!J42,F_Inputs!J50)</f>
        <v>34.453000000000003</v>
      </c>
      <c r="K42" s="518">
        <f>IF('Input overrides'!K42&lt;&gt;"",'Input overrides'!K42,F_Inputs!K50)</f>
        <v>33.731000000000002</v>
      </c>
      <c r="L42" s="519">
        <f>IF('Input overrides'!L42&lt;&gt;"",'Input overrides'!L42,F_Inputs!L50)</f>
        <v>33.009</v>
      </c>
      <c r="M42" s="519">
        <f>IF('Input overrides'!M42&lt;&gt;"",'Input overrides'!M42,F_Inputs!M50)</f>
        <v>32.286999999999999</v>
      </c>
      <c r="N42" s="519">
        <f>IF('Input overrides'!N42&lt;&gt;"",'Input overrides'!N42,F_Inputs!N50)</f>
        <v>31.565000000000001</v>
      </c>
      <c r="O42" s="519">
        <f>IF('Input overrides'!O42&lt;&gt;"",'Input overrides'!O42,F_Inputs!O50)</f>
        <v>30.843</v>
      </c>
    </row>
    <row r="43" spans="1:17">
      <c r="A43" t="s">
        <v>33</v>
      </c>
      <c r="B43" t="s">
        <v>84</v>
      </c>
      <c r="C43" t="s">
        <v>92</v>
      </c>
      <c r="D43" t="s">
        <v>183</v>
      </c>
      <c r="E43" t="s">
        <v>182</v>
      </c>
      <c r="F43" s="242">
        <f>IF('Input overrides'!F43&lt;&gt;"",'Input overrides'!F43,F_Inputs!F51)</f>
        <v>26.92</v>
      </c>
      <c r="G43" s="242">
        <f>IF('Input overrides'!G43&lt;&gt;"",'Input overrides'!G43,F_Inputs!G51)</f>
        <v>28.164999999999999</v>
      </c>
      <c r="H43" s="242">
        <f>IF('Input overrides'!H43&lt;&gt;"",'Input overrides'!H43,F_Inputs!H51)</f>
        <v>29.216999999999999</v>
      </c>
      <c r="I43" s="242">
        <f>IF('Input overrides'!I43&lt;&gt;"",'Input overrides'!I43,F_Inputs!I51)</f>
        <v>31.207999999999998</v>
      </c>
      <c r="J43" s="242">
        <f>IF('Input overrides'!J43&lt;&gt;"",'Input overrides'!J43,F_Inputs!J51)</f>
        <v>33.24</v>
      </c>
      <c r="K43" s="518">
        <f>IF('Input overrides'!K43&lt;&gt;"",'Input overrides'!K43,F_Inputs!K51)</f>
        <v>35.267000000000003</v>
      </c>
      <c r="L43" s="519">
        <f>IF('Input overrides'!L43&lt;&gt;"",'Input overrides'!L43,F_Inputs!L51)</f>
        <v>37.325000000000003</v>
      </c>
      <c r="M43" s="519">
        <f>IF('Input overrides'!M43&lt;&gt;"",'Input overrides'!M43,F_Inputs!M51)</f>
        <v>39.396000000000001</v>
      </c>
      <c r="N43" s="519">
        <f>IF('Input overrides'!N43&lt;&gt;"",'Input overrides'!N43,F_Inputs!N51)</f>
        <v>41.470999999999997</v>
      </c>
      <c r="O43" s="519">
        <f>IF('Input overrides'!O43&lt;&gt;"",'Input overrides'!O43,F_Inputs!O51)</f>
        <v>43.557000000000002</v>
      </c>
    </row>
    <row r="44" spans="1:17">
      <c r="A44" t="s">
        <v>33</v>
      </c>
      <c r="B44" t="s">
        <v>85</v>
      </c>
      <c r="C44" t="s">
        <v>93</v>
      </c>
      <c r="D44" t="s">
        <v>183</v>
      </c>
      <c r="E44" t="s">
        <v>182</v>
      </c>
      <c r="F44" s="242">
        <f>IF('Input overrides'!F44&lt;&gt;"",'Input overrides'!F44,F_Inputs!F52)</f>
        <v>803.89099999999996</v>
      </c>
      <c r="G44" s="242">
        <f>IF('Input overrides'!G44&lt;&gt;"",'Input overrides'!G44,F_Inputs!G52)</f>
        <v>787.40099999999995</v>
      </c>
      <c r="H44" s="242">
        <f>IF('Input overrides'!H44&lt;&gt;"",'Input overrides'!H44,F_Inputs!H52)</f>
        <v>768.38099999999997</v>
      </c>
      <c r="I44" s="242">
        <f>IF('Input overrides'!I44&lt;&gt;"",'Input overrides'!I44,F_Inputs!I52)</f>
        <v>752.673</v>
      </c>
      <c r="J44" s="242">
        <f>IF('Input overrides'!J44&lt;&gt;"",'Input overrides'!J44,F_Inputs!J52)</f>
        <v>736.96400000000006</v>
      </c>
      <c r="K44" s="518">
        <f>IF('Input overrides'!K44&lt;&gt;"",'Input overrides'!K44,F_Inputs!K52)</f>
        <v>721.72900000000004</v>
      </c>
      <c r="L44" s="519">
        <f>IF('Input overrides'!L44&lt;&gt;"",'Input overrides'!L44,F_Inputs!L52)</f>
        <v>706.49400000000003</v>
      </c>
      <c r="M44" s="519">
        <f>IF('Input overrides'!M44&lt;&gt;"",'Input overrides'!M44,F_Inputs!M52)</f>
        <v>691.25900000000001</v>
      </c>
      <c r="N44" s="519">
        <f>IF('Input overrides'!N44&lt;&gt;"",'Input overrides'!N44,F_Inputs!N52)</f>
        <v>676.024</v>
      </c>
      <c r="O44" s="519">
        <f>IF('Input overrides'!O44&lt;&gt;"",'Input overrides'!O44,F_Inputs!O52)</f>
        <v>660.78800000000001</v>
      </c>
    </row>
    <row r="45" spans="1:17">
      <c r="A45" t="s">
        <v>33</v>
      </c>
      <c r="B45" t="s">
        <v>86</v>
      </c>
      <c r="C45" t="s">
        <v>94</v>
      </c>
      <c r="D45" t="s">
        <v>183</v>
      </c>
      <c r="E45" t="s">
        <v>182</v>
      </c>
      <c r="F45" s="242">
        <f>IF('Input overrides'!F45&lt;&gt;"",'Input overrides'!F45,F_Inputs!F53)</f>
        <v>241.66800000000001</v>
      </c>
      <c r="G45" s="242">
        <f>IF('Input overrides'!G45&lt;&gt;"",'Input overrides'!G45,F_Inputs!G53)</f>
        <v>259.524</v>
      </c>
      <c r="H45" s="242">
        <f>IF('Input overrides'!H45&lt;&gt;"",'Input overrides'!H45,F_Inputs!H53)</f>
        <v>280.66399999999999</v>
      </c>
      <c r="I45" s="242">
        <f>IF('Input overrides'!I45&lt;&gt;"",'Input overrides'!I45,F_Inputs!I53)</f>
        <v>300.45299999999997</v>
      </c>
      <c r="J45" s="242">
        <f>IF('Input overrides'!J45&lt;&gt;"",'Input overrides'!J45,F_Inputs!J53)</f>
        <v>320.66800000000001</v>
      </c>
      <c r="K45" s="518">
        <f>IF('Input overrides'!K45&lt;&gt;"",'Input overrides'!K45,F_Inputs!K53)</f>
        <v>340.822</v>
      </c>
      <c r="L45" s="519">
        <f>IF('Input overrides'!L45&lt;&gt;"",'Input overrides'!L45,F_Inputs!L53)</f>
        <v>361.30500000000001</v>
      </c>
      <c r="M45" s="519">
        <f>IF('Input overrides'!M45&lt;&gt;"",'Input overrides'!M45,F_Inputs!M53)</f>
        <v>381.92500000000001</v>
      </c>
      <c r="N45" s="519">
        <f>IF('Input overrides'!N45&lt;&gt;"",'Input overrides'!N45,F_Inputs!N53)</f>
        <v>402.58</v>
      </c>
      <c r="O45" s="519">
        <f>IF('Input overrides'!O45&lt;&gt;"",'Input overrides'!O45,F_Inputs!O53)</f>
        <v>423.358</v>
      </c>
    </row>
    <row r="46" spans="1:17">
      <c r="A46" t="s">
        <v>33</v>
      </c>
      <c r="B46" t="s">
        <v>174</v>
      </c>
      <c r="C46" t="s">
        <v>184</v>
      </c>
      <c r="D46" t="s">
        <v>74</v>
      </c>
      <c r="E46" t="s">
        <v>182</v>
      </c>
      <c r="F46" s="242">
        <f>IF('Input overrides'!F46&lt;&gt;"",'Input overrides'!F46,F_Inputs!F54)*Rebasing</f>
        <v>0</v>
      </c>
      <c r="G46" s="242">
        <f>IF('Input overrides'!G46&lt;&gt;"",'Input overrides'!G46,F_Inputs!G54)*Rebasing</f>
        <v>0</v>
      </c>
      <c r="H46" s="242">
        <f>IF('Input overrides'!H46&lt;&gt;"",'Input overrides'!H46,F_Inputs!H54)*Rebasing</f>
        <v>0</v>
      </c>
      <c r="I46" s="242">
        <f>IF('Input overrides'!I46&lt;&gt;"",'Input overrides'!I46,F_Inputs!I54)*Rebasing</f>
        <v>0</v>
      </c>
      <c r="J46" s="242">
        <f>IF('Input overrides'!J46&lt;&gt;"",'Input overrides'!J46,F_Inputs!J54)*Rebasing</f>
        <v>0</v>
      </c>
      <c r="K46" s="242">
        <f>IF('Input overrides'!K46&lt;&gt;"",'Input overrides'!K46,F_Inputs!K54)*Rebasing</f>
        <v>0</v>
      </c>
      <c r="L46" s="242">
        <f>IF('Input overrides'!L46&lt;&gt;"",'Input overrides'!L46,F_Inputs!L54)*Rebasing</f>
        <v>0</v>
      </c>
      <c r="M46" s="242">
        <f>IF('Input overrides'!M46&lt;&gt;"",'Input overrides'!M46,F_Inputs!M54)*Rebasing</f>
        <v>0</v>
      </c>
      <c r="N46" s="242">
        <f>IF('Input overrides'!N46&lt;&gt;"",'Input overrides'!N46,F_Inputs!N54)*Rebasing</f>
        <v>0</v>
      </c>
      <c r="O46" s="242">
        <f>IF('Input overrides'!O46&lt;&gt;"",'Input overrides'!O46,F_Inputs!O54)*Rebasing</f>
        <v>0</v>
      </c>
    </row>
    <row r="47" spans="1:17">
      <c r="A47" t="s">
        <v>33</v>
      </c>
      <c r="B47" t="s">
        <v>156</v>
      </c>
      <c r="C47" t="s">
        <v>157</v>
      </c>
      <c r="D47" t="s">
        <v>74</v>
      </c>
      <c r="E47" t="s">
        <v>182</v>
      </c>
      <c r="F47" s="242">
        <f>IF('Input overrides'!F47&lt;&gt;"",'Input overrides'!F47,F_Inputs!F55)*Rebasing</f>
        <v>6.0940080693962786</v>
      </c>
      <c r="G47" s="242">
        <f>IF('Input overrides'!G47&lt;&gt;"",'Input overrides'!G47,F_Inputs!G55)*Rebasing</f>
        <v>6.0390079965677952</v>
      </c>
      <c r="H47" s="242">
        <f>IF('Input overrides'!H47&lt;&gt;"",'Input overrides'!H47,F_Inputs!H55)*Rebasing</f>
        <v>6.7700089645245871</v>
      </c>
      <c r="I47" s="242">
        <f>IF('Input overrides'!I47&lt;&gt;"",'Input overrides'!I47,F_Inputs!I55)*Rebasing</f>
        <v>3.0999999999999992</v>
      </c>
      <c r="J47" s="242">
        <f>IF('Input overrides'!J47&lt;&gt;"",'Input overrides'!J47,F_Inputs!J55)*Rebasing</f>
        <v>6.8917708392266457</v>
      </c>
      <c r="K47" s="242">
        <f>IF('Input overrides'!K47&lt;&gt;"",'Input overrides'!K47,F_Inputs!K55)*Rebasing</f>
        <v>3.6616803569990632</v>
      </c>
      <c r="L47" s="242">
        <f>IF('Input overrides'!L47&lt;&gt;"",'Input overrides'!L47,F_Inputs!L55)*Rebasing</f>
        <v>3.6616803569990632</v>
      </c>
      <c r="M47" s="242">
        <f>IF('Input overrides'!M47&lt;&gt;"",'Input overrides'!M47,F_Inputs!M55)*Rebasing</f>
        <v>3.6616803569990632</v>
      </c>
      <c r="N47" s="242">
        <f>IF('Input overrides'!N47&lt;&gt;"",'Input overrides'!N47,F_Inputs!N55)*Rebasing</f>
        <v>3.6616803569990632</v>
      </c>
      <c r="O47" s="242">
        <f>IF('Input overrides'!O47&lt;&gt;"",'Input overrides'!O47,F_Inputs!O55)*Rebasing</f>
        <v>3.6616803569990632</v>
      </c>
    </row>
    <row r="48" spans="1:17">
      <c r="A48" t="s">
        <v>33</v>
      </c>
      <c r="B48" t="s">
        <v>159</v>
      </c>
      <c r="C48" t="s">
        <v>158</v>
      </c>
      <c r="D48" t="s">
        <v>74</v>
      </c>
      <c r="E48" t="s">
        <v>182</v>
      </c>
      <c r="F48" s="242">
        <f>IF('Input overrides'!F48&lt;&gt;"",'Input overrides'!F48,F_Inputs!F56)*Rebasing</f>
        <v>0</v>
      </c>
      <c r="G48" s="242">
        <f>IF('Input overrides'!G48&lt;&gt;"",'Input overrides'!G48,F_Inputs!G56)*Rebasing</f>
        <v>0</v>
      </c>
      <c r="H48" s="242">
        <f>IF('Input overrides'!H48&lt;&gt;"",'Input overrides'!H48,F_Inputs!H56)*Rebasing</f>
        <v>0</v>
      </c>
      <c r="I48" s="242">
        <f>IF('Input overrides'!I48&lt;&gt;"",'Input overrides'!I48,F_Inputs!I56)*Rebasing</f>
        <v>0</v>
      </c>
      <c r="J48" s="242">
        <f>IF('Input overrides'!J48&lt;&gt;"",'Input overrides'!J48,F_Inputs!J56)*Rebasing</f>
        <v>0</v>
      </c>
      <c r="K48" s="242">
        <f>IF('Input overrides'!K48&lt;&gt;"",'Input overrides'!K48,F_Inputs!K56)*Rebasing</f>
        <v>0</v>
      </c>
      <c r="L48" s="242">
        <f>IF('Input overrides'!L48&lt;&gt;"",'Input overrides'!L48,F_Inputs!L56)*Rebasing</f>
        <v>0</v>
      </c>
      <c r="M48" s="242">
        <f>IF('Input overrides'!M48&lt;&gt;"",'Input overrides'!M48,F_Inputs!M56)*Rebasing</f>
        <v>0</v>
      </c>
      <c r="N48" s="242">
        <f>IF('Input overrides'!N48&lt;&gt;"",'Input overrides'!N48,F_Inputs!N56)*Rebasing</f>
        <v>0</v>
      </c>
      <c r="O48" s="242">
        <f>IF('Input overrides'!O48&lt;&gt;"",'Input overrides'!O48,F_Inputs!O56)*Rebasing</f>
        <v>0</v>
      </c>
    </row>
    <row r="49" spans="1:17">
      <c r="A49" t="s">
        <v>46</v>
      </c>
      <c r="B49" t="s">
        <v>78</v>
      </c>
      <c r="C49" t="s">
        <v>132</v>
      </c>
      <c r="D49" t="s">
        <v>74</v>
      </c>
      <c r="E49" t="s">
        <v>182</v>
      </c>
      <c r="F49" s="242">
        <f>IF('Input overrides'!F49&lt;&gt;"",'Input overrides'!F49,F_Inputs!F61)*Rebasing</f>
        <v>87.078593345698977</v>
      </c>
      <c r="G49" s="242">
        <f>IF('Input overrides'!G49&lt;&gt;"",'Input overrides'!G49,F_Inputs!G61)*Rebasing</f>
        <v>86.308855797768643</v>
      </c>
      <c r="H49" s="242">
        <f>IF('Input overrides'!H49&lt;&gt;"",'Input overrides'!H49,F_Inputs!H61)*Rebasing</f>
        <v>93.206083635839065</v>
      </c>
      <c r="I49" s="242">
        <f ca="1">IF('Input overrides'!I49&lt;&gt;"",'Input overrides'!I49,F_Inputs!I61)*Rebasing</f>
        <v>94.754517377257102</v>
      </c>
      <c r="J49" s="242">
        <f>IF('Input overrides'!J49&lt;&gt;"",'Input overrides'!J49,F_Inputs!J61)*Rebasing</f>
        <v>94.088749076778598</v>
      </c>
      <c r="K49" s="242">
        <f ca="1">IF('Input overrides'!K49&lt;&gt;"",'Input overrides'!K49,F_Inputs!K61)*Rebasing</f>
        <v>100.88211611016187</v>
      </c>
      <c r="L49" s="242">
        <f ca="1">IF('Input overrides'!L49&lt;&gt;"",'Input overrides'!L49,F_Inputs!L61)*Rebasing</f>
        <v>103.08514498771366</v>
      </c>
      <c r="M49" s="242">
        <f ca="1">IF('Input overrides'!M49&lt;&gt;"",'Input overrides'!M49,F_Inputs!M61)*Rebasing</f>
        <v>105.27662688676583</v>
      </c>
      <c r="N49" s="242">
        <f ca="1">IF('Input overrides'!N49&lt;&gt;"",'Input overrides'!N49,F_Inputs!N61)*Rebasing</f>
        <v>108.33695077809941</v>
      </c>
      <c r="O49" s="242">
        <f ca="1">IF('Input overrides'!O49&lt;&gt;"",'Input overrides'!O49,F_Inputs!O61)*Rebasing</f>
        <v>111.70955532576066</v>
      </c>
      <c r="Q49" s="242"/>
    </row>
    <row r="50" spans="1:17">
      <c r="A50" t="s">
        <v>46</v>
      </c>
      <c r="B50" t="s">
        <v>97</v>
      </c>
      <c r="C50" t="s">
        <v>99</v>
      </c>
      <c r="D50" t="s">
        <v>74</v>
      </c>
      <c r="E50" t="s">
        <v>182</v>
      </c>
      <c r="F50" s="242">
        <f>IF('Input overrides'!F50&lt;&gt;"",'Input overrides'!F50,F_Inputs!F62)*Rebasing</f>
        <v>21.299999999999986</v>
      </c>
      <c r="G50" s="242">
        <f>IF('Input overrides'!G50&lt;&gt;"",'Input overrides'!G50,F_Inputs!G62)*Rebasing</f>
        <v>22.999999999999954</v>
      </c>
      <c r="H50" s="242">
        <f>IF('Input overrides'!H50&lt;&gt;"",'Input overrides'!H50,F_Inputs!H62)*Rebasing</f>
        <v>6.1765200000000045</v>
      </c>
      <c r="I50" s="242">
        <f>IF('Input overrides'!I50&lt;&gt;"",'Input overrides'!I50,F_Inputs!I62)*Rebasing</f>
        <v>14.227250551999999</v>
      </c>
      <c r="J50" s="242">
        <f>IF('Input overrides'!J50&lt;&gt;"",'Input overrides'!J50,F_Inputs!J62)*Rebasing</f>
        <v>4.9591815560161372</v>
      </c>
      <c r="K50" s="242">
        <f>IF('Input overrides'!K50&lt;&gt;"",'Input overrides'!K50,F_Inputs!K62)*Rebasing</f>
        <v>8.5945861890580595</v>
      </c>
      <c r="L50" s="242">
        <f>IF('Input overrides'!L50&lt;&gt;"",'Input overrides'!L50,F_Inputs!L62)*Rebasing</f>
        <v>5.7960794951879846</v>
      </c>
      <c r="M50" s="242">
        <f>IF('Input overrides'!M50&lt;&gt;"",'Input overrides'!M50,F_Inputs!M62)*Rebasing</f>
        <v>5.0393830913790367</v>
      </c>
      <c r="N50" s="242">
        <f>IF('Input overrides'!N50&lt;&gt;"",'Input overrides'!N50,F_Inputs!N62)*Rebasing</f>
        <v>4.039858774650523</v>
      </c>
      <c r="O50" s="242">
        <f>IF('Input overrides'!O50&lt;&gt;"",'Input overrides'!O50,F_Inputs!O62)*Rebasing</f>
        <v>3.3662744329452594</v>
      </c>
    </row>
    <row r="51" spans="1:17">
      <c r="A51" t="s">
        <v>46</v>
      </c>
      <c r="B51" t="s">
        <v>98</v>
      </c>
      <c r="C51" t="s">
        <v>100</v>
      </c>
      <c r="D51" t="s">
        <v>74</v>
      </c>
      <c r="E51" t="s">
        <v>182</v>
      </c>
      <c r="F51" s="242">
        <f>IF('Input overrides'!F51&lt;&gt;"",'Input overrides'!F51,F_Inputs!F63)*Rebasing</f>
        <v>0</v>
      </c>
      <c r="G51" s="242">
        <f>IF('Input overrides'!G51&lt;&gt;"",'Input overrides'!G51,F_Inputs!G63)*Rebasing</f>
        <v>0</v>
      </c>
      <c r="H51" s="242">
        <f>IF('Input overrides'!H51&lt;&gt;"",'Input overrides'!H51,F_Inputs!H63)*Rebasing</f>
        <v>0</v>
      </c>
      <c r="I51" s="242">
        <f>IF('Input overrides'!I51&lt;&gt;"",'Input overrides'!I51,F_Inputs!I63)*Rebasing</f>
        <v>0</v>
      </c>
      <c r="J51" s="242">
        <f>IF('Input overrides'!J51&lt;&gt;"",'Input overrides'!J51,F_Inputs!J63)*Rebasing</f>
        <v>0</v>
      </c>
      <c r="K51" s="242">
        <f>IF('Input overrides'!K51&lt;&gt;"",'Input overrides'!K51,F_Inputs!K63)*Rebasing</f>
        <v>0.50046297928497319</v>
      </c>
      <c r="L51" s="242">
        <f>IF('Input overrides'!L51&lt;&gt;"",'Input overrides'!L51,F_Inputs!L63)*Rebasing</f>
        <v>1.5521963117371276</v>
      </c>
      <c r="M51" s="242">
        <f>IF('Input overrides'!M51&lt;&gt;"",'Input overrides'!M51,F_Inputs!M63)*Rebasing</f>
        <v>2.8800011742405318</v>
      </c>
      <c r="N51" s="242">
        <f>IF('Input overrides'!N51&lt;&gt;"",'Input overrides'!N51,F_Inputs!N63)*Rebasing</f>
        <v>4.6688728344381314</v>
      </c>
      <c r="O51" s="242">
        <f>IF('Input overrides'!O51&lt;&gt;"",'Input overrides'!O51,F_Inputs!O63)*Rebasing</f>
        <v>5.7931370032965086</v>
      </c>
    </row>
    <row r="52" spans="1:17">
      <c r="A52" t="s">
        <v>46</v>
      </c>
      <c r="B52" t="s">
        <v>79</v>
      </c>
      <c r="C52" t="s">
        <v>135</v>
      </c>
      <c r="D52" t="s">
        <v>74</v>
      </c>
      <c r="E52" t="s">
        <v>182</v>
      </c>
      <c r="F52" s="242">
        <f>IF('Input overrides'!F52&lt;&gt;"",'Input overrides'!F52,F_Inputs!F64)*Rebasing</f>
        <v>0.77956821311095115</v>
      </c>
      <c r="G52" s="242">
        <f>IF('Input overrides'!G52&lt;&gt;"",'Input overrides'!G52,F_Inputs!G64)*Rebasing</f>
        <v>0.79921810213895028</v>
      </c>
      <c r="H52" s="242">
        <f>IF('Input overrides'!H52&lt;&gt;"",'Input overrides'!H52,F_Inputs!H64)*Rebasing</f>
        <v>0.7437159926463236</v>
      </c>
      <c r="I52" s="242">
        <f>IF('Input overrides'!I52&lt;&gt;"",'Input overrides'!I52,F_Inputs!I64)*Rebasing</f>
        <v>0.81476180058747072</v>
      </c>
      <c r="J52" s="242">
        <f>IF('Input overrides'!J52&lt;&gt;"",'Input overrides'!J52,F_Inputs!J64)*Rebasing</f>
        <v>0.84172262023666589</v>
      </c>
      <c r="K52" s="242">
        <f>IF('Input overrides'!K52&lt;&gt;"",'Input overrides'!K52,F_Inputs!K64)*Rebasing</f>
        <v>0.81790965811006966</v>
      </c>
      <c r="L52" s="242">
        <f>IF('Input overrides'!L52&lt;&gt;"",'Input overrides'!L52,F_Inputs!L64)*Rebasing</f>
        <v>0.83140550886509179</v>
      </c>
      <c r="M52" s="242">
        <f>IF('Input overrides'!M52&lt;&gt;"",'Input overrides'!M52,F_Inputs!M64)*Rebasing</f>
        <v>0.84588253930681701</v>
      </c>
      <c r="N52" s="242">
        <f>IF('Input overrides'!N52&lt;&gt;"",'Input overrides'!N52,F_Inputs!N64)*Rebasing</f>
        <v>0.89358255579399626</v>
      </c>
      <c r="O52" s="242">
        <f>IF('Input overrides'!O52&lt;&gt;"",'Input overrides'!O52,F_Inputs!O64)*Rebasing</f>
        <v>0.94852971648567452</v>
      </c>
    </row>
    <row r="53" spans="1:17">
      <c r="A53" t="s">
        <v>46</v>
      </c>
      <c r="B53" t="s">
        <v>80</v>
      </c>
      <c r="C53" t="s">
        <v>136</v>
      </c>
      <c r="D53" t="s">
        <v>74</v>
      </c>
      <c r="E53" t="s">
        <v>182</v>
      </c>
      <c r="F53" s="242">
        <f>IF('Input overrides'!F53&lt;&gt;"",'Input overrides'!F53,F_Inputs!F65)*Rebasing</f>
        <v>0.15998676153102842</v>
      </c>
      <c r="G53" s="242">
        <f>IF('Input overrides'!G53&lt;&gt;"",'Input overrides'!G53,F_Inputs!G65)*Rebasing</f>
        <v>0.18788068438378516</v>
      </c>
      <c r="H53" s="242">
        <f>IF('Input overrides'!H53&lt;&gt;"",'Input overrides'!H53,F_Inputs!H65)*Rebasing</f>
        <v>0.10058191926090898</v>
      </c>
      <c r="I53" s="242">
        <f>IF('Input overrides'!I53&lt;&gt;"",'Input overrides'!I53,F_Inputs!I65)*Rebasing</f>
        <v>0.11001187686771245</v>
      </c>
      <c r="J53" s="242">
        <f>IF('Input overrides'!J53&lt;&gt;"",'Input overrides'!J53,F_Inputs!J65)*Rebasing</f>
        <v>0.15587724537244782</v>
      </c>
      <c r="K53" s="242">
        <f>IF('Input overrides'!K53&lt;&gt;"",'Input overrides'!K53,F_Inputs!K65)*Rebasing</f>
        <v>0.16117707171511106</v>
      </c>
      <c r="L53" s="242">
        <f>IF('Input overrides'!L53&lt;&gt;"",'Input overrides'!L53,F_Inputs!L65)*Rebasing</f>
        <v>0.16665709215342492</v>
      </c>
      <c r="M53" s="242">
        <f>IF('Input overrides'!M53&lt;&gt;"",'Input overrides'!M53,F_Inputs!M65)*Rebasing</f>
        <v>0.17249009037879448</v>
      </c>
      <c r="N53" s="242">
        <f>IF('Input overrides'!N53&lt;&gt;"",'Input overrides'!N53,F_Inputs!N65)*Rebasing</f>
        <v>0.17818226336129511</v>
      </c>
      <c r="O53" s="242">
        <f>IF('Input overrides'!O53&lt;&gt;"",'Input overrides'!O53,F_Inputs!O65)*Rebasing</f>
        <v>0.1837059135254947</v>
      </c>
    </row>
    <row r="54" spans="1:17">
      <c r="A54" t="s">
        <v>46</v>
      </c>
      <c r="B54" t="s">
        <v>81</v>
      </c>
      <c r="C54" t="s">
        <v>137</v>
      </c>
      <c r="D54" t="s">
        <v>74</v>
      </c>
      <c r="E54" t="s">
        <v>182</v>
      </c>
      <c r="F54" s="242">
        <f>IF('Input overrides'!F54&lt;&gt;"",'Input overrides'!F54,F_Inputs!F66)*Rebasing</f>
        <v>8.254331151997734</v>
      </c>
      <c r="G54" s="242">
        <f>IF('Input overrides'!G54&lt;&gt;"",'Input overrides'!G54,F_Inputs!G66)*Rebasing</f>
        <v>8.5096204273247427</v>
      </c>
      <c r="H54" s="242">
        <f>IF('Input overrides'!H54&lt;&gt;"",'Input overrides'!H54,F_Inputs!H66)*Rebasing</f>
        <v>7.9588882483678205</v>
      </c>
      <c r="I54" s="242">
        <f>IF('Input overrides'!I54&lt;&gt;"",'Input overrides'!I54,F_Inputs!I66)*Rebasing</f>
        <v>8.7191860656926767</v>
      </c>
      <c r="J54" s="242">
        <f>IF('Input overrides'!J54&lt;&gt;"",'Input overrides'!J54,F_Inputs!J66)*Rebasing</f>
        <v>9.0077076959843936</v>
      </c>
      <c r="K54" s="242">
        <f>IF('Input overrides'!K54&lt;&gt;"",'Input overrides'!K54,F_Inputs!K66)*Rebasing</f>
        <v>8.7528729118703481</v>
      </c>
      <c r="L54" s="242">
        <f>IF('Input overrides'!L54&lt;&gt;"",'Input overrides'!L54,F_Inputs!L66)*Rebasing</f>
        <v>8.8972989683730006</v>
      </c>
      <c r="M54" s="242">
        <f>IF('Input overrides'!M54&lt;&gt;"",'Input overrides'!M54,F_Inputs!M66)*Rebasing</f>
        <v>9.052225134534801</v>
      </c>
      <c r="N54" s="242">
        <f>IF('Input overrides'!N54&lt;&gt;"",'Input overrides'!N54,F_Inputs!N66)*Rebasing</f>
        <v>9.5626876019558864</v>
      </c>
      <c r="O54" s="242">
        <f>IF('Input overrides'!O54&lt;&gt;"",'Input overrides'!O54,F_Inputs!O66)*Rebasing</f>
        <v>10.150705495660294</v>
      </c>
    </row>
    <row r="55" spans="1:17">
      <c r="A55" t="s">
        <v>46</v>
      </c>
      <c r="B55" t="s">
        <v>82</v>
      </c>
      <c r="C55" t="s">
        <v>89</v>
      </c>
      <c r="D55" t="s">
        <v>183</v>
      </c>
      <c r="E55" t="s">
        <v>182</v>
      </c>
      <c r="F55" s="242">
        <f>IF('Input overrides'!F55&lt;&gt;"",'Input overrides'!F55,F_Inputs!F67)</f>
        <v>165.81044</v>
      </c>
      <c r="G55" s="242">
        <f>IF('Input overrides'!G55&lt;&gt;"",'Input overrides'!G55,F_Inputs!G67)</f>
        <v>163.685</v>
      </c>
      <c r="H55" s="242">
        <f>IF('Input overrides'!H55&lt;&gt;"",'Input overrides'!H55,F_Inputs!H67)</f>
        <v>159.43299999999999</v>
      </c>
      <c r="I55" s="242">
        <f>IF('Input overrides'!I55&lt;&gt;"",'Input overrides'!I55,F_Inputs!I67)</f>
        <v>155.49700000000001</v>
      </c>
      <c r="J55" s="242">
        <f>IF('Input overrides'!J55&lt;&gt;"",'Input overrides'!J55,F_Inputs!J67)</f>
        <v>152.13499999999999</v>
      </c>
      <c r="K55" s="518">
        <f>IF('Input overrides'!K55&lt;&gt;"",'Input overrides'!K55,F_Inputs!K67)</f>
        <v>148.935</v>
      </c>
      <c r="L55" s="519">
        <f>IF('Input overrides'!L55&lt;&gt;"",'Input overrides'!L55,F_Inputs!L67)</f>
        <v>145.66900000000001</v>
      </c>
      <c r="M55" s="519">
        <f>IF('Input overrides'!M55&lt;&gt;"",'Input overrides'!M55,F_Inputs!M67)</f>
        <v>142.45599999999999</v>
      </c>
      <c r="N55" s="519">
        <f>IF('Input overrides'!N55&lt;&gt;"",'Input overrides'!N55,F_Inputs!N67)</f>
        <v>139.298</v>
      </c>
      <c r="O55" s="519">
        <f>IF('Input overrides'!O55&lt;&gt;"",'Input overrides'!O55,F_Inputs!O67)</f>
        <v>136.191</v>
      </c>
    </row>
    <row r="56" spans="1:17">
      <c r="A56" t="s">
        <v>46</v>
      </c>
      <c r="B56" t="s">
        <v>87</v>
      </c>
      <c r="C56" t="s">
        <v>90</v>
      </c>
      <c r="D56" t="s">
        <v>183</v>
      </c>
      <c r="E56" t="s">
        <v>182</v>
      </c>
      <c r="F56" s="242">
        <f>IF('Input overrides'!F56&lt;&gt;"",'Input overrides'!F56,F_Inputs!F68)</f>
        <v>93.694220000000001</v>
      </c>
      <c r="G56" s="242">
        <f>IF('Input overrides'!G56&lt;&gt;"",'Input overrides'!G56,F_Inputs!G68)</f>
        <v>95.864999999999995</v>
      </c>
      <c r="H56" s="242">
        <f>IF('Input overrides'!H56&lt;&gt;"",'Input overrides'!H56,F_Inputs!H68)</f>
        <v>100.205</v>
      </c>
      <c r="I56" s="242">
        <f>IF('Input overrides'!I56&lt;&gt;"",'Input overrides'!I56,F_Inputs!I68)</f>
        <v>104.505</v>
      </c>
      <c r="J56" s="242">
        <f>IF('Input overrides'!J56&lt;&gt;"",'Input overrides'!J56,F_Inputs!J68)</f>
        <v>109.024</v>
      </c>
      <c r="K56" s="518">
        <f>IF('Input overrides'!K56&lt;&gt;"",'Input overrides'!K56,F_Inputs!K68)</f>
        <v>113.721</v>
      </c>
      <c r="L56" s="519">
        <f>IF('Input overrides'!L56&lt;&gt;"",'Input overrides'!L56,F_Inputs!L68)</f>
        <v>118.38800000000001</v>
      </c>
      <c r="M56" s="519">
        <f>IF('Input overrides'!M56&lt;&gt;"",'Input overrides'!M56,F_Inputs!M68)</f>
        <v>123.16200000000001</v>
      </c>
      <c r="N56" s="519">
        <f>IF('Input overrides'!N56&lt;&gt;"",'Input overrides'!N56,F_Inputs!N68)</f>
        <v>128.04599999999999</v>
      </c>
      <c r="O56" s="519">
        <f>IF('Input overrides'!O56&lt;&gt;"",'Input overrides'!O56,F_Inputs!O68)</f>
        <v>133.03899999999999</v>
      </c>
    </row>
    <row r="57" spans="1:17">
      <c r="A57" t="s">
        <v>46</v>
      </c>
      <c r="B57" t="s">
        <v>83</v>
      </c>
      <c r="C57" t="s">
        <v>91</v>
      </c>
      <c r="D57" t="s">
        <v>183</v>
      </c>
      <c r="E57" t="s">
        <v>182</v>
      </c>
      <c r="F57" s="242">
        <f>IF('Input overrides'!F57&lt;&gt;"",'Input overrides'!F57,F_Inputs!F69)</f>
        <v>496.77</v>
      </c>
      <c r="G57" s="242">
        <f>IF('Input overrides'!G57&lt;&gt;"",'Input overrides'!G57,F_Inputs!G69)</f>
        <v>492.81400000000002</v>
      </c>
      <c r="H57" s="242">
        <f>IF('Input overrides'!H57&lt;&gt;"",'Input overrides'!H57,F_Inputs!H69)</f>
        <v>484.90100000000001</v>
      </c>
      <c r="I57" s="242">
        <f>IF('Input overrides'!I57&lt;&gt;"",'Input overrides'!I57,F_Inputs!I69)</f>
        <v>478.077</v>
      </c>
      <c r="J57" s="242">
        <f>IF('Input overrides'!J57&lt;&gt;"",'Input overrides'!J57,F_Inputs!J69)</f>
        <v>468.68799999999999</v>
      </c>
      <c r="K57" s="518">
        <f>IF('Input overrides'!K57&lt;&gt;"",'Input overrides'!K57,F_Inputs!K69)</f>
        <v>457.61399999999998</v>
      </c>
      <c r="L57" s="519">
        <f>IF('Input overrides'!L57&lt;&gt;"",'Input overrides'!L57,F_Inputs!L69)</f>
        <v>448.42399999999998</v>
      </c>
      <c r="M57" s="519">
        <f>IF('Input overrides'!M57&lt;&gt;"",'Input overrides'!M57,F_Inputs!M69)</f>
        <v>439.05799999999999</v>
      </c>
      <c r="N57" s="519">
        <f>IF('Input overrides'!N57&lt;&gt;"",'Input overrides'!N57,F_Inputs!N69)</f>
        <v>429.61200000000002</v>
      </c>
      <c r="O57" s="519">
        <f>IF('Input overrides'!O57&lt;&gt;"",'Input overrides'!O57,F_Inputs!O69)</f>
        <v>420.22300000000001</v>
      </c>
    </row>
    <row r="58" spans="1:17">
      <c r="A58" t="s">
        <v>46</v>
      </c>
      <c r="B58" t="s">
        <v>84</v>
      </c>
      <c r="C58" t="s">
        <v>92</v>
      </c>
      <c r="D58" t="s">
        <v>183</v>
      </c>
      <c r="E58" t="s">
        <v>182</v>
      </c>
      <c r="F58" s="242">
        <f>IF('Input overrides'!F58&lt;&gt;"",'Input overrides'!F58,F_Inputs!F70)</f>
        <v>189.93</v>
      </c>
      <c r="G58" s="242">
        <f>IF('Input overrides'!G58&lt;&gt;"",'Input overrides'!G58,F_Inputs!G70)</f>
        <v>196.63399999999999</v>
      </c>
      <c r="H58" s="242">
        <f>IF('Input overrides'!H58&lt;&gt;"",'Input overrides'!H58,F_Inputs!H70)</f>
        <v>210.042</v>
      </c>
      <c r="I58" s="242">
        <f>IF('Input overrides'!I58&lt;&gt;"",'Input overrides'!I58,F_Inputs!I70)</f>
        <v>223.54300000000001</v>
      </c>
      <c r="J58" s="242">
        <f>IF('Input overrides'!J58&lt;&gt;"",'Input overrides'!J58,F_Inputs!J70)</f>
        <v>235.03299999999999</v>
      </c>
      <c r="K58" s="518">
        <f>IF('Input overrides'!K58&lt;&gt;"",'Input overrides'!K58,F_Inputs!K70)</f>
        <v>245.434</v>
      </c>
      <c r="L58" s="519">
        <f>IF('Input overrides'!L58&lt;&gt;"",'Input overrides'!L58,F_Inputs!L70)</f>
        <v>256.99700000000001</v>
      </c>
      <c r="M58" s="519">
        <f>IF('Input overrides'!M58&lt;&gt;"",'Input overrides'!M58,F_Inputs!M70)</f>
        <v>268.89</v>
      </c>
      <c r="N58" s="519">
        <f>IF('Input overrides'!N58&lt;&gt;"",'Input overrides'!N58,F_Inputs!N70)</f>
        <v>281.012</v>
      </c>
      <c r="O58" s="519">
        <f>IF('Input overrides'!O58&lt;&gt;"",'Input overrides'!O58,F_Inputs!O70)</f>
        <v>293.17200000000003</v>
      </c>
    </row>
    <row r="59" spans="1:17">
      <c r="A59" t="s">
        <v>46</v>
      </c>
      <c r="B59" t="s">
        <v>85</v>
      </c>
      <c r="C59" t="s">
        <v>93</v>
      </c>
      <c r="D59" t="s">
        <v>183</v>
      </c>
      <c r="E59" t="s">
        <v>182</v>
      </c>
      <c r="F59" s="242">
        <f>IF('Input overrides'!F59&lt;&gt;"",'Input overrides'!F59,F_Inputs!F71)</f>
        <v>1847.9069999999999</v>
      </c>
      <c r="G59" s="242">
        <f>IF('Input overrides'!G59&lt;&gt;"",'Input overrides'!G59,F_Inputs!G71)</f>
        <v>1832.424</v>
      </c>
      <c r="H59" s="242">
        <f>IF('Input overrides'!H59&lt;&gt;"",'Input overrides'!H59,F_Inputs!H71)</f>
        <v>1801.4580000000001</v>
      </c>
      <c r="I59" s="242">
        <f>IF('Input overrides'!I59&lt;&gt;"",'Input overrides'!I59,F_Inputs!I71)</f>
        <v>1768.6469999999999</v>
      </c>
      <c r="J59" s="242">
        <f>IF('Input overrides'!J59&lt;&gt;"",'Input overrides'!J59,F_Inputs!J71)</f>
        <v>1730.471</v>
      </c>
      <c r="K59" s="518">
        <f>IF('Input overrides'!K59&lt;&gt;"",'Input overrides'!K59,F_Inputs!K71)</f>
        <v>1690.922</v>
      </c>
      <c r="L59" s="519">
        <f>IF('Input overrides'!L59&lt;&gt;"",'Input overrides'!L59,F_Inputs!L71)</f>
        <v>1653.8330000000001</v>
      </c>
      <c r="M59" s="519">
        <f>IF('Input overrides'!M59&lt;&gt;"",'Input overrides'!M59,F_Inputs!M71)</f>
        <v>1617.3630000000001</v>
      </c>
      <c r="N59" s="519">
        <f>IF('Input overrides'!N59&lt;&gt;"",'Input overrides'!N59,F_Inputs!N71)</f>
        <v>1581.5</v>
      </c>
      <c r="O59" s="519">
        <f>IF('Input overrides'!O59&lt;&gt;"",'Input overrides'!O59,F_Inputs!O71)</f>
        <v>1546.2339999999999</v>
      </c>
    </row>
    <row r="60" spans="1:17">
      <c r="A60" t="s">
        <v>46</v>
      </c>
      <c r="B60" t="s">
        <v>86</v>
      </c>
      <c r="C60" t="s">
        <v>94</v>
      </c>
      <c r="D60" t="s">
        <v>183</v>
      </c>
      <c r="E60" t="s">
        <v>182</v>
      </c>
      <c r="F60" s="242">
        <f>IF('Input overrides'!F60&lt;&gt;"",'Input overrides'!F60,F_Inputs!F72)</f>
        <v>992.06600000000003</v>
      </c>
      <c r="G60" s="242">
        <f>IF('Input overrides'!G60&lt;&gt;"",'Input overrides'!G60,F_Inputs!G72)</f>
        <v>1017.944</v>
      </c>
      <c r="H60" s="242">
        <f>IF('Input overrides'!H60&lt;&gt;"",'Input overrides'!H60,F_Inputs!H72)</f>
        <v>1069.6990000000001</v>
      </c>
      <c r="I60" s="242">
        <f>IF('Input overrides'!I60&lt;&gt;"",'Input overrides'!I60,F_Inputs!I72)</f>
        <v>1118.6849999999999</v>
      </c>
      <c r="J60" s="242">
        <f>IF('Input overrides'!J60&lt;&gt;"",'Input overrides'!J60,F_Inputs!J72)</f>
        <v>1167.05</v>
      </c>
      <c r="K60" s="518">
        <f>IF('Input overrides'!K60&lt;&gt;"",'Input overrides'!K60,F_Inputs!K72)</f>
        <v>1216.989</v>
      </c>
      <c r="L60" s="519">
        <f>IF('Input overrides'!L60&lt;&gt;"",'Input overrides'!L60,F_Inputs!L72)</f>
        <v>1266.9280000000001</v>
      </c>
      <c r="M60" s="519">
        <f>IF('Input overrides'!M60&lt;&gt;"",'Input overrides'!M60,F_Inputs!M72)</f>
        <v>1318.0219999999999</v>
      </c>
      <c r="N60" s="519">
        <f>IF('Input overrides'!N60&lt;&gt;"",'Input overrides'!N60,F_Inputs!N72)</f>
        <v>1370.2819999999999</v>
      </c>
      <c r="O60" s="519">
        <f>IF('Input overrides'!O60&lt;&gt;"",'Input overrides'!O60,F_Inputs!O72)</f>
        <v>1423.7190000000001</v>
      </c>
    </row>
    <row r="61" spans="1:17">
      <c r="A61" t="s">
        <v>46</v>
      </c>
      <c r="B61" t="s">
        <v>174</v>
      </c>
      <c r="C61" t="s">
        <v>184</v>
      </c>
      <c r="D61" t="s">
        <v>74</v>
      </c>
      <c r="E61" t="s">
        <v>182</v>
      </c>
      <c r="F61" s="242">
        <f>IF('Input overrides'!F61&lt;&gt;"",'Input overrides'!F61,F_Inputs!F73)*Rebasing</f>
        <v>0</v>
      </c>
      <c r="G61" s="242">
        <f>IF('Input overrides'!G61&lt;&gt;"",'Input overrides'!G61,F_Inputs!G73)*Rebasing</f>
        <v>0</v>
      </c>
      <c r="H61" s="242">
        <f>IF('Input overrides'!H61&lt;&gt;"",'Input overrides'!H61,F_Inputs!H73)*Rebasing</f>
        <v>0</v>
      </c>
      <c r="I61" s="242">
        <f>IF('Input overrides'!I61&lt;&gt;"",'Input overrides'!I61,F_Inputs!I73)*Rebasing</f>
        <v>0</v>
      </c>
      <c r="J61" s="242">
        <f>IF('Input overrides'!J61&lt;&gt;"",'Input overrides'!J61,F_Inputs!J73)*Rebasing</f>
        <v>0</v>
      </c>
      <c r="K61" s="242">
        <f>IF('Input overrides'!K61&lt;&gt;"",'Input overrides'!K61,F_Inputs!K73)*Rebasing</f>
        <v>1.2763579931949702</v>
      </c>
      <c r="L61" s="242">
        <f>IF('Input overrides'!L61&lt;&gt;"",'Input overrides'!L61,F_Inputs!L73)*Rebasing</f>
        <v>1.781777537180556</v>
      </c>
      <c r="M61" s="242">
        <f>IF('Input overrides'!M61&lt;&gt;"",'Input overrides'!M61,F_Inputs!M73)*Rebasing</f>
        <v>2.1612654881241573</v>
      </c>
      <c r="N61" s="242">
        <f>IF('Input overrides'!N61&lt;&gt;"",'Input overrides'!N61,F_Inputs!N73)*Rebasing</f>
        <v>2.3380252355433311</v>
      </c>
      <c r="O61" s="242">
        <f>IF('Input overrides'!O61&lt;&gt;"",'Input overrides'!O61,F_Inputs!O73)*Rebasing</f>
        <v>2.2425299790507505</v>
      </c>
    </row>
    <row r="62" spans="1:17">
      <c r="A62" t="s">
        <v>46</v>
      </c>
      <c r="B62" t="s">
        <v>156</v>
      </c>
      <c r="C62" t="s">
        <v>157</v>
      </c>
      <c r="D62" t="s">
        <v>74</v>
      </c>
      <c r="E62" t="s">
        <v>182</v>
      </c>
      <c r="F62" s="242">
        <f>IF('Input overrides'!F62&lt;&gt;"",'Input overrides'!F62,F_Inputs!F74)*Rebasing</f>
        <v>1.3816378669024965</v>
      </c>
      <c r="G62" s="242">
        <f>IF('Input overrides'!G62&lt;&gt;"",'Input overrides'!G62,F_Inputs!G74)*Rebasing</f>
        <v>-1.9256373468670198</v>
      </c>
      <c r="H62" s="242">
        <f>IF('Input overrides'!H62&lt;&gt;"",'Input overrides'!H62,F_Inputs!H74)*Rebasing</f>
        <v>0.75785696421428916</v>
      </c>
      <c r="I62" s="242">
        <f>IF('Input overrides'!I62&lt;&gt;"",'Input overrides'!I62,F_Inputs!I74)*Rebasing</f>
        <v>0.77323768662024051</v>
      </c>
      <c r="J62" s="242">
        <f>IF('Input overrides'!J62&lt;&gt;"",'Input overrides'!J62,F_Inputs!J74)*Rebasing</f>
        <v>4.0698273599602608</v>
      </c>
      <c r="K62" s="242">
        <f>IF('Input overrides'!K62&lt;&gt;"",'Input overrides'!K62,F_Inputs!K74)*Rebasing</f>
        <v>0.80909953340377871</v>
      </c>
      <c r="L62" s="242">
        <f>IF('Input overrides'!L62&lt;&gt;"",'Input overrides'!L62,F_Inputs!L74)*Rebasing</f>
        <v>0.80909953340377871</v>
      </c>
      <c r="M62" s="242">
        <f>IF('Input overrides'!M62&lt;&gt;"",'Input overrides'!M62,F_Inputs!M74)*Rebasing</f>
        <v>0.80909953340377871</v>
      </c>
      <c r="N62" s="242">
        <f>IF('Input overrides'!N62&lt;&gt;"",'Input overrides'!N62,F_Inputs!N74)*Rebasing</f>
        <v>0.80909953340377871</v>
      </c>
      <c r="O62" s="242">
        <f>IF('Input overrides'!O62&lt;&gt;"",'Input overrides'!O62,F_Inputs!O74)*Rebasing</f>
        <v>0.80909953340377871</v>
      </c>
    </row>
    <row r="63" spans="1:17">
      <c r="A63" t="s">
        <v>46</v>
      </c>
      <c r="B63" t="s">
        <v>159</v>
      </c>
      <c r="C63" t="s">
        <v>158</v>
      </c>
      <c r="D63" t="s">
        <v>74</v>
      </c>
      <c r="E63" t="s">
        <v>182</v>
      </c>
      <c r="F63" s="242">
        <f>IF('Input overrides'!F63&lt;&gt;"",'Input overrides'!F63,F_Inputs!F75)*Rebasing</f>
        <v>0</v>
      </c>
      <c r="G63" s="242">
        <f>IF('Input overrides'!G63&lt;&gt;"",'Input overrides'!G63,F_Inputs!G75)*Rebasing</f>
        <v>0</v>
      </c>
      <c r="H63" s="242">
        <f>IF('Input overrides'!H63&lt;&gt;"",'Input overrides'!H63,F_Inputs!H75)*Rebasing</f>
        <v>0</v>
      </c>
      <c r="I63" s="242">
        <f>IF('Input overrides'!I63&lt;&gt;"",'Input overrides'!I63,F_Inputs!I75)*Rebasing</f>
        <v>0</v>
      </c>
      <c r="J63" s="242">
        <f>IF('Input overrides'!J63&lt;&gt;"",'Input overrides'!J63,F_Inputs!J75)*Rebasing</f>
        <v>0</v>
      </c>
      <c r="K63" s="242">
        <f>IF('Input overrides'!K63&lt;&gt;"",'Input overrides'!K63,F_Inputs!K75)*Rebasing</f>
        <v>0.24347181986201075</v>
      </c>
      <c r="L63" s="242">
        <f>IF('Input overrides'!L63&lt;&gt;"",'Input overrides'!L63,F_Inputs!L75)*Rebasing</f>
        <v>0.76750654375004546</v>
      </c>
      <c r="M63" s="242">
        <f>IF('Input overrides'!M63&lt;&gt;"",'Input overrides'!M63,F_Inputs!M75)*Rebasing</f>
        <v>1.1689636382960531</v>
      </c>
      <c r="N63" s="242">
        <f>IF('Input overrides'!N63&lt;&gt;"",'Input overrides'!N63,F_Inputs!N75)*Rebasing</f>
        <v>1.3705311958631705</v>
      </c>
      <c r="O63" s="242">
        <f>IF('Input overrides'!O63&lt;&gt;"",'Input overrides'!O63,F_Inputs!O75)*Rebasing</f>
        <v>1.3048329109226247</v>
      </c>
    </row>
    <row r="64" spans="1:17">
      <c r="A64" t="s">
        <v>47</v>
      </c>
      <c r="B64" t="s">
        <v>78</v>
      </c>
      <c r="C64" t="s">
        <v>132</v>
      </c>
      <c r="D64" t="s">
        <v>74</v>
      </c>
      <c r="E64" t="s">
        <v>182</v>
      </c>
      <c r="F64" s="242">
        <f>IF('Input overrides'!F64&lt;&gt;"",'Input overrides'!F64,F_Inputs!F80)*Rebasing</f>
        <v>27.963000000000047</v>
      </c>
      <c r="G64" s="242">
        <f>IF('Input overrides'!G64&lt;&gt;"",'Input overrides'!G64,F_Inputs!G80)*Rebasing</f>
        <v>28.031000000000013</v>
      </c>
      <c r="H64" s="242">
        <f>IF('Input overrides'!H64&lt;&gt;"",'Input overrides'!H64,F_Inputs!H80)*Rebasing</f>
        <v>29.165999999999993</v>
      </c>
      <c r="I64" s="242">
        <f ca="1">IF('Input overrides'!I64&lt;&gt;"",'Input overrides'!I64,F_Inputs!I80)*Rebasing</f>
        <v>22.238565886720469</v>
      </c>
      <c r="J64" s="242">
        <f>IF('Input overrides'!J64&lt;&gt;"",'Input overrides'!J64,F_Inputs!J80)*Rebasing</f>
        <v>28.770000000000039</v>
      </c>
      <c r="K64" s="242">
        <f ca="1">IF('Input overrides'!K64&lt;&gt;"",'Input overrides'!K64,F_Inputs!K80)*Rebasing</f>
        <v>20.31399999999995</v>
      </c>
      <c r="L64" s="242">
        <f ca="1">IF('Input overrides'!L64&lt;&gt;"",'Input overrides'!L64,F_Inputs!L80)*Rebasing</f>
        <v>20.415999999999993</v>
      </c>
      <c r="M64" s="242">
        <f ca="1">IF('Input overrides'!M64&lt;&gt;"",'Input overrides'!M64,F_Inputs!M80)*Rebasing</f>
        <v>20.481999999999992</v>
      </c>
      <c r="N64" s="242">
        <f ca="1">IF('Input overrides'!N64&lt;&gt;"",'Input overrides'!N64,F_Inputs!N80)*Rebasing</f>
        <v>20.507000000000009</v>
      </c>
      <c r="O64" s="242">
        <f ca="1">IF('Input overrides'!O64&lt;&gt;"",'Input overrides'!O64,F_Inputs!O80)*Rebasing</f>
        <v>20.510999999999946</v>
      </c>
      <c r="Q64" s="242"/>
    </row>
    <row r="65" spans="1:17">
      <c r="A65" t="s">
        <v>47</v>
      </c>
      <c r="B65" t="s">
        <v>97</v>
      </c>
      <c r="C65" t="s">
        <v>99</v>
      </c>
      <c r="D65" t="s">
        <v>74</v>
      </c>
      <c r="E65" t="s">
        <v>182</v>
      </c>
      <c r="F65" s="242">
        <f>IF('Input overrides'!F65&lt;&gt;"",'Input overrides'!F65,F_Inputs!F81)*Rebasing</f>
        <v>2.7509999999999954</v>
      </c>
      <c r="G65" s="242">
        <f>IF('Input overrides'!G65&lt;&gt;"",'Input overrides'!G65,F_Inputs!G81)*Rebasing</f>
        <v>2.8779999999999988</v>
      </c>
      <c r="H65" s="242">
        <f>IF('Input overrides'!H65&lt;&gt;"",'Input overrides'!H65,F_Inputs!H81)*Rebasing</f>
        <v>3.2140000000000031</v>
      </c>
      <c r="I65" s="242">
        <f>IF('Input overrides'!I65&lt;&gt;"",'Input overrides'!I65,F_Inputs!I81)*Rebasing</f>
        <v>3.2620000000000009</v>
      </c>
      <c r="J65" s="242">
        <f>IF('Input overrides'!J65&lt;&gt;"",'Input overrides'!J65,F_Inputs!J81)*Rebasing</f>
        <v>3.1210000000000013</v>
      </c>
      <c r="K65" s="242">
        <f>IF('Input overrides'!K65&lt;&gt;"",'Input overrides'!K65,F_Inputs!K81)*Rebasing</f>
        <v>2.0040000000000004</v>
      </c>
      <c r="L65" s="242">
        <f>IF('Input overrides'!L65&lt;&gt;"",'Input overrides'!L65,F_Inputs!L81)*Rebasing</f>
        <v>1.4000000000000044</v>
      </c>
      <c r="M65" s="242">
        <f>IF('Input overrides'!M65&lt;&gt;"",'Input overrides'!M65,F_Inputs!M81)*Rebasing</f>
        <v>1.1919999999999971</v>
      </c>
      <c r="N65" s="242">
        <f>IF('Input overrides'!N65&lt;&gt;"",'Input overrides'!N65,F_Inputs!N81)*Rebasing</f>
        <v>0.98200000000000032</v>
      </c>
      <c r="O65" s="242">
        <f>IF('Input overrides'!O65&lt;&gt;"",'Input overrides'!O65,F_Inputs!O81)*Rebasing</f>
        <v>0.56299999999999983</v>
      </c>
    </row>
    <row r="66" spans="1:17">
      <c r="A66" t="s">
        <v>47</v>
      </c>
      <c r="B66" t="s">
        <v>98</v>
      </c>
      <c r="C66" t="s">
        <v>100</v>
      </c>
      <c r="D66" t="s">
        <v>74</v>
      </c>
      <c r="E66" t="s">
        <v>182</v>
      </c>
      <c r="F66" s="242">
        <f>IF('Input overrides'!F66&lt;&gt;"",'Input overrides'!F66,F_Inputs!F82)*Rebasing</f>
        <v>0</v>
      </c>
      <c r="G66" s="242">
        <f>IF('Input overrides'!G66&lt;&gt;"",'Input overrides'!G66,F_Inputs!G82)*Rebasing</f>
        <v>0</v>
      </c>
      <c r="H66" s="242">
        <f>IF('Input overrides'!H66&lt;&gt;"",'Input overrides'!H66,F_Inputs!H82)*Rebasing</f>
        <v>0</v>
      </c>
      <c r="I66" s="242">
        <f>IF('Input overrides'!I66&lt;&gt;"",'Input overrides'!I66,F_Inputs!I82)*Rebasing</f>
        <v>0</v>
      </c>
      <c r="J66" s="242">
        <f>IF('Input overrides'!J66&lt;&gt;"",'Input overrides'!J66,F_Inputs!J82)*Rebasing</f>
        <v>0</v>
      </c>
      <c r="K66" s="242">
        <f>IF('Input overrides'!K66&lt;&gt;"",'Input overrides'!K66,F_Inputs!K82)*Rebasing</f>
        <v>0.13600000000000045</v>
      </c>
      <c r="L66" s="242">
        <f>IF('Input overrides'!L66&lt;&gt;"",'Input overrides'!L66,F_Inputs!L82)*Rebasing</f>
        <v>0.43399999999999966</v>
      </c>
      <c r="M66" s="242">
        <f>IF('Input overrides'!M66&lt;&gt;"",'Input overrides'!M66,F_Inputs!M82)*Rebasing</f>
        <v>0.70099999999999985</v>
      </c>
      <c r="N66" s="242">
        <f>IF('Input overrides'!N66&lt;&gt;"",'Input overrides'!N66,F_Inputs!N82)*Rebasing</f>
        <v>0.91699999999999982</v>
      </c>
      <c r="O66" s="242">
        <f>IF('Input overrides'!O66&lt;&gt;"",'Input overrides'!O66,F_Inputs!O82)*Rebasing</f>
        <v>1.1159999999999961</v>
      </c>
    </row>
    <row r="67" spans="1:17">
      <c r="A67" t="s">
        <v>47</v>
      </c>
      <c r="B67" t="s">
        <v>79</v>
      </c>
      <c r="C67" t="s">
        <v>135</v>
      </c>
      <c r="D67" t="s">
        <v>74</v>
      </c>
      <c r="E67" t="s">
        <v>182</v>
      </c>
      <c r="F67" s="242">
        <f>IF('Input overrides'!F67&lt;&gt;"",'Input overrides'!F67,F_Inputs!F83)*Rebasing</f>
        <v>7.9000000000000015E-2</v>
      </c>
      <c r="G67" s="242">
        <f>IF('Input overrides'!G67&lt;&gt;"",'Input overrides'!G67,F_Inputs!G83)*Rebasing</f>
        <v>7.7999999999999972E-2</v>
      </c>
      <c r="H67" s="242">
        <f>IF('Input overrides'!H67&lt;&gt;"",'Input overrides'!H67,F_Inputs!H83)*Rebasing</f>
        <v>7.3999999999999996E-2</v>
      </c>
      <c r="I67" s="242">
        <f>IF('Input overrides'!I67&lt;&gt;"",'Input overrides'!I67,F_Inputs!I83)*Rebasing</f>
        <v>8.1000000000000003E-2</v>
      </c>
      <c r="J67" s="242">
        <f>IF('Input overrides'!J67&lt;&gt;"",'Input overrides'!J67,F_Inputs!J83)*Rebasing</f>
        <v>8.1000000000000003E-2</v>
      </c>
      <c r="K67" s="242">
        <f>IF('Input overrides'!K67&lt;&gt;"",'Input overrides'!K67,F_Inputs!K83)*Rebasing</f>
        <v>8.4000000000000047E-2</v>
      </c>
      <c r="L67" s="242">
        <f>IF('Input overrides'!L67&lt;&gt;"",'Input overrides'!L67,F_Inputs!L83)*Rebasing</f>
        <v>8.8000000000000023E-2</v>
      </c>
      <c r="M67" s="242">
        <f>IF('Input overrides'!M67&lt;&gt;"",'Input overrides'!M67,F_Inputs!M83)*Rebasing</f>
        <v>9.2999999999999958E-2</v>
      </c>
      <c r="N67" s="242">
        <f>IF('Input overrides'!N67&lt;&gt;"",'Input overrides'!N67,F_Inputs!N83)*Rebasing</f>
        <v>9.7000000000000045E-2</v>
      </c>
      <c r="O67" s="242">
        <f>IF('Input overrides'!O67&lt;&gt;"",'Input overrides'!O67,F_Inputs!O83)*Rebasing</f>
        <v>9.7000000000000045E-2</v>
      </c>
    </row>
    <row r="68" spans="1:17">
      <c r="A68" t="s">
        <v>47</v>
      </c>
      <c r="B68" t="s">
        <v>80</v>
      </c>
      <c r="C68" t="s">
        <v>136</v>
      </c>
      <c r="D68" t="s">
        <v>74</v>
      </c>
      <c r="E68" t="s">
        <v>182</v>
      </c>
      <c r="F68" s="242">
        <f>IF('Input overrides'!F68&lt;&gt;"",'Input overrides'!F68,F_Inputs!F84)*Rebasing</f>
        <v>0</v>
      </c>
      <c r="G68" s="242">
        <f>IF('Input overrides'!G68&lt;&gt;"",'Input overrides'!G68,F_Inputs!G84)*Rebasing</f>
        <v>0</v>
      </c>
      <c r="H68" s="242">
        <f>IF('Input overrides'!H68&lt;&gt;"",'Input overrides'!H68,F_Inputs!H84)*Rebasing</f>
        <v>0</v>
      </c>
      <c r="I68" s="242">
        <f>IF('Input overrides'!I68&lt;&gt;"",'Input overrides'!I68,F_Inputs!I84)*Rebasing</f>
        <v>0</v>
      </c>
      <c r="J68" s="242">
        <f>IF('Input overrides'!J68&lt;&gt;"",'Input overrides'!J68,F_Inputs!J84)*Rebasing</f>
        <v>0</v>
      </c>
      <c r="K68" s="242">
        <f>IF('Input overrides'!K68&lt;&gt;"",'Input overrides'!K68,F_Inputs!K84)*Rebasing</f>
        <v>0</v>
      </c>
      <c r="L68" s="242">
        <f>IF('Input overrides'!L68&lt;&gt;"",'Input overrides'!L68,F_Inputs!L84)*Rebasing</f>
        <v>0</v>
      </c>
      <c r="M68" s="242">
        <f>IF('Input overrides'!M68&lt;&gt;"",'Input overrides'!M68,F_Inputs!M84)*Rebasing</f>
        <v>0</v>
      </c>
      <c r="N68" s="242">
        <f>IF('Input overrides'!N68&lt;&gt;"",'Input overrides'!N68,F_Inputs!N84)*Rebasing</f>
        <v>0</v>
      </c>
      <c r="O68" s="242">
        <f>IF('Input overrides'!O68&lt;&gt;"",'Input overrides'!O68,F_Inputs!O84)*Rebasing</f>
        <v>0</v>
      </c>
    </row>
    <row r="69" spans="1:17">
      <c r="A69" t="s">
        <v>47</v>
      </c>
      <c r="B69" t="s">
        <v>81</v>
      </c>
      <c r="C69" t="s">
        <v>137</v>
      </c>
      <c r="D69" t="s">
        <v>74</v>
      </c>
      <c r="E69" t="s">
        <v>182</v>
      </c>
      <c r="F69" s="242">
        <f>IF('Input overrides'!F69&lt;&gt;"",'Input overrides'!F69,F_Inputs!F85)*Rebasing</f>
        <v>1.5689999999999962</v>
      </c>
      <c r="G69" s="242">
        <f>IF('Input overrides'!G69&lt;&gt;"",'Input overrides'!G69,F_Inputs!G85)*Rebasing</f>
        <v>1.5359999999999996</v>
      </c>
      <c r="H69" s="242">
        <f>IF('Input overrides'!H69&lt;&gt;"",'Input overrides'!H69,F_Inputs!H85)*Rebasing</f>
        <v>1.4610000000000039</v>
      </c>
      <c r="I69" s="242">
        <f>IF('Input overrides'!I69&lt;&gt;"",'Input overrides'!I69,F_Inputs!I85)*Rebasing</f>
        <v>1.5739999999999998</v>
      </c>
      <c r="J69" s="242">
        <f>IF('Input overrides'!J69&lt;&gt;"",'Input overrides'!J69,F_Inputs!J85)*Rebasing</f>
        <v>1.5439999999999976</v>
      </c>
      <c r="K69" s="242">
        <f>IF('Input overrides'!K69&lt;&gt;"",'Input overrides'!K69,F_Inputs!K85)*Rebasing</f>
        <v>1.5890000000000011</v>
      </c>
      <c r="L69" s="242">
        <f>IF('Input overrides'!L69&lt;&gt;"",'Input overrides'!L69,F_Inputs!L85)*Rebasing</f>
        <v>1.6310000000000004</v>
      </c>
      <c r="M69" s="242">
        <f>IF('Input overrides'!M69&lt;&gt;"",'Input overrides'!M69,F_Inputs!M85)*Rebasing</f>
        <v>1.6699999999999953</v>
      </c>
      <c r="N69" s="242">
        <f>IF('Input overrides'!N69&lt;&gt;"",'Input overrides'!N69,F_Inputs!N85)*Rebasing</f>
        <v>1.707000000000001</v>
      </c>
      <c r="O69" s="242">
        <f>IF('Input overrides'!O69&lt;&gt;"",'Input overrides'!O69,F_Inputs!O85)*Rebasing</f>
        <v>1.707000000000001</v>
      </c>
    </row>
    <row r="70" spans="1:17">
      <c r="A70" t="s">
        <v>47</v>
      </c>
      <c r="B70" t="s">
        <v>82</v>
      </c>
      <c r="C70" t="s">
        <v>89</v>
      </c>
      <c r="D70" t="s">
        <v>183</v>
      </c>
      <c r="E70" t="s">
        <v>182</v>
      </c>
      <c r="F70" s="242">
        <f>IF('Input overrides'!F70&lt;&gt;"",'Input overrides'!F70,F_Inputs!F86)</f>
        <v>34.552</v>
      </c>
      <c r="G70" s="242">
        <f>IF('Input overrides'!G70&lt;&gt;"",'Input overrides'!G70,F_Inputs!G86)</f>
        <v>33.71</v>
      </c>
      <c r="H70" s="242">
        <f>IF('Input overrides'!H70&lt;&gt;"",'Input overrides'!H70,F_Inputs!H86)</f>
        <v>32.726999999999997</v>
      </c>
      <c r="I70" s="242">
        <f>IF('Input overrides'!I70&lt;&gt;"",'Input overrides'!I70,F_Inputs!I86)</f>
        <v>32.115000000000002</v>
      </c>
      <c r="J70" s="242">
        <f>IF('Input overrides'!J70&lt;&gt;"",'Input overrides'!J70,F_Inputs!J86)</f>
        <v>31.177</v>
      </c>
      <c r="K70" s="518">
        <f>IF('Input overrides'!K70&lt;&gt;"",'Input overrides'!K70,F_Inputs!K86)</f>
        <v>30.221</v>
      </c>
      <c r="L70" s="519">
        <f>IF('Input overrides'!L70&lt;&gt;"",'Input overrides'!L70,F_Inputs!L86)</f>
        <v>29.224</v>
      </c>
      <c r="M70" s="519">
        <f>IF('Input overrides'!M70&lt;&gt;"",'Input overrides'!M70,F_Inputs!M86)</f>
        <v>28.206</v>
      </c>
      <c r="N70" s="519">
        <f>IF('Input overrides'!N70&lt;&gt;"",'Input overrides'!N70,F_Inputs!N86)</f>
        <v>27.18</v>
      </c>
      <c r="O70" s="519">
        <f>IF('Input overrides'!O70&lt;&gt;"",'Input overrides'!O70,F_Inputs!O86)</f>
        <v>26.161000000000001</v>
      </c>
    </row>
    <row r="71" spans="1:17">
      <c r="A71" t="s">
        <v>47</v>
      </c>
      <c r="B71" t="s">
        <v>87</v>
      </c>
      <c r="C71" t="s">
        <v>90</v>
      </c>
      <c r="D71" t="s">
        <v>183</v>
      </c>
      <c r="E71" t="s">
        <v>182</v>
      </c>
      <c r="F71" s="242">
        <f>IF('Input overrides'!F71&lt;&gt;"",'Input overrides'!F71,F_Inputs!F87)</f>
        <v>24.471</v>
      </c>
      <c r="G71" s="242">
        <f>IF('Input overrides'!G71&lt;&gt;"",'Input overrides'!G71,F_Inputs!G87)</f>
        <v>25.629000000000001</v>
      </c>
      <c r="H71" s="242">
        <f>IF('Input overrides'!H71&lt;&gt;"",'Input overrides'!H71,F_Inputs!H87)</f>
        <v>26.748999999999999</v>
      </c>
      <c r="I71" s="242">
        <f>IF('Input overrides'!I71&lt;&gt;"",'Input overrides'!I71,F_Inputs!I87)</f>
        <v>27.384</v>
      </c>
      <c r="J71" s="242">
        <f>IF('Input overrides'!J71&lt;&gt;"",'Input overrides'!J71,F_Inputs!J87)</f>
        <v>28.978999999999999</v>
      </c>
      <c r="K71" s="518">
        <f>IF('Input overrides'!K71&lt;&gt;"",'Input overrides'!K71,F_Inputs!K87)</f>
        <v>30.388000000000002</v>
      </c>
      <c r="L71" s="519">
        <f>IF('Input overrides'!L71&lt;&gt;"",'Input overrides'!L71,F_Inputs!L87)</f>
        <v>31.841999999999999</v>
      </c>
      <c r="M71" s="519">
        <f>IF('Input overrides'!M71&lt;&gt;"",'Input overrides'!M71,F_Inputs!M87)</f>
        <v>33.317</v>
      </c>
      <c r="N71" s="519">
        <f>IF('Input overrides'!N71&lt;&gt;"",'Input overrides'!N71,F_Inputs!N87)</f>
        <v>34.787999999999997</v>
      </c>
      <c r="O71" s="519">
        <f>IF('Input overrides'!O71&lt;&gt;"",'Input overrides'!O71,F_Inputs!O87)</f>
        <v>36.26</v>
      </c>
    </row>
    <row r="72" spans="1:17">
      <c r="A72" t="s">
        <v>47</v>
      </c>
      <c r="B72" t="s">
        <v>83</v>
      </c>
      <c r="C72" t="s">
        <v>91</v>
      </c>
      <c r="D72" t="s">
        <v>183</v>
      </c>
      <c r="E72" t="s">
        <v>182</v>
      </c>
      <c r="F72" s="242">
        <f>IF('Input overrides'!F72&lt;&gt;"",'Input overrides'!F72,F_Inputs!F88)</f>
        <v>2.7669999999999999</v>
      </c>
      <c r="G72" s="242">
        <f>IF('Input overrides'!G72&lt;&gt;"",'Input overrides'!G72,F_Inputs!G88)</f>
        <v>2.6949999999999998</v>
      </c>
      <c r="H72" s="242">
        <f>IF('Input overrides'!H72&lt;&gt;"",'Input overrides'!H72,F_Inputs!H88)</f>
        <v>2.5939999999999999</v>
      </c>
      <c r="I72" s="242">
        <f>IF('Input overrides'!I72&lt;&gt;"",'Input overrides'!I72,F_Inputs!I88)</f>
        <v>2.512</v>
      </c>
      <c r="J72" s="242">
        <f>IF('Input overrides'!J72&lt;&gt;"",'Input overrides'!J72,F_Inputs!J88)</f>
        <v>2.4889999999999999</v>
      </c>
      <c r="K72" s="518">
        <f>IF('Input overrides'!K72&lt;&gt;"",'Input overrides'!K72,F_Inputs!K88)</f>
        <v>2.4390000000000001</v>
      </c>
      <c r="L72" s="519">
        <f>IF('Input overrides'!L72&lt;&gt;"",'Input overrides'!L72,F_Inputs!L88)</f>
        <v>2.395</v>
      </c>
      <c r="M72" s="519">
        <f>IF('Input overrides'!M72&lt;&gt;"",'Input overrides'!M72,F_Inputs!M88)</f>
        <v>2.3559999999999999</v>
      </c>
      <c r="N72" s="519">
        <f>IF('Input overrides'!N72&lt;&gt;"",'Input overrides'!N72,F_Inputs!N88)</f>
        <v>2.3220000000000001</v>
      </c>
      <c r="O72" s="519">
        <f>IF('Input overrides'!O72&lt;&gt;"",'Input overrides'!O72,F_Inputs!O88)</f>
        <v>2.2919999999999998</v>
      </c>
    </row>
    <row r="73" spans="1:17">
      <c r="A73" t="s">
        <v>47</v>
      </c>
      <c r="B73" t="s">
        <v>84</v>
      </c>
      <c r="C73" t="s">
        <v>92</v>
      </c>
      <c r="D73" t="s">
        <v>183</v>
      </c>
      <c r="E73" t="s">
        <v>182</v>
      </c>
      <c r="F73" s="242">
        <f>IF('Input overrides'!F73&lt;&gt;"",'Input overrides'!F73,F_Inputs!F89)</f>
        <v>1.8320000000000001</v>
      </c>
      <c r="G73" s="242">
        <f>IF('Input overrides'!G73&lt;&gt;"",'Input overrides'!G73,F_Inputs!G89)</f>
        <v>1.9139999999999999</v>
      </c>
      <c r="H73" s="242">
        <f>IF('Input overrides'!H73&lt;&gt;"",'Input overrides'!H73,F_Inputs!H89)</f>
        <v>2.0289999999999999</v>
      </c>
      <c r="I73" s="242">
        <f>IF('Input overrides'!I73&lt;&gt;"",'Input overrides'!I73,F_Inputs!I89)</f>
        <v>2.089</v>
      </c>
      <c r="J73" s="242">
        <f>IF('Input overrides'!J73&lt;&gt;"",'Input overrides'!J73,F_Inputs!J89)</f>
        <v>2.1659999999999999</v>
      </c>
      <c r="K73" s="518">
        <f>IF('Input overrides'!K73&lt;&gt;"",'Input overrides'!K73,F_Inputs!K89)</f>
        <v>2.2360000000000002</v>
      </c>
      <c r="L73" s="519">
        <f>IF('Input overrides'!L73&lt;&gt;"",'Input overrides'!L73,F_Inputs!L89)</f>
        <v>2.2989999999999999</v>
      </c>
      <c r="M73" s="519">
        <f>IF('Input overrides'!M73&lt;&gt;"",'Input overrides'!M73,F_Inputs!M89)</f>
        <v>2.3570000000000002</v>
      </c>
      <c r="N73" s="519">
        <f>IF('Input overrides'!N73&lt;&gt;"",'Input overrides'!N73,F_Inputs!N89)</f>
        <v>2.41</v>
      </c>
      <c r="O73" s="519">
        <f>IF('Input overrides'!O73&lt;&gt;"",'Input overrides'!O73,F_Inputs!O89)</f>
        <v>2.4590000000000001</v>
      </c>
    </row>
    <row r="74" spans="1:17">
      <c r="A74" t="s">
        <v>47</v>
      </c>
      <c r="B74" t="s">
        <v>85</v>
      </c>
      <c r="C74" t="s">
        <v>93</v>
      </c>
      <c r="D74" t="s">
        <v>183</v>
      </c>
      <c r="E74" t="s">
        <v>182</v>
      </c>
      <c r="F74" s="242">
        <f>IF('Input overrides'!F74&lt;&gt;"",'Input overrides'!F74,F_Inputs!F90)</f>
        <v>174.91200000000001</v>
      </c>
      <c r="G74" s="242">
        <f>IF('Input overrides'!G74&lt;&gt;"",'Input overrides'!G74,F_Inputs!G90)</f>
        <v>160.74299999999999</v>
      </c>
      <c r="H74" s="242">
        <f>IF('Input overrides'!H74&lt;&gt;"",'Input overrides'!H74,F_Inputs!H90)</f>
        <v>147.16399999999999</v>
      </c>
      <c r="I74" s="242">
        <f>IF('Input overrides'!I74&lt;&gt;"",'Input overrides'!I74,F_Inputs!I90)</f>
        <v>137.31</v>
      </c>
      <c r="J74" s="242">
        <f>IF('Input overrides'!J74&lt;&gt;"",'Input overrides'!J74,F_Inputs!J90)</f>
        <v>129.02799999999999</v>
      </c>
      <c r="K74" s="518">
        <f>IF('Input overrides'!K74&lt;&gt;"",'Input overrides'!K74,F_Inputs!K90)</f>
        <v>120.35599999999999</v>
      </c>
      <c r="L74" s="519">
        <f>IF('Input overrides'!L74&lt;&gt;"",'Input overrides'!L74,F_Inputs!L90)</f>
        <v>112.687</v>
      </c>
      <c r="M74" s="519">
        <f>IF('Input overrides'!M74&lt;&gt;"",'Input overrides'!M74,F_Inputs!M90)</f>
        <v>105.905</v>
      </c>
      <c r="N74" s="519">
        <f>IF('Input overrides'!N74&lt;&gt;"",'Input overrides'!N74,F_Inputs!N90)</f>
        <v>99.906999999999996</v>
      </c>
      <c r="O74" s="519">
        <f>IF('Input overrides'!O74&lt;&gt;"",'Input overrides'!O74,F_Inputs!O90)</f>
        <v>94.605000000000004</v>
      </c>
    </row>
    <row r="75" spans="1:17">
      <c r="A75" t="s">
        <v>47</v>
      </c>
      <c r="B75" t="s">
        <v>86</v>
      </c>
      <c r="C75" t="s">
        <v>94</v>
      </c>
      <c r="D75" t="s">
        <v>183</v>
      </c>
      <c r="E75" t="s">
        <v>182</v>
      </c>
      <c r="F75" s="242">
        <f>IF('Input overrides'!F75&lt;&gt;"",'Input overrides'!F75,F_Inputs!F91)</f>
        <v>459.73899999999998</v>
      </c>
      <c r="G75" s="242">
        <f>IF('Input overrides'!G75&lt;&gt;"",'Input overrides'!G75,F_Inputs!G91)</f>
        <v>480.33</v>
      </c>
      <c r="H75" s="242">
        <f>IF('Input overrides'!H75&lt;&gt;"",'Input overrides'!H75,F_Inputs!H91)</f>
        <v>499.99799999999999</v>
      </c>
      <c r="I75" s="242">
        <f>IF('Input overrides'!I75&lt;&gt;"",'Input overrides'!I75,F_Inputs!I91)</f>
        <v>514.22400000000005</v>
      </c>
      <c r="J75" s="242">
        <f>IF('Input overrides'!J75&lt;&gt;"",'Input overrides'!J75,F_Inputs!J91)</f>
        <v>527.04300000000001</v>
      </c>
      <c r="K75" s="518">
        <f>IF('Input overrides'!K75&lt;&gt;"",'Input overrides'!K75,F_Inputs!K91)</f>
        <v>541.63400000000001</v>
      </c>
      <c r="L75" s="519">
        <f>IF('Input overrides'!L75&lt;&gt;"",'Input overrides'!L75,F_Inputs!L91)</f>
        <v>555.29200000000003</v>
      </c>
      <c r="M75" s="519">
        <f>IF('Input overrides'!M75&lt;&gt;"",'Input overrides'!M75,F_Inputs!M91)</f>
        <v>568.02099999999996</v>
      </c>
      <c r="N75" s="519">
        <f>IF('Input overrides'!N75&lt;&gt;"",'Input overrides'!N75,F_Inputs!N91)</f>
        <v>579.80200000000002</v>
      </c>
      <c r="O75" s="519">
        <f>IF('Input overrides'!O75&lt;&gt;"",'Input overrides'!O75,F_Inputs!O91)</f>
        <v>590.95699999999999</v>
      </c>
    </row>
    <row r="76" spans="1:17">
      <c r="A76" t="s">
        <v>47</v>
      </c>
      <c r="B76" t="s">
        <v>174</v>
      </c>
      <c r="C76" t="s">
        <v>184</v>
      </c>
      <c r="D76" t="s">
        <v>74</v>
      </c>
      <c r="E76" t="s">
        <v>182</v>
      </c>
      <c r="F76" s="242">
        <f>IF('Input overrides'!F76&lt;&gt;"",'Input overrides'!F76,F_Inputs!F92)*Rebasing</f>
        <v>0</v>
      </c>
      <c r="G76" s="242">
        <f>IF('Input overrides'!G76&lt;&gt;"",'Input overrides'!G76,F_Inputs!G92)*Rebasing</f>
        <v>0</v>
      </c>
      <c r="H76" s="242">
        <f>IF('Input overrides'!H76&lt;&gt;"",'Input overrides'!H76,F_Inputs!H92)*Rebasing</f>
        <v>0</v>
      </c>
      <c r="I76" s="242">
        <f>IF('Input overrides'!I76&lt;&gt;"",'Input overrides'!I76,F_Inputs!I92)*Rebasing</f>
        <v>0</v>
      </c>
      <c r="J76" s="242">
        <f>IF('Input overrides'!J76&lt;&gt;"",'Input overrides'!J76,F_Inputs!J92)*Rebasing</f>
        <v>0</v>
      </c>
      <c r="K76" s="242">
        <f>IF('Input overrides'!K76&lt;&gt;"",'Input overrides'!K76,F_Inputs!K92)*Rebasing</f>
        <v>0.51442389564388136</v>
      </c>
      <c r="L76" s="242">
        <f>IF('Input overrides'!L76&lt;&gt;"",'Input overrides'!L76,F_Inputs!L92)*Rebasing</f>
        <v>0.51442389564388136</v>
      </c>
      <c r="M76" s="242">
        <f>IF('Input overrides'!M76&lt;&gt;"",'Input overrides'!M76,F_Inputs!M92)*Rebasing</f>
        <v>0.51442389564388136</v>
      </c>
      <c r="N76" s="242">
        <f>IF('Input overrides'!N76&lt;&gt;"",'Input overrides'!N76,F_Inputs!N92)*Rebasing</f>
        <v>0.51442389564388136</v>
      </c>
      <c r="O76" s="242">
        <f>IF('Input overrides'!O76&lt;&gt;"",'Input overrides'!O76,F_Inputs!O92)*Rebasing</f>
        <v>0.51442389564388136</v>
      </c>
    </row>
    <row r="77" spans="1:17">
      <c r="A77" t="s">
        <v>47</v>
      </c>
      <c r="B77" t="s">
        <v>156</v>
      </c>
      <c r="C77" t="s">
        <v>157</v>
      </c>
      <c r="D77" t="s">
        <v>74</v>
      </c>
      <c r="E77" t="s">
        <v>182</v>
      </c>
      <c r="F77" s="242">
        <f>IF('Input overrides'!F77&lt;&gt;"",'Input overrides'!F77,F_Inputs!F93)*Rebasing</f>
        <v>0</v>
      </c>
      <c r="G77" s="242">
        <f>IF('Input overrides'!G77&lt;&gt;"",'Input overrides'!G77,F_Inputs!G93)*Rebasing</f>
        <v>0</v>
      </c>
      <c r="H77" s="242">
        <f>IF('Input overrides'!H77&lt;&gt;"",'Input overrides'!H77,F_Inputs!H93)*Rebasing</f>
        <v>0</v>
      </c>
      <c r="I77" s="242">
        <f>IF('Input overrides'!I77&lt;&gt;"",'Input overrides'!I77,F_Inputs!I93)*Rebasing</f>
        <v>7.6782910663805728</v>
      </c>
      <c r="J77" s="242">
        <f>IF('Input overrides'!J77&lt;&gt;"",'Input overrides'!J77,F_Inputs!J93)*Rebasing</f>
        <v>0</v>
      </c>
      <c r="K77" s="242">
        <f>IF('Input overrides'!K77&lt;&gt;"",'Input overrides'!K77,F_Inputs!K93)*Rebasing</f>
        <v>7.6552622656671048</v>
      </c>
      <c r="L77" s="242">
        <f>IF('Input overrides'!L77&lt;&gt;"",'Input overrides'!L77,F_Inputs!L93)*Rebasing</f>
        <v>7.6552622656671048</v>
      </c>
      <c r="M77" s="242">
        <f>IF('Input overrides'!M77&lt;&gt;"",'Input overrides'!M77,F_Inputs!M93)*Rebasing</f>
        <v>7.6552622656671048</v>
      </c>
      <c r="N77" s="242">
        <f>IF('Input overrides'!N77&lt;&gt;"",'Input overrides'!N77,F_Inputs!N93)*Rebasing</f>
        <v>7.6552622656671048</v>
      </c>
      <c r="O77" s="242">
        <f>IF('Input overrides'!O77&lt;&gt;"",'Input overrides'!O77,F_Inputs!O93)*Rebasing</f>
        <v>7.6552622656671048</v>
      </c>
    </row>
    <row r="78" spans="1:17">
      <c r="A78" t="s">
        <v>47</v>
      </c>
      <c r="B78" t="s">
        <v>159</v>
      </c>
      <c r="C78" t="s">
        <v>158</v>
      </c>
      <c r="D78" t="s">
        <v>74</v>
      </c>
      <c r="E78" t="s">
        <v>182</v>
      </c>
      <c r="F78" s="242">
        <f>IF('Input overrides'!F78&lt;&gt;"",'Input overrides'!F78,F_Inputs!F94)*Rebasing</f>
        <v>0</v>
      </c>
      <c r="G78" s="242">
        <f>IF('Input overrides'!G78&lt;&gt;"",'Input overrides'!G78,F_Inputs!G94)*Rebasing</f>
        <v>0</v>
      </c>
      <c r="H78" s="242">
        <f>IF('Input overrides'!H78&lt;&gt;"",'Input overrides'!H78,F_Inputs!H94)*Rebasing</f>
        <v>0</v>
      </c>
      <c r="I78" s="242">
        <f>IF('Input overrides'!I78&lt;&gt;"",'Input overrides'!I78,F_Inputs!I94)*Rebasing</f>
        <v>0</v>
      </c>
      <c r="J78" s="242">
        <f>IF('Input overrides'!J78&lt;&gt;"",'Input overrides'!J78,F_Inputs!J94)*Rebasing</f>
        <v>0</v>
      </c>
      <c r="K78" s="242">
        <f>IF('Input overrides'!K78&lt;&gt;"",'Input overrides'!K78,F_Inputs!K94)*Rebasing</f>
        <v>0</v>
      </c>
      <c r="L78" s="242">
        <f>IF('Input overrides'!L78&lt;&gt;"",'Input overrides'!L78,F_Inputs!L94)*Rebasing</f>
        <v>0</v>
      </c>
      <c r="M78" s="242">
        <f>IF('Input overrides'!M78&lt;&gt;"",'Input overrides'!M78,F_Inputs!M94)*Rebasing</f>
        <v>0</v>
      </c>
      <c r="N78" s="242">
        <f>IF('Input overrides'!N78&lt;&gt;"",'Input overrides'!N78,F_Inputs!N94)*Rebasing</f>
        <v>0</v>
      </c>
      <c r="O78" s="242">
        <f>IF('Input overrides'!O78&lt;&gt;"",'Input overrides'!O78,F_Inputs!O94)*Rebasing</f>
        <v>0</v>
      </c>
    </row>
    <row r="79" spans="1:17">
      <c r="A79" t="s">
        <v>48</v>
      </c>
      <c r="B79" t="s">
        <v>78</v>
      </c>
      <c r="C79" t="s">
        <v>132</v>
      </c>
      <c r="D79" t="s">
        <v>74</v>
      </c>
      <c r="E79" t="s">
        <v>182</v>
      </c>
      <c r="F79" s="242">
        <f>IF('Input overrides'!F79&lt;&gt;"",'Input overrides'!F79,F_Inputs!F99)*Rebasing</f>
        <v>52.825748062745205</v>
      </c>
      <c r="G79" s="242">
        <f>IF('Input overrides'!G79&lt;&gt;"",'Input overrides'!G79,F_Inputs!G99)*Rebasing</f>
        <v>52.595868122307493</v>
      </c>
      <c r="H79" s="242">
        <f>IF('Input overrides'!H79&lt;&gt;"",'Input overrides'!H79,F_Inputs!H99)*Rebasing</f>
        <v>53.736487757219066</v>
      </c>
      <c r="I79" s="242">
        <f ca="1">IF('Input overrides'!I79&lt;&gt;"",'Input overrides'!I79,F_Inputs!I99)*Rebasing</f>
        <v>61.94358378158033</v>
      </c>
      <c r="J79" s="242">
        <f>IF('Input overrides'!J79&lt;&gt;"",'Input overrides'!J79,F_Inputs!J99)*Rebasing</f>
        <v>55.916472805336007</v>
      </c>
      <c r="K79" s="242">
        <f ca="1">IF('Input overrides'!K79&lt;&gt;"",'Input overrides'!K79,F_Inputs!K99)*Rebasing</f>
        <v>57.447874142851468</v>
      </c>
      <c r="L79" s="242">
        <f ca="1">IF('Input overrides'!L79&lt;&gt;"",'Input overrides'!L79,F_Inputs!L99)*Rebasing</f>
        <v>58.70988891354677</v>
      </c>
      <c r="M79" s="242">
        <f ca="1">IF('Input overrides'!M79&lt;&gt;"",'Input overrides'!M79,F_Inputs!M99)*Rebasing</f>
        <v>58.045221275994606</v>
      </c>
      <c r="N79" s="242">
        <f ca="1">IF('Input overrides'!N79&lt;&gt;"",'Input overrides'!N79,F_Inputs!N99)*Rebasing</f>
        <v>53.675693376875991</v>
      </c>
      <c r="O79" s="242">
        <f ca="1">IF('Input overrides'!O79&lt;&gt;"",'Input overrides'!O79,F_Inputs!O99)*Rebasing</f>
        <v>53.758411777683975</v>
      </c>
      <c r="Q79" s="242"/>
    </row>
    <row r="80" spans="1:17">
      <c r="A80" t="s">
        <v>48</v>
      </c>
      <c r="B80" t="s">
        <v>97</v>
      </c>
      <c r="C80" t="s">
        <v>99</v>
      </c>
      <c r="D80" t="s">
        <v>74</v>
      </c>
      <c r="E80" t="s">
        <v>182</v>
      </c>
      <c r="F80" s="242">
        <f>IF('Input overrides'!F80&lt;&gt;"",'Input overrides'!F80,F_Inputs!F100)*Rebasing</f>
        <v>6.8757897891761184</v>
      </c>
      <c r="G80" s="242">
        <f>IF('Input overrides'!G80&lt;&gt;"",'Input overrides'!G80,F_Inputs!G100)*Rebasing</f>
        <v>8.0034069684275053</v>
      </c>
      <c r="H80" s="242">
        <f>IF('Input overrides'!H80&lt;&gt;"",'Input overrides'!H80,F_Inputs!H100)*Rebasing</f>
        <v>7.1113959333810159</v>
      </c>
      <c r="I80" s="242">
        <f>IF('Input overrides'!I80&lt;&gt;"",'Input overrides'!I80,F_Inputs!I100)*Rebasing</f>
        <v>10.725940578370057</v>
      </c>
      <c r="J80" s="242">
        <f>IF('Input overrides'!J80&lt;&gt;"",'Input overrides'!J80,F_Inputs!J100)*Rebasing</f>
        <v>7.8593682776472198</v>
      </c>
      <c r="K80" s="242">
        <f>IF('Input overrides'!K80&lt;&gt;"",'Input overrides'!K80,F_Inputs!K100)*Rebasing</f>
        <v>7.587418294717299</v>
      </c>
      <c r="L80" s="242">
        <f>IF('Input overrides'!L80&lt;&gt;"",'Input overrides'!L80,F_Inputs!L100)*Rebasing</f>
        <v>6.7164072652037259</v>
      </c>
      <c r="M80" s="242">
        <f>IF('Input overrides'!M80&lt;&gt;"",'Input overrides'!M80,F_Inputs!M100)*Rebasing</f>
        <v>5.7864683032833604</v>
      </c>
      <c r="N80" s="242">
        <f>IF('Input overrides'!N80&lt;&gt;"",'Input overrides'!N80,F_Inputs!N100)*Rebasing</f>
        <v>4.9323243512973143</v>
      </c>
      <c r="O80" s="242">
        <f>IF('Input overrides'!O80&lt;&gt;"",'Input overrides'!O80,F_Inputs!O100)*Rebasing</f>
        <v>4.0220541827244709</v>
      </c>
    </row>
    <row r="81" spans="1:17">
      <c r="A81" t="s">
        <v>48</v>
      </c>
      <c r="B81" t="s">
        <v>98</v>
      </c>
      <c r="C81" t="s">
        <v>100</v>
      </c>
      <c r="D81" t="s">
        <v>74</v>
      </c>
      <c r="E81" t="s">
        <v>182</v>
      </c>
      <c r="F81" s="242">
        <f>IF('Input overrides'!F81&lt;&gt;"",'Input overrides'!F81,F_Inputs!F101)*Rebasing</f>
        <v>0</v>
      </c>
      <c r="G81" s="242">
        <f>IF('Input overrides'!G81&lt;&gt;"",'Input overrides'!G81,F_Inputs!G101)*Rebasing</f>
        <v>0</v>
      </c>
      <c r="H81" s="242">
        <f>IF('Input overrides'!H81&lt;&gt;"",'Input overrides'!H81,F_Inputs!H101)*Rebasing</f>
        <v>0</v>
      </c>
      <c r="I81" s="242">
        <f>IF('Input overrides'!I81&lt;&gt;"",'Input overrides'!I81,F_Inputs!I101)*Rebasing</f>
        <v>0</v>
      </c>
      <c r="J81" s="242">
        <f>IF('Input overrides'!J81&lt;&gt;"",'Input overrides'!J81,F_Inputs!J101)*Rebasing</f>
        <v>0</v>
      </c>
      <c r="K81" s="242">
        <f>IF('Input overrides'!K81&lt;&gt;"",'Input overrides'!K81,F_Inputs!K101)*Rebasing</f>
        <v>0.27515545184855122</v>
      </c>
      <c r="L81" s="242">
        <f>IF('Input overrides'!L81&lt;&gt;"",'Input overrides'!L81,F_Inputs!L101)*Rebasing</f>
        <v>0.83268233875927489</v>
      </c>
      <c r="M81" s="242">
        <f>IF('Input overrides'!M81&lt;&gt;"",'Input overrides'!M81,F_Inputs!M101)*Rebasing</f>
        <v>1.3960580947201056</v>
      </c>
      <c r="N81" s="242">
        <f>IF('Input overrides'!N81&lt;&gt;"",'Input overrides'!N81,F_Inputs!N101)*Rebasing</f>
        <v>1.9594338506809361</v>
      </c>
      <c r="O81" s="242">
        <f>IF('Input overrides'!O81&lt;&gt;"",'Input overrides'!O81,F_Inputs!O101)*Rebasing</f>
        <v>2.5169607375916629</v>
      </c>
    </row>
    <row r="82" spans="1:17">
      <c r="A82" t="s">
        <v>48</v>
      </c>
      <c r="B82" t="s">
        <v>79</v>
      </c>
      <c r="C82" t="s">
        <v>135</v>
      </c>
      <c r="D82" t="s">
        <v>74</v>
      </c>
      <c r="E82" t="s">
        <v>182</v>
      </c>
      <c r="F82" s="242">
        <f>IF('Input overrides'!F82&lt;&gt;"",'Input overrides'!F82,F_Inputs!F102)*Rebasing</f>
        <v>0.23636495581841352</v>
      </c>
      <c r="G82" s="242">
        <f>IF('Input overrides'!G82&lt;&gt;"",'Input overrides'!G82,F_Inputs!G102)*Rebasing</f>
        <v>0.26245887686116204</v>
      </c>
      <c r="H82" s="242">
        <f>IF('Input overrides'!H82&lt;&gt;"",'Input overrides'!H82,F_Inputs!H102)*Rebasing</f>
        <v>0.30315515081171318</v>
      </c>
      <c r="I82" s="242">
        <f>IF('Input overrides'!I82&lt;&gt;"",'Input overrides'!I82,F_Inputs!I102)*Rebasing</f>
        <v>0.34897385755498839</v>
      </c>
      <c r="J82" s="242">
        <f>IF('Input overrides'!J82&lt;&gt;"",'Input overrides'!J82,F_Inputs!J102)*Rebasing</f>
        <v>0.29433937858009074</v>
      </c>
      <c r="K82" s="242">
        <f>IF('Input overrides'!K82&lt;&gt;"",'Input overrides'!K82,F_Inputs!K102)*Rebasing</f>
        <v>0.25842857242405165</v>
      </c>
      <c r="L82" s="242">
        <f>IF('Input overrides'!L82&lt;&gt;"",'Input overrides'!L82,F_Inputs!L102)*Rebasing</f>
        <v>0.26088408911940969</v>
      </c>
      <c r="M82" s="242">
        <f>IF('Input overrides'!M82&lt;&gt;"",'Input overrides'!M82,F_Inputs!M102)*Rebasing</f>
        <v>0.24186584575777617</v>
      </c>
      <c r="N82" s="242">
        <f>IF('Input overrides'!N82&lt;&gt;"",'Input overrides'!N82,F_Inputs!N102)*Rebasing</f>
        <v>0.24382392226508831</v>
      </c>
      <c r="O82" s="242">
        <f>IF('Input overrides'!O82&lt;&gt;"",'Input overrides'!O82,F_Inputs!O102)*Rebasing</f>
        <v>0.22986644207504753</v>
      </c>
    </row>
    <row r="83" spans="1:17">
      <c r="A83" t="s">
        <v>48</v>
      </c>
      <c r="B83" t="s">
        <v>80</v>
      </c>
      <c r="C83" t="s">
        <v>136</v>
      </c>
      <c r="D83" t="s">
        <v>74</v>
      </c>
      <c r="E83" t="s">
        <v>182</v>
      </c>
      <c r="F83" s="242">
        <f>IF('Input overrides'!F83&lt;&gt;"",'Input overrides'!F83,F_Inputs!F103)*Rebasing</f>
        <v>1.6980681018168085</v>
      </c>
      <c r="G83" s="242">
        <f>IF('Input overrides'!G83&lt;&gt;"",'Input overrides'!G83,F_Inputs!G103)*Rebasing</f>
        <v>1.6954226798303969</v>
      </c>
      <c r="H83" s="242">
        <f>IF('Input overrides'!H83&lt;&gt;"",'Input overrides'!H83,F_Inputs!H103)*Rebasing</f>
        <v>1.9528565231773496</v>
      </c>
      <c r="I83" s="242">
        <f>IF('Input overrides'!I83&lt;&gt;"",'Input overrides'!I83,F_Inputs!I103)*Rebasing</f>
        <v>2.1948778221754157</v>
      </c>
      <c r="J83" s="242">
        <f>IF('Input overrides'!J83&lt;&gt;"",'Input overrides'!J83,F_Inputs!J103)*Rebasing</f>
        <v>2.1866800790663992</v>
      </c>
      <c r="K83" s="242">
        <f>IF('Input overrides'!K83&lt;&gt;"",'Input overrides'!K83,F_Inputs!K103)*Rebasing</f>
        <v>2.4304566082826247</v>
      </c>
      <c r="L83" s="242">
        <f>IF('Input overrides'!L83&lt;&gt;"",'Input overrides'!L83,F_Inputs!L103)*Rebasing</f>
        <v>2.4437267647957297</v>
      </c>
      <c r="M83" s="242">
        <f>IF('Input overrides'!M83&lt;&gt;"",'Input overrides'!M83,F_Inputs!M103)*Rebasing</f>
        <v>2.4324135262281614</v>
      </c>
      <c r="N83" s="242">
        <f>IF('Input overrides'!N83&lt;&gt;"",'Input overrides'!N83,F_Inputs!N103)*Rebasing</f>
        <v>2.3957616931001677</v>
      </c>
      <c r="O83" s="242">
        <f>IF('Input overrides'!O83&lt;&gt;"",'Input overrides'!O83,F_Inputs!O103)*Rebasing</f>
        <v>2.549954794462054</v>
      </c>
    </row>
    <row r="84" spans="1:17">
      <c r="A84" t="s">
        <v>48</v>
      </c>
      <c r="B84" t="s">
        <v>81</v>
      </c>
      <c r="C84" t="s">
        <v>137</v>
      </c>
      <c r="D84" t="s">
        <v>74</v>
      </c>
      <c r="E84" t="s">
        <v>182</v>
      </c>
      <c r="F84" s="242">
        <f>IF('Input overrides'!F84&lt;&gt;"",'Input overrides'!F84,F_Inputs!F104)*Rebasing</f>
        <v>2.6421552853292689</v>
      </c>
      <c r="G84" s="242">
        <f>IF('Input overrides'!G84&lt;&gt;"",'Input overrides'!G84,F_Inputs!G104)*Rebasing</f>
        <v>2.8658953676335539</v>
      </c>
      <c r="H84" s="242">
        <f>IF('Input overrides'!H84&lt;&gt;"",'Input overrides'!H84,F_Inputs!H104)*Rebasing</f>
        <v>3.2564741560238648</v>
      </c>
      <c r="I84" s="242">
        <f>IF('Input overrides'!I84&lt;&gt;"",'Input overrides'!I84,F_Inputs!I104)*Rebasing</f>
        <v>3.6923053560108405</v>
      </c>
      <c r="J84" s="242">
        <f>IF('Input overrides'!J84&lt;&gt;"",'Input overrides'!J84,F_Inputs!J104)*Rebasing</f>
        <v>3.1246484880080132</v>
      </c>
      <c r="K84" s="242">
        <f>IF('Input overrides'!K84&lt;&gt;"",'Input overrides'!K84,F_Inputs!K104)*Rebasing</f>
        <v>3.2857501678376413</v>
      </c>
      <c r="L84" s="242">
        <f>IF('Input overrides'!L84&lt;&gt;"",'Input overrides'!L84,F_Inputs!L104)*Rebasing</f>
        <v>3.2941066130924272</v>
      </c>
      <c r="M84" s="242">
        <f>IF('Input overrides'!M84&lt;&gt;"",'Input overrides'!M84,F_Inputs!M104)*Rebasing</f>
        <v>3.0379049041595252</v>
      </c>
      <c r="N84" s="242">
        <f>IF('Input overrides'!N84&lt;&gt;"",'Input overrides'!N84,F_Inputs!N104)*Rebasing</f>
        <v>3.0506630066160274</v>
      </c>
      <c r="O84" s="242">
        <f>IF('Input overrides'!O84&lt;&gt;"",'Input overrides'!O84,F_Inputs!O104)*Rebasing</f>
        <v>2.870950017501309</v>
      </c>
    </row>
    <row r="85" spans="1:17">
      <c r="A85" t="s">
        <v>48</v>
      </c>
      <c r="B85" t="s">
        <v>82</v>
      </c>
      <c r="C85" t="s">
        <v>89</v>
      </c>
      <c r="D85" t="s">
        <v>183</v>
      </c>
      <c r="E85" t="s">
        <v>182</v>
      </c>
      <c r="F85" s="242">
        <f>IF('Input overrides'!F85&lt;&gt;"",'Input overrides'!F85,F_Inputs!F105)</f>
        <v>46.537877728388601</v>
      </c>
      <c r="G85" s="242">
        <f>IF('Input overrides'!G85&lt;&gt;"",'Input overrides'!G85,F_Inputs!G105)</f>
        <v>43.8311437158697</v>
      </c>
      <c r="H85" s="242">
        <f>IF('Input overrides'!H85&lt;&gt;"",'Input overrides'!H85,F_Inputs!H105)</f>
        <v>34.100107801418403</v>
      </c>
      <c r="I85" s="242">
        <f>IF('Input overrides'!I85&lt;&gt;"",'Input overrides'!I85,F_Inputs!I105)</f>
        <v>30.657</v>
      </c>
      <c r="J85" s="242">
        <f>IF('Input overrides'!J85&lt;&gt;"",'Input overrides'!J85,F_Inputs!J105)</f>
        <v>16.083231262406901</v>
      </c>
      <c r="K85" s="518">
        <f>IF('Input overrides'!K85&lt;&gt;"",'Input overrides'!K85,F_Inputs!K105)</f>
        <v>6.6303407958681397</v>
      </c>
      <c r="L85" s="519">
        <f>IF('Input overrides'!L85&lt;&gt;"",'Input overrides'!L85,F_Inputs!L105)</f>
        <v>6.5968377284694597</v>
      </c>
      <c r="M85" s="519">
        <f>IF('Input overrides'!M85&lt;&gt;"",'Input overrides'!M85,F_Inputs!M105)</f>
        <v>6.5633346610707699</v>
      </c>
      <c r="N85" s="519">
        <f>IF('Input overrides'!N85&lt;&gt;"",'Input overrides'!N85,F_Inputs!N105)</f>
        <v>6.5298315936720899</v>
      </c>
      <c r="O85" s="519">
        <f>IF('Input overrides'!O85&lt;&gt;"",'Input overrides'!O85,F_Inputs!O105)</f>
        <v>6.4963285262734001</v>
      </c>
    </row>
    <row r="86" spans="1:17">
      <c r="A86" t="s">
        <v>48</v>
      </c>
      <c r="B86" t="s">
        <v>87</v>
      </c>
      <c r="C86" t="s">
        <v>90</v>
      </c>
      <c r="D86" t="s">
        <v>183</v>
      </c>
      <c r="E86" t="s">
        <v>182</v>
      </c>
      <c r="F86" s="242">
        <f>IF('Input overrides'!F86&lt;&gt;"",'Input overrides'!F86,F_Inputs!F106)</f>
        <v>34.699029197614401</v>
      </c>
      <c r="G86" s="242">
        <f>IF('Input overrides'!G86&lt;&gt;"",'Input overrides'!G86,F_Inputs!G106)</f>
        <v>39.052813181612102</v>
      </c>
      <c r="H86" s="242">
        <f>IF('Input overrides'!H86&lt;&gt;"",'Input overrides'!H86,F_Inputs!H106)</f>
        <v>39.836972843093399</v>
      </c>
      <c r="I86" s="242">
        <f>IF('Input overrides'!I86&lt;&gt;"",'Input overrides'!I86,F_Inputs!I106)</f>
        <v>45.451000000000001</v>
      </c>
      <c r="J86" s="242">
        <f>IF('Input overrides'!J86&lt;&gt;"",'Input overrides'!J86,F_Inputs!J106)</f>
        <v>60.5194847910779</v>
      </c>
      <c r="K86" s="518">
        <f>IF('Input overrides'!K86&lt;&gt;"",'Input overrides'!K86,F_Inputs!K106)</f>
        <v>70.580510722633306</v>
      </c>
      <c r="L86" s="519">
        <f>IF('Input overrides'!L86&lt;&gt;"",'Input overrides'!L86,F_Inputs!L106)</f>
        <v>71.194709843882094</v>
      </c>
      <c r="M86" s="519">
        <f>IF('Input overrides'!M86&lt;&gt;"",'Input overrides'!M86,F_Inputs!M106)</f>
        <v>71.842871137946801</v>
      </c>
      <c r="N86" s="519">
        <f>IF('Input overrides'!N86&lt;&gt;"",'Input overrides'!N86,F_Inputs!N106)</f>
        <v>72.455964546076501</v>
      </c>
      <c r="O86" s="519">
        <f>IF('Input overrides'!O86&lt;&gt;"",'Input overrides'!O86,F_Inputs!O106)</f>
        <v>73.046670592544501</v>
      </c>
    </row>
    <row r="87" spans="1:17">
      <c r="A87" t="s">
        <v>48</v>
      </c>
      <c r="B87" t="s">
        <v>83</v>
      </c>
      <c r="C87" t="s">
        <v>91</v>
      </c>
      <c r="D87" t="s">
        <v>183</v>
      </c>
      <c r="E87" t="s">
        <v>182</v>
      </c>
      <c r="F87" s="242">
        <f>IF('Input overrides'!F87&lt;&gt;"",'Input overrides'!F87,F_Inputs!F107)</f>
        <v>506.76196003549899</v>
      </c>
      <c r="G87" s="242">
        <f>IF('Input overrides'!G87&lt;&gt;"",'Input overrides'!G87,F_Inputs!G107)</f>
        <v>479.69915104880101</v>
      </c>
      <c r="H87" s="242">
        <f>IF('Input overrides'!H87&lt;&gt;"",'Input overrides'!H87,F_Inputs!H107)</f>
        <v>452.30331205673798</v>
      </c>
      <c r="I87" s="242">
        <f>IF('Input overrides'!I87&lt;&gt;"",'Input overrides'!I87,F_Inputs!I107)</f>
        <v>416.75400000000002</v>
      </c>
      <c r="J87" s="242">
        <f>IF('Input overrides'!J87&lt;&gt;"",'Input overrides'!J87,F_Inputs!J107)</f>
        <v>381.92899999999997</v>
      </c>
      <c r="K87" s="518">
        <f>IF('Input overrides'!K87&lt;&gt;"",'Input overrides'!K87,F_Inputs!K107)</f>
        <v>347.05900000000003</v>
      </c>
      <c r="L87" s="519">
        <f>IF('Input overrides'!L87&lt;&gt;"",'Input overrides'!L87,F_Inputs!L107)</f>
        <v>312.09899999999999</v>
      </c>
      <c r="M87" s="519">
        <f>IF('Input overrides'!M87&lt;&gt;"",'Input overrides'!M87,F_Inputs!M107)</f>
        <v>277.13900000000001</v>
      </c>
      <c r="N87" s="519">
        <f>IF('Input overrides'!N87&lt;&gt;"",'Input overrides'!N87,F_Inputs!N107)</f>
        <v>242.179</v>
      </c>
      <c r="O87" s="519">
        <f>IF('Input overrides'!O87&lt;&gt;"",'Input overrides'!O87,F_Inputs!O107)</f>
        <v>207.21899999999999</v>
      </c>
    </row>
    <row r="88" spans="1:17">
      <c r="A88" t="s">
        <v>48</v>
      </c>
      <c r="B88" t="s">
        <v>84</v>
      </c>
      <c r="C88" t="s">
        <v>92</v>
      </c>
      <c r="D88" t="s">
        <v>183</v>
      </c>
      <c r="E88" t="s">
        <v>182</v>
      </c>
      <c r="F88" s="242">
        <f>IF('Input overrides'!F88&lt;&gt;"",'Input overrides'!F88,F_Inputs!F108)</f>
        <v>371.82499431539998</v>
      </c>
      <c r="G88" s="242">
        <f>IF('Input overrides'!G88&lt;&gt;"",'Input overrides'!G88,F_Inputs!G108)</f>
        <v>407.44562261436403</v>
      </c>
      <c r="H88" s="242">
        <f>IF('Input overrides'!H88&lt;&gt;"",'Input overrides'!H88,F_Inputs!H108)</f>
        <v>403.83348245418</v>
      </c>
      <c r="I88" s="242">
        <f>IF('Input overrides'!I88&lt;&gt;"",'Input overrides'!I88,F_Inputs!I108)</f>
        <v>450.66849999999999</v>
      </c>
      <c r="J88" s="242">
        <f>IF('Input overrides'!J88&lt;&gt;"",'Input overrides'!J88,F_Inputs!J108)</f>
        <v>490.76821605348499</v>
      </c>
      <c r="K88" s="518">
        <f>IF('Input overrides'!K88&lt;&gt;"",'Input overrides'!K88,F_Inputs!K108)</f>
        <v>533.21827628666301</v>
      </c>
      <c r="L88" s="519">
        <f>IF('Input overrides'!L88&lt;&gt;"",'Input overrides'!L88,F_Inputs!L108)</f>
        <v>575.54872277417303</v>
      </c>
      <c r="M88" s="519">
        <f>IF('Input overrides'!M88&lt;&gt;"",'Input overrides'!M88,F_Inputs!M108)</f>
        <v>618.34849284897302</v>
      </c>
      <c r="N88" s="519">
        <f>IF('Input overrides'!N88&lt;&gt;"",'Input overrides'!N88,F_Inputs!N108)</f>
        <v>661.53042570671096</v>
      </c>
      <c r="O88" s="519">
        <f>IF('Input overrides'!O88&lt;&gt;"",'Input overrides'!O88,F_Inputs!O108)</f>
        <v>704.107042687746</v>
      </c>
    </row>
    <row r="89" spans="1:17">
      <c r="A89" t="s">
        <v>48</v>
      </c>
      <c r="B89" t="s">
        <v>85</v>
      </c>
      <c r="C89" t="s">
        <v>93</v>
      </c>
      <c r="D89" t="s">
        <v>183</v>
      </c>
      <c r="E89" t="s">
        <v>182</v>
      </c>
      <c r="F89" s="242">
        <f>IF('Input overrides'!F89&lt;&gt;"",'Input overrides'!F89,F_Inputs!F109)</f>
        <v>475.50490744204899</v>
      </c>
      <c r="G89" s="242">
        <f>IF('Input overrides'!G89&lt;&gt;"",'Input overrides'!G89,F_Inputs!G109)</f>
        <v>447.98335458244799</v>
      </c>
      <c r="H89" s="242">
        <f>IF('Input overrides'!H89&lt;&gt;"",'Input overrides'!H89,F_Inputs!H109)</f>
        <v>373.02808014184399</v>
      </c>
      <c r="I89" s="242">
        <f>IF('Input overrides'!I89&lt;&gt;"",'Input overrides'!I89,F_Inputs!I109)</f>
        <v>259.81900000000002</v>
      </c>
      <c r="J89" s="242">
        <f>IF('Input overrides'!J89&lt;&gt;"",'Input overrides'!J89,F_Inputs!J109)</f>
        <v>175.93776873759299</v>
      </c>
      <c r="K89" s="518">
        <f>IF('Input overrides'!K89&lt;&gt;"",'Input overrides'!K89,F_Inputs!K109)</f>
        <v>72.530659204131894</v>
      </c>
      <c r="L89" s="519">
        <f>IF('Input overrides'!L89&lt;&gt;"",'Input overrides'!L89,F_Inputs!L109)</f>
        <v>72.1641622715305</v>
      </c>
      <c r="M89" s="519">
        <f>IF('Input overrides'!M89&lt;&gt;"",'Input overrides'!M89,F_Inputs!M109)</f>
        <v>71.797665338929207</v>
      </c>
      <c r="N89" s="519">
        <f>IF('Input overrides'!N89&lt;&gt;"",'Input overrides'!N89,F_Inputs!N109)</f>
        <v>71.431168406327899</v>
      </c>
      <c r="O89" s="519">
        <f>IF('Input overrides'!O89&lt;&gt;"",'Input overrides'!O89,F_Inputs!O109)</f>
        <v>71.064671473726605</v>
      </c>
    </row>
    <row r="90" spans="1:17">
      <c r="A90" t="s">
        <v>48</v>
      </c>
      <c r="B90" t="s">
        <v>86</v>
      </c>
      <c r="C90" t="s">
        <v>94</v>
      </c>
      <c r="D90" t="s">
        <v>183</v>
      </c>
      <c r="E90" t="s">
        <v>182</v>
      </c>
      <c r="F90" s="242">
        <f>IF('Input overrides'!F90&lt;&gt;"",'Input overrides'!F90,F_Inputs!F110)</f>
        <v>350.90127693015</v>
      </c>
      <c r="G90" s="242">
        <f>IF('Input overrides'!G90&lt;&gt;"",'Input overrides'!G90,F_Inputs!G110)</f>
        <v>387.06857381298602</v>
      </c>
      <c r="H90" s="242">
        <f>IF('Input overrides'!H90&lt;&gt;"",'Input overrides'!H90,F_Inputs!H110)</f>
        <v>538.98004470272701</v>
      </c>
      <c r="I90" s="242">
        <f>IF('Input overrides'!I90&lt;&gt;"",'Input overrides'!I90,F_Inputs!I110)</f>
        <v>655.28499999999997</v>
      </c>
      <c r="J90" s="242">
        <f>IF('Input overrides'!J90&lt;&gt;"",'Input overrides'!J90,F_Inputs!J110)</f>
        <v>745.26851520892205</v>
      </c>
      <c r="K90" s="518">
        <f>IF('Input overrides'!K90&lt;&gt;"",'Input overrides'!K90,F_Inputs!K110)</f>
        <v>856.17692828678298</v>
      </c>
      <c r="L90" s="519">
        <f>IF('Input overrides'!L90&lt;&gt;"",'Input overrides'!L90,F_Inputs!L110)</f>
        <v>863.70626576650795</v>
      </c>
      <c r="M90" s="519">
        <f>IF('Input overrides'!M90&lt;&gt;"",'Input overrides'!M90,F_Inputs!M110)</f>
        <v>871.65452399987305</v>
      </c>
      <c r="N90" s="519">
        <f>IF('Input overrides'!N90&lt;&gt;"",'Input overrides'!N90,F_Inputs!N110)</f>
        <v>879.170222594488</v>
      </c>
      <c r="O90" s="519">
        <f>IF('Input overrides'!O90&lt;&gt;"",'Input overrides'!O90,F_Inputs!O110)</f>
        <v>886.40977482855601</v>
      </c>
    </row>
    <row r="91" spans="1:17">
      <c r="A91" t="s">
        <v>48</v>
      </c>
      <c r="B91" t="s">
        <v>174</v>
      </c>
      <c r="C91" t="s">
        <v>184</v>
      </c>
      <c r="D91" t="s">
        <v>74</v>
      </c>
      <c r="E91" t="s">
        <v>182</v>
      </c>
      <c r="F91" s="242">
        <f>IF('Input overrides'!F91&lt;&gt;"",'Input overrides'!F91,F_Inputs!F111)*Rebasing</f>
        <v>0</v>
      </c>
      <c r="G91" s="242">
        <f>IF('Input overrides'!G91&lt;&gt;"",'Input overrides'!G91,F_Inputs!G111)*Rebasing</f>
        <v>0</v>
      </c>
      <c r="H91" s="242">
        <f>IF('Input overrides'!H91&lt;&gt;"",'Input overrides'!H91,F_Inputs!H111)*Rebasing</f>
        <v>0</v>
      </c>
      <c r="I91" s="242">
        <f>IF('Input overrides'!I91&lt;&gt;"",'Input overrides'!I91,F_Inputs!I111)*Rebasing</f>
        <v>0</v>
      </c>
      <c r="J91" s="242">
        <f>IF('Input overrides'!J91&lt;&gt;"",'Input overrides'!J91,F_Inputs!J111)*Rebasing</f>
        <v>0</v>
      </c>
      <c r="K91" s="242">
        <f>IF('Input overrides'!K91&lt;&gt;"",'Input overrides'!K91,F_Inputs!K111)*Rebasing</f>
        <v>0</v>
      </c>
      <c r="L91" s="242">
        <f>IF('Input overrides'!L91&lt;&gt;"",'Input overrides'!L91,F_Inputs!L111)*Rebasing</f>
        <v>0</v>
      </c>
      <c r="M91" s="242">
        <f>IF('Input overrides'!M91&lt;&gt;"",'Input overrides'!M91,F_Inputs!M111)*Rebasing</f>
        <v>0</v>
      </c>
      <c r="N91" s="242">
        <f>IF('Input overrides'!N91&lt;&gt;"",'Input overrides'!N91,F_Inputs!N111)*Rebasing</f>
        <v>0</v>
      </c>
      <c r="O91" s="242">
        <f>IF('Input overrides'!O91&lt;&gt;"",'Input overrides'!O91,F_Inputs!O111)*Rebasing</f>
        <v>0</v>
      </c>
    </row>
    <row r="92" spans="1:17">
      <c r="A92" t="s">
        <v>48</v>
      </c>
      <c r="B92" t="s">
        <v>156</v>
      </c>
      <c r="C92" t="s">
        <v>157</v>
      </c>
      <c r="D92" t="s">
        <v>74</v>
      </c>
      <c r="E92" t="s">
        <v>182</v>
      </c>
      <c r="F92" s="242">
        <f>IF('Input overrides'!F92&lt;&gt;"",'Input overrides'!F92,F_Inputs!F112)*Rebasing</f>
        <v>2.3869268757876094</v>
      </c>
      <c r="G92" s="242">
        <f>IF('Input overrides'!G92&lt;&gt;"",'Input overrides'!G92,F_Inputs!G112)*Rebasing</f>
        <v>2.4075038316133646</v>
      </c>
      <c r="H92" s="242">
        <f>IF('Input overrides'!H92&lt;&gt;"",'Input overrides'!H92,F_Inputs!H112)*Rebasing</f>
        <v>2.4258841562508091</v>
      </c>
      <c r="I92" s="242">
        <f>IF('Input overrides'!I92&lt;&gt;"",'Input overrides'!I92,F_Inputs!I112)*Rebasing</f>
        <v>1.3152790163822758</v>
      </c>
      <c r="J92" s="242">
        <f>IF('Input overrides'!J92&lt;&gt;"",'Input overrides'!J92,F_Inputs!J112)*Rebasing</f>
        <v>4.6921740980681585</v>
      </c>
      <c r="K92" s="242">
        <f>IF('Input overrides'!K92&lt;&gt;"",'Input overrides'!K92,F_Inputs!K112)*Rebasing</f>
        <v>0.77674518267177839</v>
      </c>
      <c r="L92" s="242">
        <f>IF('Input overrides'!L92&lt;&gt;"",'Input overrides'!L92,F_Inputs!L112)*Rebasing</f>
        <v>0.77674518267177839</v>
      </c>
      <c r="M92" s="242">
        <f>IF('Input overrides'!M92&lt;&gt;"",'Input overrides'!M92,F_Inputs!M112)*Rebasing</f>
        <v>0.77674518267177839</v>
      </c>
      <c r="N92" s="242">
        <f>IF('Input overrides'!N92&lt;&gt;"",'Input overrides'!N92,F_Inputs!N112)*Rebasing</f>
        <v>0.77674518267177839</v>
      </c>
      <c r="O92" s="242">
        <f>IF('Input overrides'!O92&lt;&gt;"",'Input overrides'!O92,F_Inputs!O112)*Rebasing</f>
        <v>0.77674518267177839</v>
      </c>
    </row>
    <row r="93" spans="1:17">
      <c r="A93" t="s">
        <v>48</v>
      </c>
      <c r="B93" t="s">
        <v>159</v>
      </c>
      <c r="C93" t="s">
        <v>158</v>
      </c>
      <c r="D93" t="s">
        <v>74</v>
      </c>
      <c r="E93" t="s">
        <v>182</v>
      </c>
      <c r="F93" s="242">
        <f>IF('Input overrides'!F93&lt;&gt;"",'Input overrides'!F93,F_Inputs!F113)*Rebasing</f>
        <v>0</v>
      </c>
      <c r="G93" s="242">
        <f>IF('Input overrides'!G93&lt;&gt;"",'Input overrides'!G93,F_Inputs!G113)*Rebasing</f>
        <v>0</v>
      </c>
      <c r="H93" s="242">
        <f>IF('Input overrides'!H93&lt;&gt;"",'Input overrides'!H93,F_Inputs!H113)*Rebasing</f>
        <v>0</v>
      </c>
      <c r="I93" s="242">
        <f>IF('Input overrides'!I93&lt;&gt;"",'Input overrides'!I93,F_Inputs!I113)*Rebasing</f>
        <v>0</v>
      </c>
      <c r="J93" s="242">
        <f>IF('Input overrides'!J93&lt;&gt;"",'Input overrides'!J93,F_Inputs!J113)*Rebasing</f>
        <v>0</v>
      </c>
      <c r="K93" s="242">
        <f>IF('Input overrides'!K93&lt;&gt;"",'Input overrides'!K93,F_Inputs!K113)*Rebasing</f>
        <v>7.2019345390143489E-3</v>
      </c>
      <c r="L93" s="242">
        <f>IF('Input overrides'!L93&lt;&gt;"",'Input overrides'!L93,F_Inputs!L113)*Rebasing</f>
        <v>2.4692346990906305E-2</v>
      </c>
      <c r="M93" s="242">
        <f>IF('Input overrides'!M93&lt;&gt;"",'Input overrides'!M93,F_Inputs!M113)*Rebasing</f>
        <v>4.9384693981812507E-2</v>
      </c>
      <c r="N93" s="242">
        <f>IF('Input overrides'!N93&lt;&gt;"",'Input overrides'!N93,F_Inputs!N113)*Rebasing</f>
        <v>8.1278975511733256E-2</v>
      </c>
      <c r="O93" s="242">
        <f>IF('Input overrides'!O93&lt;&gt;"",'Input overrides'!O93,F_Inputs!O113)*Rebasing</f>
        <v>0.12037519158066824</v>
      </c>
    </row>
    <row r="94" spans="1:17">
      <c r="A94" t="s">
        <v>49</v>
      </c>
      <c r="B94" t="s">
        <v>78</v>
      </c>
      <c r="C94" t="s">
        <v>132</v>
      </c>
      <c r="D94" t="s">
        <v>74</v>
      </c>
      <c r="E94" t="s">
        <v>182</v>
      </c>
      <c r="F94" s="242">
        <f>IF('Input overrides'!F94&lt;&gt;"",'Input overrides'!F94,F_Inputs!F118)*Rebasing</f>
        <v>96.583127890794344</v>
      </c>
      <c r="G94" s="242">
        <f>IF('Input overrides'!G94&lt;&gt;"",'Input overrides'!G94,F_Inputs!G118)*Rebasing</f>
        <v>120.43815947849498</v>
      </c>
      <c r="H94" s="242">
        <f>IF('Input overrides'!H94&lt;&gt;"",'Input overrides'!H94,F_Inputs!H118)*Rebasing</f>
        <v>166.42422037105433</v>
      </c>
      <c r="I94" s="242">
        <f ca="1">IF('Input overrides'!I94&lt;&gt;"",'Input overrides'!I94,F_Inputs!I118)*Rebasing</f>
        <v>147.95719591789685</v>
      </c>
      <c r="J94" s="242">
        <f>IF('Input overrides'!J94&lt;&gt;"",'Input overrides'!J94,F_Inputs!J118)*Rebasing</f>
        <v>133.26809234522213</v>
      </c>
      <c r="K94" s="242">
        <f ca="1">IF('Input overrides'!K94&lt;&gt;"",'Input overrides'!K94,F_Inputs!K118)*Rebasing</f>
        <v>150.43119919385472</v>
      </c>
      <c r="L94" s="242">
        <f ca="1">IF('Input overrides'!L94&lt;&gt;"",'Input overrides'!L94,F_Inputs!L118)*Rebasing</f>
        <v>155.56020598544231</v>
      </c>
      <c r="M94" s="242">
        <f ca="1">IF('Input overrides'!M94&lt;&gt;"",'Input overrides'!M94,F_Inputs!M118)*Rebasing</f>
        <v>155.87120639725376</v>
      </c>
      <c r="N94" s="242">
        <f ca="1">IF('Input overrides'!N94&lt;&gt;"",'Input overrides'!N94,F_Inputs!N118)*Rebasing</f>
        <v>157.45720849736313</v>
      </c>
      <c r="O94" s="242">
        <f ca="1">IF('Input overrides'!O94&lt;&gt;"",'Input overrides'!O94,F_Inputs!O118)*Rebasing</f>
        <v>153.12720276377453</v>
      </c>
      <c r="Q94" s="242"/>
    </row>
    <row r="95" spans="1:17">
      <c r="A95" t="s">
        <v>49</v>
      </c>
      <c r="B95" t="s">
        <v>97</v>
      </c>
      <c r="C95" t="s">
        <v>99</v>
      </c>
      <c r="D95" t="s">
        <v>74</v>
      </c>
      <c r="E95" t="s">
        <v>182</v>
      </c>
      <c r="F95" s="242">
        <f>IF('Input overrides'!F95&lt;&gt;"",'Input overrides'!F95,F_Inputs!F119)*Rebasing</f>
        <v>2.4050031845910804</v>
      </c>
      <c r="G95" s="242">
        <f>IF('Input overrides'!G95&lt;&gt;"",'Input overrides'!G95,F_Inputs!G119)*Rebasing</f>
        <v>2.4130031951843112</v>
      </c>
      <c r="H95" s="242">
        <f>IF('Input overrides'!H95&lt;&gt;"",'Input overrides'!H95,F_Inputs!H119)*Rebasing</f>
        <v>2.3400030985210503</v>
      </c>
      <c r="I95" s="242">
        <f>IF('Input overrides'!I95&lt;&gt;"",'Input overrides'!I95,F_Inputs!I119)*Rebasing</f>
        <v>2.0660027357027735</v>
      </c>
      <c r="J95" s="242">
        <f>IF('Input overrides'!J95&lt;&gt;"",'Input overrides'!J95,F_Inputs!J119)*Rebasing</f>
        <v>3.5610047153134436</v>
      </c>
      <c r="K95" s="242">
        <f>IF('Input overrides'!K95&lt;&gt;"",'Input overrides'!K95,F_Inputs!K119)*Rebasing</f>
        <v>7.6450101231595955</v>
      </c>
      <c r="L95" s="242">
        <f>IF('Input overrides'!L95&lt;&gt;"",'Input overrides'!L95,F_Inputs!L119)*Rebasing</f>
        <v>7.1900095206693857</v>
      </c>
      <c r="M95" s="242">
        <f>IF('Input overrides'!M95&lt;&gt;"",'Input overrides'!M95,F_Inputs!M119)*Rebasing</f>
        <v>4.4150058461412174</v>
      </c>
      <c r="N95" s="242">
        <f>IF('Input overrides'!N95&lt;&gt;"",'Input overrides'!N95,F_Inputs!N119)*Rebasing</f>
        <v>2.7320036175895348</v>
      </c>
      <c r="O95" s="242">
        <f>IF('Input overrides'!O95&lt;&gt;"",'Input overrides'!O95,F_Inputs!O119)*Rebasing</f>
        <v>0.7020009295563161</v>
      </c>
    </row>
    <row r="96" spans="1:17">
      <c r="A96" t="s">
        <v>49</v>
      </c>
      <c r="B96" t="s">
        <v>98</v>
      </c>
      <c r="C96" t="s">
        <v>100</v>
      </c>
      <c r="D96" t="s">
        <v>74</v>
      </c>
      <c r="E96" t="s">
        <v>182</v>
      </c>
      <c r="F96" s="242">
        <f>IF('Input overrides'!F96&lt;&gt;"",'Input overrides'!F96,F_Inputs!F120)*Rebasing</f>
        <v>0</v>
      </c>
      <c r="G96" s="242">
        <f>IF('Input overrides'!G96&lt;&gt;"",'Input overrides'!G96,F_Inputs!G120)*Rebasing</f>
        <v>0</v>
      </c>
      <c r="H96" s="242">
        <f>IF('Input overrides'!H96&lt;&gt;"",'Input overrides'!H96,F_Inputs!H120)*Rebasing</f>
        <v>0</v>
      </c>
      <c r="I96" s="242">
        <f>IF('Input overrides'!I96&lt;&gt;"",'Input overrides'!I96,F_Inputs!I120)*Rebasing</f>
        <v>0</v>
      </c>
      <c r="J96" s="242">
        <f>IF('Input overrides'!J96&lt;&gt;"",'Input overrides'!J96,F_Inputs!J120)*Rebasing</f>
        <v>0</v>
      </c>
      <c r="K96" s="242">
        <f>IF('Input overrides'!K96&lt;&gt;"",'Input overrides'!K96,F_Inputs!K120)*Rebasing</f>
        <v>0.74300098384664137</v>
      </c>
      <c r="L96" s="242">
        <f>IF('Input overrides'!L96&lt;&gt;"",'Input overrides'!L96,F_Inputs!L120)*Rebasing</f>
        <v>2.8230037380875737</v>
      </c>
      <c r="M96" s="242">
        <f>IF('Input overrides'!M96&lt;&gt;"",'Input overrides'!M96,F_Inputs!M120)*Rebasing</f>
        <v>5.7920076695016798</v>
      </c>
      <c r="N96" s="242">
        <f>IF('Input overrides'!N96&lt;&gt;"",'Input overrides'!N96,F_Inputs!N120)*Rebasing</f>
        <v>8.726011554570384</v>
      </c>
      <c r="O96" s="242">
        <f>IF('Input overrides'!O96&lt;&gt;"",'Input overrides'!O96,F_Inputs!O120)*Rebasing</f>
        <v>10.354013710293621</v>
      </c>
    </row>
    <row r="97" spans="1:17">
      <c r="A97" t="s">
        <v>49</v>
      </c>
      <c r="B97" t="s">
        <v>79</v>
      </c>
      <c r="C97" t="s">
        <v>135</v>
      </c>
      <c r="D97" t="s">
        <v>74</v>
      </c>
      <c r="E97" t="s">
        <v>182</v>
      </c>
      <c r="F97" s="242">
        <f>IF('Input overrides'!F97&lt;&gt;"",'Input overrides'!F97,F_Inputs!F121)*Rebasing</f>
        <v>0.17800023569946455</v>
      </c>
      <c r="G97" s="242">
        <f>IF('Input overrides'!G97&lt;&gt;"",'Input overrides'!G97,F_Inputs!G121)*Rebasing</f>
        <v>0.18500024496854489</v>
      </c>
      <c r="H97" s="242">
        <f>IF('Input overrides'!H97&lt;&gt;"",'Input overrides'!H97,F_Inputs!H121)*Rebasing</f>
        <v>0.20900027674824764</v>
      </c>
      <c r="I97" s="242">
        <f>IF('Input overrides'!I97&lt;&gt;"",'Input overrides'!I97,F_Inputs!I121)*Rebasing</f>
        <v>0.13269160006642863</v>
      </c>
      <c r="J97" s="242">
        <f>IF('Input overrides'!J97&lt;&gt;"",'Input overrides'!J97,F_Inputs!J121)*Rebasing</f>
        <v>0.12046499339132163</v>
      </c>
      <c r="K97" s="242">
        <f>IF('Input overrides'!K97&lt;&gt;"",'Input overrides'!K97,F_Inputs!K121)*Rebasing</f>
        <v>0.13700697321438066</v>
      </c>
      <c r="L97" s="242">
        <f>IF('Input overrides'!L97&lt;&gt;"",'Input overrides'!L97,F_Inputs!L121)*Rebasing</f>
        <v>0.1312837240029395</v>
      </c>
      <c r="M97" s="242">
        <f>IF('Input overrides'!M97&lt;&gt;"",'Input overrides'!M97,F_Inputs!M121)*Rebasing</f>
        <v>0.12201112728117179</v>
      </c>
      <c r="N97" s="242">
        <f>IF('Input overrides'!N97&lt;&gt;"",'Input overrides'!N97,F_Inputs!N121)*Rebasing</f>
        <v>0.11062227021439734</v>
      </c>
      <c r="O97" s="242">
        <f>IF('Input overrides'!O97&lt;&gt;"",'Input overrides'!O97,F_Inputs!O121)*Rebasing</f>
        <v>0.10180929427664064</v>
      </c>
    </row>
    <row r="98" spans="1:17">
      <c r="A98" t="s">
        <v>49</v>
      </c>
      <c r="B98" t="s">
        <v>80</v>
      </c>
      <c r="C98" t="s">
        <v>136</v>
      </c>
      <c r="D98" t="s">
        <v>74</v>
      </c>
      <c r="E98" t="s">
        <v>182</v>
      </c>
      <c r="F98" s="242">
        <f>IF('Input overrides'!F98&lt;&gt;"",'Input overrides'!F98,F_Inputs!F122)*Rebasing</f>
        <v>1.9490025807767277</v>
      </c>
      <c r="G98" s="242">
        <f>IF('Input overrides'!G98&lt;&gt;"",'Input overrides'!G98,F_Inputs!G122)*Rebasing</f>
        <v>2.6920035646233607</v>
      </c>
      <c r="H98" s="242">
        <f>IF('Input overrides'!H98&lt;&gt;"",'Input overrides'!H98,F_Inputs!H122)*Rebasing</f>
        <v>2.1250028138278783</v>
      </c>
      <c r="I98" s="242">
        <f>IF('Input overrides'!I98&lt;&gt;"",'Input overrides'!I98,F_Inputs!I122)*Rebasing</f>
        <v>3.1767558911083409</v>
      </c>
      <c r="J98" s="242">
        <f>IF('Input overrides'!J98&lt;&gt;"",'Input overrides'!J98,F_Inputs!J122)*Rebasing</f>
        <v>3.0611039427110551</v>
      </c>
      <c r="K98" s="242">
        <f>IF('Input overrides'!K98&lt;&gt;"",'Input overrides'!K98,F_Inputs!K122)*Rebasing</f>
        <v>4.2747633826351796</v>
      </c>
      <c r="L98" s="242">
        <f>IF('Input overrides'!L98&lt;&gt;"",'Input overrides'!L98,F_Inputs!L122)*Rebasing</f>
        <v>4.4858193999025948</v>
      </c>
      <c r="M98" s="242">
        <f>IF('Input overrides'!M98&lt;&gt;"",'Input overrides'!M98,F_Inputs!M122)*Rebasing</f>
        <v>4.5429083055167139</v>
      </c>
      <c r="N98" s="242">
        <f>IF('Input overrides'!N98&lt;&gt;"",'Input overrides'!N98,F_Inputs!N122)*Rebasing</f>
        <v>4.4049524270882383</v>
      </c>
      <c r="O98" s="242">
        <f>IF('Input overrides'!O98&lt;&gt;"",'Input overrides'!O98,F_Inputs!O122)*Rebasing</f>
        <v>4.338663964848287</v>
      </c>
    </row>
    <row r="99" spans="1:17">
      <c r="A99" t="s">
        <v>49</v>
      </c>
      <c r="B99" t="s">
        <v>81</v>
      </c>
      <c r="C99" t="s">
        <v>137</v>
      </c>
      <c r="D99" t="s">
        <v>74</v>
      </c>
      <c r="E99" t="s">
        <v>182</v>
      </c>
      <c r="F99" s="242">
        <f>IF('Input overrides'!F99&lt;&gt;"",'Input overrides'!F99,F_Inputs!F123)*Rebasing</f>
        <v>12.414016438051409</v>
      </c>
      <c r="G99" s="242">
        <f>IF('Input overrides'!G99&lt;&gt;"",'Input overrides'!G99,F_Inputs!G123)*Rebasing</f>
        <v>13.202017481485052</v>
      </c>
      <c r="H99" s="242">
        <f>IF('Input overrides'!H99&lt;&gt;"",'Input overrides'!H99,F_Inputs!H123)*Rebasing</f>
        <v>15.127020030482035</v>
      </c>
      <c r="I99" s="242">
        <f>IF('Input overrides'!I99&lt;&gt;"",'Input overrides'!I99,F_Inputs!I123)*Rebasing</f>
        <v>12.192376087698403</v>
      </c>
      <c r="J99" s="242">
        <f>IF('Input overrides'!J99&lt;&gt;"",'Input overrides'!J99,F_Inputs!J123)*Rebasing</f>
        <v>11.476452862687372</v>
      </c>
      <c r="K99" s="242">
        <f>IF('Input overrides'!K99&lt;&gt;"",'Input overrides'!K99,F_Inputs!K123)*Rebasing</f>
        <v>14.499578669219517</v>
      </c>
      <c r="L99" s="242">
        <f>IF('Input overrides'!L99&lt;&gt;"",'Input overrides'!L99,F_Inputs!L123)*Rebasing</f>
        <v>15.210468371341687</v>
      </c>
      <c r="M99" s="242">
        <f>IF('Input overrides'!M99&lt;&gt;"",'Input overrides'!M99,F_Inputs!M123)*Rebasing</f>
        <v>15.676851417606827</v>
      </c>
      <c r="N99" s="242">
        <f>IF('Input overrides'!N99&lt;&gt;"",'Input overrides'!N99,F_Inputs!N123)*Rebasing</f>
        <v>15.767936744091063</v>
      </c>
      <c r="O99" s="242">
        <f>IF('Input overrides'!O99&lt;&gt;"",'Input overrides'!O99,F_Inputs!O123)*Rebasing</f>
        <v>15.96357808628513</v>
      </c>
    </row>
    <row r="100" spans="1:17">
      <c r="A100" t="s">
        <v>49</v>
      </c>
      <c r="B100" t="s">
        <v>82</v>
      </c>
      <c r="C100" t="s">
        <v>89</v>
      </c>
      <c r="D100" t="s">
        <v>183</v>
      </c>
      <c r="E100" t="s">
        <v>182</v>
      </c>
      <c r="F100" s="242">
        <f>IF('Input overrides'!F100&lt;&gt;"",'Input overrides'!F100,F_Inputs!F124)</f>
        <v>33.268000000000001</v>
      </c>
      <c r="G100" s="242">
        <f>IF('Input overrides'!G100&lt;&gt;"",'Input overrides'!G100,F_Inputs!G124)</f>
        <v>32.923999999999999</v>
      </c>
      <c r="H100" s="242">
        <f>IF('Input overrides'!H100&lt;&gt;"",'Input overrides'!H100,F_Inputs!H124)</f>
        <v>32.362000000000002</v>
      </c>
      <c r="I100" s="242">
        <f>IF('Input overrides'!I100&lt;&gt;"",'Input overrides'!I100,F_Inputs!I124)</f>
        <v>32.143000000000001</v>
      </c>
      <c r="J100" s="242">
        <f>IF('Input overrides'!J100&lt;&gt;"",'Input overrides'!J100,F_Inputs!J124)</f>
        <v>32.143000000000001</v>
      </c>
      <c r="K100" s="518">
        <f>IF('Input overrides'!K100&lt;&gt;"",'Input overrides'!K100,F_Inputs!K124)</f>
        <v>32.143000000000001</v>
      </c>
      <c r="L100" s="519">
        <f>IF('Input overrides'!L100&lt;&gt;"",'Input overrides'!L100,F_Inputs!L124)</f>
        <v>32.143000000000001</v>
      </c>
      <c r="M100" s="519">
        <f>IF('Input overrides'!M100&lt;&gt;"",'Input overrides'!M100,F_Inputs!M124)</f>
        <v>32.143000000000001</v>
      </c>
      <c r="N100" s="519">
        <f>IF('Input overrides'!N100&lt;&gt;"",'Input overrides'!N100,F_Inputs!N124)</f>
        <v>32.143000000000001</v>
      </c>
      <c r="O100" s="519">
        <f>IF('Input overrides'!O100&lt;&gt;"",'Input overrides'!O100,F_Inputs!O124)</f>
        <v>32.143000000000001</v>
      </c>
    </row>
    <row r="101" spans="1:17">
      <c r="A101" t="s">
        <v>49</v>
      </c>
      <c r="B101" t="s">
        <v>87</v>
      </c>
      <c r="C101" t="s">
        <v>90</v>
      </c>
      <c r="D101" t="s">
        <v>183</v>
      </c>
      <c r="E101" t="s">
        <v>182</v>
      </c>
      <c r="F101" s="242">
        <f>IF('Input overrides'!F101&lt;&gt;"",'Input overrides'!F101,F_Inputs!F125)</f>
        <v>13.922000000000001</v>
      </c>
      <c r="G101" s="242">
        <f>IF('Input overrides'!G101&lt;&gt;"",'Input overrides'!G101,F_Inputs!G125)</f>
        <v>14.316000000000001</v>
      </c>
      <c r="H101" s="242">
        <f>IF('Input overrides'!H101&lt;&gt;"",'Input overrides'!H101,F_Inputs!H125)</f>
        <v>15.081</v>
      </c>
      <c r="I101" s="242">
        <f>IF('Input overrides'!I101&lt;&gt;"",'Input overrides'!I101,F_Inputs!I125)</f>
        <v>15.452</v>
      </c>
      <c r="J101" s="242">
        <f>IF('Input overrides'!J101&lt;&gt;"",'Input overrides'!J101,F_Inputs!J125)</f>
        <v>15.452</v>
      </c>
      <c r="K101" s="518">
        <f>IF('Input overrides'!K101&lt;&gt;"",'Input overrides'!K101,F_Inputs!K125)</f>
        <v>15.452</v>
      </c>
      <c r="L101" s="519">
        <f>IF('Input overrides'!L101&lt;&gt;"",'Input overrides'!L101,F_Inputs!L125)</f>
        <v>15.452</v>
      </c>
      <c r="M101" s="519">
        <f>IF('Input overrides'!M101&lt;&gt;"",'Input overrides'!M101,F_Inputs!M125)</f>
        <v>15.452</v>
      </c>
      <c r="N101" s="519">
        <f>IF('Input overrides'!N101&lt;&gt;"",'Input overrides'!N101,F_Inputs!N125)</f>
        <v>15.452</v>
      </c>
      <c r="O101" s="519">
        <f>IF('Input overrides'!O101&lt;&gt;"",'Input overrides'!O101,F_Inputs!O125)</f>
        <v>15.452</v>
      </c>
    </row>
    <row r="102" spans="1:17">
      <c r="A102" t="s">
        <v>49</v>
      </c>
      <c r="B102" t="s">
        <v>83</v>
      </c>
      <c r="C102" t="s">
        <v>91</v>
      </c>
      <c r="D102" t="s">
        <v>183</v>
      </c>
      <c r="E102" t="s">
        <v>182</v>
      </c>
      <c r="F102" s="242">
        <f>IF('Input overrides'!F102&lt;&gt;"",'Input overrides'!F102,F_Inputs!F126)</f>
        <v>1329.231</v>
      </c>
      <c r="G102" s="242">
        <f>IF('Input overrides'!G102&lt;&gt;"",'Input overrides'!G102,F_Inputs!G126)</f>
        <v>1310.4290000000001</v>
      </c>
      <c r="H102" s="242">
        <f>IF('Input overrides'!H102&lt;&gt;"",'Input overrides'!H102,F_Inputs!H126)</f>
        <v>1279.1880000000001</v>
      </c>
      <c r="I102" s="242">
        <f>IF('Input overrides'!I102&lt;&gt;"",'Input overrides'!I102,F_Inputs!I126)</f>
        <v>1262.7260000000001</v>
      </c>
      <c r="J102" s="242">
        <f>IF('Input overrides'!J102&lt;&gt;"",'Input overrides'!J102,F_Inputs!J126)</f>
        <v>1231.7270000000001</v>
      </c>
      <c r="K102" s="518">
        <f>IF('Input overrides'!K102&lt;&gt;"",'Input overrides'!K102,F_Inputs!K126)</f>
        <v>1109.327</v>
      </c>
      <c r="L102" s="519">
        <f>IF('Input overrides'!L102&lt;&gt;"",'Input overrides'!L102,F_Inputs!L126)</f>
        <v>992.49599999999998</v>
      </c>
      <c r="M102" s="519">
        <f>IF('Input overrides'!M102&lt;&gt;"",'Input overrides'!M102,F_Inputs!M126)</f>
        <v>872.70100000000002</v>
      </c>
      <c r="N102" s="519">
        <f>IF('Input overrides'!N102&lt;&gt;"",'Input overrides'!N102,F_Inputs!N126)</f>
        <v>751.452</v>
      </c>
      <c r="O102" s="519">
        <f>IF('Input overrides'!O102&lt;&gt;"",'Input overrides'!O102,F_Inputs!O126)</f>
        <v>637.14400000000001</v>
      </c>
    </row>
    <row r="103" spans="1:17">
      <c r="A103" t="s">
        <v>49</v>
      </c>
      <c r="B103" t="s">
        <v>84</v>
      </c>
      <c r="C103" t="s">
        <v>92</v>
      </c>
      <c r="D103" t="s">
        <v>183</v>
      </c>
      <c r="E103" t="s">
        <v>182</v>
      </c>
      <c r="F103" s="242">
        <f>IF('Input overrides'!F103&lt;&gt;"",'Input overrides'!F103,F_Inputs!F127)</f>
        <v>556.24400000000003</v>
      </c>
      <c r="G103" s="242">
        <f>IF('Input overrides'!G103&lt;&gt;"",'Input overrides'!G103,F_Inputs!G127)</f>
        <v>569.68399999999997</v>
      </c>
      <c r="H103" s="242">
        <f>IF('Input overrides'!H103&lt;&gt;"",'Input overrides'!H103,F_Inputs!H127)</f>
        <v>596.04100000000005</v>
      </c>
      <c r="I103" s="242">
        <f>IF('Input overrides'!I103&lt;&gt;"",'Input overrides'!I103,F_Inputs!I127)</f>
        <v>612.82799999999997</v>
      </c>
      <c r="J103" s="242">
        <f>IF('Input overrides'!J103&lt;&gt;"",'Input overrides'!J103,F_Inputs!J127)</f>
        <v>651.40800000000002</v>
      </c>
      <c r="K103" s="518">
        <f>IF('Input overrides'!K103&lt;&gt;"",'Input overrides'!K103,F_Inputs!K127)</f>
        <v>804.98900000000003</v>
      </c>
      <c r="L103" s="519">
        <f>IF('Input overrides'!L103&lt;&gt;"",'Input overrides'!L103,F_Inputs!L127)</f>
        <v>938.37400000000002</v>
      </c>
      <c r="M103" s="519">
        <f>IF('Input overrides'!M103&lt;&gt;"",'Input overrides'!M103,F_Inputs!M127)</f>
        <v>1074.615</v>
      </c>
      <c r="N103" s="519">
        <f>IF('Input overrides'!N103&lt;&gt;"",'Input overrides'!N103,F_Inputs!N127)</f>
        <v>1212.2</v>
      </c>
      <c r="O103" s="519">
        <f>IF('Input overrides'!O103&lt;&gt;"",'Input overrides'!O103,F_Inputs!O127)</f>
        <v>1342.6849999999999</v>
      </c>
    </row>
    <row r="104" spans="1:17">
      <c r="A104" t="s">
        <v>49</v>
      </c>
      <c r="B104" t="s">
        <v>85</v>
      </c>
      <c r="C104" t="s">
        <v>93</v>
      </c>
      <c r="D104" t="s">
        <v>183</v>
      </c>
      <c r="E104" t="s">
        <v>182</v>
      </c>
      <c r="F104" s="242">
        <f>IF('Input overrides'!F104&lt;&gt;"",'Input overrides'!F104,F_Inputs!F128)</f>
        <v>2333.0430000000001</v>
      </c>
      <c r="G104" s="242">
        <f>IF('Input overrides'!G104&lt;&gt;"",'Input overrides'!G104,F_Inputs!G128)</f>
        <v>2312.1709999999998</v>
      </c>
      <c r="H104" s="242">
        <f>IF('Input overrides'!H104&lt;&gt;"",'Input overrides'!H104,F_Inputs!H128)</f>
        <v>2274.4279999999999</v>
      </c>
      <c r="I104" s="242">
        <f>IF('Input overrides'!I104&lt;&gt;"",'Input overrides'!I104,F_Inputs!I128)</f>
        <v>2250.386</v>
      </c>
      <c r="J104" s="242">
        <f>IF('Input overrides'!J104&lt;&gt;"",'Input overrides'!J104,F_Inputs!J128)</f>
        <v>2224.2559999999999</v>
      </c>
      <c r="K104" s="518">
        <f>IF('Input overrides'!K104&lt;&gt;"",'Input overrides'!K104,F_Inputs!K128)</f>
        <v>2154.703</v>
      </c>
      <c r="L104" s="519">
        <f>IF('Input overrides'!L104&lt;&gt;"",'Input overrides'!L104,F_Inputs!L128)</f>
        <v>2070.2020000000002</v>
      </c>
      <c r="M104" s="519">
        <f>IF('Input overrides'!M104&lt;&gt;"",'Input overrides'!M104,F_Inputs!M128)</f>
        <v>1956.895</v>
      </c>
      <c r="N104" s="519">
        <f>IF('Input overrides'!N104&lt;&gt;"",'Input overrides'!N104,F_Inputs!N128)</f>
        <v>1826.8420000000001</v>
      </c>
      <c r="O104" s="519">
        <f>IF('Input overrides'!O104&lt;&gt;"",'Input overrides'!O104,F_Inputs!O128)</f>
        <v>1693.788</v>
      </c>
    </row>
    <row r="105" spans="1:17">
      <c r="A105" t="s">
        <v>49</v>
      </c>
      <c r="B105" t="s">
        <v>86</v>
      </c>
      <c r="C105" t="s">
        <v>94</v>
      </c>
      <c r="D105" t="s">
        <v>183</v>
      </c>
      <c r="E105" t="s">
        <v>182</v>
      </c>
      <c r="F105" s="242">
        <f>IF('Input overrides'!F105&lt;&gt;"",'Input overrides'!F105,F_Inputs!F129)</f>
        <v>976.31</v>
      </c>
      <c r="G105" s="242">
        <f>IF('Input overrides'!G105&lt;&gt;"",'Input overrides'!G105,F_Inputs!G129)</f>
        <v>1005.376</v>
      </c>
      <c r="H105" s="242">
        <f>IF('Input overrides'!H105&lt;&gt;"",'Input overrides'!H105,F_Inputs!H129)</f>
        <v>1059.8530000000001</v>
      </c>
      <c r="I105" s="242">
        <f>IF('Input overrides'!I105&lt;&gt;"",'Input overrides'!I105,F_Inputs!I129)</f>
        <v>1092.1600000000001</v>
      </c>
      <c r="J105" s="242">
        <f>IF('Input overrides'!J105&lt;&gt;"",'Input overrides'!J105,F_Inputs!J129)</f>
        <v>1132.3699999999999</v>
      </c>
      <c r="K105" s="518">
        <f>IF('Input overrides'!K105&lt;&gt;"",'Input overrides'!K105,F_Inputs!K129)</f>
        <v>1257.923</v>
      </c>
      <c r="L105" s="519">
        <f>IF('Input overrides'!L105&lt;&gt;"",'Input overrides'!L105,F_Inputs!L129)</f>
        <v>1377.124</v>
      </c>
      <c r="M105" s="519">
        <f>IF('Input overrides'!M105&lt;&gt;"",'Input overrides'!M105,F_Inputs!M129)</f>
        <v>1527.2170000000001</v>
      </c>
      <c r="N105" s="519">
        <f>IF('Input overrides'!N105&lt;&gt;"",'Input overrides'!N105,F_Inputs!N129)</f>
        <v>1694.2349999999999</v>
      </c>
      <c r="O105" s="519">
        <f>IF('Input overrides'!O105&lt;&gt;"",'Input overrides'!O105,F_Inputs!O129)</f>
        <v>1863.7349999999999</v>
      </c>
    </row>
    <row r="106" spans="1:17">
      <c r="A106" t="s">
        <v>49</v>
      </c>
      <c r="B106" t="s">
        <v>174</v>
      </c>
      <c r="C106" t="s">
        <v>184</v>
      </c>
      <c r="D106" t="s">
        <v>74</v>
      </c>
      <c r="E106" t="s">
        <v>182</v>
      </c>
      <c r="F106" s="242">
        <f>IF('Input overrides'!F106&lt;&gt;"",'Input overrides'!F106,F_Inputs!F130)*Rebasing</f>
        <v>0</v>
      </c>
      <c r="G106" s="242">
        <f>IF('Input overrides'!G106&lt;&gt;"",'Input overrides'!G106,F_Inputs!G130)*Rebasing</f>
        <v>0</v>
      </c>
      <c r="H106" s="242">
        <f>IF('Input overrides'!H106&lt;&gt;"",'Input overrides'!H106,F_Inputs!H130)*Rebasing</f>
        <v>0</v>
      </c>
      <c r="I106" s="242">
        <f>IF('Input overrides'!I106&lt;&gt;"",'Input overrides'!I106,F_Inputs!I130)*Rebasing</f>
        <v>0</v>
      </c>
      <c r="J106" s="242">
        <f>IF('Input overrides'!J106&lt;&gt;"",'Input overrides'!J106,F_Inputs!J130)*Rebasing</f>
        <v>-0.37244290044617007</v>
      </c>
      <c r="K106" s="242">
        <f>IF('Input overrides'!K106&lt;&gt;"",'Input overrides'!K106,F_Inputs!K130)*Rebasing</f>
        <v>-8.7071388576683351</v>
      </c>
      <c r="L106" s="242">
        <f>IF('Input overrides'!L106&lt;&gt;"",'Input overrides'!L106,F_Inputs!L130)*Rebasing</f>
        <v>2.3334267906406456</v>
      </c>
      <c r="M106" s="242">
        <f>IF('Input overrides'!M106&lt;&gt;"",'Input overrides'!M106,F_Inputs!M130)*Rebasing</f>
        <v>-1.1132133101733592</v>
      </c>
      <c r="N106" s="242">
        <f>IF('Input overrides'!N106&lt;&gt;"",'Input overrides'!N106,F_Inputs!N130)*Rebasing</f>
        <v>0.43623146350601139</v>
      </c>
      <c r="O106" s="242">
        <f>IF('Input overrides'!O106&lt;&gt;"",'Input overrides'!O106,F_Inputs!O130)*Rebasing</f>
        <v>-3.4631016654746092</v>
      </c>
    </row>
    <row r="107" spans="1:17">
      <c r="A107" t="s">
        <v>49</v>
      </c>
      <c r="B107" t="s">
        <v>156</v>
      </c>
      <c r="C107" t="s">
        <v>157</v>
      </c>
      <c r="D107" t="s">
        <v>74</v>
      </c>
      <c r="E107" t="s">
        <v>182</v>
      </c>
      <c r="F107" s="242">
        <f>IF('Input overrides'!F107&lt;&gt;"",'Input overrides'!F107,F_Inputs!F131)*Rebasing</f>
        <v>0</v>
      </c>
      <c r="G107" s="242">
        <f>IF('Input overrides'!G107&lt;&gt;"",'Input overrides'!G107,F_Inputs!G131)*Rebasing</f>
        <v>0</v>
      </c>
      <c r="H107" s="242">
        <f>IF('Input overrides'!H107&lt;&gt;"",'Input overrides'!H107,F_Inputs!H131)*Rebasing</f>
        <v>0</v>
      </c>
      <c r="I107" s="242">
        <f>IF('Input overrides'!I107&lt;&gt;"",'Input overrides'!I107,F_Inputs!I131)*Rebasing</f>
        <v>1.6461564660604204</v>
      </c>
      <c r="J107" s="242">
        <f>IF('Input overrides'!J107&lt;&gt;"",'Input overrides'!J107,F_Inputs!J131)*Rebasing</f>
        <v>22.752114249330734</v>
      </c>
      <c r="K107" s="242">
        <f>IF('Input overrides'!K107&lt;&gt;"",'Input overrides'!K107,F_Inputs!K131)*Rebasing</f>
        <v>1.6742845552360341</v>
      </c>
      <c r="L107" s="242">
        <f>IF('Input overrides'!L107&lt;&gt;"",'Input overrides'!L107,F_Inputs!L131)*Rebasing</f>
        <v>1.6742845552360341</v>
      </c>
      <c r="M107" s="242">
        <f>IF('Input overrides'!M107&lt;&gt;"",'Input overrides'!M107,F_Inputs!M131)*Rebasing</f>
        <v>1.6742845552360341</v>
      </c>
      <c r="N107" s="242">
        <f>IF('Input overrides'!N107&lt;&gt;"",'Input overrides'!N107,F_Inputs!N131)*Rebasing</f>
        <v>1.6742845552360341</v>
      </c>
      <c r="O107" s="242">
        <f>IF('Input overrides'!O107&lt;&gt;"",'Input overrides'!O107,F_Inputs!O131)*Rebasing</f>
        <v>1.6742845552360341</v>
      </c>
    </row>
    <row r="108" spans="1:17">
      <c r="A108" t="s">
        <v>49</v>
      </c>
      <c r="B108" t="s">
        <v>159</v>
      </c>
      <c r="C108" t="s">
        <v>158</v>
      </c>
      <c r="D108" t="s">
        <v>74</v>
      </c>
      <c r="E108" t="s">
        <v>182</v>
      </c>
      <c r="F108" s="242">
        <f>IF('Input overrides'!F108&lt;&gt;"",'Input overrides'!F108,F_Inputs!F132)*Rebasing</f>
        <v>0</v>
      </c>
      <c r="G108" s="242">
        <f>IF('Input overrides'!G108&lt;&gt;"",'Input overrides'!G108,F_Inputs!G132)*Rebasing</f>
        <v>0</v>
      </c>
      <c r="H108" s="242">
        <f>IF('Input overrides'!H108&lt;&gt;"",'Input overrides'!H108,F_Inputs!H132)*Rebasing</f>
        <v>0</v>
      </c>
      <c r="I108" s="242">
        <f>IF('Input overrides'!I108&lt;&gt;"",'Input overrides'!I108,F_Inputs!I132)*Rebasing</f>
        <v>0</v>
      </c>
      <c r="J108" s="242">
        <f>IF('Input overrides'!J108&lt;&gt;"",'Input overrides'!J108,F_Inputs!J132)*Rebasing</f>
        <v>0</v>
      </c>
      <c r="K108" s="242">
        <f>IF('Input overrides'!K108&lt;&gt;"",'Input overrides'!K108,F_Inputs!K132)*Rebasing</f>
        <v>0</v>
      </c>
      <c r="L108" s="242">
        <f>IF('Input overrides'!L108&lt;&gt;"",'Input overrides'!L108,F_Inputs!L132)*Rebasing</f>
        <v>0</v>
      </c>
      <c r="M108" s="242">
        <f>IF('Input overrides'!M108&lt;&gt;"",'Input overrides'!M108,F_Inputs!M132)*Rebasing</f>
        <v>0</v>
      </c>
      <c r="N108" s="242">
        <f>IF('Input overrides'!N108&lt;&gt;"",'Input overrides'!N108,F_Inputs!N132)*Rebasing</f>
        <v>0</v>
      </c>
      <c r="O108" s="242">
        <f>IF('Input overrides'!O108&lt;&gt;"",'Input overrides'!O108,F_Inputs!O132)*Rebasing</f>
        <v>0</v>
      </c>
    </row>
    <row r="109" spans="1:17">
      <c r="A109" t="s">
        <v>50</v>
      </c>
      <c r="B109" t="s">
        <v>78</v>
      </c>
      <c r="C109" t="s">
        <v>132</v>
      </c>
      <c r="D109" t="s">
        <v>74</v>
      </c>
      <c r="E109" t="s">
        <v>182</v>
      </c>
      <c r="F109" s="242">
        <f>IF('Input overrides'!F109&lt;&gt;"",'Input overrides'!F109,F_Inputs!F137)*Rebasing</f>
        <v>98.744294465408345</v>
      </c>
      <c r="G109" s="242">
        <f>IF('Input overrides'!G109&lt;&gt;"",'Input overrides'!G109,F_Inputs!G137)*Rebasing</f>
        <v>102.07291581840181</v>
      </c>
      <c r="H109" s="242">
        <f>IF('Input overrides'!H109&lt;&gt;"",'Input overrides'!H109,F_Inputs!H137)*Rebasing</f>
        <v>93.821345096434541</v>
      </c>
      <c r="I109" s="242">
        <f ca="1">IF('Input overrides'!I109&lt;&gt;"",'Input overrides'!I109,F_Inputs!I137)*Rebasing</f>
        <v>98.814844019894181</v>
      </c>
      <c r="J109" s="242">
        <f>IF('Input overrides'!J109&lt;&gt;"",'Input overrides'!J109,F_Inputs!J137)*Rebasing</f>
        <v>98.899036461398794</v>
      </c>
      <c r="K109" s="242">
        <f ca="1">IF('Input overrides'!K109&lt;&gt;"",'Input overrides'!K109,F_Inputs!K137)*Rebasing</f>
        <v>101.42004208699682</v>
      </c>
      <c r="L109" s="242">
        <f ca="1">IF('Input overrides'!L109&lt;&gt;"",'Input overrides'!L109,F_Inputs!L137)*Rebasing</f>
        <v>104.24687705707251</v>
      </c>
      <c r="M109" s="242">
        <f ca="1">IF('Input overrides'!M109&lt;&gt;"",'Input overrides'!M109,F_Inputs!M137)*Rebasing</f>
        <v>105.9019377297992</v>
      </c>
      <c r="N109" s="242">
        <f ca="1">IF('Input overrides'!N109&lt;&gt;"",'Input overrides'!N109,F_Inputs!N137)*Rebasing</f>
        <v>103.61351661468181</v>
      </c>
      <c r="O109" s="242">
        <f ca="1">IF('Input overrides'!O109&lt;&gt;"",'Input overrides'!O109,F_Inputs!O137)*Rebasing</f>
        <v>104.02979871323124</v>
      </c>
      <c r="Q109" s="242"/>
    </row>
    <row r="110" spans="1:17">
      <c r="A110" t="s">
        <v>50</v>
      </c>
      <c r="B110" t="s">
        <v>97</v>
      </c>
      <c r="C110" t="s">
        <v>99</v>
      </c>
      <c r="D110" t="s">
        <v>74</v>
      </c>
      <c r="E110" t="s">
        <v>182</v>
      </c>
      <c r="F110" s="242">
        <f>IF('Input overrides'!F110&lt;&gt;"",'Input overrides'!F110,F_Inputs!F138)*Rebasing</f>
        <v>18.406888827351906</v>
      </c>
      <c r="G110" s="242">
        <f>IF('Input overrides'!G110&lt;&gt;"",'Input overrides'!G110,F_Inputs!G138)*Rebasing</f>
        <v>18.50490241699805</v>
      </c>
      <c r="H110" s="242">
        <f>IF('Input overrides'!H110&lt;&gt;"",'Input overrides'!H110,F_Inputs!H138)*Rebasing</f>
        <v>9.9448394332834571</v>
      </c>
      <c r="I110" s="242">
        <f>IF('Input overrides'!I110&lt;&gt;"",'Input overrides'!I110,F_Inputs!I138)*Rebasing</f>
        <v>13.360840469196154</v>
      </c>
      <c r="J110" s="242">
        <f>IF('Input overrides'!J110&lt;&gt;"",'Input overrides'!J110,F_Inputs!J138)*Rebasing</f>
        <v>8.1798825337992618</v>
      </c>
      <c r="K110" s="242">
        <f>IF('Input overrides'!K110&lt;&gt;"",'Input overrides'!K110,F_Inputs!K138)*Rebasing</f>
        <v>10.760372712105257</v>
      </c>
      <c r="L110" s="242">
        <f>IF('Input overrides'!L110&lt;&gt;"",'Input overrides'!L110,F_Inputs!L138)*Rebasing</f>
        <v>9.4866334727751394</v>
      </c>
      <c r="M110" s="242">
        <f>IF('Input overrides'!M110&lt;&gt;"",'Input overrides'!M110,F_Inputs!M138)*Rebasing</f>
        <v>9.0504528287504638</v>
      </c>
      <c r="N110" s="242">
        <f>IF('Input overrides'!N110&lt;&gt;"",'Input overrides'!N110,F_Inputs!N138)*Rebasing</f>
        <v>7.2821996484723979</v>
      </c>
      <c r="O110" s="242">
        <f>IF('Input overrides'!O110&lt;&gt;"",'Input overrides'!O110,F_Inputs!O138)*Rebasing</f>
        <v>5.5004894474522876</v>
      </c>
    </row>
    <row r="111" spans="1:17">
      <c r="A111" t="s">
        <v>50</v>
      </c>
      <c r="B111" t="s">
        <v>98</v>
      </c>
      <c r="C111" t="s">
        <v>100</v>
      </c>
      <c r="D111" t="s">
        <v>74</v>
      </c>
      <c r="E111" t="s">
        <v>182</v>
      </c>
      <c r="F111" s="242">
        <f>IF('Input overrides'!F111&lt;&gt;"",'Input overrides'!F111,F_Inputs!F139)*Rebasing</f>
        <v>0</v>
      </c>
      <c r="G111" s="242">
        <f>IF('Input overrides'!G111&lt;&gt;"",'Input overrides'!G111,F_Inputs!G139)*Rebasing</f>
        <v>0</v>
      </c>
      <c r="H111" s="242">
        <f>IF('Input overrides'!H111&lt;&gt;"",'Input overrides'!H111,F_Inputs!H139)*Rebasing</f>
        <v>0</v>
      </c>
      <c r="I111" s="242">
        <f>IF('Input overrides'!I111&lt;&gt;"",'Input overrides'!I111,F_Inputs!I139)*Rebasing</f>
        <v>0</v>
      </c>
      <c r="J111" s="242">
        <f>IF('Input overrides'!J111&lt;&gt;"",'Input overrides'!J111,F_Inputs!J139)*Rebasing</f>
        <v>0</v>
      </c>
      <c r="K111" s="242">
        <f>IF('Input overrides'!K111&lt;&gt;"",'Input overrides'!K111,F_Inputs!K139)*Rebasing</f>
        <v>1.1082273636609039</v>
      </c>
      <c r="L111" s="242">
        <f>IF('Input overrides'!L111&lt;&gt;"",'Input overrides'!L111,F_Inputs!L139)*Rebasing</f>
        <v>2.5043956191171781</v>
      </c>
      <c r="M111" s="242">
        <f>IF('Input overrides'!M111&lt;&gt;"",'Input overrides'!M111,F_Inputs!M139)*Rebasing</f>
        <v>3.6458111284875323</v>
      </c>
      <c r="N111" s="242">
        <f>IF('Input overrides'!N111&lt;&gt;"",'Input overrides'!N111,F_Inputs!N139)*Rebasing</f>
        <v>7.3451524279317999</v>
      </c>
      <c r="O111" s="242">
        <f>IF('Input overrides'!O111&lt;&gt;"",'Input overrides'!O111,F_Inputs!O139)*Rebasing</f>
        <v>11.144408370562354</v>
      </c>
    </row>
    <row r="112" spans="1:17">
      <c r="A112" t="s">
        <v>50</v>
      </c>
      <c r="B112" t="s">
        <v>79</v>
      </c>
      <c r="C112" t="s">
        <v>135</v>
      </c>
      <c r="D112" t="s">
        <v>74</v>
      </c>
      <c r="E112" t="s">
        <v>182</v>
      </c>
      <c r="F112" s="242">
        <f>IF('Input overrides'!F112&lt;&gt;"",'Input overrides'!F112,F_Inputs!F140)*Rebasing</f>
        <v>0.10800014300866345</v>
      </c>
      <c r="G112" s="242">
        <f>IF('Input overrides'!G112&lt;&gt;"",'Input overrides'!G112,F_Inputs!G140)*Rebasing</f>
        <v>0.13200017478836726</v>
      </c>
      <c r="H112" s="242">
        <f>IF('Input overrides'!H112&lt;&gt;"",'Input overrides'!H112,F_Inputs!H140)*Rebasing</f>
        <v>0.13300017611252188</v>
      </c>
      <c r="I112" s="242">
        <f>IF('Input overrides'!I112&lt;&gt;"",'Input overrides'!I112,F_Inputs!I140)*Rebasing</f>
        <v>0.11400015095359019</v>
      </c>
      <c r="J112" s="242">
        <f>IF('Input overrides'!J112&lt;&gt;"",'Input overrides'!J112,F_Inputs!J140)*Rebasing</f>
        <v>0.12454500330764551</v>
      </c>
      <c r="K112" s="242">
        <f>IF('Input overrides'!K112&lt;&gt;"",'Input overrides'!K112,F_Inputs!K140)*Rebasing</f>
        <v>0.15822460115548234</v>
      </c>
      <c r="L112" s="242">
        <f>IF('Input overrides'!L112&lt;&gt;"",'Input overrides'!L112,F_Inputs!L140)*Rebasing</f>
        <v>0.14978962687195388</v>
      </c>
      <c r="M112" s="242">
        <f>IF('Input overrides'!M112&lt;&gt;"",'Input overrides'!M112,F_Inputs!M140)*Rebasing</f>
        <v>0.13643369000815453</v>
      </c>
      <c r="N112" s="242">
        <f>IF('Input overrides'!N112&lt;&gt;"",'Input overrides'!N112,F_Inputs!N140)*Rebasing</f>
        <v>0.12338090713489688</v>
      </c>
      <c r="O112" s="242">
        <f>IF('Input overrides'!O112&lt;&gt;"",'Input overrides'!O112,F_Inputs!O140)*Rebasing</f>
        <v>0.11526565359998346</v>
      </c>
    </row>
    <row r="113" spans="1:17">
      <c r="A113" t="s">
        <v>50</v>
      </c>
      <c r="B113" t="s">
        <v>80</v>
      </c>
      <c r="C113" t="s">
        <v>136</v>
      </c>
      <c r="D113" t="s">
        <v>74</v>
      </c>
      <c r="E113" t="s">
        <v>182</v>
      </c>
      <c r="F113" s="242">
        <f>IF('Input overrides'!F113&lt;&gt;"",'Input overrides'!F113,F_Inputs!F141)*Rebasing</f>
        <v>1.7586719925897859E-2</v>
      </c>
      <c r="G113" s="242">
        <f>IF('Input overrides'!G113&lt;&gt;"",'Input overrides'!G113,F_Inputs!G141)*Rebasing</f>
        <v>1.8430561511921677E-2</v>
      </c>
      <c r="H113" s="242">
        <f>IF('Input overrides'!H113&lt;&gt;"",'Input overrides'!H113,F_Inputs!H141)*Rebasing</f>
        <v>1.9000025158931594E-2</v>
      </c>
      <c r="I113" s="242">
        <f>IF('Input overrides'!I113&lt;&gt;"",'Input overrides'!I113,F_Inputs!I141)*Rebasing</f>
        <v>1.9548133919178701E-2</v>
      </c>
      <c r="J113" s="242">
        <f>IF('Input overrides'!J113&lt;&gt;"",'Input overrides'!J113,F_Inputs!J141)*Rebasing</f>
        <v>2.0053856464790385E-2</v>
      </c>
      <c r="K113" s="242">
        <f>IF('Input overrides'!K113&lt;&gt;"",'Input overrides'!K113,F_Inputs!K141)*Rebasing</f>
        <v>5.9676372811704202E-2</v>
      </c>
      <c r="L113" s="242">
        <f>IF('Input overrides'!L113&lt;&gt;"",'Input overrides'!L113,F_Inputs!L141)*Rebasing</f>
        <v>5.8891400722249097E-2</v>
      </c>
      <c r="M113" s="242">
        <f>IF('Input overrides'!M113&lt;&gt;"",'Input overrides'!M113,F_Inputs!M141)*Rebasing</f>
        <v>5.7518520766680868E-2</v>
      </c>
      <c r="N113" s="242">
        <f>IF('Input overrides'!N113&lt;&gt;"",'Input overrides'!N113,F_Inputs!N141)*Rebasing</f>
        <v>5.615124903273902E-2</v>
      </c>
      <c r="O113" s="242">
        <f>IF('Input overrides'!O113&lt;&gt;"",'Input overrides'!O113,F_Inputs!O141)*Rebasing</f>
        <v>5.7596295400506675E-2</v>
      </c>
    </row>
    <row r="114" spans="1:17">
      <c r="A114" t="s">
        <v>50</v>
      </c>
      <c r="B114" t="s">
        <v>81</v>
      </c>
      <c r="C114" t="s">
        <v>137</v>
      </c>
      <c r="D114" t="s">
        <v>74</v>
      </c>
      <c r="E114" t="s">
        <v>182</v>
      </c>
      <c r="F114" s="242">
        <f>IF('Input overrides'!F114&lt;&gt;"",'Input overrides'!F114,F_Inputs!F142)*Rebasing</f>
        <v>5.0010066220956304</v>
      </c>
      <c r="G114" s="242">
        <f>IF('Input overrides'!G114&lt;&gt;"",'Input overrides'!G114,F_Inputs!G142)*Rebasing</f>
        <v>5.8430077370335525</v>
      </c>
      <c r="H114" s="242">
        <f>IF('Input overrides'!H114&lt;&gt;"",'Input overrides'!H114,F_Inputs!H142)*Rebasing</f>
        <v>5.6610074960374668</v>
      </c>
      <c r="I114" s="242">
        <f>IF('Input overrides'!I114&lt;&gt;"",'Input overrides'!I114,F_Inputs!I142)*Rebasing</f>
        <v>5.342007073632252</v>
      </c>
      <c r="J114" s="242">
        <f>IF('Input overrides'!J114&lt;&gt;"",'Input overrides'!J114,F_Inputs!J142)*Rebasing</f>
        <v>5.8198402393081308</v>
      </c>
      <c r="K114" s="242">
        <f>IF('Input overrides'!K114&lt;&gt;"",'Input overrides'!K114,F_Inputs!K142)*Rebasing</f>
        <v>7.7964429161663391</v>
      </c>
      <c r="L114" s="242">
        <f>IF('Input overrides'!L114&lt;&gt;"",'Input overrides'!L114,F_Inputs!L142)*Rebasing</f>
        <v>7.7546409115616983</v>
      </c>
      <c r="M114" s="242">
        <f>IF('Input overrides'!M114&lt;&gt;"",'Input overrides'!M114,F_Inputs!M142)*Rebasing</f>
        <v>7.3759093594519971</v>
      </c>
      <c r="N114" s="242">
        <f>IF('Input overrides'!N114&lt;&gt;"",'Input overrides'!N114,F_Inputs!N142)*Rebasing</f>
        <v>6.9257296776287927</v>
      </c>
      <c r="O114" s="242">
        <f>IF('Input overrides'!O114&lt;&gt;"",'Input overrides'!O114,F_Inputs!O142)*Rebasing</f>
        <v>6.6665680713117901</v>
      </c>
    </row>
    <row r="115" spans="1:17">
      <c r="A115" t="s">
        <v>50</v>
      </c>
      <c r="B115" t="s">
        <v>82</v>
      </c>
      <c r="C115" t="s">
        <v>89</v>
      </c>
      <c r="D115" t="s">
        <v>183</v>
      </c>
      <c r="E115" t="s">
        <v>182</v>
      </c>
      <c r="F115" s="242">
        <f>IF('Input overrides'!F115&lt;&gt;"",'Input overrides'!F115,F_Inputs!F143)</f>
        <v>48.545000000000002</v>
      </c>
      <c r="G115" s="242">
        <f>IF('Input overrides'!G115&lt;&gt;"",'Input overrides'!G115,F_Inputs!G143)</f>
        <v>47.8</v>
      </c>
      <c r="H115" s="242">
        <f>IF('Input overrides'!H115&lt;&gt;"",'Input overrides'!H115,F_Inputs!H143)</f>
        <v>46.94</v>
      </c>
      <c r="I115" s="242">
        <f>IF('Input overrides'!I115&lt;&gt;"",'Input overrides'!I115,F_Inputs!I143)</f>
        <v>46.084000000000003</v>
      </c>
      <c r="J115" s="242">
        <f>IF('Input overrides'!J115&lt;&gt;"",'Input overrides'!J115,F_Inputs!J143)</f>
        <v>47.109000000000002</v>
      </c>
      <c r="K115" s="518">
        <f>IF('Input overrides'!K115&lt;&gt;"",'Input overrides'!K115,F_Inputs!K143)</f>
        <v>47.109000000000002</v>
      </c>
      <c r="L115" s="519">
        <f>IF('Input overrides'!L115&lt;&gt;"",'Input overrides'!L115,F_Inputs!L143)</f>
        <v>47.109000000000002</v>
      </c>
      <c r="M115" s="519">
        <f>IF('Input overrides'!M115&lt;&gt;"",'Input overrides'!M115,F_Inputs!M143)</f>
        <v>47.109000000000002</v>
      </c>
      <c r="N115" s="519">
        <f>IF('Input overrides'!N115&lt;&gt;"",'Input overrides'!N115,F_Inputs!N143)</f>
        <v>47.109000000000002</v>
      </c>
      <c r="O115" s="519">
        <f>IF('Input overrides'!O115&lt;&gt;"",'Input overrides'!O115,F_Inputs!O143)</f>
        <v>47.109000000000002</v>
      </c>
    </row>
    <row r="116" spans="1:17">
      <c r="A116" t="s">
        <v>50</v>
      </c>
      <c r="B116" t="s">
        <v>87</v>
      </c>
      <c r="C116" t="s">
        <v>90</v>
      </c>
      <c r="D116" t="s">
        <v>183</v>
      </c>
      <c r="E116" t="s">
        <v>182</v>
      </c>
      <c r="F116" s="242">
        <f>IF('Input overrides'!F116&lt;&gt;"",'Input overrides'!F116,F_Inputs!F144)</f>
        <v>18.14</v>
      </c>
      <c r="G116" s="242">
        <f>IF('Input overrides'!G116&lt;&gt;"",'Input overrides'!G116,F_Inputs!G144)</f>
        <v>20.219000000000001</v>
      </c>
      <c r="H116" s="242">
        <f>IF('Input overrides'!H116&lt;&gt;"",'Input overrides'!H116,F_Inputs!H144)</f>
        <v>22.327000000000002</v>
      </c>
      <c r="I116" s="242">
        <f>IF('Input overrides'!I116&lt;&gt;"",'Input overrides'!I116,F_Inputs!I144)</f>
        <v>23.175999999999998</v>
      </c>
      <c r="J116" s="242">
        <f>IF('Input overrides'!J116&lt;&gt;"",'Input overrides'!J116,F_Inputs!J144)</f>
        <v>22.893999999999998</v>
      </c>
      <c r="K116" s="518">
        <f>IF('Input overrides'!K116&lt;&gt;"",'Input overrides'!K116,F_Inputs!K144)</f>
        <v>23.187999999999999</v>
      </c>
      <c r="L116" s="519">
        <f>IF('Input overrides'!L116&lt;&gt;"",'Input overrides'!L116,F_Inputs!L144)</f>
        <v>23.503</v>
      </c>
      <c r="M116" s="519">
        <f>IF('Input overrides'!M116&lt;&gt;"",'Input overrides'!M116,F_Inputs!M144)</f>
        <v>23.838000000000001</v>
      </c>
      <c r="N116" s="519">
        <f>IF('Input overrides'!N116&lt;&gt;"",'Input overrides'!N116,F_Inputs!N144)</f>
        <v>24.195</v>
      </c>
      <c r="O116" s="519">
        <f>IF('Input overrides'!O116&lt;&gt;"",'Input overrides'!O116,F_Inputs!O144)</f>
        <v>24.574999999999999</v>
      </c>
    </row>
    <row r="117" spans="1:17">
      <c r="A117" t="s">
        <v>50</v>
      </c>
      <c r="B117" t="s">
        <v>83</v>
      </c>
      <c r="C117" t="s">
        <v>91</v>
      </c>
      <c r="D117" t="s">
        <v>183</v>
      </c>
      <c r="E117" t="s">
        <v>182</v>
      </c>
      <c r="F117" s="242">
        <f>IF('Input overrides'!F117&lt;&gt;"",'Input overrides'!F117,F_Inputs!F145)</f>
        <v>29.373999999999999</v>
      </c>
      <c r="G117" s="242">
        <f>IF('Input overrides'!G117&lt;&gt;"",'Input overrides'!G117,F_Inputs!G145)</f>
        <v>29.032</v>
      </c>
      <c r="H117" s="242">
        <f>IF('Input overrides'!H117&lt;&gt;"",'Input overrides'!H117,F_Inputs!H145)</f>
        <v>28.268999999999998</v>
      </c>
      <c r="I117" s="242">
        <f>IF('Input overrides'!I117&lt;&gt;"",'Input overrides'!I117,F_Inputs!I145)</f>
        <v>27.266999999999999</v>
      </c>
      <c r="J117" s="242">
        <f>IF('Input overrides'!J117&lt;&gt;"",'Input overrides'!J117,F_Inputs!J145)</f>
        <v>28.268999999999998</v>
      </c>
      <c r="K117" s="518">
        <f>IF('Input overrides'!K117&lt;&gt;"",'Input overrides'!K117,F_Inputs!K145)</f>
        <v>28.268999999999998</v>
      </c>
      <c r="L117" s="519">
        <f>IF('Input overrides'!L117&lt;&gt;"",'Input overrides'!L117,F_Inputs!L145)</f>
        <v>28.268999999999998</v>
      </c>
      <c r="M117" s="519">
        <f>IF('Input overrides'!M117&lt;&gt;"",'Input overrides'!M117,F_Inputs!M145)</f>
        <v>28.268999999999998</v>
      </c>
      <c r="N117" s="519">
        <f>IF('Input overrides'!N117&lt;&gt;"",'Input overrides'!N117,F_Inputs!N145)</f>
        <v>28.268999999999998</v>
      </c>
      <c r="O117" s="519">
        <f>IF('Input overrides'!O117&lt;&gt;"",'Input overrides'!O117,F_Inputs!O145)</f>
        <v>28.268999999999998</v>
      </c>
    </row>
    <row r="118" spans="1:17">
      <c r="A118" t="s">
        <v>50</v>
      </c>
      <c r="B118" t="s">
        <v>84</v>
      </c>
      <c r="C118" t="s">
        <v>92</v>
      </c>
      <c r="D118" t="s">
        <v>183</v>
      </c>
      <c r="E118" t="s">
        <v>182</v>
      </c>
      <c r="F118" s="242">
        <f>IF('Input overrides'!F118&lt;&gt;"",'Input overrides'!F118,F_Inputs!F146)</f>
        <v>11.779</v>
      </c>
      <c r="G118" s="242">
        <f>IF('Input overrides'!G118&lt;&gt;"",'Input overrides'!G118,F_Inputs!G146)</f>
        <v>13.238</v>
      </c>
      <c r="H118" s="242">
        <f>IF('Input overrides'!H118&lt;&gt;"",'Input overrides'!H118,F_Inputs!H146)</f>
        <v>14.968</v>
      </c>
      <c r="I118" s="242">
        <f>IF('Input overrides'!I118&lt;&gt;"",'Input overrides'!I118,F_Inputs!I146)</f>
        <v>15.521000000000001</v>
      </c>
      <c r="J118" s="242">
        <f>IF('Input overrides'!J118&lt;&gt;"",'Input overrides'!J118,F_Inputs!J146)</f>
        <v>14.968</v>
      </c>
      <c r="K118" s="518">
        <f>IF('Input overrides'!K118&lt;&gt;"",'Input overrides'!K118,F_Inputs!K146)</f>
        <v>14.968</v>
      </c>
      <c r="L118" s="519">
        <f>IF('Input overrides'!L118&lt;&gt;"",'Input overrides'!L118,F_Inputs!L146)</f>
        <v>14.968</v>
      </c>
      <c r="M118" s="519">
        <f>IF('Input overrides'!M118&lt;&gt;"",'Input overrides'!M118,F_Inputs!M146)</f>
        <v>14.968</v>
      </c>
      <c r="N118" s="519">
        <f>IF('Input overrides'!N118&lt;&gt;"",'Input overrides'!N118,F_Inputs!N146)</f>
        <v>14.968</v>
      </c>
      <c r="O118" s="519">
        <f>IF('Input overrides'!O118&lt;&gt;"",'Input overrides'!O118,F_Inputs!O146)</f>
        <v>14.968</v>
      </c>
    </row>
    <row r="119" spans="1:17">
      <c r="A119" t="s">
        <v>50</v>
      </c>
      <c r="B119" t="s">
        <v>85</v>
      </c>
      <c r="C119" t="s">
        <v>93</v>
      </c>
      <c r="D119" t="s">
        <v>183</v>
      </c>
      <c r="E119" t="s">
        <v>182</v>
      </c>
      <c r="F119" s="242">
        <f>IF('Input overrides'!F119&lt;&gt;"",'Input overrides'!F119,F_Inputs!F147)</f>
        <v>1933.723</v>
      </c>
      <c r="G119" s="242">
        <f>IF('Input overrides'!G119&lt;&gt;"",'Input overrides'!G119,F_Inputs!G147)</f>
        <v>1891.1880000000001</v>
      </c>
      <c r="H119" s="242">
        <f>IF('Input overrides'!H119&lt;&gt;"",'Input overrides'!H119,F_Inputs!H147)</f>
        <v>1843.48</v>
      </c>
      <c r="I119" s="242">
        <f>IF('Input overrides'!I119&lt;&gt;"",'Input overrides'!I119,F_Inputs!I147)</f>
        <v>1793.423</v>
      </c>
      <c r="J119" s="242">
        <f>IF('Input overrides'!J119&lt;&gt;"",'Input overrides'!J119,F_Inputs!J147)</f>
        <v>1736.88</v>
      </c>
      <c r="K119" s="518">
        <f>IF('Input overrides'!K119&lt;&gt;"",'Input overrides'!K119,F_Inputs!K147)</f>
        <v>1678.184</v>
      </c>
      <c r="L119" s="519">
        <f>IF('Input overrides'!L119&lt;&gt;"",'Input overrides'!L119,F_Inputs!L147)</f>
        <v>1616.836</v>
      </c>
      <c r="M119" s="519">
        <f>IF('Input overrides'!M119&lt;&gt;"",'Input overrides'!M119,F_Inputs!M147)</f>
        <v>1558.1020000000001</v>
      </c>
      <c r="N119" s="519">
        <f>IF('Input overrides'!N119&lt;&gt;"",'Input overrides'!N119,F_Inputs!N147)</f>
        <v>1505.809</v>
      </c>
      <c r="O119" s="519">
        <f>IF('Input overrides'!O119&lt;&gt;"",'Input overrides'!O119,F_Inputs!O147)</f>
        <v>1459.174</v>
      </c>
    </row>
    <row r="120" spans="1:17">
      <c r="A120" t="s">
        <v>50</v>
      </c>
      <c r="B120" t="s">
        <v>86</v>
      </c>
      <c r="C120" t="s">
        <v>94</v>
      </c>
      <c r="D120" t="s">
        <v>183</v>
      </c>
      <c r="E120" t="s">
        <v>182</v>
      </c>
      <c r="F120" s="242">
        <f>IF('Input overrides'!F120&lt;&gt;"",'Input overrides'!F120,F_Inputs!F148)</f>
        <v>843.80899999999997</v>
      </c>
      <c r="G120" s="242">
        <f>IF('Input overrides'!G120&lt;&gt;"",'Input overrides'!G120,F_Inputs!G148)</f>
        <v>895.49900000000002</v>
      </c>
      <c r="H120" s="242">
        <f>IF('Input overrides'!H120&lt;&gt;"",'Input overrides'!H120,F_Inputs!H148)</f>
        <v>950.42600000000004</v>
      </c>
      <c r="I120" s="242">
        <f>IF('Input overrides'!I120&lt;&gt;"",'Input overrides'!I120,F_Inputs!I148)</f>
        <v>1006.773</v>
      </c>
      <c r="J120" s="242">
        <f>IF('Input overrides'!J120&lt;&gt;"",'Input overrides'!J120,F_Inputs!J148)</f>
        <v>1072.3820000000001</v>
      </c>
      <c r="K120" s="518">
        <f>IF('Input overrides'!K120&lt;&gt;"",'Input overrides'!K120,F_Inputs!K148)</f>
        <v>1142.0429999999999</v>
      </c>
      <c r="L120" s="519">
        <f>IF('Input overrides'!L120&lt;&gt;"",'Input overrides'!L120,F_Inputs!L148)</f>
        <v>1215.5840000000001</v>
      </c>
      <c r="M120" s="519">
        <f>IF('Input overrides'!M120&lt;&gt;"",'Input overrides'!M120,F_Inputs!M148)</f>
        <v>1287.8969999999999</v>
      </c>
      <c r="N120" s="519">
        <f>IF('Input overrides'!N120&lt;&gt;"",'Input overrides'!N120,F_Inputs!N148)</f>
        <v>1355.3140000000001</v>
      </c>
      <c r="O120" s="519">
        <f>IF('Input overrides'!O120&lt;&gt;"",'Input overrides'!O120,F_Inputs!O148)</f>
        <v>1418.1780000000001</v>
      </c>
    </row>
    <row r="121" spans="1:17">
      <c r="A121" t="s">
        <v>50</v>
      </c>
      <c r="B121" t="s">
        <v>174</v>
      </c>
      <c r="C121" t="s">
        <v>184</v>
      </c>
      <c r="D121" t="s">
        <v>74</v>
      </c>
      <c r="E121" t="s">
        <v>182</v>
      </c>
      <c r="F121" s="242">
        <f>IF('Input overrides'!F121&lt;&gt;"",'Input overrides'!F121,F_Inputs!F149)*Rebasing</f>
        <v>0</v>
      </c>
      <c r="G121" s="242">
        <f>IF('Input overrides'!G121&lt;&gt;"",'Input overrides'!G121,F_Inputs!G149)*Rebasing</f>
        <v>0</v>
      </c>
      <c r="H121" s="242">
        <f>IF('Input overrides'!H121&lt;&gt;"",'Input overrides'!H121,F_Inputs!H149)*Rebasing</f>
        <v>0</v>
      </c>
      <c r="I121" s="242">
        <f>IF('Input overrides'!I121&lt;&gt;"",'Input overrides'!I121,F_Inputs!I149)*Rebasing</f>
        <v>0</v>
      </c>
      <c r="J121" s="242">
        <f>IF('Input overrides'!J121&lt;&gt;"",'Input overrides'!J121,F_Inputs!J149)*Rebasing</f>
        <v>0</v>
      </c>
      <c r="K121" s="242">
        <f>IF('Input overrides'!K121&lt;&gt;"",'Input overrides'!K121,F_Inputs!K149)*Rebasing</f>
        <v>0</v>
      </c>
      <c r="L121" s="242">
        <f>IF('Input overrides'!L121&lt;&gt;"",'Input overrides'!L121,F_Inputs!L149)*Rebasing</f>
        <v>0</v>
      </c>
      <c r="M121" s="242">
        <f>IF('Input overrides'!M121&lt;&gt;"",'Input overrides'!M121,F_Inputs!M149)*Rebasing</f>
        <v>0</v>
      </c>
      <c r="N121" s="242">
        <f>IF('Input overrides'!N121&lt;&gt;"",'Input overrides'!N121,F_Inputs!N149)*Rebasing</f>
        <v>0</v>
      </c>
      <c r="O121" s="242">
        <f>IF('Input overrides'!O121&lt;&gt;"",'Input overrides'!O121,F_Inputs!O149)*Rebasing</f>
        <v>0</v>
      </c>
    </row>
    <row r="122" spans="1:17">
      <c r="A122" t="s">
        <v>50</v>
      </c>
      <c r="B122" t="s">
        <v>156</v>
      </c>
      <c r="C122" t="s">
        <v>157</v>
      </c>
      <c r="D122" t="s">
        <v>74</v>
      </c>
      <c r="E122" t="s">
        <v>182</v>
      </c>
      <c r="F122" s="242">
        <f>IF('Input overrides'!F122&lt;&gt;"",'Input overrides'!F122,F_Inputs!F150)*Rebasing</f>
        <v>18.680175121240264</v>
      </c>
      <c r="G122" s="242">
        <f>IF('Input overrides'!G122&lt;&gt;"",'Input overrides'!G122,F_Inputs!G150)*Rebasing</f>
        <v>20.99438645416733</v>
      </c>
      <c r="H122" s="242">
        <f>IF('Input overrides'!H122&lt;&gt;"",'Input overrides'!H122,F_Inputs!H150)*Rebasing</f>
        <v>20.48038280134309</v>
      </c>
      <c r="I122" s="242">
        <f>IF('Input overrides'!I122&lt;&gt;"",'Input overrides'!I122,F_Inputs!I150)*Rebasing</f>
        <v>19.96047148942958</v>
      </c>
      <c r="J122" s="242">
        <f>IF('Input overrides'!J122&lt;&gt;"",'Input overrides'!J122,F_Inputs!J150)*Rebasing</f>
        <v>21.365775681752314</v>
      </c>
      <c r="K122" s="242">
        <f>IF('Input overrides'!K122&lt;&gt;"",'Input overrides'!K122,F_Inputs!K150)*Rebasing</f>
        <v>21.263261769110137</v>
      </c>
      <c r="L122" s="242">
        <f>IF('Input overrides'!L122&lt;&gt;"",'Input overrides'!L122,F_Inputs!L150)*Rebasing</f>
        <v>21.263261769110137</v>
      </c>
      <c r="M122" s="242">
        <f>IF('Input overrides'!M122&lt;&gt;"",'Input overrides'!M122,F_Inputs!M150)*Rebasing</f>
        <v>21.263261769110137</v>
      </c>
      <c r="N122" s="242">
        <f>IF('Input overrides'!N122&lt;&gt;"",'Input overrides'!N122,F_Inputs!N150)*Rebasing</f>
        <v>21.263261769110137</v>
      </c>
      <c r="O122" s="242">
        <f>IF('Input overrides'!O122&lt;&gt;"",'Input overrides'!O122,F_Inputs!O150)*Rebasing</f>
        <v>21.263261769110137</v>
      </c>
    </row>
    <row r="123" spans="1:17">
      <c r="A123" t="s">
        <v>50</v>
      </c>
      <c r="B123" t="s">
        <v>159</v>
      </c>
      <c r="C123" t="s">
        <v>158</v>
      </c>
      <c r="D123" t="s">
        <v>74</v>
      </c>
      <c r="E123" t="s">
        <v>182</v>
      </c>
      <c r="F123" s="242">
        <f>IF('Input overrides'!F123&lt;&gt;"",'Input overrides'!F123,F_Inputs!F151)*Rebasing</f>
        <v>0</v>
      </c>
      <c r="G123" s="242">
        <f>IF('Input overrides'!G123&lt;&gt;"",'Input overrides'!G123,F_Inputs!G151)*Rebasing</f>
        <v>0</v>
      </c>
      <c r="H123" s="242">
        <f>IF('Input overrides'!H123&lt;&gt;"",'Input overrides'!H123,F_Inputs!H151)*Rebasing</f>
        <v>0</v>
      </c>
      <c r="I123" s="242">
        <f>IF('Input overrides'!I123&lt;&gt;"",'Input overrides'!I123,F_Inputs!I151)*Rebasing</f>
        <v>0</v>
      </c>
      <c r="J123" s="242">
        <f>IF('Input overrides'!J123&lt;&gt;"",'Input overrides'!J123,F_Inputs!J151)*Rebasing</f>
        <v>0</v>
      </c>
      <c r="K123" s="242">
        <f>IF('Input overrides'!K123&lt;&gt;"",'Input overrides'!K123,F_Inputs!K151)*Rebasing</f>
        <v>0</v>
      </c>
      <c r="L123" s="242">
        <f>IF('Input overrides'!L123&lt;&gt;"",'Input overrides'!L123,F_Inputs!L151)*Rebasing</f>
        <v>0</v>
      </c>
      <c r="M123" s="242">
        <f>IF('Input overrides'!M123&lt;&gt;"",'Input overrides'!M123,F_Inputs!M151)*Rebasing</f>
        <v>0</v>
      </c>
      <c r="N123" s="242">
        <f>IF('Input overrides'!N123&lt;&gt;"",'Input overrides'!N123,F_Inputs!N151)*Rebasing</f>
        <v>0</v>
      </c>
      <c r="O123" s="242">
        <f>IF('Input overrides'!O123&lt;&gt;"",'Input overrides'!O123,F_Inputs!O151)*Rebasing</f>
        <v>0</v>
      </c>
    </row>
    <row r="124" spans="1:17">
      <c r="A124" t="s">
        <v>51</v>
      </c>
      <c r="B124" t="s">
        <v>78</v>
      </c>
      <c r="C124" t="s">
        <v>132</v>
      </c>
      <c r="D124" t="s">
        <v>74</v>
      </c>
      <c r="E124" t="s">
        <v>182</v>
      </c>
      <c r="F124" s="242">
        <f>IF('Input overrides'!F124&lt;&gt;"",'Input overrides'!F124,F_Inputs!F156)*Rebasing</f>
        <v>21.515028489179727</v>
      </c>
      <c r="G124" s="242">
        <f>IF('Input overrides'!G124&lt;&gt;"",'Input overrides'!G124,F_Inputs!G156)*Rebasing</f>
        <v>23.000030455548757</v>
      </c>
      <c r="H124" s="242">
        <f>IF('Input overrides'!H124&lt;&gt;"",'Input overrides'!H124,F_Inputs!H156)*Rebasing</f>
        <v>24.300032176949355</v>
      </c>
      <c r="I124" s="242">
        <f ca="1">IF('Input overrides'!I124&lt;&gt;"",'Input overrides'!I124,F_Inputs!I156)*Rebasing</f>
        <v>26.500035090088808</v>
      </c>
      <c r="J124" s="242">
        <f>IF('Input overrides'!J124&lt;&gt;"",'Input overrides'!J124,F_Inputs!J156)*Rebasing</f>
        <v>26.923035650206145</v>
      </c>
      <c r="K124" s="242">
        <f ca="1">IF('Input overrides'!K124&lt;&gt;"",'Input overrides'!K124,F_Inputs!K156)*Rebasing</f>
        <v>27.518036438077957</v>
      </c>
      <c r="L124" s="242">
        <f ca="1">IF('Input overrides'!L124&lt;&gt;"",'Input overrides'!L124,F_Inputs!L156)*Rebasing</f>
        <v>28.111037223301437</v>
      </c>
      <c r="M124" s="242">
        <f ca="1">IF('Input overrides'!M124&lt;&gt;"",'Input overrides'!M124,F_Inputs!M156)*Rebasing</f>
        <v>28.688037987338415</v>
      </c>
      <c r="N124" s="242">
        <f ca="1">IF('Input overrides'!N124&lt;&gt;"",'Input overrides'!N124,F_Inputs!N156)*Rebasing</f>
        <v>29.237038714299143</v>
      </c>
      <c r="O124" s="242">
        <f ca="1">IF('Input overrides'!O124&lt;&gt;"",'Input overrides'!O124,F_Inputs!O156)*Rebasing</f>
        <v>29.760039406831837</v>
      </c>
      <c r="Q124" s="242"/>
    </row>
    <row r="125" spans="1:17">
      <c r="A125" t="s">
        <v>51</v>
      </c>
      <c r="B125" t="s">
        <v>97</v>
      </c>
      <c r="C125" t="s">
        <v>99</v>
      </c>
      <c r="D125" t="s">
        <v>74</v>
      </c>
      <c r="E125" t="s">
        <v>182</v>
      </c>
      <c r="F125" s="242">
        <f>IF('Input overrides'!F125&lt;&gt;"",'Input overrides'!F125,F_Inputs!F157)*Rebasing</f>
        <v>1.4280018908923351</v>
      </c>
      <c r="G125" s="242">
        <f>IF('Input overrides'!G125&lt;&gt;"",'Input overrides'!G125,F_Inputs!G157)*Rebasing</f>
        <v>1.6640022033927522</v>
      </c>
      <c r="H125" s="242">
        <f>IF('Input overrides'!H125&lt;&gt;"",'Input overrides'!H125,F_Inputs!H157)*Rebasing</f>
        <v>1.6110021332125737</v>
      </c>
      <c r="I125" s="242">
        <f>IF('Input overrides'!I125&lt;&gt;"",'Input overrides'!I125,F_Inputs!I157)*Rebasing</f>
        <v>0.72500096001186498</v>
      </c>
      <c r="J125" s="242">
        <f>IF('Input overrides'!J125&lt;&gt;"",'Input overrides'!J125,F_Inputs!J157)*Rebasing</f>
        <v>0.72300095736355596</v>
      </c>
      <c r="K125" s="242">
        <f>IF('Input overrides'!K125&lt;&gt;"",'Input overrides'!K125,F_Inputs!K157)*Rebasing</f>
        <v>0.82500109242729425</v>
      </c>
      <c r="L125" s="242">
        <f>IF('Input overrides'!L125&lt;&gt;"",'Input overrides'!L125,F_Inputs!L157)*Rebasing</f>
        <v>0.82500109242729425</v>
      </c>
      <c r="M125" s="242">
        <f>IF('Input overrides'!M125&lt;&gt;"",'Input overrides'!M125,F_Inputs!M157)*Rebasing</f>
        <v>0.82500109242729425</v>
      </c>
      <c r="N125" s="242">
        <f>IF('Input overrides'!N125&lt;&gt;"",'Input overrides'!N125,F_Inputs!N157)*Rebasing</f>
        <v>0.82500109242729425</v>
      </c>
      <c r="O125" s="242">
        <f>IF('Input overrides'!O125&lt;&gt;"",'Input overrides'!O125,F_Inputs!O157)*Rebasing</f>
        <v>0.82500109242729425</v>
      </c>
    </row>
    <row r="126" spans="1:17">
      <c r="A126" t="s">
        <v>51</v>
      </c>
      <c r="B126" t="s">
        <v>98</v>
      </c>
      <c r="C126" t="s">
        <v>100</v>
      </c>
      <c r="D126" t="s">
        <v>74</v>
      </c>
      <c r="E126" t="s">
        <v>182</v>
      </c>
      <c r="F126" s="242">
        <f>IF('Input overrides'!F126&lt;&gt;"",'Input overrides'!F126,F_Inputs!F158)*Rebasing</f>
        <v>0</v>
      </c>
      <c r="G126" s="242">
        <f>IF('Input overrides'!G126&lt;&gt;"",'Input overrides'!G126,F_Inputs!G158)*Rebasing</f>
        <v>0</v>
      </c>
      <c r="H126" s="242">
        <f>IF('Input overrides'!H126&lt;&gt;"",'Input overrides'!H126,F_Inputs!H158)*Rebasing</f>
        <v>0</v>
      </c>
      <c r="I126" s="242">
        <f>IF('Input overrides'!I126&lt;&gt;"",'Input overrides'!I126,F_Inputs!I158)*Rebasing</f>
        <v>0</v>
      </c>
      <c r="J126" s="242">
        <f>IF('Input overrides'!J126&lt;&gt;"",'Input overrides'!J126,F_Inputs!J158)*Rebasing</f>
        <v>0</v>
      </c>
      <c r="K126" s="242">
        <f>IF('Input overrides'!K126&lt;&gt;"",'Input overrides'!K126,F_Inputs!K158)*Rebasing</f>
        <v>0.49869990167272826</v>
      </c>
      <c r="L126" s="242">
        <f>IF('Input overrides'!L126&lt;&gt;"",'Input overrides'!L126,F_Inputs!L158)*Rebasing</f>
        <v>0.47469915769843102</v>
      </c>
      <c r="M126" s="242">
        <f>IF('Input overrides'!M126&lt;&gt;"",'Input overrides'!M126,F_Inputs!M158)*Rebasing</f>
        <v>0.60252191965432034</v>
      </c>
      <c r="N126" s="242">
        <f>IF('Input overrides'!N126&lt;&gt;"",'Input overrides'!N126,F_Inputs!N158)*Rebasing</f>
        <v>0.58442521156837846</v>
      </c>
      <c r="O126" s="242">
        <f>IF('Input overrides'!O126&lt;&gt;"",'Input overrides'!O126,F_Inputs!O158)*Rebasing</f>
        <v>0.53883835627982435</v>
      </c>
    </row>
    <row r="127" spans="1:17">
      <c r="A127" t="s">
        <v>51</v>
      </c>
      <c r="B127" t="s">
        <v>79</v>
      </c>
      <c r="C127" t="s">
        <v>135</v>
      </c>
      <c r="D127" t="s">
        <v>74</v>
      </c>
      <c r="E127" t="s">
        <v>182</v>
      </c>
      <c r="F127" s="242">
        <f>IF('Input overrides'!F127&lt;&gt;"",'Input overrides'!F127,F_Inputs!F159)*Rebasing</f>
        <v>6.5000086070029203E-2</v>
      </c>
      <c r="G127" s="242">
        <f>IF('Input overrides'!G127&lt;&gt;"",'Input overrides'!G127,F_Inputs!G159)*Rebasing</f>
        <v>6.8000090042492162E-2</v>
      </c>
      <c r="H127" s="242">
        <f>IF('Input overrides'!H127&lt;&gt;"",'Input overrides'!H127,F_Inputs!H159)*Rebasing</f>
        <v>7.5000099311572171E-2</v>
      </c>
      <c r="I127" s="242">
        <f>IF('Input overrides'!I127&lt;&gt;"",'Input overrides'!I127,F_Inputs!I159)*Rebasing</f>
        <v>8.100010725649795E-2</v>
      </c>
      <c r="J127" s="242">
        <f>IF('Input overrides'!J127&lt;&gt;"",'Input overrides'!J127,F_Inputs!J159)*Rebasing</f>
        <v>8.100010725649795E-2</v>
      </c>
      <c r="K127" s="242">
        <f>IF('Input overrides'!K127&lt;&gt;"",'Input overrides'!K127,F_Inputs!K159)*Rebasing</f>
        <v>8.100010725649795E-2</v>
      </c>
      <c r="L127" s="242">
        <f>IF('Input overrides'!L127&lt;&gt;"",'Input overrides'!L127,F_Inputs!L159)*Rebasing</f>
        <v>8.100010725649795E-2</v>
      </c>
      <c r="M127" s="242">
        <f>IF('Input overrides'!M127&lt;&gt;"",'Input overrides'!M127,F_Inputs!M159)*Rebasing</f>
        <v>8.100010725649795E-2</v>
      </c>
      <c r="N127" s="242">
        <f>IF('Input overrides'!N127&lt;&gt;"",'Input overrides'!N127,F_Inputs!N159)*Rebasing</f>
        <v>8.100010725649795E-2</v>
      </c>
      <c r="O127" s="242">
        <f>IF('Input overrides'!O127&lt;&gt;"",'Input overrides'!O127,F_Inputs!O159)*Rebasing</f>
        <v>8.100010725649795E-2</v>
      </c>
    </row>
    <row r="128" spans="1:17">
      <c r="A128" t="s">
        <v>51</v>
      </c>
      <c r="B128" t="s">
        <v>80</v>
      </c>
      <c r="C128" t="s">
        <v>136</v>
      </c>
      <c r="D128" t="s">
        <v>74</v>
      </c>
      <c r="E128" t="s">
        <v>182</v>
      </c>
      <c r="F128" s="242">
        <f>IF('Input overrides'!F128&lt;&gt;"",'Input overrides'!F128,F_Inputs!F160)*Rebasing</f>
        <v>1.0550013969827794</v>
      </c>
      <c r="G128" s="242">
        <f>IF('Input overrides'!G128&lt;&gt;"",'Input overrides'!G128,F_Inputs!G160)*Rebasing</f>
        <v>1.118001480404504</v>
      </c>
      <c r="H128" s="242">
        <f>IF('Input overrides'!H128&lt;&gt;"",'Input overrides'!H128,F_Inputs!H160)*Rebasing</f>
        <v>1.2430016459237911</v>
      </c>
      <c r="I128" s="242">
        <f>IF('Input overrides'!I128&lt;&gt;"",'Input overrides'!I128,F_Inputs!I160)*Rebasing</f>
        <v>1.3520017902566062</v>
      </c>
      <c r="J128" s="242">
        <f>IF('Input overrides'!J128&lt;&gt;"",'Input overrides'!J128,F_Inputs!J160)*Rebasing</f>
        <v>1.444001912078807</v>
      </c>
      <c r="K128" s="242">
        <f>IF('Input overrides'!K128&lt;&gt;"",'Input overrides'!K128,F_Inputs!K160)*Rebasing</f>
        <v>1.5650020723014735</v>
      </c>
      <c r="L128" s="242">
        <f>IF('Input overrides'!L128&lt;&gt;"",'Input overrides'!L128,F_Inputs!L160)*Rebasing</f>
        <v>1.7110022656280053</v>
      </c>
      <c r="M128" s="242">
        <f>IF('Input overrides'!M128&lt;&gt;"",'Input overrides'!M128,F_Inputs!M160)*Rebasing</f>
        <v>1.8620024655753002</v>
      </c>
      <c r="N128" s="242">
        <f>IF('Input overrides'!N128&lt;&gt;"",'Input overrides'!N128,F_Inputs!N160)*Rebasing</f>
        <v>2.0070026575776692</v>
      </c>
      <c r="O128" s="242">
        <f>IF('Input overrides'!O128&lt;&gt;"",'Input overrides'!O128,F_Inputs!O160)*Rebasing</f>
        <v>2.1460028416351231</v>
      </c>
    </row>
    <row r="129" spans="1:17">
      <c r="A129" t="s">
        <v>51</v>
      </c>
      <c r="B129" t="s">
        <v>81</v>
      </c>
      <c r="C129" t="s">
        <v>137</v>
      </c>
      <c r="D129" t="s">
        <v>74</v>
      </c>
      <c r="E129" t="s">
        <v>182</v>
      </c>
      <c r="F129" s="242">
        <f>IF('Input overrides'!F129&lt;&gt;"",'Input overrides'!F129,F_Inputs!F161)*Rebasing</f>
        <v>1.6400021716130495</v>
      </c>
      <c r="G129" s="242">
        <f>IF('Input overrides'!G129&lt;&gt;"",'Input overrides'!G129,F_Inputs!G161)*Rebasing</f>
        <v>1.7220022801936936</v>
      </c>
      <c r="H129" s="242">
        <f>IF('Input overrides'!H129&lt;&gt;"",'Input overrides'!H129,F_Inputs!H161)*Rebasing</f>
        <v>1.8960025105965492</v>
      </c>
      <c r="I129" s="242">
        <f>IF('Input overrides'!I129&lt;&gt;"",'Input overrides'!I129,F_Inputs!I161)*Rebasing</f>
        <v>2.0360026959781452</v>
      </c>
      <c r="J129" s="242">
        <f>IF('Input overrides'!J129&lt;&gt;"",'Input overrides'!J129,F_Inputs!J161)*Rebasing</f>
        <v>2.1420028363385026</v>
      </c>
      <c r="K129" s="242">
        <f>IF('Input overrides'!K129&lt;&gt;"",'Input overrides'!K129,F_Inputs!K161)*Rebasing</f>
        <v>2.3820031541355302</v>
      </c>
      <c r="L129" s="242">
        <f>IF('Input overrides'!L129&lt;&gt;"",'Input overrides'!L129,F_Inputs!L161)*Rebasing</f>
        <v>2.5940034348562446</v>
      </c>
      <c r="M129" s="242">
        <f>IF('Input overrides'!M129&lt;&gt;"",'Input overrides'!M129,F_Inputs!M161)*Rebasing</f>
        <v>2.7810036824730937</v>
      </c>
      <c r="N129" s="242">
        <f>IF('Input overrides'!N129&lt;&gt;"",'Input overrides'!N129,F_Inputs!N161)*Rebasing</f>
        <v>2.9490039049310237</v>
      </c>
      <c r="O129" s="242">
        <f>IF('Input overrides'!O129&lt;&gt;"",'Input overrides'!O129,F_Inputs!O161)*Rebasing</f>
        <v>3.099004103554166</v>
      </c>
    </row>
    <row r="130" spans="1:17">
      <c r="A130" t="s">
        <v>51</v>
      </c>
      <c r="B130" t="s">
        <v>82</v>
      </c>
      <c r="C130" t="s">
        <v>89</v>
      </c>
      <c r="D130" t="s">
        <v>183</v>
      </c>
      <c r="E130" t="s">
        <v>182</v>
      </c>
      <c r="F130" s="242">
        <f>IF('Input overrides'!F130&lt;&gt;"",'Input overrides'!F130,F_Inputs!F162)</f>
        <v>23.718</v>
      </c>
      <c r="G130" s="242">
        <f>IF('Input overrides'!G130&lt;&gt;"",'Input overrides'!G130,F_Inputs!G162)</f>
        <v>23.327000000000002</v>
      </c>
      <c r="H130" s="242">
        <f>IF('Input overrides'!H130&lt;&gt;"",'Input overrides'!H130,F_Inputs!H162)</f>
        <v>22.681999999999999</v>
      </c>
      <c r="I130" s="242">
        <f>IF('Input overrides'!I130&lt;&gt;"",'Input overrides'!I130,F_Inputs!I162)</f>
        <v>22.218</v>
      </c>
      <c r="J130" s="242">
        <f>IF('Input overrides'!J130&lt;&gt;"",'Input overrides'!J130,F_Inputs!J162)</f>
        <v>22.218</v>
      </c>
      <c r="K130" s="518">
        <f>IF('Input overrides'!K130&lt;&gt;"",'Input overrides'!K130,F_Inputs!K162)</f>
        <v>22.218</v>
      </c>
      <c r="L130" s="519">
        <f>IF('Input overrides'!L130&lt;&gt;"",'Input overrides'!L130,F_Inputs!L162)</f>
        <v>22.218</v>
      </c>
      <c r="M130" s="519">
        <f>IF('Input overrides'!M130&lt;&gt;"",'Input overrides'!M130,F_Inputs!M162)</f>
        <v>22.218</v>
      </c>
      <c r="N130" s="519">
        <f>IF('Input overrides'!N130&lt;&gt;"",'Input overrides'!N130,F_Inputs!N162)</f>
        <v>22.218</v>
      </c>
      <c r="O130" s="519">
        <f>IF('Input overrides'!O130&lt;&gt;"",'Input overrides'!O130,F_Inputs!O162)</f>
        <v>22.218</v>
      </c>
    </row>
    <row r="131" spans="1:17">
      <c r="A131" t="s">
        <v>51</v>
      </c>
      <c r="B131" t="s">
        <v>87</v>
      </c>
      <c r="C131" t="s">
        <v>90</v>
      </c>
      <c r="D131" t="s">
        <v>183</v>
      </c>
      <c r="E131" t="s">
        <v>182</v>
      </c>
      <c r="F131" s="242">
        <f>IF('Input overrides'!F131&lt;&gt;"",'Input overrides'!F131,F_Inputs!F163)</f>
        <v>14.289</v>
      </c>
      <c r="G131" s="242">
        <f>IF('Input overrides'!G131&lt;&gt;"",'Input overrides'!G131,F_Inputs!G163)</f>
        <v>14.818</v>
      </c>
      <c r="H131" s="242">
        <f>IF('Input overrides'!H131&lt;&gt;"",'Input overrides'!H131,F_Inputs!H163)</f>
        <v>15.744999999999999</v>
      </c>
      <c r="I131" s="242">
        <f>IF('Input overrides'!I131&lt;&gt;"",'Input overrides'!I131,F_Inputs!I163)</f>
        <v>16.611999999999998</v>
      </c>
      <c r="J131" s="242">
        <f>IF('Input overrides'!J131&lt;&gt;"",'Input overrides'!J131,F_Inputs!J163)</f>
        <v>16.611999999999998</v>
      </c>
      <c r="K131" s="518">
        <f>IF('Input overrides'!K131&lt;&gt;"",'Input overrides'!K131,F_Inputs!K163)</f>
        <v>16.611999999999998</v>
      </c>
      <c r="L131" s="519">
        <f>IF('Input overrides'!L131&lt;&gt;"",'Input overrides'!L131,F_Inputs!L163)</f>
        <v>16.611999999999998</v>
      </c>
      <c r="M131" s="519">
        <f>IF('Input overrides'!M131&lt;&gt;"",'Input overrides'!M131,F_Inputs!M163)</f>
        <v>16.611999999999998</v>
      </c>
      <c r="N131" s="519">
        <f>IF('Input overrides'!N131&lt;&gt;"",'Input overrides'!N131,F_Inputs!N163)</f>
        <v>16.611999999999998</v>
      </c>
      <c r="O131" s="519">
        <f>IF('Input overrides'!O131&lt;&gt;"",'Input overrides'!O131,F_Inputs!O163)</f>
        <v>16.611999999999998</v>
      </c>
    </row>
    <row r="132" spans="1:17">
      <c r="A132" t="s">
        <v>51</v>
      </c>
      <c r="B132" t="s">
        <v>83</v>
      </c>
      <c r="C132" t="s">
        <v>91</v>
      </c>
      <c r="D132" t="s">
        <v>183</v>
      </c>
      <c r="E132" t="s">
        <v>182</v>
      </c>
      <c r="F132" s="242">
        <f>IF('Input overrides'!F132&lt;&gt;"",'Input overrides'!F132,F_Inputs!F164)</f>
        <v>357.60700000000003</v>
      </c>
      <c r="G132" s="242">
        <f>IF('Input overrides'!G132&lt;&gt;"",'Input overrides'!G132,F_Inputs!G164)</f>
        <v>348.09300000000002</v>
      </c>
      <c r="H132" s="242">
        <f>IF('Input overrides'!H132&lt;&gt;"",'Input overrides'!H132,F_Inputs!H164)</f>
        <v>335.447</v>
      </c>
      <c r="I132" s="242">
        <f>IF('Input overrides'!I132&lt;&gt;"",'Input overrides'!I132,F_Inputs!I164)</f>
        <v>324.24599999999998</v>
      </c>
      <c r="J132" s="242">
        <f>IF('Input overrides'!J132&lt;&gt;"",'Input overrides'!J132,F_Inputs!J164)</f>
        <v>311.38657144214602</v>
      </c>
      <c r="K132" s="518">
        <f>IF('Input overrides'!K132&lt;&gt;"",'Input overrides'!K132,F_Inputs!K164)</f>
        <v>292.10199999999998</v>
      </c>
      <c r="L132" s="519">
        <f>IF('Input overrides'!L132&lt;&gt;"",'Input overrides'!L132,F_Inputs!L164)</f>
        <v>268.60199999999998</v>
      </c>
      <c r="M132" s="519">
        <f>IF('Input overrides'!M132&lt;&gt;"",'Input overrides'!M132,F_Inputs!M164)</f>
        <v>244.124</v>
      </c>
      <c r="N132" s="519">
        <f>IF('Input overrides'!N132&lt;&gt;"",'Input overrides'!N132,F_Inputs!N164)</f>
        <v>220.78700000000001</v>
      </c>
      <c r="O132" s="519">
        <f>IF('Input overrides'!O132&lt;&gt;"",'Input overrides'!O132,F_Inputs!O164)</f>
        <v>198.536</v>
      </c>
    </row>
    <row r="133" spans="1:17">
      <c r="A133" t="s">
        <v>51</v>
      </c>
      <c r="B133" t="s">
        <v>84</v>
      </c>
      <c r="C133" t="s">
        <v>92</v>
      </c>
      <c r="D133" t="s">
        <v>183</v>
      </c>
      <c r="E133" t="s">
        <v>182</v>
      </c>
      <c r="F133" s="242">
        <f>IF('Input overrides'!F133&lt;&gt;"",'Input overrides'!F133,F_Inputs!F165)</f>
        <v>230.554</v>
      </c>
      <c r="G133" s="242">
        <f>IF('Input overrides'!G133&lt;&gt;"",'Input overrides'!G133,F_Inputs!G165)</f>
        <v>244.40199999999999</v>
      </c>
      <c r="H133" s="242">
        <f>IF('Input overrides'!H133&lt;&gt;"",'Input overrides'!H133,F_Inputs!H165)</f>
        <v>261.40699999999998</v>
      </c>
      <c r="I133" s="242">
        <f>IF('Input overrides'!I133&lt;&gt;"",'Input overrides'!I133,F_Inputs!I165)</f>
        <v>277.37299999999999</v>
      </c>
      <c r="J133" s="242">
        <f>IF('Input overrides'!J133&lt;&gt;"",'Input overrides'!J133,F_Inputs!J165)</f>
        <v>296.268678557854</v>
      </c>
      <c r="K133" s="518">
        <f>IF('Input overrides'!K133&lt;&gt;"",'Input overrides'!K133,F_Inputs!K165)</f>
        <v>321.17500000000001</v>
      </c>
      <c r="L133" s="519">
        <f>IF('Input overrides'!L133&lt;&gt;"",'Input overrides'!L133,F_Inputs!L165)</f>
        <v>351.07</v>
      </c>
      <c r="M133" s="519">
        <f>IF('Input overrides'!M133&lt;&gt;"",'Input overrides'!M133,F_Inputs!M165)</f>
        <v>382.05599999999998</v>
      </c>
      <c r="N133" s="519">
        <f>IF('Input overrides'!N133&lt;&gt;"",'Input overrides'!N133,F_Inputs!N165)</f>
        <v>411.82600000000002</v>
      </c>
      <c r="O133" s="519">
        <f>IF('Input overrides'!O133&lt;&gt;"",'Input overrides'!O133,F_Inputs!O165)</f>
        <v>440.37099999999998</v>
      </c>
    </row>
    <row r="134" spans="1:17">
      <c r="A134" t="s">
        <v>51</v>
      </c>
      <c r="B134" t="s">
        <v>85</v>
      </c>
      <c r="C134" t="s">
        <v>93</v>
      </c>
      <c r="D134" t="s">
        <v>183</v>
      </c>
      <c r="E134" t="s">
        <v>182</v>
      </c>
      <c r="F134" s="242">
        <f>IF('Input overrides'!F134&lt;&gt;"",'Input overrides'!F134,F_Inputs!F166)</f>
        <v>236.58799999999999</v>
      </c>
      <c r="G134" s="242">
        <f>IF('Input overrides'!G134&lt;&gt;"",'Input overrides'!G134,F_Inputs!G166)</f>
        <v>229.06700000000001</v>
      </c>
      <c r="H134" s="242">
        <f>IF('Input overrides'!H134&lt;&gt;"",'Input overrides'!H134,F_Inputs!H166)</f>
        <v>219.28899999999999</v>
      </c>
      <c r="I134" s="242">
        <f>IF('Input overrides'!I134&lt;&gt;"",'Input overrides'!I134,F_Inputs!I166)</f>
        <v>210.52699999999999</v>
      </c>
      <c r="J134" s="242">
        <f>IF('Input overrides'!J134&lt;&gt;"",'Input overrides'!J134,F_Inputs!J166)</f>
        <v>200.63875553147199</v>
      </c>
      <c r="K134" s="518">
        <f>IF('Input overrides'!K134&lt;&gt;"",'Input overrides'!K134,F_Inputs!K166)</f>
        <v>172.98699999999999</v>
      </c>
      <c r="L134" s="519">
        <f>IF('Input overrides'!L134&lt;&gt;"",'Input overrides'!L134,F_Inputs!L166)</f>
        <v>148.68700000000001</v>
      </c>
      <c r="M134" s="519">
        <f>IF('Input overrides'!M134&lt;&gt;"",'Input overrides'!M134,F_Inputs!M166)</f>
        <v>127.64700000000001</v>
      </c>
      <c r="N134" s="519">
        <f>IF('Input overrides'!N134&lt;&gt;"",'Input overrides'!N134,F_Inputs!N166)</f>
        <v>109.414</v>
      </c>
      <c r="O134" s="519">
        <f>IF('Input overrides'!O134&lt;&gt;"",'Input overrides'!O134,F_Inputs!O166)</f>
        <v>93.599000000000004</v>
      </c>
    </row>
    <row r="135" spans="1:17">
      <c r="A135" t="s">
        <v>51</v>
      </c>
      <c r="B135" t="s">
        <v>86</v>
      </c>
      <c r="C135" t="s">
        <v>94</v>
      </c>
      <c r="D135" t="s">
        <v>183</v>
      </c>
      <c r="E135" t="s">
        <v>182</v>
      </c>
      <c r="F135" s="242">
        <f>IF('Input overrides'!F135&lt;&gt;"",'Input overrides'!F135,F_Inputs!F167)</f>
        <v>240.524</v>
      </c>
      <c r="G135" s="242">
        <f>IF('Input overrides'!G135&lt;&gt;"",'Input overrides'!G135,F_Inputs!G167)</f>
        <v>252.46100000000001</v>
      </c>
      <c r="H135" s="242">
        <f>IF('Input overrides'!H135&lt;&gt;"",'Input overrides'!H135,F_Inputs!H167)</f>
        <v>267.31200000000001</v>
      </c>
      <c r="I135" s="242">
        <f>IF('Input overrides'!I135&lt;&gt;"",'Input overrides'!I135,F_Inputs!I167)</f>
        <v>280.26400000000001</v>
      </c>
      <c r="J135" s="242">
        <f>IF('Input overrides'!J135&lt;&gt;"",'Input overrides'!J135,F_Inputs!J167)</f>
        <v>294.80224446852799</v>
      </c>
      <c r="K135" s="518">
        <f>IF('Input overrides'!K135&lt;&gt;"",'Input overrides'!K135,F_Inputs!K167)</f>
        <v>327.89</v>
      </c>
      <c r="L135" s="519">
        <f>IF('Input overrides'!L135&lt;&gt;"",'Input overrides'!L135,F_Inputs!L167)</f>
        <v>356.99</v>
      </c>
      <c r="M135" s="519">
        <f>IF('Input overrides'!M135&lt;&gt;"",'Input overrides'!M135,F_Inputs!M167)</f>
        <v>382.83</v>
      </c>
      <c r="N135" s="519">
        <f>IF('Input overrides'!N135&lt;&gt;"",'Input overrides'!N135,F_Inputs!N167)</f>
        <v>405.863</v>
      </c>
      <c r="O135" s="519">
        <f>IF('Input overrides'!O135&lt;&gt;"",'Input overrides'!O135,F_Inputs!O167)</f>
        <v>426.47800000000001</v>
      </c>
    </row>
    <row r="136" spans="1:17">
      <c r="A136" t="s">
        <v>51</v>
      </c>
      <c r="B136" t="s">
        <v>174</v>
      </c>
      <c r="C136" t="s">
        <v>184</v>
      </c>
      <c r="D136" t="s">
        <v>74</v>
      </c>
      <c r="E136" t="s">
        <v>182</v>
      </c>
      <c r="F136" s="242">
        <f>IF('Input overrides'!F136&lt;&gt;"",'Input overrides'!F136,F_Inputs!F168)*Rebasing</f>
        <v>0</v>
      </c>
      <c r="G136" s="242">
        <f>IF('Input overrides'!G136&lt;&gt;"",'Input overrides'!G136,F_Inputs!G168)*Rebasing</f>
        <v>0</v>
      </c>
      <c r="H136" s="242">
        <f>IF('Input overrides'!H136&lt;&gt;"",'Input overrides'!H136,F_Inputs!H168)*Rebasing</f>
        <v>0</v>
      </c>
      <c r="I136" s="242">
        <f>IF('Input overrides'!I136&lt;&gt;"",'Input overrides'!I136,F_Inputs!I168)*Rebasing</f>
        <v>0</v>
      </c>
      <c r="J136" s="242">
        <f>IF('Input overrides'!J136&lt;&gt;"",'Input overrides'!J136,F_Inputs!J168)*Rebasing</f>
        <v>0</v>
      </c>
      <c r="K136" s="242">
        <f>IF('Input overrides'!K136&lt;&gt;"",'Input overrides'!K136,F_Inputs!K168)*Rebasing</f>
        <v>0</v>
      </c>
      <c r="L136" s="242">
        <f>IF('Input overrides'!L136&lt;&gt;"",'Input overrides'!L136,F_Inputs!L168)*Rebasing</f>
        <v>0</v>
      </c>
      <c r="M136" s="242">
        <f>IF('Input overrides'!M136&lt;&gt;"",'Input overrides'!M136,F_Inputs!M168)*Rebasing</f>
        <v>0</v>
      </c>
      <c r="N136" s="242">
        <f>IF('Input overrides'!N136&lt;&gt;"",'Input overrides'!N136,F_Inputs!N168)*Rebasing</f>
        <v>0</v>
      </c>
      <c r="O136" s="242">
        <f>IF('Input overrides'!O136&lt;&gt;"",'Input overrides'!O136,F_Inputs!O168)*Rebasing</f>
        <v>0</v>
      </c>
    </row>
    <row r="137" spans="1:17">
      <c r="A137" t="s">
        <v>51</v>
      </c>
      <c r="B137" t="s">
        <v>156</v>
      </c>
      <c r="C137" t="s">
        <v>157</v>
      </c>
      <c r="D137" t="s">
        <v>74</v>
      </c>
      <c r="E137" t="s">
        <v>182</v>
      </c>
      <c r="F137" s="242">
        <f>IF('Input overrides'!F137&lt;&gt;"",'Input overrides'!F137,F_Inputs!F169)*Rebasing</f>
        <v>0</v>
      </c>
      <c r="G137" s="242">
        <f>IF('Input overrides'!G137&lt;&gt;"",'Input overrides'!G137,F_Inputs!G169)*Rebasing</f>
        <v>0</v>
      </c>
      <c r="H137" s="242">
        <f>IF('Input overrides'!H137&lt;&gt;"",'Input overrides'!H137,F_Inputs!H169)*Rebasing</f>
        <v>0</v>
      </c>
      <c r="I137" s="242">
        <f>IF('Input overrides'!I137&lt;&gt;"",'Input overrides'!I137,F_Inputs!I169)*Rebasing</f>
        <v>0.45115259675464298</v>
      </c>
      <c r="J137" s="242">
        <f>IF('Input overrides'!J137&lt;&gt;"",'Input overrides'!J137,F_Inputs!J169)*Rebasing</f>
        <v>0.5390007137191658</v>
      </c>
      <c r="K137" s="242">
        <f>IF('Input overrides'!K137&lt;&gt;"",'Input overrides'!K137,F_Inputs!K169)*Rebasing</f>
        <v>1.5238729350550329</v>
      </c>
      <c r="L137" s="242">
        <f>IF('Input overrides'!L137&lt;&gt;"",'Input overrides'!L137,F_Inputs!L169)*Rebasing</f>
        <v>2.1448729350550333</v>
      </c>
      <c r="M137" s="242">
        <f>IF('Input overrides'!M137&lt;&gt;"",'Input overrides'!M137,F_Inputs!M169)*Rebasing</f>
        <v>2.8088729350550325</v>
      </c>
      <c r="N137" s="242">
        <f>IF('Input overrides'!N137&lt;&gt;"",'Input overrides'!N137,F_Inputs!N169)*Rebasing</f>
        <v>3.514872935055033</v>
      </c>
      <c r="O137" s="242">
        <f>IF('Input overrides'!O137&lt;&gt;"",'Input overrides'!O137,F_Inputs!O169)*Rebasing</f>
        <v>4.2618729350550328</v>
      </c>
    </row>
    <row r="138" spans="1:17">
      <c r="A138" t="s">
        <v>51</v>
      </c>
      <c r="B138" t="s">
        <v>159</v>
      </c>
      <c r="C138" t="s">
        <v>158</v>
      </c>
      <c r="D138" t="s">
        <v>74</v>
      </c>
      <c r="E138" t="s">
        <v>182</v>
      </c>
      <c r="F138" s="242">
        <f>IF('Input overrides'!F138&lt;&gt;"",'Input overrides'!F138,F_Inputs!F170)*Rebasing</f>
        <v>0</v>
      </c>
      <c r="G138" s="242">
        <f>IF('Input overrides'!G138&lt;&gt;"",'Input overrides'!G138,F_Inputs!G170)*Rebasing</f>
        <v>0</v>
      </c>
      <c r="H138" s="242">
        <f>IF('Input overrides'!H138&lt;&gt;"",'Input overrides'!H138,F_Inputs!H170)*Rebasing</f>
        <v>0</v>
      </c>
      <c r="I138" s="242">
        <f>IF('Input overrides'!I138&lt;&gt;"",'Input overrides'!I138,F_Inputs!I170)*Rebasing</f>
        <v>0</v>
      </c>
      <c r="J138" s="242">
        <f>IF('Input overrides'!J138&lt;&gt;"",'Input overrides'!J138,F_Inputs!J170)*Rebasing</f>
        <v>0</v>
      </c>
      <c r="K138" s="242">
        <f>IF('Input overrides'!K138&lt;&gt;"",'Input overrides'!K138,F_Inputs!K170)*Rebasing</f>
        <v>0</v>
      </c>
      <c r="L138" s="242">
        <f>IF('Input overrides'!L138&lt;&gt;"",'Input overrides'!L138,F_Inputs!L170)*Rebasing</f>
        <v>0</v>
      </c>
      <c r="M138" s="242">
        <f>IF('Input overrides'!M138&lt;&gt;"",'Input overrides'!M138,F_Inputs!M170)*Rebasing</f>
        <v>0</v>
      </c>
      <c r="N138" s="242">
        <f>IF('Input overrides'!N138&lt;&gt;"",'Input overrides'!N138,F_Inputs!N170)*Rebasing</f>
        <v>0</v>
      </c>
      <c r="O138" s="242">
        <f>IF('Input overrides'!O138&lt;&gt;"",'Input overrides'!O138,F_Inputs!O170)*Rebasing</f>
        <v>0</v>
      </c>
    </row>
    <row r="139" spans="1:17">
      <c r="A139" t="s">
        <v>52</v>
      </c>
      <c r="B139" t="s">
        <v>78</v>
      </c>
      <c r="C139" t="s">
        <v>132</v>
      </c>
      <c r="D139" t="s">
        <v>74</v>
      </c>
      <c r="E139" t="s">
        <v>182</v>
      </c>
      <c r="F139" s="242">
        <f>IF('Input overrides'!F139&lt;&gt;"",'Input overrides'!F139,F_Inputs!F175)*Rebasing</f>
        <v>50.454335513960444</v>
      </c>
      <c r="G139" s="242">
        <f>IF('Input overrides'!G139&lt;&gt;"",'Input overrides'!G139,F_Inputs!G175)*Rebasing</f>
        <v>50.173154523766947</v>
      </c>
      <c r="H139" s="242">
        <f>IF('Input overrides'!H139&lt;&gt;"",'Input overrides'!H139,F_Inputs!H175)*Rebasing</f>
        <v>47.03502182251458</v>
      </c>
      <c r="I139" s="242">
        <f ca="1">IF('Input overrides'!I139&lt;&gt;"",'Input overrides'!I139,F_Inputs!I175)*Rebasing</f>
        <v>48.732924056400336</v>
      </c>
      <c r="J139" s="242">
        <f>IF('Input overrides'!J139&lt;&gt;"",'Input overrides'!J139,F_Inputs!J175)*Rebasing</f>
        <v>48.93993649587442</v>
      </c>
      <c r="K139" s="242">
        <f ca="1">IF('Input overrides'!K139&lt;&gt;"",'Input overrides'!K139,F_Inputs!K175)*Rebasing</f>
        <v>48.913922244020377</v>
      </c>
      <c r="L139" s="242">
        <f ca="1">IF('Input overrides'!L139&lt;&gt;"",'Input overrides'!L139,F_Inputs!L175)*Rebasing</f>
        <v>49.311734956059055</v>
      </c>
      <c r="M139" s="242">
        <f ca="1">IF('Input overrides'!M139&lt;&gt;"",'Input overrides'!M139,F_Inputs!M175)*Rebasing</f>
        <v>49.868753011469551</v>
      </c>
      <c r="N139" s="242">
        <f ca="1">IF('Input overrides'!N139&lt;&gt;"",'Input overrides'!N139,F_Inputs!N175)*Rebasing</f>
        <v>50.509161053252413</v>
      </c>
      <c r="O139" s="242">
        <f ca="1">IF('Input overrides'!O139&lt;&gt;"",'Input overrides'!O139,F_Inputs!O175)*Rebasing</f>
        <v>51.167467402717818</v>
      </c>
      <c r="Q139" s="242"/>
    </row>
    <row r="140" spans="1:17">
      <c r="A140" t="s">
        <v>52</v>
      </c>
      <c r="B140" t="s">
        <v>97</v>
      </c>
      <c r="C140" t="s">
        <v>99</v>
      </c>
      <c r="D140" t="s">
        <v>74</v>
      </c>
      <c r="E140" t="s">
        <v>182</v>
      </c>
      <c r="F140" s="242">
        <f>IF('Input overrides'!F140&lt;&gt;"",'Input overrides'!F140,F_Inputs!F176)*Rebasing</f>
        <v>6.2794292046824323</v>
      </c>
      <c r="G140" s="242">
        <f>IF('Input overrides'!G140&lt;&gt;"",'Input overrides'!G140,F_Inputs!G176)*Rebasing</f>
        <v>6.1631009724878867</v>
      </c>
      <c r="H140" s="242">
        <f>IF('Input overrides'!H140&lt;&gt;"",'Input overrides'!H140,F_Inputs!H176)*Rebasing</f>
        <v>6.0887524867531324</v>
      </c>
      <c r="I140" s="242">
        <f>IF('Input overrides'!I140&lt;&gt;"",'Input overrides'!I140,F_Inputs!I176)*Rebasing</f>
        <v>5.7983564866914534</v>
      </c>
      <c r="J140" s="242">
        <f>IF('Input overrides'!J140&lt;&gt;"",'Input overrides'!J140,F_Inputs!J176)*Rebasing</f>
        <v>4.8002925281771978</v>
      </c>
      <c r="K140" s="242">
        <f>IF('Input overrides'!K140&lt;&gt;"",'Input overrides'!K140,F_Inputs!K176)*Rebasing</f>
        <v>4.8152419667897925</v>
      </c>
      <c r="L140" s="242">
        <f>IF('Input overrides'!L140&lt;&gt;"",'Input overrides'!L140,F_Inputs!L176)*Rebasing</f>
        <v>4.3774943017108736</v>
      </c>
      <c r="M140" s="242">
        <f>IF('Input overrides'!M140&lt;&gt;"",'Input overrides'!M140,F_Inputs!M176)*Rebasing</f>
        <v>3.6867361110605343</v>
      </c>
      <c r="N140" s="242">
        <f>IF('Input overrides'!N140&lt;&gt;"",'Input overrides'!N140,F_Inputs!N176)*Rebasing</f>
        <v>1.8199818031914756</v>
      </c>
      <c r="O140" s="242">
        <f>IF('Input overrides'!O140&lt;&gt;"",'Input overrides'!O140,F_Inputs!O176)*Rebasing</f>
        <v>1.7739936211477054</v>
      </c>
    </row>
    <row r="141" spans="1:17">
      <c r="A141" t="s">
        <v>52</v>
      </c>
      <c r="B141" t="s">
        <v>98</v>
      </c>
      <c r="C141" t="s">
        <v>100</v>
      </c>
      <c r="D141" t="s">
        <v>74</v>
      </c>
      <c r="E141" t="s">
        <v>182</v>
      </c>
      <c r="F141" s="242">
        <f>IF('Input overrides'!F141&lt;&gt;"",'Input overrides'!F141,F_Inputs!F177)*Rebasing</f>
        <v>0</v>
      </c>
      <c r="G141" s="242">
        <f>IF('Input overrides'!G141&lt;&gt;"",'Input overrides'!G141,F_Inputs!G177)*Rebasing</f>
        <v>0</v>
      </c>
      <c r="H141" s="242">
        <f>IF('Input overrides'!H141&lt;&gt;"",'Input overrides'!H141,F_Inputs!H177)*Rebasing</f>
        <v>0</v>
      </c>
      <c r="I141" s="242">
        <f>IF('Input overrides'!I141&lt;&gt;"",'Input overrides'!I141,F_Inputs!I177)*Rebasing</f>
        <v>0</v>
      </c>
      <c r="J141" s="242">
        <f>IF('Input overrides'!J141&lt;&gt;"",'Input overrides'!J141,F_Inputs!J177)*Rebasing</f>
        <v>0</v>
      </c>
      <c r="K141" s="242">
        <f>IF('Input overrides'!K141&lt;&gt;"",'Input overrides'!K141,F_Inputs!K177)*Rebasing</f>
        <v>7.0584323309140176E-2</v>
      </c>
      <c r="L141" s="242">
        <f>IF('Input overrides'!L141&lt;&gt;"",'Input overrides'!L141,F_Inputs!L177)*Rebasing</f>
        <v>0.21975227262300545</v>
      </c>
      <c r="M141" s="242">
        <f>IF('Input overrides'!M141&lt;&gt;"",'Input overrides'!M141,F_Inputs!M177)*Rebasing</f>
        <v>0.3825952203545625</v>
      </c>
      <c r="N141" s="242">
        <f>IF('Input overrides'!N141&lt;&gt;"",'Input overrides'!N141,F_Inputs!N177)*Rebasing</f>
        <v>0.54684756903724552</v>
      </c>
      <c r="O141" s="242">
        <f>IF('Input overrides'!O141&lt;&gt;"",'Input overrides'!O141,F_Inputs!O177)*Rebasing</f>
        <v>0.7051575785746369</v>
      </c>
    </row>
    <row r="142" spans="1:17">
      <c r="A142" t="s">
        <v>52</v>
      </c>
      <c r="B142" t="s">
        <v>79</v>
      </c>
      <c r="C142" t="s">
        <v>135</v>
      </c>
      <c r="D142" t="s">
        <v>74</v>
      </c>
      <c r="E142" t="s">
        <v>182</v>
      </c>
      <c r="F142" s="242">
        <f>IF('Input overrides'!F142&lt;&gt;"",'Input overrides'!F142,F_Inputs!F178)*Rebasing</f>
        <v>0.27161581689996939</v>
      </c>
      <c r="G142" s="242">
        <f>IF('Input overrides'!G142&lt;&gt;"",'Input overrides'!G142,F_Inputs!G178)*Rebasing</f>
        <v>0.1985676237185382</v>
      </c>
      <c r="H142" s="242">
        <f>IF('Input overrides'!H142&lt;&gt;"",'Input overrides'!H142,F_Inputs!H178)*Rebasing</f>
        <v>0.14918292973672559</v>
      </c>
      <c r="I142" s="242">
        <f>IF('Input overrides'!I142&lt;&gt;"",'Input overrides'!I142,F_Inputs!I178)*Rebasing</f>
        <v>0.22484722781553879</v>
      </c>
      <c r="J142" s="242">
        <f>IF('Input overrides'!J142&lt;&gt;"",'Input overrides'!J142,F_Inputs!J178)*Rebasing</f>
        <v>0.2302652971231739</v>
      </c>
      <c r="K142" s="242">
        <f>IF('Input overrides'!K142&lt;&gt;"",'Input overrides'!K142,F_Inputs!K178)*Rebasing</f>
        <v>0.23005396321599703</v>
      </c>
      <c r="L142" s="242">
        <f>IF('Input overrides'!L142&lt;&gt;"",'Input overrides'!L142,F_Inputs!L178)*Rebasing</f>
        <v>0.24205677868813646</v>
      </c>
      <c r="M142" s="242">
        <f>IF('Input overrides'!M142&lt;&gt;"",'Input overrides'!M142,F_Inputs!M178)*Rebasing</f>
        <v>0.25706029802831071</v>
      </c>
      <c r="N142" s="242">
        <f>IF('Input overrides'!N142&lt;&gt;"",'Input overrides'!N142,F_Inputs!N178)*Rebasing</f>
        <v>0.27306405199116257</v>
      </c>
      <c r="O142" s="242">
        <f>IF('Input overrides'!O142&lt;&gt;"",'Input overrides'!O142,F_Inputs!O178)*Rebasing</f>
        <v>0.29106827519937067</v>
      </c>
    </row>
    <row r="143" spans="1:17">
      <c r="A143" t="s">
        <v>52</v>
      </c>
      <c r="B143" t="s">
        <v>80</v>
      </c>
      <c r="C143" t="s">
        <v>136</v>
      </c>
      <c r="D143" t="s">
        <v>74</v>
      </c>
      <c r="E143" t="s">
        <v>182</v>
      </c>
      <c r="F143" s="242">
        <f>IF('Input overrides'!F143&lt;&gt;"",'Input overrides'!F143,F_Inputs!F179)*Rebasing</f>
        <v>0.31071203296890432</v>
      </c>
      <c r="G143" s="242">
        <f>IF('Input overrides'!G143&lt;&gt;"",'Input overrides'!G143,F_Inputs!G179)*Rebasing</f>
        <v>0.22428881850073226</v>
      </c>
      <c r="H143" s="242">
        <f>IF('Input overrides'!H143&lt;&gt;"",'Input overrides'!H143,F_Inputs!H179)*Rebasing</f>
        <v>0.16461564660604203</v>
      </c>
      <c r="I143" s="242">
        <f>IF('Input overrides'!I143&lt;&gt;"",'Input overrides'!I143,F_Inputs!I179)*Rebasing</f>
        <v>0.24568383749068126</v>
      </c>
      <c r="J143" s="242">
        <f>IF('Input overrides'!J143&lt;&gt;"",'Input overrides'!J143,F_Inputs!J179)*Rebasing</f>
        <v>0.25533519858592751</v>
      </c>
      <c r="K143" s="242">
        <f>IF('Input overrides'!K143&lt;&gt;"",'Input overrides'!K143,F_Inputs!K179)*Rebasing</f>
        <v>0.25505982878295347</v>
      </c>
      <c r="L143" s="242">
        <f>IF('Input overrides'!L143&lt;&gt;"",'Input overrides'!L143,F_Inputs!L179)*Rebasing</f>
        <v>0.26806287887777153</v>
      </c>
      <c r="M143" s="242">
        <f>IF('Input overrides'!M143&lt;&gt;"",'Input overrides'!M143,F_Inputs!M179)*Rebasing</f>
        <v>0.28406663284062345</v>
      </c>
      <c r="N143" s="242">
        <f>IF('Input overrides'!N143&lt;&gt;"",'Input overrides'!N143,F_Inputs!N179)*Rebasing</f>
        <v>0.30107062142615287</v>
      </c>
      <c r="O143" s="242">
        <f>IF('Input overrides'!O143&lt;&gt;"",'Input overrides'!O143,F_Inputs!O179)*Rebasing</f>
        <v>0.31907484463436198</v>
      </c>
    </row>
    <row r="144" spans="1:17">
      <c r="A144" t="s">
        <v>52</v>
      </c>
      <c r="B144" t="s">
        <v>81</v>
      </c>
      <c r="C144" t="s">
        <v>137</v>
      </c>
      <c r="D144" t="s">
        <v>74</v>
      </c>
      <c r="E144" t="s">
        <v>182</v>
      </c>
      <c r="F144" s="242">
        <f>IF('Input overrides'!F144&lt;&gt;"",'Input overrides'!F144,F_Inputs!F180)*Rebasing</f>
        <v>6.4436737168352574</v>
      </c>
      <c r="G144" s="242">
        <f>IF('Input overrides'!G144&lt;&gt;"",'Input overrides'!G144,F_Inputs!G180)*Rebasing</f>
        <v>4.7285844487585571</v>
      </c>
      <c r="H144" s="242">
        <f>IF('Input overrides'!H144&lt;&gt;"",'Input overrides'!H144,F_Inputs!H180)*Rebasing</f>
        <v>3.5484960321514936</v>
      </c>
      <c r="I144" s="242">
        <f>IF('Input overrides'!I144&lt;&gt;"",'Input overrides'!I144,F_Inputs!I180)*Rebasing</f>
        <v>5.3549832069616663</v>
      </c>
      <c r="J144" s="242">
        <f>IF('Input overrides'!J144&lt;&gt;"",'Input overrides'!J144,F_Inputs!J180)*Rebasing</f>
        <v>5.5410803486889684</v>
      </c>
      <c r="K144" s="242">
        <f>IF('Input overrides'!K144&lt;&gt;"",'Input overrides'!K144,F_Inputs!K180)*Rebasing</f>
        <v>5.5412998096375006</v>
      </c>
      <c r="L144" s="242">
        <f>IF('Input overrides'!L144&lt;&gt;"",'Input overrides'!L144,F_Inputs!L180)*Rebasing</f>
        <v>5.8643755927625802</v>
      </c>
      <c r="M144" s="242">
        <f>IF('Input overrides'!M144&lt;&gt;"",'Input overrides'!M144,F_Inputs!M180)*Rebasing</f>
        <v>6.2494659224937017</v>
      </c>
      <c r="N144" s="242">
        <f>IF('Input overrides'!N144&lt;&gt;"",'Input overrides'!N144,F_Inputs!N180)*Rebasing</f>
        <v>6.6825675141133889</v>
      </c>
      <c r="O144" s="242">
        <f>IF('Input overrides'!O144&lt;&gt;"",'Input overrides'!O144,F_Inputs!O180)*Rebasing</f>
        <v>7.1326730943186067</v>
      </c>
    </row>
    <row r="145" spans="1:17">
      <c r="A145" t="s">
        <v>52</v>
      </c>
      <c r="B145" t="s">
        <v>82</v>
      </c>
      <c r="C145" t="s">
        <v>89</v>
      </c>
      <c r="D145" t="s">
        <v>183</v>
      </c>
      <c r="E145" t="s">
        <v>182</v>
      </c>
      <c r="F145" s="242">
        <f>IF('Input overrides'!F145&lt;&gt;"",'Input overrides'!F145,F_Inputs!F181)</f>
        <v>65.295000000000002</v>
      </c>
      <c r="G145" s="242">
        <f>IF('Input overrides'!G145&lt;&gt;"",'Input overrides'!G145,F_Inputs!G181)</f>
        <v>64.087999999999994</v>
      </c>
      <c r="H145" s="242">
        <f>IF('Input overrides'!H145&lt;&gt;"",'Input overrides'!H145,F_Inputs!H181)</f>
        <v>62.8</v>
      </c>
      <c r="I145" s="242">
        <f>IF('Input overrides'!I145&lt;&gt;"",'Input overrides'!I145,F_Inputs!I181)</f>
        <v>61.487000000000002</v>
      </c>
      <c r="J145" s="242">
        <f>IF('Input overrides'!J145&lt;&gt;"",'Input overrides'!J145,F_Inputs!J181)</f>
        <v>59.6</v>
      </c>
      <c r="K145" s="518">
        <f>IF('Input overrides'!K145&lt;&gt;"",'Input overrides'!K145,F_Inputs!K181)</f>
        <v>55.256999999999998</v>
      </c>
      <c r="L145" s="519">
        <f>IF('Input overrides'!L145&lt;&gt;"",'Input overrides'!L145,F_Inputs!L181)</f>
        <v>53.05</v>
      </c>
      <c r="M145" s="519">
        <f>IF('Input overrides'!M145&lt;&gt;"",'Input overrides'!M145,F_Inputs!M181)</f>
        <v>50.622</v>
      </c>
      <c r="N145" s="519">
        <f>IF('Input overrides'!N145&lt;&gt;"",'Input overrides'!N145,F_Inputs!N181)</f>
        <v>48.304000000000002</v>
      </c>
      <c r="O145" s="519">
        <f>IF('Input overrides'!O145&lt;&gt;"",'Input overrides'!O145,F_Inputs!O181)</f>
        <v>46.207000000000001</v>
      </c>
    </row>
    <row r="146" spans="1:17">
      <c r="A146" t="s">
        <v>52</v>
      </c>
      <c r="B146" t="s">
        <v>87</v>
      </c>
      <c r="C146" t="s">
        <v>90</v>
      </c>
      <c r="D146" t="s">
        <v>183</v>
      </c>
      <c r="E146" t="s">
        <v>182</v>
      </c>
      <c r="F146" s="242">
        <f>IF('Input overrides'!F146&lt;&gt;"",'Input overrides'!F146,F_Inputs!F182)</f>
        <v>36.668999999999997</v>
      </c>
      <c r="G146" s="242">
        <f>IF('Input overrides'!G146&lt;&gt;"",'Input overrides'!G146,F_Inputs!G182)</f>
        <v>38.03</v>
      </c>
      <c r="H146" s="242">
        <f>IF('Input overrides'!H146&lt;&gt;"",'Input overrides'!H146,F_Inputs!H182)</f>
        <v>39.847999999999999</v>
      </c>
      <c r="I146" s="242">
        <f>IF('Input overrides'!I146&lt;&gt;"",'Input overrides'!I146,F_Inputs!I182)</f>
        <v>41.761000000000003</v>
      </c>
      <c r="J146" s="242">
        <f>IF('Input overrides'!J146&lt;&gt;"",'Input overrides'!J146,F_Inputs!J182)</f>
        <v>43.161000000000001</v>
      </c>
      <c r="K146" s="518">
        <f>IF('Input overrides'!K146&lt;&gt;"",'Input overrides'!K146,F_Inputs!K182)</f>
        <v>47.725000000000001</v>
      </c>
      <c r="L146" s="519">
        <f>IF('Input overrides'!L146&lt;&gt;"",'Input overrides'!L146,F_Inputs!L182)</f>
        <v>50.343000000000004</v>
      </c>
      <c r="M146" s="519">
        <f>IF('Input overrides'!M146&lt;&gt;"",'Input overrides'!M146,F_Inputs!M182)</f>
        <v>53.36</v>
      </c>
      <c r="N146" s="519">
        <f>IF('Input overrides'!N146&lt;&gt;"",'Input overrides'!N146,F_Inputs!N182)</f>
        <v>56.402000000000001</v>
      </c>
      <c r="O146" s="519">
        <f>IF('Input overrides'!O146&lt;&gt;"",'Input overrides'!O146,F_Inputs!O182)</f>
        <v>59.347000000000001</v>
      </c>
    </row>
    <row r="147" spans="1:17">
      <c r="A147" t="s">
        <v>52</v>
      </c>
      <c r="B147" t="s">
        <v>83</v>
      </c>
      <c r="C147" t="s">
        <v>91</v>
      </c>
      <c r="D147" t="s">
        <v>183</v>
      </c>
      <c r="E147" t="s">
        <v>182</v>
      </c>
      <c r="F147" s="242">
        <f>IF('Input overrides'!F147&lt;&gt;"",'Input overrides'!F147,F_Inputs!F183)</f>
        <v>78.194999999999993</v>
      </c>
      <c r="G147" s="242">
        <f>IF('Input overrides'!G147&lt;&gt;"",'Input overrides'!G147,F_Inputs!G183)</f>
        <v>76.388000000000005</v>
      </c>
      <c r="H147" s="242">
        <f>IF('Input overrides'!H147&lt;&gt;"",'Input overrides'!H147,F_Inputs!H183)</f>
        <v>73.430000000000007</v>
      </c>
      <c r="I147" s="242">
        <f>IF('Input overrides'!I147&lt;&gt;"",'Input overrides'!I147,F_Inputs!I183)</f>
        <v>70.823999999999998</v>
      </c>
      <c r="J147" s="242">
        <f>IF('Input overrides'!J147&lt;&gt;"",'Input overrides'!J147,F_Inputs!J183)</f>
        <v>70.884</v>
      </c>
      <c r="K147" s="518">
        <f>IF('Input overrides'!K147&lt;&gt;"",'Input overrides'!K147,F_Inputs!K183)</f>
        <v>65.846000000000004</v>
      </c>
      <c r="L147" s="519">
        <f>IF('Input overrides'!L147&lt;&gt;"",'Input overrides'!L147,F_Inputs!L183)</f>
        <v>63.216000000000001</v>
      </c>
      <c r="M147" s="519">
        <f>IF('Input overrides'!M147&lt;&gt;"",'Input overrides'!M147,F_Inputs!M183)</f>
        <v>60.322000000000003</v>
      </c>
      <c r="N147" s="519">
        <f>IF('Input overrides'!N147&lt;&gt;"",'Input overrides'!N147,F_Inputs!N183)</f>
        <v>57.561</v>
      </c>
      <c r="O147" s="519">
        <f>IF('Input overrides'!O147&lt;&gt;"",'Input overrides'!O147,F_Inputs!O183)</f>
        <v>55.061999999999998</v>
      </c>
    </row>
    <row r="148" spans="1:17">
      <c r="A148" t="s">
        <v>52</v>
      </c>
      <c r="B148" t="s">
        <v>84</v>
      </c>
      <c r="C148" t="s">
        <v>92</v>
      </c>
      <c r="D148" t="s">
        <v>183</v>
      </c>
      <c r="E148" t="s">
        <v>182</v>
      </c>
      <c r="F148" s="242">
        <f>IF('Input overrides'!F148&lt;&gt;"",'Input overrides'!F148,F_Inputs!F184)</f>
        <v>38.319000000000003</v>
      </c>
      <c r="G148" s="242">
        <f>IF('Input overrides'!G148&lt;&gt;"",'Input overrides'!G148,F_Inputs!G184)</f>
        <v>38.734999999999999</v>
      </c>
      <c r="H148" s="242">
        <f>IF('Input overrides'!H148&lt;&gt;"",'Input overrides'!H148,F_Inputs!H184)</f>
        <v>39.799999999999997</v>
      </c>
      <c r="I148" s="242">
        <f>IF('Input overrides'!I148&lt;&gt;"",'Input overrides'!I148,F_Inputs!I184)</f>
        <v>41.991999999999997</v>
      </c>
      <c r="J148" s="242">
        <f>IF('Input overrides'!J148&lt;&gt;"",'Input overrides'!J148,F_Inputs!J184)</f>
        <v>43.064999999999998</v>
      </c>
      <c r="K148" s="518">
        <f>IF('Input overrides'!K148&lt;&gt;"",'Input overrides'!K148,F_Inputs!K184)</f>
        <v>48.798999999999999</v>
      </c>
      <c r="L148" s="519">
        <f>IF('Input overrides'!L148&lt;&gt;"",'Input overrides'!L148,F_Inputs!L184)</f>
        <v>51.475999999999999</v>
      </c>
      <c r="M148" s="519">
        <f>IF('Input overrides'!M148&lt;&gt;"",'Input overrides'!M148,F_Inputs!M184)</f>
        <v>54.564</v>
      </c>
      <c r="N148" s="519">
        <f>IF('Input overrides'!N148&lt;&gt;"",'Input overrides'!N148,F_Inputs!N184)</f>
        <v>57.670999999999999</v>
      </c>
      <c r="O148" s="519">
        <f>IF('Input overrides'!O148&lt;&gt;"",'Input overrides'!O148,F_Inputs!O184)</f>
        <v>60.682000000000002</v>
      </c>
    </row>
    <row r="149" spans="1:17">
      <c r="A149" t="s">
        <v>52</v>
      </c>
      <c r="B149" t="s">
        <v>85</v>
      </c>
      <c r="C149" t="s">
        <v>93</v>
      </c>
      <c r="D149" t="s">
        <v>183</v>
      </c>
      <c r="E149" t="s">
        <v>182</v>
      </c>
      <c r="F149" s="242">
        <f>IF('Input overrides'!F149&lt;&gt;"",'Input overrides'!F149,F_Inputs!F185)</f>
        <v>1124.394</v>
      </c>
      <c r="G149" s="242">
        <f>IF('Input overrides'!G149&lt;&gt;"",'Input overrides'!G149,F_Inputs!G185)</f>
        <v>1093.5419999999999</v>
      </c>
      <c r="H149" s="242">
        <f>IF('Input overrides'!H149&lt;&gt;"",'Input overrides'!H149,F_Inputs!H185)</f>
        <v>1058.6479999999999</v>
      </c>
      <c r="I149" s="242">
        <f>IF('Input overrides'!I149&lt;&gt;"",'Input overrides'!I149,F_Inputs!I185)</f>
        <v>1021.321</v>
      </c>
      <c r="J149" s="242">
        <f>IF('Input overrides'!J149&lt;&gt;"",'Input overrides'!J149,F_Inputs!J185)</f>
        <v>987.03099999999995</v>
      </c>
      <c r="K149" s="518">
        <f>IF('Input overrides'!K149&lt;&gt;"",'Input overrides'!K149,F_Inputs!K185)</f>
        <v>946.12099999999998</v>
      </c>
      <c r="L149" s="519">
        <f>IF('Input overrides'!L149&lt;&gt;"",'Input overrides'!L149,F_Inputs!L185)</f>
        <v>908.32799999999997</v>
      </c>
      <c r="M149" s="519">
        <f>IF('Input overrides'!M149&lt;&gt;"",'Input overrides'!M149,F_Inputs!M185)</f>
        <v>866.75599999999997</v>
      </c>
      <c r="N149" s="519">
        <f>IF('Input overrides'!N149&lt;&gt;"",'Input overrides'!N149,F_Inputs!N185)</f>
        <v>827.07399999999996</v>
      </c>
      <c r="O149" s="519">
        <f>IF('Input overrides'!O149&lt;&gt;"",'Input overrides'!O149,F_Inputs!O185)</f>
        <v>791.17100000000005</v>
      </c>
    </row>
    <row r="150" spans="1:17">
      <c r="A150" t="s">
        <v>52</v>
      </c>
      <c r="B150" t="s">
        <v>86</v>
      </c>
      <c r="C150" t="s">
        <v>94</v>
      </c>
      <c r="D150" t="s">
        <v>183</v>
      </c>
      <c r="E150" t="s">
        <v>182</v>
      </c>
      <c r="F150" s="242">
        <f>IF('Input overrides'!F150&lt;&gt;"",'Input overrides'!F150,F_Inputs!F186)</f>
        <v>735.17600000000004</v>
      </c>
      <c r="G150" s="242">
        <f>IF('Input overrides'!G150&lt;&gt;"",'Input overrides'!G150,F_Inputs!G186)</f>
        <v>776.26700000000005</v>
      </c>
      <c r="H150" s="242">
        <f>IF('Input overrides'!H150&lt;&gt;"",'Input overrides'!H150,F_Inputs!H186)</f>
        <v>822.66</v>
      </c>
      <c r="I150" s="242">
        <f>IF('Input overrides'!I150&lt;&gt;"",'Input overrides'!I150,F_Inputs!I186)</f>
        <v>870.19</v>
      </c>
      <c r="J150" s="242">
        <f>IF('Input overrides'!J150&lt;&gt;"",'Input overrides'!J150,F_Inputs!J186)</f>
        <v>915.14599999999996</v>
      </c>
      <c r="K150" s="518">
        <f>IF('Input overrides'!K150&lt;&gt;"",'Input overrides'!K150,F_Inputs!K186)</f>
        <v>966.21500000000003</v>
      </c>
      <c r="L150" s="519">
        <f>IF('Input overrides'!L150&lt;&gt;"",'Input overrides'!L150,F_Inputs!L186)</f>
        <v>1019.213</v>
      </c>
      <c r="M150" s="519">
        <f>IF('Input overrides'!M150&lt;&gt;"",'Input overrides'!M150,F_Inputs!M186)</f>
        <v>1080.3019999999999</v>
      </c>
      <c r="N150" s="519">
        <f>IF('Input overrides'!N150&lt;&gt;"",'Input overrides'!N150,F_Inputs!N186)</f>
        <v>1141.8889999999999</v>
      </c>
      <c r="O150" s="519">
        <f>IF('Input overrides'!O150&lt;&gt;"",'Input overrides'!O150,F_Inputs!O186)</f>
        <v>1201.5029999999999</v>
      </c>
    </row>
    <row r="151" spans="1:17">
      <c r="A151" t="s">
        <v>52</v>
      </c>
      <c r="B151" t="s">
        <v>174</v>
      </c>
      <c r="C151" t="s">
        <v>184</v>
      </c>
      <c r="D151" t="s">
        <v>74</v>
      </c>
      <c r="E151" t="s">
        <v>182</v>
      </c>
      <c r="F151" s="242">
        <f>IF('Input overrides'!F151&lt;&gt;"",'Input overrides'!F151,F_Inputs!F187)*Rebasing</f>
        <v>0</v>
      </c>
      <c r="G151" s="242">
        <f>IF('Input overrides'!G151&lt;&gt;"",'Input overrides'!G151,F_Inputs!G187)*Rebasing</f>
        <v>0</v>
      </c>
      <c r="H151" s="242">
        <f>IF('Input overrides'!H151&lt;&gt;"",'Input overrides'!H151,F_Inputs!H187)*Rebasing</f>
        <v>0</v>
      </c>
      <c r="I151" s="242">
        <f>IF('Input overrides'!I151&lt;&gt;"",'Input overrides'!I151,F_Inputs!I187)*Rebasing</f>
        <v>0</v>
      </c>
      <c r="J151" s="242">
        <f>IF('Input overrides'!J151&lt;&gt;"",'Input overrides'!J151,F_Inputs!J187)*Rebasing</f>
        <v>0</v>
      </c>
      <c r="K151" s="242">
        <f>IF('Input overrides'!K151&lt;&gt;"",'Input overrides'!K151,F_Inputs!K187)*Rebasing</f>
        <v>0</v>
      </c>
      <c r="L151" s="242">
        <f>IF('Input overrides'!L151&lt;&gt;"",'Input overrides'!L151,F_Inputs!L187)*Rebasing</f>
        <v>0</v>
      </c>
      <c r="M151" s="242">
        <f>IF('Input overrides'!M151&lt;&gt;"",'Input overrides'!M151,F_Inputs!M187)*Rebasing</f>
        <v>0</v>
      </c>
      <c r="N151" s="242">
        <f>IF('Input overrides'!N151&lt;&gt;"",'Input overrides'!N151,F_Inputs!N187)*Rebasing</f>
        <v>0</v>
      </c>
      <c r="O151" s="242">
        <f>IF('Input overrides'!O151&lt;&gt;"",'Input overrides'!O151,F_Inputs!O187)*Rebasing</f>
        <v>0</v>
      </c>
    </row>
    <row r="152" spans="1:17">
      <c r="A152" t="s">
        <v>52</v>
      </c>
      <c r="B152" t="s">
        <v>156</v>
      </c>
      <c r="C152" t="s">
        <v>157</v>
      </c>
      <c r="D152" t="s">
        <v>74</v>
      </c>
      <c r="E152" t="s">
        <v>182</v>
      </c>
      <c r="F152" s="242">
        <f>IF('Input overrides'!F152&lt;&gt;"",'Input overrides'!F152,F_Inputs!F188)*Rebasing</f>
        <v>1.2069412001756339</v>
      </c>
      <c r="G152" s="242">
        <f>IF('Input overrides'!G152&lt;&gt;"",'Input overrides'!G152,F_Inputs!G188)*Rebasing</f>
        <v>1.3415490957392469</v>
      </c>
      <c r="H152" s="242">
        <f>IF('Input overrides'!H152&lt;&gt;"",'Input overrides'!H152,F_Inputs!H188)*Rebasing</f>
        <v>1.4228964953509757</v>
      </c>
      <c r="I152" s="242">
        <f>IF('Input overrides'!I152&lt;&gt;"",'Input overrides'!I152,F_Inputs!I188)*Rebasing</f>
        <v>0.97843424951466229</v>
      </c>
      <c r="J152" s="242">
        <f>IF('Input overrides'!J152&lt;&gt;"",'Input overrides'!J152,F_Inputs!J188)*Rebasing</f>
        <v>0.95579959810633164</v>
      </c>
      <c r="K152" s="242">
        <f>IF('Input overrides'!K152&lt;&gt;"",'Input overrides'!K152,F_Inputs!K188)*Rebasing</f>
        <v>2.7890097102843634</v>
      </c>
      <c r="L152" s="242">
        <f>IF('Input overrides'!L152&lt;&gt;"",'Input overrides'!L152,F_Inputs!L188)*Rebasing</f>
        <v>3.7250097102843633</v>
      </c>
      <c r="M152" s="242">
        <f>IF('Input overrides'!M152&lt;&gt;"",'Input overrides'!M152,F_Inputs!M188)*Rebasing</f>
        <v>4.7030097102843635</v>
      </c>
      <c r="N152" s="242">
        <f>IF('Input overrides'!N152&lt;&gt;"",'Input overrides'!N152,F_Inputs!N188)*Rebasing</f>
        <v>5.7270097102843645</v>
      </c>
      <c r="O152" s="242">
        <f>IF('Input overrides'!O152&lt;&gt;"",'Input overrides'!O152,F_Inputs!O188)*Rebasing</f>
        <v>6.7950097102843641</v>
      </c>
    </row>
    <row r="153" spans="1:17">
      <c r="A153" t="s">
        <v>52</v>
      </c>
      <c r="B153" t="s">
        <v>159</v>
      </c>
      <c r="C153" t="s">
        <v>158</v>
      </c>
      <c r="D153" t="s">
        <v>74</v>
      </c>
      <c r="E153" t="s">
        <v>182</v>
      </c>
      <c r="F153" s="242">
        <f>IF('Input overrides'!F153&lt;&gt;"",'Input overrides'!F153,F_Inputs!F189)*Rebasing</f>
        <v>0</v>
      </c>
      <c r="G153" s="242">
        <f>IF('Input overrides'!G153&lt;&gt;"",'Input overrides'!G153,F_Inputs!G189)*Rebasing</f>
        <v>0</v>
      </c>
      <c r="H153" s="242">
        <f>IF('Input overrides'!H153&lt;&gt;"",'Input overrides'!H153,F_Inputs!H189)*Rebasing</f>
        <v>0</v>
      </c>
      <c r="I153" s="242">
        <f>IF('Input overrides'!I153&lt;&gt;"",'Input overrides'!I153,F_Inputs!I189)*Rebasing</f>
        <v>0</v>
      </c>
      <c r="J153" s="242">
        <f>IF('Input overrides'!J153&lt;&gt;"",'Input overrides'!J153,F_Inputs!J189)*Rebasing</f>
        <v>0</v>
      </c>
      <c r="K153" s="242">
        <f>IF('Input overrides'!K153&lt;&gt;"",'Input overrides'!K153,F_Inputs!K189)*Rebasing</f>
        <v>0</v>
      </c>
      <c r="L153" s="242">
        <f>IF('Input overrides'!L153&lt;&gt;"",'Input overrides'!L153,F_Inputs!L189)*Rebasing</f>
        <v>0</v>
      </c>
      <c r="M153" s="242">
        <f>IF('Input overrides'!M153&lt;&gt;"",'Input overrides'!M153,F_Inputs!M189)*Rebasing</f>
        <v>0</v>
      </c>
      <c r="N153" s="242">
        <f>IF('Input overrides'!N153&lt;&gt;"",'Input overrides'!N153,F_Inputs!N189)*Rebasing</f>
        <v>0</v>
      </c>
      <c r="O153" s="242">
        <f>IF('Input overrides'!O153&lt;&gt;"",'Input overrides'!O153,F_Inputs!O189)*Rebasing</f>
        <v>0</v>
      </c>
    </row>
    <row r="154" spans="1:17">
      <c r="A154" t="s">
        <v>53</v>
      </c>
      <c r="B154" t="s">
        <v>78</v>
      </c>
      <c r="C154" t="s">
        <v>132</v>
      </c>
      <c r="D154" t="s">
        <v>74</v>
      </c>
      <c r="E154" t="s">
        <v>182</v>
      </c>
      <c r="F154" s="242">
        <f>IF('Input overrides'!F154&lt;&gt;"",'Input overrides'!F154,F_Inputs!F194)*Rebasing</f>
        <v>33.646095631236207</v>
      </c>
      <c r="G154" s="242">
        <f>IF('Input overrides'!G154&lt;&gt;"",'Input overrides'!G154,F_Inputs!G194)*Rebasing</f>
        <v>28.30521227364029</v>
      </c>
      <c r="H154" s="242">
        <f>IF('Input overrides'!H154&lt;&gt;"",'Input overrides'!H154,F_Inputs!H194)*Rebasing</f>
        <v>28.507258312089771</v>
      </c>
      <c r="I154" s="242">
        <f ca="1">IF('Input overrides'!I154&lt;&gt;"",'Input overrides'!I154,F_Inputs!I194)*Rebasing</f>
        <v>26.468181195592294</v>
      </c>
      <c r="J154" s="242">
        <f>IF('Input overrides'!J154&lt;&gt;"",'Input overrides'!J154,F_Inputs!J194)*Rebasing</f>
        <v>26.733039464752135</v>
      </c>
      <c r="K154" s="242">
        <f ca="1">IF('Input overrides'!K154&lt;&gt;"",'Input overrides'!K154,F_Inputs!K194)*Rebasing</f>
        <v>26.423385417530223</v>
      </c>
      <c r="L154" s="242">
        <f ca="1">IF('Input overrides'!L154&lt;&gt;"",'Input overrides'!L154,F_Inputs!L194)*Rebasing</f>
        <v>26.344466058252397</v>
      </c>
      <c r="M154" s="242">
        <f ca="1">IF('Input overrides'!M154&lt;&gt;"",'Input overrides'!M154,F_Inputs!M194)*Rebasing</f>
        <v>26.257163182696079</v>
      </c>
      <c r="N154" s="242">
        <f ca="1">IF('Input overrides'!N154&lt;&gt;"",'Input overrides'!N154,F_Inputs!N194)*Rebasing</f>
        <v>26.11580659206567</v>
      </c>
      <c r="O154" s="242">
        <f ca="1">IF('Input overrides'!O154&lt;&gt;"",'Input overrides'!O154,F_Inputs!O194)*Rebasing</f>
        <v>26.008070672951824</v>
      </c>
      <c r="Q154" s="242"/>
    </row>
    <row r="155" spans="1:17">
      <c r="A155" t="s">
        <v>53</v>
      </c>
      <c r="B155" t="s">
        <v>97</v>
      </c>
      <c r="C155" t="s">
        <v>99</v>
      </c>
      <c r="D155" t="s">
        <v>74</v>
      </c>
      <c r="E155" t="s">
        <v>182</v>
      </c>
      <c r="F155" s="242">
        <f>IF('Input overrides'!F155&lt;&gt;"",'Input overrides'!F155,F_Inputs!F195)*Rebasing</f>
        <v>0.57465680095904637</v>
      </c>
      <c r="G155" s="242">
        <f>IF('Input overrides'!G155&lt;&gt;"",'Input overrides'!G155,F_Inputs!G195)*Rebasing</f>
        <v>0.64547912782002748</v>
      </c>
      <c r="H155" s="242">
        <f>IF('Input overrides'!H155&lt;&gt;"",'Input overrides'!H155,F_Inputs!H195)*Rebasing</f>
        <v>0.57449335149275771</v>
      </c>
      <c r="I155" s="242">
        <f>IF('Input overrides'!I155&lt;&gt;"",'Input overrides'!I155,F_Inputs!I195)*Rebasing</f>
        <v>0.86726463627235406</v>
      </c>
      <c r="J155" s="242">
        <f>IF('Input overrides'!J155&lt;&gt;"",'Input overrides'!J155,F_Inputs!J195)*Rebasing</f>
        <v>1.7142140357309708</v>
      </c>
      <c r="K155" s="242">
        <f>IF('Input overrides'!K155&lt;&gt;"",'Input overrides'!K155,F_Inputs!K195)*Rebasing</f>
        <v>1.7804446976147152</v>
      </c>
      <c r="L155" s="242">
        <f>IF('Input overrides'!L155&lt;&gt;"",'Input overrides'!L155,F_Inputs!L195)*Rebasing</f>
        <v>1.7237798045818471</v>
      </c>
      <c r="M155" s="242">
        <f>IF('Input overrides'!M155&lt;&gt;"",'Input overrides'!M155,F_Inputs!M195)*Rebasing</f>
        <v>1.6771549411297531</v>
      </c>
      <c r="N155" s="242">
        <f>IF('Input overrides'!N155&lt;&gt;"",'Input overrides'!N155,F_Inputs!N195)*Rebasing</f>
        <v>1.2239580916097754</v>
      </c>
      <c r="O155" s="242">
        <f>IF('Input overrides'!O155&lt;&gt;"",'Input overrides'!O155,F_Inputs!O195)*Rebasing</f>
        <v>0.17375489865274849</v>
      </c>
    </row>
    <row r="156" spans="1:17">
      <c r="A156" t="s">
        <v>53</v>
      </c>
      <c r="B156" t="s">
        <v>98</v>
      </c>
      <c r="C156" t="s">
        <v>100</v>
      </c>
      <c r="D156" t="s">
        <v>74</v>
      </c>
      <c r="E156" t="s">
        <v>182</v>
      </c>
      <c r="F156" s="242">
        <f>IF('Input overrides'!F156&lt;&gt;"",'Input overrides'!F156,F_Inputs!F196)*Rebasing</f>
        <v>0</v>
      </c>
      <c r="G156" s="242">
        <f>IF('Input overrides'!G156&lt;&gt;"",'Input overrides'!G156,F_Inputs!G196)*Rebasing</f>
        <v>0</v>
      </c>
      <c r="H156" s="242">
        <f>IF('Input overrides'!H156&lt;&gt;"",'Input overrides'!H156,F_Inputs!H196)*Rebasing</f>
        <v>0</v>
      </c>
      <c r="I156" s="242">
        <f>IF('Input overrides'!I156&lt;&gt;"",'Input overrides'!I156,F_Inputs!I196)*Rebasing</f>
        <v>0</v>
      </c>
      <c r="J156" s="242">
        <f>IF('Input overrides'!J156&lt;&gt;"",'Input overrides'!J156,F_Inputs!J196)*Rebasing</f>
        <v>0</v>
      </c>
      <c r="K156" s="242">
        <f>IF('Input overrides'!K156&lt;&gt;"",'Input overrides'!K156,F_Inputs!K196)*Rebasing</f>
        <v>0.23457729641360991</v>
      </c>
      <c r="L156" s="242">
        <f>IF('Input overrides'!L156&lt;&gt;"",'Input overrides'!L156,F_Inputs!L196)*Rebasing</f>
        <v>0.46298150607949323</v>
      </c>
      <c r="M156" s="242">
        <f>IF('Input overrides'!M156&lt;&gt;"",'Input overrides'!M156,F_Inputs!M196)*Rebasing</f>
        <v>0.68521262899765001</v>
      </c>
      <c r="N156" s="242">
        <f>IF('Input overrides'!N156&lt;&gt;"",'Input overrides'!N156,F_Inputs!N196)*Rebasing</f>
        <v>0.90127066516808019</v>
      </c>
      <c r="O156" s="242">
        <f>IF('Input overrides'!O156&lt;&gt;"",'Input overrides'!O156,F_Inputs!O196)*Rebasing</f>
        <v>1.1121844623820714</v>
      </c>
    </row>
    <row r="157" spans="1:17">
      <c r="A157" t="s">
        <v>53</v>
      </c>
      <c r="B157" t="s">
        <v>79</v>
      </c>
      <c r="C157" t="s">
        <v>135</v>
      </c>
      <c r="D157" t="s">
        <v>74</v>
      </c>
      <c r="E157" t="s">
        <v>182</v>
      </c>
      <c r="F157" s="242">
        <f>IF('Input overrides'!F157&lt;&gt;"",'Input overrides'!F157,F_Inputs!F197)*Rebasing</f>
        <v>6.981888040857064</v>
      </c>
      <c r="G157" s="242">
        <f>IF('Input overrides'!G157&lt;&gt;"",'Input overrides'!G157,F_Inputs!G197)*Rebasing</f>
        <v>5.2337716802500536</v>
      </c>
      <c r="H157" s="242">
        <f>IF('Input overrides'!H157&lt;&gt;"",'Input overrides'!H157,F_Inputs!H197)*Rebasing</f>
        <v>5.3272922975316552</v>
      </c>
      <c r="I157" s="242">
        <f>IF('Input overrides'!I157&lt;&gt;"",'Input overrides'!I157,F_Inputs!I197)*Rebasing</f>
        <v>5.3914834777169167</v>
      </c>
      <c r="J157" s="242">
        <f>IF('Input overrides'!J157&lt;&gt;"",'Input overrides'!J157,F_Inputs!J197)*Rebasing</f>
        <v>5.5588006040642197</v>
      </c>
      <c r="K157" s="242">
        <f>IF('Input overrides'!K157&lt;&gt;"",'Input overrides'!K157,F_Inputs!K197)*Rebasing</f>
        <v>5.6542550851291651</v>
      </c>
      <c r="L157" s="242">
        <f>IF('Input overrides'!L157&lt;&gt;"",'Input overrides'!L157,F_Inputs!L197)*Rebasing</f>
        <v>5.9791637525567349</v>
      </c>
      <c r="M157" s="242">
        <f>IF('Input overrides'!M157&lt;&gt;"",'Input overrides'!M157,F_Inputs!M197)*Rebasing</f>
        <v>6.3078991533489379</v>
      </c>
      <c r="N157" s="242">
        <f>IF('Input overrides'!N157&lt;&gt;"",'Input overrides'!N157,F_Inputs!N197)*Rebasing</f>
        <v>6.56807851448837</v>
      </c>
      <c r="O157" s="242">
        <f>IF('Input overrides'!O157&lt;&gt;"",'Input overrides'!O157,F_Inputs!O197)*Rebasing</f>
        <v>6.6921027860540114</v>
      </c>
    </row>
    <row r="158" spans="1:17">
      <c r="A158" t="s">
        <v>53</v>
      </c>
      <c r="B158" t="s">
        <v>80</v>
      </c>
      <c r="C158" t="s">
        <v>136</v>
      </c>
      <c r="D158" t="s">
        <v>74</v>
      </c>
      <c r="E158" t="s">
        <v>182</v>
      </c>
      <c r="F158" s="242">
        <f>IF('Input overrides'!F158&lt;&gt;"",'Input overrides'!F158,F_Inputs!F198)*Rebasing</f>
        <v>0</v>
      </c>
      <c r="G158" s="242">
        <f>IF('Input overrides'!G158&lt;&gt;"",'Input overrides'!G158,F_Inputs!G198)*Rebasing</f>
        <v>0</v>
      </c>
      <c r="H158" s="242">
        <f>IF('Input overrides'!H158&lt;&gt;"",'Input overrides'!H158,F_Inputs!H198)*Rebasing</f>
        <v>0</v>
      </c>
      <c r="I158" s="242">
        <f>IF('Input overrides'!I158&lt;&gt;"",'Input overrides'!I158,F_Inputs!I198)*Rebasing</f>
        <v>0</v>
      </c>
      <c r="J158" s="242">
        <f>IF('Input overrides'!J158&lt;&gt;"",'Input overrides'!J158,F_Inputs!J198)*Rebasing</f>
        <v>0</v>
      </c>
      <c r="K158" s="242">
        <f>IF('Input overrides'!K158&lt;&gt;"",'Input overrides'!K158,F_Inputs!K198)*Rebasing</f>
        <v>0</v>
      </c>
      <c r="L158" s="242">
        <f>IF('Input overrides'!L158&lt;&gt;"",'Input overrides'!L158,F_Inputs!L198)*Rebasing</f>
        <v>0</v>
      </c>
      <c r="M158" s="242">
        <f>IF('Input overrides'!M158&lt;&gt;"",'Input overrides'!M158,F_Inputs!M198)*Rebasing</f>
        <v>0</v>
      </c>
      <c r="N158" s="242">
        <f>IF('Input overrides'!N158&lt;&gt;"",'Input overrides'!N158,F_Inputs!N198)*Rebasing</f>
        <v>0</v>
      </c>
      <c r="O158" s="242">
        <f>IF('Input overrides'!O158&lt;&gt;"",'Input overrides'!O158,F_Inputs!O198)*Rebasing</f>
        <v>0</v>
      </c>
    </row>
    <row r="159" spans="1:17">
      <c r="A159" t="s">
        <v>53</v>
      </c>
      <c r="B159" t="s">
        <v>81</v>
      </c>
      <c r="C159" t="s">
        <v>137</v>
      </c>
      <c r="D159" t="s">
        <v>74</v>
      </c>
      <c r="E159" t="s">
        <v>182</v>
      </c>
      <c r="F159" s="242">
        <f>IF('Input overrides'!F159&lt;&gt;"",'Input overrides'!F159,F_Inputs!F199)*Rebasing</f>
        <v>0</v>
      </c>
      <c r="G159" s="242">
        <f>IF('Input overrides'!G159&lt;&gt;"",'Input overrides'!G159,F_Inputs!G199)*Rebasing</f>
        <v>0</v>
      </c>
      <c r="H159" s="242">
        <f>IF('Input overrides'!H159&lt;&gt;"",'Input overrides'!H159,F_Inputs!H199)*Rebasing</f>
        <v>0</v>
      </c>
      <c r="I159" s="242">
        <f>IF('Input overrides'!I159&lt;&gt;"",'Input overrides'!I159,F_Inputs!I199)*Rebasing</f>
        <v>0</v>
      </c>
      <c r="J159" s="242">
        <f>IF('Input overrides'!J159&lt;&gt;"",'Input overrides'!J159,F_Inputs!J199)*Rebasing</f>
        <v>0</v>
      </c>
      <c r="K159" s="242">
        <f>IF('Input overrides'!K159&lt;&gt;"",'Input overrides'!K159,F_Inputs!K199)*Rebasing</f>
        <v>0</v>
      </c>
      <c r="L159" s="242">
        <f>IF('Input overrides'!L159&lt;&gt;"",'Input overrides'!L159,F_Inputs!L199)*Rebasing</f>
        <v>0</v>
      </c>
      <c r="M159" s="242">
        <f>IF('Input overrides'!M159&lt;&gt;"",'Input overrides'!M159,F_Inputs!M199)*Rebasing</f>
        <v>0</v>
      </c>
      <c r="N159" s="242">
        <f>IF('Input overrides'!N159&lt;&gt;"",'Input overrides'!N159,F_Inputs!N199)*Rebasing</f>
        <v>0</v>
      </c>
      <c r="O159" s="242">
        <f>IF('Input overrides'!O159&lt;&gt;"",'Input overrides'!O159,F_Inputs!O199)*Rebasing</f>
        <v>0</v>
      </c>
    </row>
    <row r="160" spans="1:17">
      <c r="A160" t="s">
        <v>53</v>
      </c>
      <c r="B160" t="s">
        <v>82</v>
      </c>
      <c r="C160" t="s">
        <v>89</v>
      </c>
      <c r="D160" t="s">
        <v>183</v>
      </c>
      <c r="E160" t="s">
        <v>182</v>
      </c>
      <c r="F160" s="242">
        <f>IF('Input overrides'!F160&lt;&gt;"",'Input overrides'!F160,F_Inputs!F200)</f>
        <v>737.38699999999994</v>
      </c>
      <c r="G160" s="242">
        <f>IF('Input overrides'!G160&lt;&gt;"",'Input overrides'!G160,F_Inputs!G200)</f>
        <v>725.32799999999997</v>
      </c>
      <c r="H160" s="242">
        <f>IF('Input overrides'!H160&lt;&gt;"",'Input overrides'!H160,F_Inputs!H200)</f>
        <v>710.69100000000003</v>
      </c>
      <c r="I160" s="242">
        <f>IF('Input overrides'!I160&lt;&gt;"",'Input overrides'!I160,F_Inputs!I200)</f>
        <v>714.57100000000003</v>
      </c>
      <c r="J160" s="242">
        <f>IF('Input overrides'!J160&lt;&gt;"",'Input overrides'!J160,F_Inputs!J200)</f>
        <v>689.36099999999999</v>
      </c>
      <c r="K160" s="518">
        <f>IF('Input overrides'!K160&lt;&gt;"",'Input overrides'!K160,F_Inputs!K200)</f>
        <v>655.52537209214199</v>
      </c>
      <c r="L160" s="519">
        <f>IF('Input overrides'!L160&lt;&gt;"",'Input overrides'!L160,F_Inputs!L200)</f>
        <v>590.37661627642603</v>
      </c>
      <c r="M160" s="519">
        <f>IF('Input overrides'!M160&lt;&gt;"",'Input overrides'!M160,F_Inputs!M200)</f>
        <v>517.64089305975199</v>
      </c>
      <c r="N160" s="519">
        <f>IF('Input overrides'!N160&lt;&gt;"",'Input overrides'!N160,F_Inputs!N200)</f>
        <v>446.496677152855</v>
      </c>
      <c r="O160" s="519">
        <f>IF('Input overrides'!O160&lt;&gt;"",'Input overrides'!O160,F_Inputs!O200)</f>
        <v>387.71878542949901</v>
      </c>
    </row>
    <row r="161" spans="1:17">
      <c r="A161" t="s">
        <v>53</v>
      </c>
      <c r="B161" t="s">
        <v>87</v>
      </c>
      <c r="C161" t="s">
        <v>90</v>
      </c>
      <c r="D161" t="s">
        <v>183</v>
      </c>
      <c r="E161" t="s">
        <v>182</v>
      </c>
      <c r="F161" s="242">
        <f>IF('Input overrides'!F161&lt;&gt;"",'Input overrides'!F161,F_Inputs!F201)</f>
        <v>574.37300000000005</v>
      </c>
      <c r="G161" s="242">
        <f>IF('Input overrides'!G161&lt;&gt;"",'Input overrides'!G161,F_Inputs!G201)</f>
        <v>596.68600000000004</v>
      </c>
      <c r="H161" s="242">
        <f>IF('Input overrides'!H161&lt;&gt;"",'Input overrides'!H161,F_Inputs!H201)</f>
        <v>622.51700000000005</v>
      </c>
      <c r="I161" s="242">
        <f>IF('Input overrides'!I161&lt;&gt;"",'Input overrides'!I161,F_Inputs!I201)</f>
        <v>658.45100000000002</v>
      </c>
      <c r="J161" s="242">
        <f>IF('Input overrides'!J161&lt;&gt;"",'Input overrides'!J161,F_Inputs!J201)</f>
        <v>662.40300000000002</v>
      </c>
      <c r="K161" s="518">
        <f>IF('Input overrides'!K161&lt;&gt;"",'Input overrides'!K161,F_Inputs!K201)</f>
        <v>705.16162790785802</v>
      </c>
      <c r="L161" s="519">
        <f>IF('Input overrides'!L161&lt;&gt;"",'Input overrides'!L161,F_Inputs!L201)</f>
        <v>778.87838372357396</v>
      </c>
      <c r="M161" s="519">
        <f>IF('Input overrides'!M161&lt;&gt;"",'Input overrides'!M161,F_Inputs!M201)</f>
        <v>859.98610694024796</v>
      </c>
      <c r="N161" s="519">
        <f>IF('Input overrides'!N161&lt;&gt;"",'Input overrides'!N161,F_Inputs!N201)</f>
        <v>939.21782284714504</v>
      </c>
      <c r="O161" s="519">
        <f>IF('Input overrides'!O161&lt;&gt;"",'Input overrides'!O161,F_Inputs!O201)</f>
        <v>1006.1212145705</v>
      </c>
    </row>
    <row r="162" spans="1:17">
      <c r="A162" t="s">
        <v>53</v>
      </c>
      <c r="B162" t="s">
        <v>83</v>
      </c>
      <c r="C162" t="s">
        <v>91</v>
      </c>
      <c r="D162" t="s">
        <v>183</v>
      </c>
      <c r="E162" t="s">
        <v>182</v>
      </c>
      <c r="F162" s="242">
        <f>IF('Input overrides'!F162&lt;&gt;"",'Input overrides'!F162,F_Inputs!F202)</f>
        <v>0</v>
      </c>
      <c r="G162" s="242">
        <f>IF('Input overrides'!G162&lt;&gt;"",'Input overrides'!G162,F_Inputs!G202)</f>
        <v>0</v>
      </c>
      <c r="H162" s="242">
        <f>IF('Input overrides'!H162&lt;&gt;"",'Input overrides'!H162,F_Inputs!H202)</f>
        <v>0</v>
      </c>
      <c r="I162" s="242">
        <f>IF('Input overrides'!I162&lt;&gt;"",'Input overrides'!I162,F_Inputs!I202)</f>
        <v>0</v>
      </c>
      <c r="J162" s="242">
        <f>IF('Input overrides'!J162&lt;&gt;"",'Input overrides'!J162,F_Inputs!J202)</f>
        <v>0</v>
      </c>
      <c r="K162" s="518">
        <f>IF('Input overrides'!K162&lt;&gt;"",'Input overrides'!K162,F_Inputs!K202)</f>
        <v>0</v>
      </c>
      <c r="L162" s="519">
        <f>IF('Input overrides'!L162&lt;&gt;"",'Input overrides'!L162,F_Inputs!L202)</f>
        <v>0</v>
      </c>
      <c r="M162" s="519">
        <f>IF('Input overrides'!M162&lt;&gt;"",'Input overrides'!M162,F_Inputs!M202)</f>
        <v>0</v>
      </c>
      <c r="N162" s="519">
        <f>IF('Input overrides'!N162&lt;&gt;"",'Input overrides'!N162,F_Inputs!N202)</f>
        <v>0</v>
      </c>
      <c r="O162" s="519">
        <f>IF('Input overrides'!O162&lt;&gt;"",'Input overrides'!O162,F_Inputs!O202)</f>
        <v>0</v>
      </c>
    </row>
    <row r="163" spans="1:17">
      <c r="A163" t="s">
        <v>53</v>
      </c>
      <c r="B163" t="s">
        <v>84</v>
      </c>
      <c r="C163" t="s">
        <v>92</v>
      </c>
      <c r="D163" t="s">
        <v>183</v>
      </c>
      <c r="E163" t="s">
        <v>182</v>
      </c>
      <c r="F163" s="242">
        <f>IF('Input overrides'!F163&lt;&gt;"",'Input overrides'!F163,F_Inputs!F203)</f>
        <v>0</v>
      </c>
      <c r="G163" s="242">
        <f>IF('Input overrides'!G163&lt;&gt;"",'Input overrides'!G163,F_Inputs!G203)</f>
        <v>0</v>
      </c>
      <c r="H163" s="242">
        <f>IF('Input overrides'!H163&lt;&gt;"",'Input overrides'!H163,F_Inputs!H203)</f>
        <v>0</v>
      </c>
      <c r="I163" s="242">
        <f>IF('Input overrides'!I163&lt;&gt;"",'Input overrides'!I163,F_Inputs!I203)</f>
        <v>0</v>
      </c>
      <c r="J163" s="242">
        <f>IF('Input overrides'!J163&lt;&gt;"",'Input overrides'!J163,F_Inputs!J203)</f>
        <v>0</v>
      </c>
      <c r="K163" s="518">
        <f>IF('Input overrides'!K163&lt;&gt;"",'Input overrides'!K163,F_Inputs!K203)</f>
        <v>0</v>
      </c>
      <c r="L163" s="519">
        <f>IF('Input overrides'!L163&lt;&gt;"",'Input overrides'!L163,F_Inputs!L203)</f>
        <v>0</v>
      </c>
      <c r="M163" s="519">
        <f>IF('Input overrides'!M163&lt;&gt;"",'Input overrides'!M163,F_Inputs!M203)</f>
        <v>0</v>
      </c>
      <c r="N163" s="519">
        <f>IF('Input overrides'!N163&lt;&gt;"",'Input overrides'!N163,F_Inputs!N203)</f>
        <v>0</v>
      </c>
      <c r="O163" s="519">
        <f>IF('Input overrides'!O163&lt;&gt;"",'Input overrides'!O163,F_Inputs!O203)</f>
        <v>0</v>
      </c>
    </row>
    <row r="164" spans="1:17">
      <c r="A164" t="s">
        <v>53</v>
      </c>
      <c r="B164" t="s">
        <v>85</v>
      </c>
      <c r="C164" t="s">
        <v>93</v>
      </c>
      <c r="D164" t="s">
        <v>183</v>
      </c>
      <c r="E164" t="s">
        <v>182</v>
      </c>
      <c r="F164" s="242">
        <f>IF('Input overrides'!F164&lt;&gt;"",'Input overrides'!F164,F_Inputs!F204)</f>
        <v>0</v>
      </c>
      <c r="G164" s="242">
        <f>IF('Input overrides'!G164&lt;&gt;"",'Input overrides'!G164,F_Inputs!G204)</f>
        <v>0</v>
      </c>
      <c r="H164" s="242">
        <f>IF('Input overrides'!H164&lt;&gt;"",'Input overrides'!H164,F_Inputs!H204)</f>
        <v>0</v>
      </c>
      <c r="I164" s="242">
        <f>IF('Input overrides'!I164&lt;&gt;"",'Input overrides'!I164,F_Inputs!I204)</f>
        <v>0</v>
      </c>
      <c r="J164" s="242">
        <f>IF('Input overrides'!J164&lt;&gt;"",'Input overrides'!J164,F_Inputs!J204)</f>
        <v>0</v>
      </c>
      <c r="K164" s="518">
        <f>IF('Input overrides'!K164&lt;&gt;"",'Input overrides'!K164,F_Inputs!K204)</f>
        <v>0</v>
      </c>
      <c r="L164" s="519">
        <f>IF('Input overrides'!L164&lt;&gt;"",'Input overrides'!L164,F_Inputs!L204)</f>
        <v>0</v>
      </c>
      <c r="M164" s="519">
        <f>IF('Input overrides'!M164&lt;&gt;"",'Input overrides'!M164,F_Inputs!M204)</f>
        <v>0</v>
      </c>
      <c r="N164" s="519">
        <f>IF('Input overrides'!N164&lt;&gt;"",'Input overrides'!N164,F_Inputs!N204)</f>
        <v>0</v>
      </c>
      <c r="O164" s="519">
        <f>IF('Input overrides'!O164&lt;&gt;"",'Input overrides'!O164,F_Inputs!O204)</f>
        <v>0</v>
      </c>
    </row>
    <row r="165" spans="1:17">
      <c r="A165" t="s">
        <v>53</v>
      </c>
      <c r="B165" t="s">
        <v>86</v>
      </c>
      <c r="C165" t="s">
        <v>94</v>
      </c>
      <c r="D165" t="s">
        <v>183</v>
      </c>
      <c r="E165" t="s">
        <v>182</v>
      </c>
      <c r="F165" s="242">
        <f>IF('Input overrides'!F165&lt;&gt;"",'Input overrides'!F165,F_Inputs!F205)</f>
        <v>0</v>
      </c>
      <c r="G165" s="242">
        <f>IF('Input overrides'!G165&lt;&gt;"",'Input overrides'!G165,F_Inputs!G205)</f>
        <v>0</v>
      </c>
      <c r="H165" s="242">
        <f>IF('Input overrides'!H165&lt;&gt;"",'Input overrides'!H165,F_Inputs!H205)</f>
        <v>0</v>
      </c>
      <c r="I165" s="242">
        <f>IF('Input overrides'!I165&lt;&gt;"",'Input overrides'!I165,F_Inputs!I205)</f>
        <v>0</v>
      </c>
      <c r="J165" s="242">
        <f>IF('Input overrides'!J165&lt;&gt;"",'Input overrides'!J165,F_Inputs!J205)</f>
        <v>0</v>
      </c>
      <c r="K165" s="518">
        <f>IF('Input overrides'!K165&lt;&gt;"",'Input overrides'!K165,F_Inputs!K205)</f>
        <v>0</v>
      </c>
      <c r="L165" s="519">
        <f>IF('Input overrides'!L165&lt;&gt;"",'Input overrides'!L165,F_Inputs!L205)</f>
        <v>0</v>
      </c>
      <c r="M165" s="519">
        <f>IF('Input overrides'!M165&lt;&gt;"",'Input overrides'!M165,F_Inputs!M205)</f>
        <v>0</v>
      </c>
      <c r="N165" s="519">
        <f>IF('Input overrides'!N165&lt;&gt;"",'Input overrides'!N165,F_Inputs!N205)</f>
        <v>0</v>
      </c>
      <c r="O165" s="519">
        <f>IF('Input overrides'!O165&lt;&gt;"",'Input overrides'!O165,F_Inputs!O205)</f>
        <v>0</v>
      </c>
    </row>
    <row r="166" spans="1:17">
      <c r="A166" t="s">
        <v>53</v>
      </c>
      <c r="B166" t="s">
        <v>174</v>
      </c>
      <c r="C166" t="s">
        <v>184</v>
      </c>
      <c r="D166" t="s">
        <v>74</v>
      </c>
      <c r="E166" t="s">
        <v>182</v>
      </c>
      <c r="F166" s="242">
        <f>IF('Input overrides'!F166&lt;&gt;"",'Input overrides'!F166,F_Inputs!F206)*Rebasing</f>
        <v>0</v>
      </c>
      <c r="G166" s="242">
        <f>IF('Input overrides'!G166&lt;&gt;"",'Input overrides'!G166,F_Inputs!G206)*Rebasing</f>
        <v>0</v>
      </c>
      <c r="H166" s="242">
        <f>IF('Input overrides'!H166&lt;&gt;"",'Input overrides'!H166,F_Inputs!H206)*Rebasing</f>
        <v>0</v>
      </c>
      <c r="I166" s="242">
        <f>IF('Input overrides'!I166&lt;&gt;"",'Input overrides'!I166,F_Inputs!I206)*Rebasing</f>
        <v>0</v>
      </c>
      <c r="J166" s="242">
        <f>IF('Input overrides'!J166&lt;&gt;"",'Input overrides'!J166,F_Inputs!J206)*Rebasing</f>
        <v>0</v>
      </c>
      <c r="K166" s="242">
        <f>IF('Input overrides'!K166&lt;&gt;"",'Input overrides'!K166,F_Inputs!K206)*Rebasing</f>
        <v>0</v>
      </c>
      <c r="L166" s="242">
        <f>IF('Input overrides'!L166&lt;&gt;"",'Input overrides'!L166,F_Inputs!L206)*Rebasing</f>
        <v>0</v>
      </c>
      <c r="M166" s="242">
        <f>IF('Input overrides'!M166&lt;&gt;"",'Input overrides'!M166,F_Inputs!M206)*Rebasing</f>
        <v>0</v>
      </c>
      <c r="N166" s="242">
        <f>IF('Input overrides'!N166&lt;&gt;"",'Input overrides'!N166,F_Inputs!N206)*Rebasing</f>
        <v>0</v>
      </c>
      <c r="O166" s="242">
        <f>IF('Input overrides'!O166&lt;&gt;"",'Input overrides'!O166,F_Inputs!O206)*Rebasing</f>
        <v>0</v>
      </c>
    </row>
    <row r="167" spans="1:17">
      <c r="A167" t="s">
        <v>53</v>
      </c>
      <c r="B167" t="s">
        <v>156</v>
      </c>
      <c r="C167" t="s">
        <v>157</v>
      </c>
      <c r="D167" t="s">
        <v>74</v>
      </c>
      <c r="E167" t="s">
        <v>182</v>
      </c>
      <c r="F167" s="242">
        <f>IF('Input overrides'!F167&lt;&gt;"",'Input overrides'!F167,F_Inputs!F207)*Rebasing</f>
        <v>0.1395734913660979</v>
      </c>
      <c r="G167" s="242">
        <f>IF('Input overrides'!G167&lt;&gt;"",'Input overrides'!G167,F_Inputs!G207)*Rebasing</f>
        <v>0.1395734913660979</v>
      </c>
      <c r="H167" s="242">
        <f>IF('Input overrides'!H167&lt;&gt;"",'Input overrides'!H167,F_Inputs!H207)*Rebasing</f>
        <v>0.1395734913660979</v>
      </c>
      <c r="I167" s="242">
        <f>IF('Input overrides'!I167&lt;&gt;"",'Input overrides'!I167,F_Inputs!I207)*Rebasing</f>
        <v>0.1395734913660979</v>
      </c>
      <c r="J167" s="242">
        <f>IF('Input overrides'!J167&lt;&gt;"",'Input overrides'!J167,F_Inputs!J207)*Rebasing</f>
        <v>0.1395734913660979</v>
      </c>
      <c r="K167" s="242">
        <f>IF('Input overrides'!K167&lt;&gt;"",'Input overrides'!K167,F_Inputs!K207)*Rebasing</f>
        <v>0.12001563764024484</v>
      </c>
      <c r="L167" s="242">
        <f>IF('Input overrides'!L167&lt;&gt;"",'Input overrides'!L167,F_Inputs!L207)*Rebasing</f>
        <v>0.12001563764024484</v>
      </c>
      <c r="M167" s="242">
        <f>IF('Input overrides'!M167&lt;&gt;"",'Input overrides'!M167,F_Inputs!M207)*Rebasing</f>
        <v>0.12001563764024484</v>
      </c>
      <c r="N167" s="242">
        <f>IF('Input overrides'!N167&lt;&gt;"",'Input overrides'!N167,F_Inputs!N207)*Rebasing</f>
        <v>0.12001563764024484</v>
      </c>
      <c r="O167" s="242">
        <f>IF('Input overrides'!O167&lt;&gt;"",'Input overrides'!O167,F_Inputs!O207)*Rebasing</f>
        <v>0.12001563764024484</v>
      </c>
    </row>
    <row r="168" spans="1:17">
      <c r="A168" t="s">
        <v>53</v>
      </c>
      <c r="B168" t="s">
        <v>159</v>
      </c>
      <c r="C168" t="s">
        <v>158</v>
      </c>
      <c r="D168" t="s">
        <v>74</v>
      </c>
      <c r="E168" t="s">
        <v>182</v>
      </c>
      <c r="F168" s="242">
        <f>IF('Input overrides'!F168&lt;&gt;"",'Input overrides'!F168,F_Inputs!F208)*Rebasing</f>
        <v>0</v>
      </c>
      <c r="G168" s="242">
        <f>IF('Input overrides'!G168&lt;&gt;"",'Input overrides'!G168,F_Inputs!G208)*Rebasing</f>
        <v>0</v>
      </c>
      <c r="H168" s="242">
        <f>IF('Input overrides'!H168&lt;&gt;"",'Input overrides'!H168,F_Inputs!H208)*Rebasing</f>
        <v>0</v>
      </c>
      <c r="I168" s="242">
        <f>IF('Input overrides'!I168&lt;&gt;"",'Input overrides'!I168,F_Inputs!I208)*Rebasing</f>
        <v>0</v>
      </c>
      <c r="J168" s="242">
        <f>IF('Input overrides'!J168&lt;&gt;"",'Input overrides'!J168,F_Inputs!J208)*Rebasing</f>
        <v>0</v>
      </c>
      <c r="K168" s="242">
        <f>IF('Input overrides'!K168&lt;&gt;"",'Input overrides'!K168,F_Inputs!K208)*Rebasing</f>
        <v>0</v>
      </c>
      <c r="L168" s="242">
        <f>IF('Input overrides'!L168&lt;&gt;"",'Input overrides'!L168,F_Inputs!L208)*Rebasing</f>
        <v>0</v>
      </c>
      <c r="M168" s="242">
        <f>IF('Input overrides'!M168&lt;&gt;"",'Input overrides'!M168,F_Inputs!M208)*Rebasing</f>
        <v>0</v>
      </c>
      <c r="N168" s="242">
        <f>IF('Input overrides'!N168&lt;&gt;"",'Input overrides'!N168,F_Inputs!N208)*Rebasing</f>
        <v>0</v>
      </c>
      <c r="O168" s="242">
        <f>IF('Input overrides'!O168&lt;&gt;"",'Input overrides'!O168,F_Inputs!O208)*Rebasing</f>
        <v>0</v>
      </c>
    </row>
    <row r="169" spans="1:17">
      <c r="A169" t="s">
        <v>54</v>
      </c>
      <c r="B169" t="s">
        <v>78</v>
      </c>
      <c r="C169" t="s">
        <v>132</v>
      </c>
      <c r="D169" t="s">
        <v>74</v>
      </c>
      <c r="E169" t="s">
        <v>182</v>
      </c>
      <c r="F169" s="242">
        <f>IF('Input overrides'!F169&lt;&gt;"",'Input overrides'!F169,F_Inputs!F213)*Rebasing</f>
        <v>9.0432202621959181</v>
      </c>
      <c r="G169" s="242">
        <f>IF('Input overrides'!G169&lt;&gt;"",'Input overrides'!G169,F_Inputs!G213)*Rebasing</f>
        <v>6.5627422018176143</v>
      </c>
      <c r="H169" s="242">
        <f>IF('Input overrides'!H169&lt;&gt;"",'Input overrides'!H169,F_Inputs!H213)*Rebasing</f>
        <v>7.5747896009570548</v>
      </c>
      <c r="I169" s="242">
        <f ca="1">IF('Input overrides'!I169&lt;&gt;"",'Input overrides'!I169,F_Inputs!I213)*Rebasing</f>
        <v>8.5756592827682798</v>
      </c>
      <c r="J169" s="242">
        <f>IF('Input overrides'!J169&lt;&gt;"",'Input overrides'!J169,F_Inputs!J213)*Rebasing</f>
        <v>8.7356873670377073</v>
      </c>
      <c r="K169" s="242">
        <f ca="1">IF('Input overrides'!K169&lt;&gt;"",'Input overrides'!K169,F_Inputs!K213)*Rebasing</f>
        <v>8.9461905253797678</v>
      </c>
      <c r="L169" s="242">
        <f ca="1">IF('Input overrides'!L169&lt;&gt;"",'Input overrides'!L169,F_Inputs!L213)*Rebasing</f>
        <v>9.1477358732706886</v>
      </c>
      <c r="M169" s="242">
        <f ca="1">IF('Input overrides'!M169&lt;&gt;"",'Input overrides'!M169,F_Inputs!M213)*Rebasing</f>
        <v>9.3388226816469881</v>
      </c>
      <c r="N169" s="242">
        <f ca="1">IF('Input overrides'!N169&lt;&gt;"",'Input overrides'!N169,F_Inputs!N213)*Rebasing</f>
        <v>9.5204670940674596</v>
      </c>
      <c r="O169" s="242">
        <f ca="1">IF('Input overrides'!O169&lt;&gt;"",'Input overrides'!O169,F_Inputs!O213)*Rebasing</f>
        <v>9.6927089191770381</v>
      </c>
      <c r="Q169" s="242"/>
    </row>
    <row r="170" spans="1:17">
      <c r="A170" t="s">
        <v>54</v>
      </c>
      <c r="B170" t="s">
        <v>97</v>
      </c>
      <c r="C170" t="s">
        <v>99</v>
      </c>
      <c r="D170" t="s">
        <v>74</v>
      </c>
      <c r="E170" t="s">
        <v>182</v>
      </c>
      <c r="F170" s="242">
        <f>IF('Input overrides'!F170&lt;&gt;"",'Input overrides'!F170,F_Inputs!F214)*Rebasing</f>
        <v>0.27714699522223357</v>
      </c>
      <c r="G170" s="242">
        <f>IF('Input overrides'!G170&lt;&gt;"",'Input overrides'!G170,F_Inputs!G214)*Rebasing</f>
        <v>0.29009152601614385</v>
      </c>
      <c r="H170" s="242">
        <f>IF('Input overrides'!H170&lt;&gt;"",'Input overrides'!H170,F_Inputs!H214)*Rebasing</f>
        <v>0.30918614880964546</v>
      </c>
      <c r="I170" s="242">
        <f>IF('Input overrides'!I170&lt;&gt;"",'Input overrides'!I170,F_Inputs!I214)*Rebasing</f>
        <v>0.56319253071176112</v>
      </c>
      <c r="J170" s="242">
        <f>IF('Input overrides'!J170&lt;&gt;"",'Input overrides'!J170,F_Inputs!J214)*Rebasing</f>
        <v>0.22325997070944451</v>
      </c>
      <c r="K170" s="242">
        <f>IF('Input overrides'!K170&lt;&gt;"",'Input overrides'!K170,F_Inputs!K214)*Rebasing</f>
        <v>0.659537858084703</v>
      </c>
      <c r="L170" s="242">
        <f>IF('Input overrides'!L170&lt;&gt;"",'Input overrides'!L170,F_Inputs!L214)*Rebasing</f>
        <v>0.6065671688484674</v>
      </c>
      <c r="M170" s="242">
        <f>IF('Input overrides'!M170&lt;&gt;"",'Input overrides'!M170,F_Inputs!M214)*Rebasing</f>
        <v>0.47398843884714276</v>
      </c>
      <c r="N170" s="242">
        <f>IF('Input overrides'!N170&lt;&gt;"",'Input overrides'!N170,F_Inputs!N214)*Rebasing</f>
        <v>0.30731386621208256</v>
      </c>
      <c r="O170" s="242">
        <f>IF('Input overrides'!O170&lt;&gt;"",'Input overrides'!O170,F_Inputs!O214)*Rebasing</f>
        <v>0.14623245533252541</v>
      </c>
    </row>
    <row r="171" spans="1:17">
      <c r="A171" t="s">
        <v>54</v>
      </c>
      <c r="B171" t="s">
        <v>98</v>
      </c>
      <c r="C171" t="s">
        <v>100</v>
      </c>
      <c r="D171" t="s">
        <v>74</v>
      </c>
      <c r="E171" t="s">
        <v>182</v>
      </c>
      <c r="F171" s="242">
        <f>IF('Input overrides'!F171&lt;&gt;"",'Input overrides'!F171,F_Inputs!F215)*Rebasing</f>
        <v>0</v>
      </c>
      <c r="G171" s="242">
        <f>IF('Input overrides'!G171&lt;&gt;"",'Input overrides'!G171,F_Inputs!G215)*Rebasing</f>
        <v>0</v>
      </c>
      <c r="H171" s="242">
        <f>IF('Input overrides'!H171&lt;&gt;"",'Input overrides'!H171,F_Inputs!H215)*Rebasing</f>
        <v>0</v>
      </c>
      <c r="I171" s="242">
        <f>IF('Input overrides'!I171&lt;&gt;"",'Input overrides'!I171,F_Inputs!I215)*Rebasing</f>
        <v>0</v>
      </c>
      <c r="J171" s="242">
        <f>IF('Input overrides'!J171&lt;&gt;"",'Input overrides'!J171,F_Inputs!J215)*Rebasing</f>
        <v>0</v>
      </c>
      <c r="K171" s="242">
        <f>IF('Input overrides'!K171&lt;&gt;"",'Input overrides'!K171,F_Inputs!K215)*Rebasing</f>
        <v>9.8358512895049863E-2</v>
      </c>
      <c r="L171" s="242">
        <f>IF('Input overrides'!L171&lt;&gt;"",'Input overrides'!L171,F_Inputs!L215)*Rebasing</f>
        <v>0.30075095885082864</v>
      </c>
      <c r="M171" s="242">
        <f>IF('Input overrides'!M171&lt;&gt;"",'Input overrides'!M171,F_Inputs!M215)*Rebasing</f>
        <v>0.51072764734467502</v>
      </c>
      <c r="N171" s="242">
        <f>IF('Input overrides'!N171&lt;&gt;"",'Input overrides'!N171,F_Inputs!N215)*Rebasing</f>
        <v>0.72796873320547639</v>
      </c>
      <c r="O171" s="242">
        <f>IF('Input overrides'!O171&lt;&gt;"",'Input overrides'!O171,F_Inputs!O215)*Rebasing</f>
        <v>0.95281331531904878</v>
      </c>
    </row>
    <row r="172" spans="1:17">
      <c r="A172" t="s">
        <v>54</v>
      </c>
      <c r="B172" t="s">
        <v>79</v>
      </c>
      <c r="C172" t="s">
        <v>135</v>
      </c>
      <c r="D172" t="s">
        <v>74</v>
      </c>
      <c r="E172" t="s">
        <v>182</v>
      </c>
      <c r="F172" s="242">
        <f>IF('Input overrides'!F172&lt;&gt;"",'Input overrides'!F172,F_Inputs!F216)*Rebasing</f>
        <v>1.3197650037737669</v>
      </c>
      <c r="G172" s="242">
        <f>IF('Input overrides'!G172&lt;&gt;"",'Input overrides'!G172,F_Inputs!G216)*Rebasing</f>
        <v>1.2749355343824682</v>
      </c>
      <c r="H172" s="242">
        <f>IF('Input overrides'!H172&lt;&gt;"",'Input overrides'!H172,F_Inputs!H216)*Rebasing</f>
        <v>1.4104136803056286</v>
      </c>
      <c r="I172" s="242">
        <f>IF('Input overrides'!I172&lt;&gt;"",'Input overrides'!I172,F_Inputs!I216)*Rebasing</f>
        <v>1.5117737311384358</v>
      </c>
      <c r="J172" s="242">
        <f>IF('Input overrides'!J172&lt;&gt;"",'Input overrides'!J172,F_Inputs!J216)*Rebasing</f>
        <v>1.6271943295632385</v>
      </c>
      <c r="K172" s="242">
        <f>IF('Input overrides'!K172&lt;&gt;"",'Input overrides'!K172,F_Inputs!K216)*Rebasing</f>
        <v>1.7935295481166895</v>
      </c>
      <c r="L172" s="242">
        <f>IF('Input overrides'!L172&lt;&gt;"",'Input overrides'!L172,F_Inputs!L216)*Rebasing</f>
        <v>1.9811674800563006</v>
      </c>
      <c r="M172" s="242">
        <f>IF('Input overrides'!M172&lt;&gt;"",'Input overrides'!M172,F_Inputs!M216)*Rebasing</f>
        <v>2.1588162177970776</v>
      </c>
      <c r="N172" s="242">
        <f>IF('Input overrides'!N172&lt;&gt;"",'Input overrides'!N172,F_Inputs!N216)*Rebasing</f>
        <v>2.3265514370526441</v>
      </c>
      <c r="O172" s="242">
        <f>IF('Input overrides'!O172&lt;&gt;"",'Input overrides'!O172,F_Inputs!O216)*Rebasing</f>
        <v>2.4849407056751955</v>
      </c>
    </row>
    <row r="173" spans="1:17">
      <c r="A173" t="s">
        <v>54</v>
      </c>
      <c r="B173" t="s">
        <v>80</v>
      </c>
      <c r="C173" t="s">
        <v>136</v>
      </c>
      <c r="D173" t="s">
        <v>74</v>
      </c>
      <c r="E173" t="s">
        <v>182</v>
      </c>
      <c r="F173" s="242">
        <f>IF('Input overrides'!F173&lt;&gt;"",'Input overrides'!F173,F_Inputs!F217)*Rebasing</f>
        <v>0</v>
      </c>
      <c r="G173" s="242">
        <f>IF('Input overrides'!G173&lt;&gt;"",'Input overrides'!G173,F_Inputs!G217)*Rebasing</f>
        <v>0</v>
      </c>
      <c r="H173" s="242">
        <f>IF('Input overrides'!H173&lt;&gt;"",'Input overrides'!H173,F_Inputs!H217)*Rebasing</f>
        <v>0</v>
      </c>
      <c r="I173" s="242">
        <f>IF('Input overrides'!I173&lt;&gt;"",'Input overrides'!I173,F_Inputs!I217)*Rebasing</f>
        <v>0</v>
      </c>
      <c r="J173" s="242">
        <f>IF('Input overrides'!J173&lt;&gt;"",'Input overrides'!J173,F_Inputs!J217)*Rebasing</f>
        <v>0</v>
      </c>
      <c r="K173" s="242">
        <f>IF('Input overrides'!K173&lt;&gt;"",'Input overrides'!K173,F_Inputs!K217)*Rebasing</f>
        <v>0</v>
      </c>
      <c r="L173" s="242">
        <f>IF('Input overrides'!L173&lt;&gt;"",'Input overrides'!L173,F_Inputs!L217)*Rebasing</f>
        <v>0</v>
      </c>
      <c r="M173" s="242">
        <f>IF('Input overrides'!M173&lt;&gt;"",'Input overrides'!M173,F_Inputs!M217)*Rebasing</f>
        <v>0</v>
      </c>
      <c r="N173" s="242">
        <f>IF('Input overrides'!N173&lt;&gt;"",'Input overrides'!N173,F_Inputs!N217)*Rebasing</f>
        <v>0</v>
      </c>
      <c r="O173" s="242">
        <f>IF('Input overrides'!O173&lt;&gt;"",'Input overrides'!O173,F_Inputs!O217)*Rebasing</f>
        <v>0</v>
      </c>
    </row>
    <row r="174" spans="1:17">
      <c r="A174" t="s">
        <v>54</v>
      </c>
      <c r="B174" t="s">
        <v>81</v>
      </c>
      <c r="C174" t="s">
        <v>137</v>
      </c>
      <c r="D174" t="s">
        <v>74</v>
      </c>
      <c r="E174" t="s">
        <v>182</v>
      </c>
      <c r="F174" s="242">
        <f>IF('Input overrides'!F174&lt;&gt;"",'Input overrides'!F174,F_Inputs!F218)*Rebasing</f>
        <v>0</v>
      </c>
      <c r="G174" s="242">
        <f>IF('Input overrides'!G174&lt;&gt;"",'Input overrides'!G174,F_Inputs!G218)*Rebasing</f>
        <v>0</v>
      </c>
      <c r="H174" s="242">
        <f>IF('Input overrides'!H174&lt;&gt;"",'Input overrides'!H174,F_Inputs!H218)*Rebasing</f>
        <v>0</v>
      </c>
      <c r="I174" s="242">
        <f>IF('Input overrides'!I174&lt;&gt;"",'Input overrides'!I174,F_Inputs!I218)*Rebasing</f>
        <v>0</v>
      </c>
      <c r="J174" s="242">
        <f>IF('Input overrides'!J174&lt;&gt;"",'Input overrides'!J174,F_Inputs!J218)*Rebasing</f>
        <v>0</v>
      </c>
      <c r="K174" s="242">
        <f>IF('Input overrides'!K174&lt;&gt;"",'Input overrides'!K174,F_Inputs!K218)*Rebasing</f>
        <v>0</v>
      </c>
      <c r="L174" s="242">
        <f>IF('Input overrides'!L174&lt;&gt;"",'Input overrides'!L174,F_Inputs!L218)*Rebasing</f>
        <v>0</v>
      </c>
      <c r="M174" s="242">
        <f>IF('Input overrides'!M174&lt;&gt;"",'Input overrides'!M174,F_Inputs!M218)*Rebasing</f>
        <v>0</v>
      </c>
      <c r="N174" s="242">
        <f>IF('Input overrides'!N174&lt;&gt;"",'Input overrides'!N174,F_Inputs!N218)*Rebasing</f>
        <v>0</v>
      </c>
      <c r="O174" s="242">
        <f>IF('Input overrides'!O174&lt;&gt;"",'Input overrides'!O174,F_Inputs!O218)*Rebasing</f>
        <v>0</v>
      </c>
    </row>
    <row r="175" spans="1:17">
      <c r="A175" t="s">
        <v>54</v>
      </c>
      <c r="B175" t="s">
        <v>82</v>
      </c>
      <c r="C175" t="s">
        <v>89</v>
      </c>
      <c r="D175" t="s">
        <v>183</v>
      </c>
      <c r="E175" t="s">
        <v>182</v>
      </c>
      <c r="F175" s="242">
        <f>IF('Input overrides'!F175&lt;&gt;"",'Input overrides'!F175,F_Inputs!F219)</f>
        <v>299.36099999999999</v>
      </c>
      <c r="G175" s="242">
        <f>IF('Input overrides'!G175&lt;&gt;"",'Input overrides'!G175,F_Inputs!G219)</f>
        <v>292.21600000000001</v>
      </c>
      <c r="H175" s="242">
        <f>IF('Input overrides'!H175&lt;&gt;"",'Input overrides'!H175,F_Inputs!H219)</f>
        <v>282.80099999999999</v>
      </c>
      <c r="I175" s="242">
        <f>IF('Input overrides'!I175&lt;&gt;"",'Input overrides'!I175,F_Inputs!I219)</f>
        <v>273.38</v>
      </c>
      <c r="J175" s="242">
        <f>IF('Input overrides'!J175&lt;&gt;"",'Input overrides'!J175,F_Inputs!J219)</f>
        <v>262.25700000000001</v>
      </c>
      <c r="K175" s="518">
        <f>IF('Input overrides'!K175&lt;&gt;"",'Input overrides'!K175,F_Inputs!K219)</f>
        <v>245.697</v>
      </c>
      <c r="L175" s="519">
        <f>IF('Input overrides'!L175&lt;&gt;"",'Input overrides'!L175,F_Inputs!L219)</f>
        <v>226.34200000000001</v>
      </c>
      <c r="M175" s="519">
        <f>IF('Input overrides'!M175&lt;&gt;"",'Input overrides'!M175,F_Inputs!M219)</f>
        <v>208.30199999999999</v>
      </c>
      <c r="N175" s="519">
        <f>IF('Input overrides'!N175&lt;&gt;"",'Input overrides'!N175,F_Inputs!N219)</f>
        <v>191.49700000000001</v>
      </c>
      <c r="O175" s="519">
        <f>IF('Input overrides'!O175&lt;&gt;"",'Input overrides'!O175,F_Inputs!O219)</f>
        <v>175.84700000000001</v>
      </c>
    </row>
    <row r="176" spans="1:17">
      <c r="A176" t="s">
        <v>54</v>
      </c>
      <c r="B176" t="s">
        <v>87</v>
      </c>
      <c r="C176" t="s">
        <v>90</v>
      </c>
      <c r="D176" t="s">
        <v>183</v>
      </c>
      <c r="E176" t="s">
        <v>182</v>
      </c>
      <c r="F176" s="242">
        <f>IF('Input overrides'!F176&lt;&gt;"",'Input overrides'!F176,F_Inputs!F220)</f>
        <v>164.21600000000001</v>
      </c>
      <c r="G176" s="242">
        <f>IF('Input overrides'!G176&lt;&gt;"",'Input overrides'!G176,F_Inputs!G220)</f>
        <v>173.679</v>
      </c>
      <c r="H176" s="242">
        <f>IF('Input overrides'!H176&lt;&gt;"",'Input overrides'!H176,F_Inputs!H220)</f>
        <v>186.376</v>
      </c>
      <c r="I176" s="242">
        <f>IF('Input overrides'!I176&lt;&gt;"",'Input overrides'!I176,F_Inputs!I220)</f>
        <v>199.77</v>
      </c>
      <c r="J176" s="242">
        <f>IF('Input overrides'!J176&lt;&gt;"",'Input overrides'!J176,F_Inputs!J220)</f>
        <v>215.02199999999999</v>
      </c>
      <c r="K176" s="518">
        <f>IF('Input overrides'!K176&lt;&gt;"",'Input overrides'!K176,F_Inputs!K220)</f>
        <v>237.00200000000001</v>
      </c>
      <c r="L176" s="519">
        <f>IF('Input overrides'!L176&lt;&gt;"",'Input overrides'!L176,F_Inputs!L220)</f>
        <v>261.79700000000003</v>
      </c>
      <c r="M176" s="519">
        <f>IF('Input overrides'!M176&lt;&gt;"",'Input overrides'!M176,F_Inputs!M220)</f>
        <v>285.27199999999999</v>
      </c>
      <c r="N176" s="519">
        <f>IF('Input overrides'!N176&lt;&gt;"",'Input overrides'!N176,F_Inputs!N220)</f>
        <v>307.43700000000001</v>
      </c>
      <c r="O176" s="519">
        <f>IF('Input overrides'!O176&lt;&gt;"",'Input overrides'!O176,F_Inputs!O220)</f>
        <v>328.36700000000002</v>
      </c>
    </row>
    <row r="177" spans="1:17">
      <c r="A177" t="s">
        <v>54</v>
      </c>
      <c r="B177" t="s">
        <v>83</v>
      </c>
      <c r="C177" t="s">
        <v>91</v>
      </c>
      <c r="D177" t="s">
        <v>183</v>
      </c>
      <c r="E177" t="s">
        <v>182</v>
      </c>
      <c r="F177" s="242">
        <f>IF('Input overrides'!F177&lt;&gt;"",'Input overrides'!F177,F_Inputs!F221)</f>
        <v>0</v>
      </c>
      <c r="G177" s="242">
        <f>IF('Input overrides'!G177&lt;&gt;"",'Input overrides'!G177,F_Inputs!G221)</f>
        <v>0</v>
      </c>
      <c r="H177" s="242">
        <f>IF('Input overrides'!H177&lt;&gt;"",'Input overrides'!H177,F_Inputs!H221)</f>
        <v>0</v>
      </c>
      <c r="I177" s="242">
        <f>IF('Input overrides'!I177&lt;&gt;"",'Input overrides'!I177,F_Inputs!I221)</f>
        <v>0</v>
      </c>
      <c r="J177" s="242">
        <f>IF('Input overrides'!J177&lt;&gt;"",'Input overrides'!J177,F_Inputs!J221)</f>
        <v>0</v>
      </c>
      <c r="K177" s="518">
        <f>IF('Input overrides'!K177&lt;&gt;"",'Input overrides'!K177,F_Inputs!K221)</f>
        <v>0</v>
      </c>
      <c r="L177" s="519">
        <f>IF('Input overrides'!L177&lt;&gt;"",'Input overrides'!L177,F_Inputs!L221)</f>
        <v>0</v>
      </c>
      <c r="M177" s="519">
        <f>IF('Input overrides'!M177&lt;&gt;"",'Input overrides'!M177,F_Inputs!M221)</f>
        <v>0</v>
      </c>
      <c r="N177" s="519">
        <f>IF('Input overrides'!N177&lt;&gt;"",'Input overrides'!N177,F_Inputs!N221)</f>
        <v>0</v>
      </c>
      <c r="O177" s="519">
        <f>IF('Input overrides'!O177&lt;&gt;"",'Input overrides'!O177,F_Inputs!O221)</f>
        <v>0</v>
      </c>
    </row>
    <row r="178" spans="1:17">
      <c r="A178" t="s">
        <v>54</v>
      </c>
      <c r="B178" t="s">
        <v>84</v>
      </c>
      <c r="C178" t="s">
        <v>92</v>
      </c>
      <c r="D178" t="s">
        <v>183</v>
      </c>
      <c r="E178" t="s">
        <v>182</v>
      </c>
      <c r="F178" s="242">
        <f>IF('Input overrides'!F178&lt;&gt;"",'Input overrides'!F178,F_Inputs!F222)</f>
        <v>0</v>
      </c>
      <c r="G178" s="242">
        <f>IF('Input overrides'!G178&lt;&gt;"",'Input overrides'!G178,F_Inputs!G222)</f>
        <v>0</v>
      </c>
      <c r="H178" s="242">
        <f>IF('Input overrides'!H178&lt;&gt;"",'Input overrides'!H178,F_Inputs!H222)</f>
        <v>0</v>
      </c>
      <c r="I178" s="242">
        <f>IF('Input overrides'!I178&lt;&gt;"",'Input overrides'!I178,F_Inputs!I222)</f>
        <v>0</v>
      </c>
      <c r="J178" s="242">
        <f>IF('Input overrides'!J178&lt;&gt;"",'Input overrides'!J178,F_Inputs!J222)</f>
        <v>0</v>
      </c>
      <c r="K178" s="518">
        <f>IF('Input overrides'!K178&lt;&gt;"",'Input overrides'!K178,F_Inputs!K222)</f>
        <v>0</v>
      </c>
      <c r="L178" s="519">
        <f>IF('Input overrides'!L178&lt;&gt;"",'Input overrides'!L178,F_Inputs!L222)</f>
        <v>0</v>
      </c>
      <c r="M178" s="519">
        <f>IF('Input overrides'!M178&lt;&gt;"",'Input overrides'!M178,F_Inputs!M222)</f>
        <v>0</v>
      </c>
      <c r="N178" s="519">
        <f>IF('Input overrides'!N178&lt;&gt;"",'Input overrides'!N178,F_Inputs!N222)</f>
        <v>0</v>
      </c>
      <c r="O178" s="519">
        <f>IF('Input overrides'!O178&lt;&gt;"",'Input overrides'!O178,F_Inputs!O222)</f>
        <v>0</v>
      </c>
    </row>
    <row r="179" spans="1:17">
      <c r="A179" t="s">
        <v>54</v>
      </c>
      <c r="B179" t="s">
        <v>85</v>
      </c>
      <c r="C179" t="s">
        <v>93</v>
      </c>
      <c r="D179" t="s">
        <v>183</v>
      </c>
      <c r="E179" t="s">
        <v>182</v>
      </c>
      <c r="F179" s="242">
        <f>IF('Input overrides'!F179&lt;&gt;"",'Input overrides'!F179,F_Inputs!F223)</f>
        <v>0</v>
      </c>
      <c r="G179" s="242">
        <f>IF('Input overrides'!G179&lt;&gt;"",'Input overrides'!G179,F_Inputs!G223)</f>
        <v>0</v>
      </c>
      <c r="H179" s="242">
        <f>IF('Input overrides'!H179&lt;&gt;"",'Input overrides'!H179,F_Inputs!H223)</f>
        <v>0</v>
      </c>
      <c r="I179" s="242">
        <f>IF('Input overrides'!I179&lt;&gt;"",'Input overrides'!I179,F_Inputs!I223)</f>
        <v>0</v>
      </c>
      <c r="J179" s="242">
        <f>IF('Input overrides'!J179&lt;&gt;"",'Input overrides'!J179,F_Inputs!J223)</f>
        <v>0</v>
      </c>
      <c r="K179" s="518">
        <f>IF('Input overrides'!K179&lt;&gt;"",'Input overrides'!K179,F_Inputs!K223)</f>
        <v>0</v>
      </c>
      <c r="L179" s="519">
        <f>IF('Input overrides'!L179&lt;&gt;"",'Input overrides'!L179,F_Inputs!L223)</f>
        <v>0</v>
      </c>
      <c r="M179" s="519">
        <f>IF('Input overrides'!M179&lt;&gt;"",'Input overrides'!M179,F_Inputs!M223)</f>
        <v>0</v>
      </c>
      <c r="N179" s="519">
        <f>IF('Input overrides'!N179&lt;&gt;"",'Input overrides'!N179,F_Inputs!N223)</f>
        <v>0</v>
      </c>
      <c r="O179" s="519">
        <f>IF('Input overrides'!O179&lt;&gt;"",'Input overrides'!O179,F_Inputs!O223)</f>
        <v>0</v>
      </c>
    </row>
    <row r="180" spans="1:17">
      <c r="A180" t="s">
        <v>54</v>
      </c>
      <c r="B180" t="s">
        <v>86</v>
      </c>
      <c r="C180" t="s">
        <v>94</v>
      </c>
      <c r="D180" t="s">
        <v>183</v>
      </c>
      <c r="E180" t="s">
        <v>182</v>
      </c>
      <c r="F180" s="242">
        <f>IF('Input overrides'!F180&lt;&gt;"",'Input overrides'!F180,F_Inputs!F224)</f>
        <v>0</v>
      </c>
      <c r="G180" s="242">
        <f>IF('Input overrides'!G180&lt;&gt;"",'Input overrides'!G180,F_Inputs!G224)</f>
        <v>0</v>
      </c>
      <c r="H180" s="242">
        <f>IF('Input overrides'!H180&lt;&gt;"",'Input overrides'!H180,F_Inputs!H224)</f>
        <v>0</v>
      </c>
      <c r="I180" s="242">
        <f>IF('Input overrides'!I180&lt;&gt;"",'Input overrides'!I180,F_Inputs!I224)</f>
        <v>0</v>
      </c>
      <c r="J180" s="242">
        <f>IF('Input overrides'!J180&lt;&gt;"",'Input overrides'!J180,F_Inputs!J224)</f>
        <v>0</v>
      </c>
      <c r="K180" s="518">
        <f>IF('Input overrides'!K180&lt;&gt;"",'Input overrides'!K180,F_Inputs!K224)</f>
        <v>0</v>
      </c>
      <c r="L180" s="519">
        <f>IF('Input overrides'!L180&lt;&gt;"",'Input overrides'!L180,F_Inputs!L224)</f>
        <v>0</v>
      </c>
      <c r="M180" s="519">
        <f>IF('Input overrides'!M180&lt;&gt;"",'Input overrides'!M180,F_Inputs!M224)</f>
        <v>0</v>
      </c>
      <c r="N180" s="519">
        <f>IF('Input overrides'!N180&lt;&gt;"",'Input overrides'!N180,F_Inputs!N224)</f>
        <v>0</v>
      </c>
      <c r="O180" s="519">
        <f>IF('Input overrides'!O180&lt;&gt;"",'Input overrides'!O180,F_Inputs!O224)</f>
        <v>0</v>
      </c>
    </row>
    <row r="181" spans="1:17">
      <c r="A181" t="s">
        <v>54</v>
      </c>
      <c r="B181" t="s">
        <v>174</v>
      </c>
      <c r="C181" t="s">
        <v>184</v>
      </c>
      <c r="D181" t="s">
        <v>74</v>
      </c>
      <c r="E181" t="s">
        <v>182</v>
      </c>
      <c r="F181" s="242">
        <f>IF('Input overrides'!F181&lt;&gt;"",'Input overrides'!F181,F_Inputs!F225)*Rebasing</f>
        <v>0</v>
      </c>
      <c r="G181" s="242">
        <f>IF('Input overrides'!G181&lt;&gt;"",'Input overrides'!G181,F_Inputs!G225)*Rebasing</f>
        <v>0</v>
      </c>
      <c r="H181" s="242">
        <f>IF('Input overrides'!H181&lt;&gt;"",'Input overrides'!H181,F_Inputs!H225)*Rebasing</f>
        <v>0</v>
      </c>
      <c r="I181" s="242">
        <f>IF('Input overrides'!I181&lt;&gt;"",'Input overrides'!I181,F_Inputs!I225)*Rebasing</f>
        <v>0</v>
      </c>
      <c r="J181" s="242">
        <f>IF('Input overrides'!J181&lt;&gt;"",'Input overrides'!J181,F_Inputs!J225)*Rebasing</f>
        <v>0</v>
      </c>
      <c r="K181" s="242">
        <f>IF('Input overrides'!K181&lt;&gt;"",'Input overrides'!K181,F_Inputs!K225)*Rebasing</f>
        <v>0</v>
      </c>
      <c r="L181" s="242">
        <f>IF('Input overrides'!L181&lt;&gt;"",'Input overrides'!L181,F_Inputs!L225)*Rebasing</f>
        <v>0</v>
      </c>
      <c r="M181" s="242">
        <f>IF('Input overrides'!M181&lt;&gt;"",'Input overrides'!M181,F_Inputs!M225)*Rebasing</f>
        <v>0</v>
      </c>
      <c r="N181" s="242">
        <f>IF('Input overrides'!N181&lt;&gt;"",'Input overrides'!N181,F_Inputs!N225)*Rebasing</f>
        <v>0</v>
      </c>
      <c r="O181" s="242">
        <f>IF('Input overrides'!O181&lt;&gt;"",'Input overrides'!O181,F_Inputs!O225)*Rebasing</f>
        <v>0</v>
      </c>
    </row>
    <row r="182" spans="1:17">
      <c r="A182" t="s">
        <v>54</v>
      </c>
      <c r="B182" t="s">
        <v>156</v>
      </c>
      <c r="C182" t="s">
        <v>157</v>
      </c>
      <c r="D182" t="s">
        <v>74</v>
      </c>
      <c r="E182" t="s">
        <v>182</v>
      </c>
      <c r="F182" s="242">
        <f>IF('Input overrides'!F182&lt;&gt;"",'Input overrides'!F182,F_Inputs!F226)*Rebasing</f>
        <v>0.1574137120670277</v>
      </c>
      <c r="G182" s="242">
        <f>IF('Input overrides'!G182&lt;&gt;"",'Input overrides'!G182,F_Inputs!G226)*Rebasing</f>
        <v>8.6402637512346309E-2</v>
      </c>
      <c r="H182" s="242">
        <f>IF('Input overrides'!H182&lt;&gt;"",'Input overrides'!H182,F_Inputs!H226)*Rebasing</f>
        <v>7.2060499301794909E-2</v>
      </c>
      <c r="I182" s="242">
        <f>IF('Input overrides'!I182&lt;&gt;"",'Input overrides'!I182,F_Inputs!I226)*Rebasing</f>
        <v>0.97843424951466229</v>
      </c>
      <c r="J182" s="242">
        <f>IF('Input overrides'!J182&lt;&gt;"",'Input overrides'!J182,F_Inputs!J226)*Rebasing</f>
        <v>0.48180368510640226</v>
      </c>
      <c r="K182" s="242">
        <f>IF('Input overrides'!K182&lt;&gt;"",'Input overrides'!K182,F_Inputs!K226)*Rebasing</f>
        <v>0.6463998207151761</v>
      </c>
      <c r="L182" s="242">
        <f>IF('Input overrides'!L182&lt;&gt;"",'Input overrides'!L182,F_Inputs!L226)*Rebasing</f>
        <v>0.83853379717082932</v>
      </c>
      <c r="M182" s="242">
        <f>IF('Input overrides'!M182&lt;&gt;"",'Input overrides'!M182,F_Inputs!M226)*Rebasing</f>
        <v>1.0451276737228996</v>
      </c>
      <c r="N182" s="242">
        <f>IF('Input overrides'!N182&lt;&gt;"",'Input overrides'!N182,F_Inputs!N226)*Rebasing</f>
        <v>1.2660575941593641</v>
      </c>
      <c r="O182" s="242">
        <f>IF('Input overrides'!O182&lt;&gt;"",'Input overrides'!O182,F_Inputs!O226)*Rebasing</f>
        <v>1.5010982331417249</v>
      </c>
    </row>
    <row r="183" spans="1:17">
      <c r="A183" t="s">
        <v>54</v>
      </c>
      <c r="B183" t="s">
        <v>159</v>
      </c>
      <c r="C183" t="s">
        <v>158</v>
      </c>
      <c r="D183" t="s">
        <v>74</v>
      </c>
      <c r="E183" t="s">
        <v>182</v>
      </c>
      <c r="F183" s="242">
        <f>IF('Input overrides'!F183&lt;&gt;"",'Input overrides'!F183,F_Inputs!F227)*Rebasing</f>
        <v>0</v>
      </c>
      <c r="G183" s="242">
        <f>IF('Input overrides'!G183&lt;&gt;"",'Input overrides'!G183,F_Inputs!G227)*Rebasing</f>
        <v>0</v>
      </c>
      <c r="H183" s="242">
        <f>IF('Input overrides'!H183&lt;&gt;"",'Input overrides'!H183,F_Inputs!H227)*Rebasing</f>
        <v>0</v>
      </c>
      <c r="I183" s="242">
        <f>IF('Input overrides'!I183&lt;&gt;"",'Input overrides'!I183,F_Inputs!I227)*Rebasing</f>
        <v>0</v>
      </c>
      <c r="J183" s="242">
        <f>IF('Input overrides'!J183&lt;&gt;"",'Input overrides'!J183,F_Inputs!J227)*Rebasing</f>
        <v>0</v>
      </c>
      <c r="K183" s="242">
        <f>IF('Input overrides'!K183&lt;&gt;"",'Input overrides'!K183,F_Inputs!K227)*Rebasing</f>
        <v>0</v>
      </c>
      <c r="L183" s="242">
        <f>IF('Input overrides'!L183&lt;&gt;"",'Input overrides'!L183,F_Inputs!L227)*Rebasing</f>
        <v>0</v>
      </c>
      <c r="M183" s="242">
        <f>IF('Input overrides'!M183&lt;&gt;"",'Input overrides'!M183,F_Inputs!M227)*Rebasing</f>
        <v>0</v>
      </c>
      <c r="N183" s="242">
        <f>IF('Input overrides'!N183&lt;&gt;"",'Input overrides'!N183,F_Inputs!N227)*Rebasing</f>
        <v>0</v>
      </c>
      <c r="O183" s="242">
        <f>IF('Input overrides'!O183&lt;&gt;"",'Input overrides'!O183,F_Inputs!O227)*Rebasing</f>
        <v>0</v>
      </c>
    </row>
    <row r="184" spans="1:17">
      <c r="A184" t="s">
        <v>66</v>
      </c>
      <c r="B184" t="s">
        <v>78</v>
      </c>
      <c r="C184" t="s">
        <v>132</v>
      </c>
      <c r="D184" t="s">
        <v>74</v>
      </c>
      <c r="E184" t="s">
        <v>182</v>
      </c>
      <c r="F184" s="242">
        <f>IF('Input overrides'!F184&lt;&gt;"",'Input overrides'!F184,F_Inputs!F232)*Rebasing</f>
        <v>13.146911396696831</v>
      </c>
      <c r="G184" s="242">
        <f>IF('Input overrides'!G184&lt;&gt;"",'Input overrides'!G184,F_Inputs!G232)*Rebasing</f>
        <v>12.389752520530354</v>
      </c>
      <c r="H184" s="242">
        <f>IF('Input overrides'!H184&lt;&gt;"",'Input overrides'!H184,F_Inputs!H232)*Rebasing</f>
        <v>13.729337908065293</v>
      </c>
      <c r="I184" s="242">
        <f ca="1">IF('Input overrides'!I184&lt;&gt;"",'Input overrides'!I184,F_Inputs!I232)*Rebasing</f>
        <v>13.722970409762651</v>
      </c>
      <c r="J184" s="242">
        <f>IF('Input overrides'!J184&lt;&gt;"",'Input overrides'!J184,F_Inputs!J232)*Rebasing</f>
        <v>12.964774199921823</v>
      </c>
      <c r="K184" s="242">
        <f ca="1">IF('Input overrides'!K184&lt;&gt;"",'Input overrides'!K184,F_Inputs!K232)*Rebasing</f>
        <v>13.993608596781998</v>
      </c>
      <c r="L184" s="242">
        <f ca="1">IF('Input overrides'!L184&lt;&gt;"",'Input overrides'!L184,F_Inputs!L232)*Rebasing</f>
        <v>14.131472684983999</v>
      </c>
      <c r="M184" s="242">
        <f ca="1">IF('Input overrides'!M184&lt;&gt;"",'Input overrides'!M184,F_Inputs!M232)*Rebasing</f>
        <v>14.271751031220774</v>
      </c>
      <c r="N184" s="242">
        <f ca="1">IF('Input overrides'!N184&lt;&gt;"",'Input overrides'!N184,F_Inputs!N232)*Rebasing</f>
        <v>14.413518209729252</v>
      </c>
      <c r="O184" s="242">
        <f ca="1">IF('Input overrides'!O184&lt;&gt;"",'Input overrides'!O184,F_Inputs!O232)*Rebasing</f>
        <v>14.556273384917079</v>
      </c>
      <c r="Q184" s="242"/>
    </row>
    <row r="185" spans="1:17">
      <c r="A185" t="s">
        <v>66</v>
      </c>
      <c r="B185" t="s">
        <v>97</v>
      </c>
      <c r="C185" t="s">
        <v>99</v>
      </c>
      <c r="D185" t="s">
        <v>74</v>
      </c>
      <c r="E185" t="s">
        <v>182</v>
      </c>
      <c r="F185" s="242">
        <f>IF('Input overrides'!F185&lt;&gt;"",'Input overrides'!F185,F_Inputs!F233)*Rebasing</f>
        <v>0.1547796902877169</v>
      </c>
      <c r="G185" s="242">
        <f>IF('Input overrides'!G185&lt;&gt;"",'Input overrides'!G185,F_Inputs!G233)*Rebasing</f>
        <v>0.2296735404061758</v>
      </c>
      <c r="H185" s="242">
        <f>IF('Input overrides'!H185&lt;&gt;"",'Input overrides'!H185,F_Inputs!H233)*Rebasing</f>
        <v>0.39600067124297617</v>
      </c>
      <c r="I185" s="242">
        <f>IF('Input overrides'!I185&lt;&gt;"",'Input overrides'!I185,F_Inputs!I233)*Rebasing</f>
        <v>1.749173653716998</v>
      </c>
      <c r="J185" s="242">
        <f>IF('Input overrides'!J185&lt;&gt;"",'Input overrides'!J185,F_Inputs!J233)*Rebasing</f>
        <v>0.97686208885044745</v>
      </c>
      <c r="K185" s="242">
        <f>IF('Input overrides'!K185&lt;&gt;"",'Input overrides'!K185,F_Inputs!K233)*Rebasing</f>
        <v>2.4451275815412465</v>
      </c>
      <c r="L185" s="242">
        <f>IF('Input overrides'!L185&lt;&gt;"",'Input overrides'!L185,F_Inputs!L233)*Rebasing</f>
        <v>2.167317702642396</v>
      </c>
      <c r="M185" s="242">
        <f>IF('Input overrides'!M185&lt;&gt;"",'Input overrides'!M185,F_Inputs!M233)*Rebasing</f>
        <v>1.649270623723351</v>
      </c>
      <c r="N185" s="242">
        <f>IF('Input overrides'!N185&lt;&gt;"",'Input overrides'!N185,F_Inputs!N233)*Rebasing</f>
        <v>0.81212510552192918</v>
      </c>
      <c r="O185" s="242">
        <f>IF('Input overrides'!O185&lt;&gt;"",'Input overrides'!O185,F_Inputs!O233)*Rebasing</f>
        <v>0.27091826606750635</v>
      </c>
    </row>
    <row r="186" spans="1:17">
      <c r="A186" t="s">
        <v>66</v>
      </c>
      <c r="B186" t="s">
        <v>98</v>
      </c>
      <c r="C186" t="s">
        <v>100</v>
      </c>
      <c r="D186" t="s">
        <v>74</v>
      </c>
      <c r="E186" t="s">
        <v>182</v>
      </c>
      <c r="F186" s="242">
        <f>IF('Input overrides'!F186&lt;&gt;"",'Input overrides'!F186,F_Inputs!F234)*Rebasing</f>
        <v>0</v>
      </c>
      <c r="G186" s="242">
        <f>IF('Input overrides'!G186&lt;&gt;"",'Input overrides'!G186,F_Inputs!G234)*Rebasing</f>
        <v>0</v>
      </c>
      <c r="H186" s="242">
        <f>IF('Input overrides'!H186&lt;&gt;"",'Input overrides'!H186,F_Inputs!H234)*Rebasing</f>
        <v>0</v>
      </c>
      <c r="I186" s="242">
        <f>IF('Input overrides'!I186&lt;&gt;"",'Input overrides'!I186,F_Inputs!I234)*Rebasing</f>
        <v>0</v>
      </c>
      <c r="J186" s="242">
        <f>IF('Input overrides'!J186&lt;&gt;"",'Input overrides'!J186,F_Inputs!J234)*Rebasing</f>
        <v>0</v>
      </c>
      <c r="K186" s="242">
        <f>IF('Input overrides'!K186&lt;&gt;"",'Input overrides'!K186,F_Inputs!K234)*Rebasing</f>
        <v>0.21528551325353446</v>
      </c>
      <c r="L186" s="242">
        <f>IF('Input overrides'!L186&lt;&gt;"",'Input overrides'!L186,F_Inputs!L234)*Rebasing</f>
        <v>0.42442597208805521</v>
      </c>
      <c r="M186" s="242">
        <f>IF('Input overrides'!M186&lt;&gt;"",'Input overrides'!M186,F_Inputs!M234)*Rebasing</f>
        <v>0.64401307139020736</v>
      </c>
      <c r="N186" s="242">
        <f>IF('Input overrides'!N186&lt;&gt;"",'Input overrides'!N186,F_Inputs!N234)*Rebasing</f>
        <v>0.84332546650856943</v>
      </c>
      <c r="O186" s="242">
        <f>IF('Input overrides'!O186&lt;&gt;"",'Input overrides'!O186,F_Inputs!O234)*Rebasing</f>
        <v>0.9821440632926044</v>
      </c>
    </row>
    <row r="187" spans="1:17">
      <c r="A187" t="s">
        <v>66</v>
      </c>
      <c r="B187" t="s">
        <v>79</v>
      </c>
      <c r="C187" t="s">
        <v>135</v>
      </c>
      <c r="D187" t="s">
        <v>74</v>
      </c>
      <c r="E187" t="s">
        <v>182</v>
      </c>
      <c r="F187" s="242">
        <f>IF('Input overrides'!F187&lt;&gt;"",'Input overrides'!F187,F_Inputs!F235)*Rebasing</f>
        <v>1.1090952958991671</v>
      </c>
      <c r="G187" s="242">
        <f>IF('Input overrides'!G187&lt;&gt;"",'Input overrides'!G187,F_Inputs!G235)*Rebasing</f>
        <v>1.2085157575792584</v>
      </c>
      <c r="H187" s="242">
        <f>IF('Input overrides'!H187&lt;&gt;"",'Input overrides'!H187,F_Inputs!H235)*Rebasing</f>
        <v>1.2033728461113993</v>
      </c>
      <c r="I187" s="242">
        <f>IF('Input overrides'!I187&lt;&gt;"",'Input overrides'!I187,F_Inputs!I235)*Rebasing</f>
        <v>1.2570188508196909</v>
      </c>
      <c r="J187" s="242">
        <f>IF('Input overrides'!J187&lt;&gt;"",'Input overrides'!J187,F_Inputs!J235)*Rebasing</f>
        <v>1.3204371257228968</v>
      </c>
      <c r="K187" s="242">
        <f>IF('Input overrides'!K187&lt;&gt;"",'Input overrides'!K187,F_Inputs!K235)*Rebasing</f>
        <v>1.5223834079666438</v>
      </c>
      <c r="L187" s="242">
        <f>IF('Input overrides'!L187&lt;&gt;"",'Input overrides'!L187,F_Inputs!L235)*Rebasing</f>
        <v>1.5908419653262422</v>
      </c>
      <c r="M187" s="242">
        <f>IF('Input overrides'!M187&lt;&gt;"",'Input overrides'!M187,F_Inputs!M235)*Rebasing</f>
        <v>1.6601712038053156</v>
      </c>
      <c r="N187" s="242">
        <f>IF('Input overrides'!N187&lt;&gt;"",'Input overrides'!N187,F_Inputs!N235)*Rebasing</f>
        <v>1.7302685881353899</v>
      </c>
      <c r="O187" s="242">
        <f>IF('Input overrides'!O187&lt;&gt;"",'Input overrides'!O187,F_Inputs!O235)*Rebasing</f>
        <v>1.8008331378208624</v>
      </c>
    </row>
    <row r="188" spans="1:17">
      <c r="A188" t="s">
        <v>66</v>
      </c>
      <c r="B188" t="s">
        <v>80</v>
      </c>
      <c r="C188" t="s">
        <v>136</v>
      </c>
      <c r="D188" t="s">
        <v>74</v>
      </c>
      <c r="E188" t="s">
        <v>182</v>
      </c>
      <c r="F188" s="242">
        <f>IF('Input overrides'!F188&lt;&gt;"",'Input overrides'!F188,F_Inputs!F236)*Rebasing</f>
        <v>0</v>
      </c>
      <c r="G188" s="242">
        <f>IF('Input overrides'!G188&lt;&gt;"",'Input overrides'!G188,F_Inputs!G236)*Rebasing</f>
        <v>0</v>
      </c>
      <c r="H188" s="242">
        <f>IF('Input overrides'!H188&lt;&gt;"",'Input overrides'!H188,F_Inputs!H236)*Rebasing</f>
        <v>0</v>
      </c>
      <c r="I188" s="242">
        <f>IF('Input overrides'!I188&lt;&gt;"",'Input overrides'!I188,F_Inputs!I236)*Rebasing</f>
        <v>0</v>
      </c>
      <c r="J188" s="242">
        <f>IF('Input overrides'!J188&lt;&gt;"",'Input overrides'!J188,F_Inputs!J236)*Rebasing</f>
        <v>0</v>
      </c>
      <c r="K188" s="242">
        <f>IF('Input overrides'!K188&lt;&gt;"",'Input overrides'!K188,F_Inputs!K236)*Rebasing</f>
        <v>0</v>
      </c>
      <c r="L188" s="242">
        <f>IF('Input overrides'!L188&lt;&gt;"",'Input overrides'!L188,F_Inputs!L236)*Rebasing</f>
        <v>0</v>
      </c>
      <c r="M188" s="242">
        <f>IF('Input overrides'!M188&lt;&gt;"",'Input overrides'!M188,F_Inputs!M236)*Rebasing</f>
        <v>0</v>
      </c>
      <c r="N188" s="242">
        <f>IF('Input overrides'!N188&lt;&gt;"",'Input overrides'!N188,F_Inputs!N236)*Rebasing</f>
        <v>0</v>
      </c>
      <c r="O188" s="242">
        <f>IF('Input overrides'!O188&lt;&gt;"",'Input overrides'!O188,F_Inputs!O236)*Rebasing</f>
        <v>0</v>
      </c>
    </row>
    <row r="189" spans="1:17">
      <c r="A189" t="s">
        <v>66</v>
      </c>
      <c r="B189" t="s">
        <v>81</v>
      </c>
      <c r="C189" t="s">
        <v>137</v>
      </c>
      <c r="D189" t="s">
        <v>74</v>
      </c>
      <c r="E189" t="s">
        <v>182</v>
      </c>
      <c r="F189" s="242">
        <f>IF('Input overrides'!F189&lt;&gt;"",'Input overrides'!F189,F_Inputs!F237)*Rebasing</f>
        <v>0</v>
      </c>
      <c r="G189" s="242">
        <f>IF('Input overrides'!G189&lt;&gt;"",'Input overrides'!G189,F_Inputs!G237)*Rebasing</f>
        <v>0</v>
      </c>
      <c r="H189" s="242">
        <f>IF('Input overrides'!H189&lt;&gt;"",'Input overrides'!H189,F_Inputs!H237)*Rebasing</f>
        <v>0</v>
      </c>
      <c r="I189" s="242">
        <f>IF('Input overrides'!I189&lt;&gt;"",'Input overrides'!I189,F_Inputs!I237)*Rebasing</f>
        <v>0</v>
      </c>
      <c r="J189" s="242">
        <f>IF('Input overrides'!J189&lt;&gt;"",'Input overrides'!J189,F_Inputs!J237)*Rebasing</f>
        <v>0</v>
      </c>
      <c r="K189" s="242">
        <f>IF('Input overrides'!K189&lt;&gt;"",'Input overrides'!K189,F_Inputs!K237)*Rebasing</f>
        <v>0</v>
      </c>
      <c r="L189" s="242">
        <f>IF('Input overrides'!L189&lt;&gt;"",'Input overrides'!L189,F_Inputs!L237)*Rebasing</f>
        <v>0</v>
      </c>
      <c r="M189" s="242">
        <f>IF('Input overrides'!M189&lt;&gt;"",'Input overrides'!M189,F_Inputs!M237)*Rebasing</f>
        <v>0</v>
      </c>
      <c r="N189" s="242">
        <f>IF('Input overrides'!N189&lt;&gt;"",'Input overrides'!N189,F_Inputs!N237)*Rebasing</f>
        <v>0</v>
      </c>
      <c r="O189" s="242">
        <f>IF('Input overrides'!O189&lt;&gt;"",'Input overrides'!O189,F_Inputs!O237)*Rebasing</f>
        <v>0</v>
      </c>
    </row>
    <row r="190" spans="1:17">
      <c r="A190" t="s">
        <v>66</v>
      </c>
      <c r="B190" t="s">
        <v>82</v>
      </c>
      <c r="C190" t="s">
        <v>89</v>
      </c>
      <c r="D190" t="s">
        <v>183</v>
      </c>
      <c r="E190" t="s">
        <v>182</v>
      </c>
      <c r="F190" s="242">
        <f>IF('Input overrides'!F190&lt;&gt;"",'Input overrides'!F190,F_Inputs!F238)</f>
        <v>425.62299999999999</v>
      </c>
      <c r="G190" s="242">
        <f>IF('Input overrides'!G190&lt;&gt;"",'Input overrides'!G190,F_Inputs!G238)</f>
        <v>418.05099999999999</v>
      </c>
      <c r="H190" s="242">
        <f>IF('Input overrides'!H190&lt;&gt;"",'Input overrides'!H190,F_Inputs!H238)</f>
        <v>409.68950000000001</v>
      </c>
      <c r="I190" s="242">
        <f>IF('Input overrides'!I190&lt;&gt;"",'Input overrides'!I190,F_Inputs!I238)</f>
        <v>399.58100000000002</v>
      </c>
      <c r="J190" s="242">
        <f>IF('Input overrides'!J190&lt;&gt;"",'Input overrides'!J190,F_Inputs!J238)</f>
        <v>390.82236157773701</v>
      </c>
      <c r="K190" s="518">
        <f>IF('Input overrides'!K190&lt;&gt;"",'Input overrides'!K190,F_Inputs!K238)</f>
        <v>382.21011365547298</v>
      </c>
      <c r="L190" s="519">
        <f>IF('Input overrides'!L190&lt;&gt;"",'Input overrides'!L190,F_Inputs!L238)</f>
        <v>373.758191524258</v>
      </c>
      <c r="M190" s="519">
        <f>IF('Input overrides'!M190&lt;&gt;"",'Input overrides'!M190,F_Inputs!M238)</f>
        <v>365.31908753388802</v>
      </c>
      <c r="N190" s="519">
        <f>IF('Input overrides'!N190&lt;&gt;"",'Input overrides'!N190,F_Inputs!N238)</f>
        <v>356.88434314554598</v>
      </c>
      <c r="O190" s="519">
        <f>IF('Input overrides'!O190&lt;&gt;"",'Input overrides'!O190,F_Inputs!O238)</f>
        <v>348.45607453592498</v>
      </c>
    </row>
    <row r="191" spans="1:17">
      <c r="A191" t="s">
        <v>66</v>
      </c>
      <c r="B191" t="s">
        <v>87</v>
      </c>
      <c r="C191" t="s">
        <v>90</v>
      </c>
      <c r="D191" t="s">
        <v>183</v>
      </c>
      <c r="E191" t="s">
        <v>182</v>
      </c>
      <c r="F191" s="242">
        <f>IF('Input overrides'!F191&lt;&gt;"",'Input overrides'!F191,F_Inputs!F239)</f>
        <v>206.48699999999999</v>
      </c>
      <c r="G191" s="242">
        <f>IF('Input overrides'!G191&lt;&gt;"",'Input overrides'!G191,F_Inputs!G239)</f>
        <v>221.50200000000001</v>
      </c>
      <c r="H191" s="242">
        <f>IF('Input overrides'!H191&lt;&gt;"",'Input overrides'!H191,F_Inputs!H239)</f>
        <v>233.29300000000001</v>
      </c>
      <c r="I191" s="242">
        <f>IF('Input overrides'!I191&lt;&gt;"",'Input overrides'!I191,F_Inputs!I239)</f>
        <v>248.7355</v>
      </c>
      <c r="J191" s="242">
        <f>IF('Input overrides'!J191&lt;&gt;"",'Input overrides'!J191,F_Inputs!J239)</f>
        <v>260.50471342226302</v>
      </c>
      <c r="K191" s="518">
        <f>IF('Input overrides'!K191&lt;&gt;"",'Input overrides'!K191,F_Inputs!K239)</f>
        <v>272.14275809452602</v>
      </c>
      <c r="L191" s="519">
        <f>IF('Input overrides'!L191&lt;&gt;"",'Input overrides'!L191,F_Inputs!L239)</f>
        <v>284.30728168407501</v>
      </c>
      <c r="M191" s="519">
        <f>IF('Input overrides'!M191&lt;&gt;"",'Input overrides'!M191,F_Inputs!M239)</f>
        <v>296.63267057027798</v>
      </c>
      <c r="N191" s="519">
        <f>IF('Input overrides'!N191&lt;&gt;"",'Input overrides'!N191,F_Inputs!N239)</f>
        <v>309.10801907320399</v>
      </c>
      <c r="O191" s="519">
        <f>IF('Input overrides'!O191&lt;&gt;"",'Input overrides'!O191,F_Inputs!O239)</f>
        <v>321.67376140678402</v>
      </c>
    </row>
    <row r="192" spans="1:17">
      <c r="A192" t="s">
        <v>66</v>
      </c>
      <c r="B192" t="s">
        <v>83</v>
      </c>
      <c r="C192" t="s">
        <v>91</v>
      </c>
      <c r="D192" t="s">
        <v>183</v>
      </c>
      <c r="E192" t="s">
        <v>182</v>
      </c>
      <c r="F192" s="242">
        <f>IF('Input overrides'!F192&lt;&gt;"",'Input overrides'!F192,F_Inputs!F240)</f>
        <v>0</v>
      </c>
      <c r="G192" s="242">
        <f>IF('Input overrides'!G192&lt;&gt;"",'Input overrides'!G192,F_Inputs!G240)</f>
        <v>0</v>
      </c>
      <c r="H192" s="242">
        <f>IF('Input overrides'!H192&lt;&gt;"",'Input overrides'!H192,F_Inputs!H240)</f>
        <v>0</v>
      </c>
      <c r="I192" s="242">
        <f>IF('Input overrides'!I192&lt;&gt;"",'Input overrides'!I192,F_Inputs!I240)</f>
        <v>0</v>
      </c>
      <c r="J192" s="242">
        <f>IF('Input overrides'!J192&lt;&gt;"",'Input overrides'!J192,F_Inputs!J240)</f>
        <v>0</v>
      </c>
      <c r="K192" s="518">
        <f>IF('Input overrides'!K192&lt;&gt;"",'Input overrides'!K192,F_Inputs!K240)</f>
        <v>0</v>
      </c>
      <c r="L192" s="519">
        <f>IF('Input overrides'!L192&lt;&gt;"",'Input overrides'!L192,F_Inputs!L240)</f>
        <v>0</v>
      </c>
      <c r="M192" s="519">
        <f>IF('Input overrides'!M192&lt;&gt;"",'Input overrides'!M192,F_Inputs!M240)</f>
        <v>0</v>
      </c>
      <c r="N192" s="519">
        <f>IF('Input overrides'!N192&lt;&gt;"",'Input overrides'!N192,F_Inputs!N240)</f>
        <v>0</v>
      </c>
      <c r="O192" s="519">
        <f>IF('Input overrides'!O192&lt;&gt;"",'Input overrides'!O192,F_Inputs!O240)</f>
        <v>0</v>
      </c>
    </row>
    <row r="193" spans="1:17">
      <c r="A193" t="s">
        <v>66</v>
      </c>
      <c r="B193" t="s">
        <v>84</v>
      </c>
      <c r="C193" t="s">
        <v>92</v>
      </c>
      <c r="D193" t="s">
        <v>183</v>
      </c>
      <c r="E193" t="s">
        <v>182</v>
      </c>
      <c r="F193" s="242">
        <f>IF('Input overrides'!F193&lt;&gt;"",'Input overrides'!F193,F_Inputs!F241)</f>
        <v>0</v>
      </c>
      <c r="G193" s="242">
        <f>IF('Input overrides'!G193&lt;&gt;"",'Input overrides'!G193,F_Inputs!G241)</f>
        <v>0</v>
      </c>
      <c r="H193" s="242">
        <f>IF('Input overrides'!H193&lt;&gt;"",'Input overrides'!H193,F_Inputs!H241)</f>
        <v>0</v>
      </c>
      <c r="I193" s="242">
        <f>IF('Input overrides'!I193&lt;&gt;"",'Input overrides'!I193,F_Inputs!I241)</f>
        <v>0</v>
      </c>
      <c r="J193" s="242">
        <f>IF('Input overrides'!J193&lt;&gt;"",'Input overrides'!J193,F_Inputs!J241)</f>
        <v>0</v>
      </c>
      <c r="K193" s="518">
        <f>IF('Input overrides'!K193&lt;&gt;"",'Input overrides'!K193,F_Inputs!K241)</f>
        <v>0</v>
      </c>
      <c r="L193" s="519">
        <f>IF('Input overrides'!L193&lt;&gt;"",'Input overrides'!L193,F_Inputs!L241)</f>
        <v>0</v>
      </c>
      <c r="M193" s="519">
        <f>IF('Input overrides'!M193&lt;&gt;"",'Input overrides'!M193,F_Inputs!M241)</f>
        <v>0</v>
      </c>
      <c r="N193" s="519">
        <f>IF('Input overrides'!N193&lt;&gt;"",'Input overrides'!N193,F_Inputs!N241)</f>
        <v>0</v>
      </c>
      <c r="O193" s="519">
        <f>IF('Input overrides'!O193&lt;&gt;"",'Input overrides'!O193,F_Inputs!O241)</f>
        <v>0</v>
      </c>
    </row>
    <row r="194" spans="1:17">
      <c r="A194" t="s">
        <v>66</v>
      </c>
      <c r="B194" t="s">
        <v>85</v>
      </c>
      <c r="C194" t="s">
        <v>93</v>
      </c>
      <c r="D194" t="s">
        <v>183</v>
      </c>
      <c r="E194" t="s">
        <v>182</v>
      </c>
      <c r="F194" s="242">
        <f>IF('Input overrides'!F194&lt;&gt;"",'Input overrides'!F194,F_Inputs!F242)</f>
        <v>0</v>
      </c>
      <c r="G194" s="242">
        <f>IF('Input overrides'!G194&lt;&gt;"",'Input overrides'!G194,F_Inputs!G242)</f>
        <v>0</v>
      </c>
      <c r="H194" s="242">
        <f>IF('Input overrides'!H194&lt;&gt;"",'Input overrides'!H194,F_Inputs!H242)</f>
        <v>0</v>
      </c>
      <c r="I194" s="242">
        <f>IF('Input overrides'!I194&lt;&gt;"",'Input overrides'!I194,F_Inputs!I242)</f>
        <v>0</v>
      </c>
      <c r="J194" s="242">
        <f>IF('Input overrides'!J194&lt;&gt;"",'Input overrides'!J194,F_Inputs!J242)</f>
        <v>0</v>
      </c>
      <c r="K194" s="518">
        <f>IF('Input overrides'!K194&lt;&gt;"",'Input overrides'!K194,F_Inputs!K242)</f>
        <v>0</v>
      </c>
      <c r="L194" s="519">
        <f>IF('Input overrides'!L194&lt;&gt;"",'Input overrides'!L194,F_Inputs!L242)</f>
        <v>0</v>
      </c>
      <c r="M194" s="519">
        <f>IF('Input overrides'!M194&lt;&gt;"",'Input overrides'!M194,F_Inputs!M242)</f>
        <v>0</v>
      </c>
      <c r="N194" s="519">
        <f>IF('Input overrides'!N194&lt;&gt;"",'Input overrides'!N194,F_Inputs!N242)</f>
        <v>0</v>
      </c>
      <c r="O194" s="519">
        <f>IF('Input overrides'!O194&lt;&gt;"",'Input overrides'!O194,F_Inputs!O242)</f>
        <v>0</v>
      </c>
    </row>
    <row r="195" spans="1:17">
      <c r="A195" t="s">
        <v>66</v>
      </c>
      <c r="B195" t="s">
        <v>86</v>
      </c>
      <c r="C195" t="s">
        <v>94</v>
      </c>
      <c r="D195" t="s">
        <v>183</v>
      </c>
      <c r="E195" t="s">
        <v>182</v>
      </c>
      <c r="F195" s="242">
        <f>IF('Input overrides'!F195&lt;&gt;"",'Input overrides'!F195,F_Inputs!F243)</f>
        <v>0</v>
      </c>
      <c r="G195" s="242">
        <f>IF('Input overrides'!G195&lt;&gt;"",'Input overrides'!G195,F_Inputs!G243)</f>
        <v>0</v>
      </c>
      <c r="H195" s="242">
        <f>IF('Input overrides'!H195&lt;&gt;"",'Input overrides'!H195,F_Inputs!H243)</f>
        <v>0</v>
      </c>
      <c r="I195" s="242">
        <f>IF('Input overrides'!I195&lt;&gt;"",'Input overrides'!I195,F_Inputs!I243)</f>
        <v>0</v>
      </c>
      <c r="J195" s="242">
        <f>IF('Input overrides'!J195&lt;&gt;"",'Input overrides'!J195,F_Inputs!J243)</f>
        <v>0</v>
      </c>
      <c r="K195" s="518">
        <f>IF('Input overrides'!K195&lt;&gt;"",'Input overrides'!K195,F_Inputs!K243)</f>
        <v>0</v>
      </c>
      <c r="L195" s="519">
        <f>IF('Input overrides'!L195&lt;&gt;"",'Input overrides'!L195,F_Inputs!L243)</f>
        <v>0</v>
      </c>
      <c r="M195" s="519">
        <f>IF('Input overrides'!M195&lt;&gt;"",'Input overrides'!M195,F_Inputs!M243)</f>
        <v>0</v>
      </c>
      <c r="N195" s="519">
        <f>IF('Input overrides'!N195&lt;&gt;"",'Input overrides'!N195,F_Inputs!N243)</f>
        <v>0</v>
      </c>
      <c r="O195" s="519">
        <f>IF('Input overrides'!O195&lt;&gt;"",'Input overrides'!O195,F_Inputs!O243)</f>
        <v>0</v>
      </c>
    </row>
    <row r="196" spans="1:17">
      <c r="A196" t="s">
        <v>66</v>
      </c>
      <c r="B196" t="s">
        <v>174</v>
      </c>
      <c r="C196" t="s">
        <v>184</v>
      </c>
      <c r="D196" t="s">
        <v>74</v>
      </c>
      <c r="E196" t="s">
        <v>182</v>
      </c>
      <c r="F196" s="242">
        <f>IF('Input overrides'!F196&lt;&gt;"",'Input overrides'!F196,F_Inputs!F244)*Rebasing</f>
        <v>0</v>
      </c>
      <c r="G196" s="242">
        <f>IF('Input overrides'!G196&lt;&gt;"",'Input overrides'!G196,F_Inputs!G244)*Rebasing</f>
        <v>0</v>
      </c>
      <c r="H196" s="242">
        <f>IF('Input overrides'!H196&lt;&gt;"",'Input overrides'!H196,F_Inputs!H244)*Rebasing</f>
        <v>0</v>
      </c>
      <c r="I196" s="242">
        <f>IF('Input overrides'!I196&lt;&gt;"",'Input overrides'!I196,F_Inputs!I244)*Rebasing</f>
        <v>0</v>
      </c>
      <c r="J196" s="242">
        <f>IF('Input overrides'!J196&lt;&gt;"",'Input overrides'!J196,F_Inputs!J244)*Rebasing</f>
        <v>0</v>
      </c>
      <c r="K196" s="242">
        <f>IF('Input overrides'!K196&lt;&gt;"",'Input overrides'!K196,F_Inputs!K244)*Rebasing</f>
        <v>0</v>
      </c>
      <c r="L196" s="242">
        <f>IF('Input overrides'!L196&lt;&gt;"",'Input overrides'!L196,F_Inputs!L244)*Rebasing</f>
        <v>0</v>
      </c>
      <c r="M196" s="242">
        <f>IF('Input overrides'!M196&lt;&gt;"",'Input overrides'!M196,F_Inputs!M244)*Rebasing</f>
        <v>0</v>
      </c>
      <c r="N196" s="242">
        <f>IF('Input overrides'!N196&lt;&gt;"",'Input overrides'!N196,F_Inputs!N244)*Rebasing</f>
        <v>0</v>
      </c>
      <c r="O196" s="242">
        <f>IF('Input overrides'!O196&lt;&gt;"",'Input overrides'!O196,F_Inputs!O244)*Rebasing</f>
        <v>0</v>
      </c>
    </row>
    <row r="197" spans="1:17">
      <c r="A197" t="s">
        <v>66</v>
      </c>
      <c r="B197" t="s">
        <v>156</v>
      </c>
      <c r="C197" t="s">
        <v>157</v>
      </c>
      <c r="D197" t="s">
        <v>74</v>
      </c>
      <c r="E197" t="s">
        <v>182</v>
      </c>
      <c r="F197" s="242">
        <f>IF('Input overrides'!F197&lt;&gt;"",'Input overrides'!F197,F_Inputs!F245)*Rebasing</f>
        <v>1.106485198145611</v>
      </c>
      <c r="G197" s="242">
        <f>IF('Input overrides'!G197&lt;&gt;"",'Input overrides'!G197,F_Inputs!G245)*Rebasing</f>
        <v>1.1926090600061672</v>
      </c>
      <c r="H197" s="242">
        <f>IF('Input overrides'!H197&lt;&gt;"",'Input overrides'!H197,F_Inputs!H245)*Rebasing</f>
        <v>1.0974589067759115</v>
      </c>
      <c r="I197" s="242">
        <f>IF('Input overrides'!I197&lt;&gt;"",'Input overrides'!I197,F_Inputs!I245)*Rebasing</f>
        <v>0.40257510854015643</v>
      </c>
      <c r="J197" s="242">
        <f>IF('Input overrides'!J197&lt;&gt;"",'Input overrides'!J197,F_Inputs!J245)*Rebasing</f>
        <v>1.2174413167768778</v>
      </c>
      <c r="K197" s="242">
        <f>IF('Input overrides'!K197&lt;&gt;"",'Input overrides'!K197,F_Inputs!K245)*Rebasing</f>
        <v>0.29611921518637185</v>
      </c>
      <c r="L197" s="242">
        <f>IF('Input overrides'!L197&lt;&gt;"",'Input overrides'!L197,F_Inputs!L245)*Rebasing</f>
        <v>0.29611921518637185</v>
      </c>
      <c r="M197" s="242">
        <f>IF('Input overrides'!M197&lt;&gt;"",'Input overrides'!M197,F_Inputs!M245)*Rebasing</f>
        <v>0.29611921518637185</v>
      </c>
      <c r="N197" s="242">
        <f>IF('Input overrides'!N197&lt;&gt;"",'Input overrides'!N197,F_Inputs!N245)*Rebasing</f>
        <v>0.29611921518637185</v>
      </c>
      <c r="O197" s="242">
        <f>IF('Input overrides'!O197&lt;&gt;"",'Input overrides'!O197,F_Inputs!O245)*Rebasing</f>
        <v>0.29611921518637185</v>
      </c>
    </row>
    <row r="198" spans="1:17">
      <c r="A198" t="s">
        <v>66</v>
      </c>
      <c r="B198" t="s">
        <v>159</v>
      </c>
      <c r="C198" t="s">
        <v>158</v>
      </c>
      <c r="D198" t="s">
        <v>74</v>
      </c>
      <c r="E198" t="s">
        <v>182</v>
      </c>
      <c r="F198" s="242">
        <f>IF('Input overrides'!F198&lt;&gt;"",'Input overrides'!F198,F_Inputs!F246)*Rebasing</f>
        <v>0</v>
      </c>
      <c r="G198" s="242">
        <f>IF('Input overrides'!G198&lt;&gt;"",'Input overrides'!G198,F_Inputs!G246)*Rebasing</f>
        <v>0</v>
      </c>
      <c r="H198" s="242">
        <f>IF('Input overrides'!H198&lt;&gt;"",'Input overrides'!H198,F_Inputs!H246)*Rebasing</f>
        <v>0</v>
      </c>
      <c r="I198" s="242">
        <f>IF('Input overrides'!I198&lt;&gt;"",'Input overrides'!I198,F_Inputs!I246)*Rebasing</f>
        <v>0</v>
      </c>
      <c r="J198" s="242">
        <f>IF('Input overrides'!J198&lt;&gt;"",'Input overrides'!J198,F_Inputs!J246)*Rebasing</f>
        <v>0</v>
      </c>
      <c r="K198" s="242">
        <f>IF('Input overrides'!K198&lt;&gt;"",'Input overrides'!K198,F_Inputs!K246)*Rebasing</f>
        <v>0</v>
      </c>
      <c r="L198" s="242">
        <f>IF('Input overrides'!L198&lt;&gt;"",'Input overrides'!L198,F_Inputs!L246)*Rebasing</f>
        <v>0</v>
      </c>
      <c r="M198" s="242">
        <f>IF('Input overrides'!M198&lt;&gt;"",'Input overrides'!M198,F_Inputs!M246)*Rebasing</f>
        <v>0</v>
      </c>
      <c r="N198" s="242">
        <f>IF('Input overrides'!N198&lt;&gt;"",'Input overrides'!N198,F_Inputs!N246)*Rebasing</f>
        <v>0</v>
      </c>
      <c r="O198" s="242">
        <f>IF('Input overrides'!O198&lt;&gt;"",'Input overrides'!O198,F_Inputs!O246)*Rebasing</f>
        <v>0</v>
      </c>
    </row>
    <row r="199" spans="1:17">
      <c r="A199" t="s">
        <v>55</v>
      </c>
      <c r="B199" t="s">
        <v>78</v>
      </c>
      <c r="C199" t="s">
        <v>132</v>
      </c>
      <c r="D199" t="s">
        <v>74</v>
      </c>
      <c r="E199" t="s">
        <v>182</v>
      </c>
      <c r="F199" s="242">
        <f>IF('Input overrides'!F199&lt;&gt;"",'Input overrides'!F199,F_Inputs!F251)*Rebasing</f>
        <v>2.3149075303974662</v>
      </c>
      <c r="G199" s="242">
        <f>IF('Input overrides'!G199&lt;&gt;"",'Input overrides'!G199,F_Inputs!G251)*Rebasing</f>
        <v>2.4249942440652568</v>
      </c>
      <c r="H199" s="242">
        <f>IF('Input overrides'!H199&lt;&gt;"",'Input overrides'!H199,F_Inputs!H251)*Rebasing</f>
        <v>2.748052450529614</v>
      </c>
      <c r="I199" s="242">
        <f ca="1">IF('Input overrides'!I199&lt;&gt;"",'Input overrides'!I199,F_Inputs!I251)*Rebasing</f>
        <v>2.5782925649671333</v>
      </c>
      <c r="J199" s="242">
        <f>IF('Input overrides'!J199&lt;&gt;"",'Input overrides'!J199,F_Inputs!J251)*Rebasing</f>
        <v>2.5422828922720617</v>
      </c>
      <c r="K199" s="242">
        <f ca="1">IF('Input overrides'!K199&lt;&gt;"",'Input overrides'!K199,F_Inputs!K251)*Rebasing</f>
        <v>2.6482542147747017</v>
      </c>
      <c r="L199" s="242">
        <f ca="1">IF('Input overrides'!L199&lt;&gt;"",'Input overrides'!L199,F_Inputs!L251)*Rebasing</f>
        <v>2.647225366983414</v>
      </c>
      <c r="M199" s="242">
        <f ca="1">IF('Input overrides'!M199&lt;&gt;"",'Input overrides'!M199,F_Inputs!M251)*Rebasing</f>
        <v>2.6791196485133342</v>
      </c>
      <c r="N199" s="242">
        <f ca="1">IF('Input overrides'!N199&lt;&gt;"",'Input overrides'!N199,F_Inputs!N251)*Rebasing</f>
        <v>2.6832350396784852</v>
      </c>
      <c r="O199" s="242">
        <f ca="1">IF('Input overrides'!O199&lt;&gt;"",'Input overrides'!O199,F_Inputs!O251)*Rebasing</f>
        <v>2.689408126426212</v>
      </c>
      <c r="Q199" s="242"/>
    </row>
    <row r="200" spans="1:17">
      <c r="A200" t="s">
        <v>55</v>
      </c>
      <c r="B200" t="s">
        <v>97</v>
      </c>
      <c r="C200" t="s">
        <v>99</v>
      </c>
      <c r="D200" t="s">
        <v>74</v>
      </c>
      <c r="E200" t="s">
        <v>182</v>
      </c>
      <c r="F200" s="242">
        <f>IF('Input overrides'!F200&lt;&gt;"",'Input overrides'!F200,F_Inputs!F252)*Rebasing</f>
        <v>0</v>
      </c>
      <c r="G200" s="242">
        <f>IF('Input overrides'!G200&lt;&gt;"",'Input overrides'!G200,F_Inputs!G252)*Rebasing</f>
        <v>0</v>
      </c>
      <c r="H200" s="242">
        <f>IF('Input overrides'!H200&lt;&gt;"",'Input overrides'!H200,F_Inputs!H252)*Rebasing</f>
        <v>4.0125063860222743E-2</v>
      </c>
      <c r="I200" s="242">
        <f>IF('Input overrides'!I200&lt;&gt;"",'Input overrides'!I200,F_Inputs!I252)*Rebasing</f>
        <v>4.9384693981812611E-2</v>
      </c>
      <c r="J200" s="242">
        <f>IF('Input overrides'!J200&lt;&gt;"",'Input overrides'!J200,F_Inputs!J252)*Rebasing</f>
        <v>4.0125063860222743E-2</v>
      </c>
      <c r="K200" s="242">
        <f>IF('Input overrides'!K200&lt;&gt;"",'Input overrides'!K200,F_Inputs!K252)*Rebasing</f>
        <v>4.9384693981812611E-2</v>
      </c>
      <c r="L200" s="242">
        <f>IF('Input overrides'!L200&lt;&gt;"",'Input overrides'!L200,F_Inputs!L252)*Rebasing</f>
        <v>4.9384693981812611E-2</v>
      </c>
      <c r="M200" s="242">
        <f>IF('Input overrides'!M200&lt;&gt;"",'Input overrides'!M200,F_Inputs!M252)*Rebasing</f>
        <v>4.9384693981812611E-2</v>
      </c>
      <c r="N200" s="242">
        <f>IF('Input overrides'!N200&lt;&gt;"",'Input overrides'!N200,F_Inputs!N252)*Rebasing</f>
        <v>4.9384693981812611E-2</v>
      </c>
      <c r="O200" s="242">
        <f>IF('Input overrides'!O200&lt;&gt;"",'Input overrides'!O200,F_Inputs!O252)*Rebasing</f>
        <v>4.9384693981812611E-2</v>
      </c>
    </row>
    <row r="201" spans="1:17">
      <c r="A201" t="s">
        <v>55</v>
      </c>
      <c r="B201" t="s">
        <v>98</v>
      </c>
      <c r="C201" t="s">
        <v>100</v>
      </c>
      <c r="D201" t="s">
        <v>74</v>
      </c>
      <c r="E201" t="s">
        <v>182</v>
      </c>
      <c r="F201" s="242">
        <f>IF('Input overrides'!F201&lt;&gt;"",'Input overrides'!F201,F_Inputs!F253)*Rebasing</f>
        <v>0</v>
      </c>
      <c r="G201" s="242">
        <f>IF('Input overrides'!G201&lt;&gt;"",'Input overrides'!G201,F_Inputs!G253)*Rebasing</f>
        <v>0</v>
      </c>
      <c r="H201" s="242">
        <f>IF('Input overrides'!H201&lt;&gt;"",'Input overrides'!H201,F_Inputs!H253)*Rebasing</f>
        <v>0</v>
      </c>
      <c r="I201" s="242">
        <f>IF('Input overrides'!I201&lt;&gt;"",'Input overrides'!I201,F_Inputs!I253)*Rebasing</f>
        <v>0</v>
      </c>
      <c r="J201" s="242">
        <f>IF('Input overrides'!J201&lt;&gt;"",'Input overrides'!J201,F_Inputs!J253)*Rebasing</f>
        <v>0</v>
      </c>
      <c r="K201" s="242">
        <f>IF('Input overrides'!K201&lt;&gt;"",'Input overrides'!K201,F_Inputs!K253)*Rebasing</f>
        <v>3.4980824903783937E-2</v>
      </c>
      <c r="L201" s="242">
        <f>IF('Input overrides'!L201&lt;&gt;"",'Input overrides'!L201,F_Inputs!L253)*Rebasing</f>
        <v>6.5846258642416819E-2</v>
      </c>
      <c r="M201" s="242">
        <f>IF('Input overrides'!M201&lt;&gt;"",'Input overrides'!M201,F_Inputs!M253)*Rebasing</f>
        <v>8.5394366676884312E-2</v>
      </c>
      <c r="N201" s="242">
        <f>IF('Input overrides'!N201&lt;&gt;"",'Input overrides'!N201,F_Inputs!N253)*Rebasing</f>
        <v>9.8769387963625221E-2</v>
      </c>
      <c r="O201" s="242">
        <f>IF('Input overrides'!O201&lt;&gt;"",'Input overrides'!O201,F_Inputs!O253)*Rebasing</f>
        <v>0.1131732570416539</v>
      </c>
    </row>
    <row r="202" spans="1:17">
      <c r="A202" t="s">
        <v>55</v>
      </c>
      <c r="B202" t="s">
        <v>79</v>
      </c>
      <c r="C202" t="s">
        <v>135</v>
      </c>
      <c r="D202" t="s">
        <v>74</v>
      </c>
      <c r="E202" t="s">
        <v>182</v>
      </c>
      <c r="F202" s="242">
        <f>IF('Input overrides'!F202&lt;&gt;"",'Input overrides'!F202,F_Inputs!F254)*Rebasing</f>
        <v>0</v>
      </c>
      <c r="G202" s="242">
        <f>IF('Input overrides'!G202&lt;&gt;"",'Input overrides'!G202,F_Inputs!G254)*Rebasing</f>
        <v>0</v>
      </c>
      <c r="H202" s="242">
        <f>IF('Input overrides'!H202&lt;&gt;"",'Input overrides'!H202,F_Inputs!H254)*Rebasing</f>
        <v>0.18004836347535846</v>
      </c>
      <c r="I202" s="242">
        <f>IF('Input overrides'!I202&lt;&gt;"",'Input overrides'!I202,F_Inputs!I254)*Rebasing</f>
        <v>0.19147474704540035</v>
      </c>
      <c r="J202" s="242">
        <f>IF('Input overrides'!J202&lt;&gt;"",'Input overrides'!J202,F_Inputs!J254)*Rebasing</f>
        <v>0.18004836347535846</v>
      </c>
      <c r="K202" s="242">
        <f>IF('Input overrides'!K202&lt;&gt;"",'Input overrides'!K202,F_Inputs!K254)*Rebasing</f>
        <v>0.20858551466230715</v>
      </c>
      <c r="L202" s="242">
        <f>IF('Input overrides'!L202&lt;&gt;"",'Input overrides'!L202,F_Inputs!L254)*Rebasing</f>
        <v>0.21694284527093763</v>
      </c>
      <c r="M202" s="242">
        <f>IF('Input overrides'!M202&lt;&gt;"",'Input overrides'!M202,F_Inputs!M254)*Rebasing</f>
        <v>0.22516745451449202</v>
      </c>
      <c r="N202" s="242">
        <f>IF('Input overrides'!N202&lt;&gt;"",'Input overrides'!N202,F_Inputs!N254)*Rebasing</f>
        <v>0.23339309260583768</v>
      </c>
      <c r="O202" s="242">
        <f>IF('Input overrides'!O202&lt;&gt;"",'Input overrides'!O202,F_Inputs!O254)*Rebasing</f>
        <v>0.24161770184939205</v>
      </c>
    </row>
    <row r="203" spans="1:17">
      <c r="A203" t="s">
        <v>55</v>
      </c>
      <c r="B203" t="s">
        <v>80</v>
      </c>
      <c r="C203" t="s">
        <v>136</v>
      </c>
      <c r="D203" t="s">
        <v>74</v>
      </c>
      <c r="E203" t="s">
        <v>182</v>
      </c>
      <c r="F203" s="242">
        <f>IF('Input overrides'!F203&lt;&gt;"",'Input overrides'!F203,F_Inputs!F255)*Rebasing</f>
        <v>0</v>
      </c>
      <c r="G203" s="242">
        <f>IF('Input overrides'!G203&lt;&gt;"",'Input overrides'!G203,F_Inputs!G255)*Rebasing</f>
        <v>0</v>
      </c>
      <c r="H203" s="242">
        <f>IF('Input overrides'!H203&lt;&gt;"",'Input overrides'!H203,F_Inputs!H255)*Rebasing</f>
        <v>0</v>
      </c>
      <c r="I203" s="242">
        <f>IF('Input overrides'!I203&lt;&gt;"",'Input overrides'!I203,F_Inputs!I255)*Rebasing</f>
        <v>0</v>
      </c>
      <c r="J203" s="242">
        <f>IF('Input overrides'!J203&lt;&gt;"",'Input overrides'!J203,F_Inputs!J255)*Rebasing</f>
        <v>0</v>
      </c>
      <c r="K203" s="242">
        <f>IF('Input overrides'!K203&lt;&gt;"",'Input overrides'!K203,F_Inputs!K255)*Rebasing</f>
        <v>0</v>
      </c>
      <c r="L203" s="242">
        <f>IF('Input overrides'!L203&lt;&gt;"",'Input overrides'!L203,F_Inputs!L255)*Rebasing</f>
        <v>0</v>
      </c>
      <c r="M203" s="242">
        <f>IF('Input overrides'!M203&lt;&gt;"",'Input overrides'!M203,F_Inputs!M255)*Rebasing</f>
        <v>0</v>
      </c>
      <c r="N203" s="242">
        <f>IF('Input overrides'!N203&lt;&gt;"",'Input overrides'!N203,F_Inputs!N255)*Rebasing</f>
        <v>0</v>
      </c>
      <c r="O203" s="242">
        <f>IF('Input overrides'!O203&lt;&gt;"",'Input overrides'!O203,F_Inputs!O255)*Rebasing</f>
        <v>0</v>
      </c>
    </row>
    <row r="204" spans="1:17">
      <c r="A204" t="s">
        <v>55</v>
      </c>
      <c r="B204" t="s">
        <v>81</v>
      </c>
      <c r="C204" t="s">
        <v>137</v>
      </c>
      <c r="D204" t="s">
        <v>74</v>
      </c>
      <c r="E204" t="s">
        <v>182</v>
      </c>
      <c r="F204" s="242">
        <f>IF('Input overrides'!F204&lt;&gt;"",'Input overrides'!F204,F_Inputs!F256)*Rebasing</f>
        <v>0</v>
      </c>
      <c r="G204" s="242">
        <f>IF('Input overrides'!G204&lt;&gt;"",'Input overrides'!G204,F_Inputs!G256)*Rebasing</f>
        <v>0</v>
      </c>
      <c r="H204" s="242">
        <f>IF('Input overrides'!H204&lt;&gt;"",'Input overrides'!H204,F_Inputs!H256)*Rebasing</f>
        <v>0</v>
      </c>
      <c r="I204" s="242">
        <f>IF('Input overrides'!I204&lt;&gt;"",'Input overrides'!I204,F_Inputs!I256)*Rebasing</f>
        <v>0</v>
      </c>
      <c r="J204" s="242">
        <f>IF('Input overrides'!J204&lt;&gt;"",'Input overrides'!J204,F_Inputs!J256)*Rebasing</f>
        <v>0</v>
      </c>
      <c r="K204" s="242">
        <f>IF('Input overrides'!K204&lt;&gt;"",'Input overrides'!K204,F_Inputs!K256)*Rebasing</f>
        <v>0</v>
      </c>
      <c r="L204" s="242">
        <f>IF('Input overrides'!L204&lt;&gt;"",'Input overrides'!L204,F_Inputs!L256)*Rebasing</f>
        <v>0</v>
      </c>
      <c r="M204" s="242">
        <f>IF('Input overrides'!M204&lt;&gt;"",'Input overrides'!M204,F_Inputs!M256)*Rebasing</f>
        <v>0</v>
      </c>
      <c r="N204" s="242">
        <f>IF('Input overrides'!N204&lt;&gt;"",'Input overrides'!N204,F_Inputs!N256)*Rebasing</f>
        <v>0</v>
      </c>
      <c r="O204" s="242">
        <f>IF('Input overrides'!O204&lt;&gt;"",'Input overrides'!O204,F_Inputs!O256)*Rebasing</f>
        <v>0</v>
      </c>
    </row>
    <row r="205" spans="1:17">
      <c r="A205" t="s">
        <v>55</v>
      </c>
      <c r="B205" t="s">
        <v>82</v>
      </c>
      <c r="C205" t="s">
        <v>89</v>
      </c>
      <c r="D205" t="s">
        <v>183</v>
      </c>
      <c r="E205" t="s">
        <v>182</v>
      </c>
      <c r="F205" s="242">
        <f>IF('Input overrides'!F205&lt;&gt;"",'Input overrides'!F205,F_Inputs!F257)</f>
        <v>54.542000000000002</v>
      </c>
      <c r="G205" s="242">
        <f>IF('Input overrides'!G205&lt;&gt;"",'Input overrides'!G205,F_Inputs!G257)</f>
        <v>53.274999999999999</v>
      </c>
      <c r="H205" s="242">
        <f>IF('Input overrides'!H205&lt;&gt;"",'Input overrides'!H205,F_Inputs!H257)</f>
        <v>51.676000000000002</v>
      </c>
      <c r="I205" s="242">
        <f>IF('Input overrides'!I205&lt;&gt;"",'Input overrides'!I205,F_Inputs!I257)</f>
        <v>49.905999999999999</v>
      </c>
      <c r="J205" s="242">
        <f>IF('Input overrides'!J205&lt;&gt;"",'Input overrides'!J205,F_Inputs!J257)</f>
        <v>49.435000000000002</v>
      </c>
      <c r="K205" s="518">
        <f>IF('Input overrides'!K205&lt;&gt;"",'Input overrides'!K205,F_Inputs!K257)</f>
        <v>47.847999999999999</v>
      </c>
      <c r="L205" s="519">
        <f>IF('Input overrides'!L205&lt;&gt;"",'Input overrides'!L205,F_Inputs!L257)</f>
        <v>46.311999999999998</v>
      </c>
      <c r="M205" s="519">
        <f>IF('Input overrides'!M205&lt;&gt;"",'Input overrides'!M205,F_Inputs!M257)</f>
        <v>44.825000000000003</v>
      </c>
      <c r="N205" s="519">
        <f>IF('Input overrides'!N205&lt;&gt;"",'Input overrides'!N205,F_Inputs!N257)</f>
        <v>43.386000000000003</v>
      </c>
      <c r="O205" s="519">
        <f>IF('Input overrides'!O205&lt;&gt;"",'Input overrides'!O205,F_Inputs!O257)</f>
        <v>41.993000000000002</v>
      </c>
    </row>
    <row r="206" spans="1:17">
      <c r="A206" t="s">
        <v>55</v>
      </c>
      <c r="B206" t="s">
        <v>87</v>
      </c>
      <c r="C206" t="s">
        <v>90</v>
      </c>
      <c r="D206" t="s">
        <v>183</v>
      </c>
      <c r="E206" t="s">
        <v>182</v>
      </c>
      <c r="F206" s="242">
        <f>IF('Input overrides'!F206&lt;&gt;"",'Input overrides'!F206,F_Inputs!F258)</f>
        <v>55.360999999999997</v>
      </c>
      <c r="G206" s="242">
        <f>IF('Input overrides'!G206&lt;&gt;"",'Input overrides'!G206,F_Inputs!G258)</f>
        <v>58.847625000000001</v>
      </c>
      <c r="H206" s="242">
        <f>IF('Input overrides'!H206&lt;&gt;"",'Input overrides'!H206,F_Inputs!H258)</f>
        <v>61.582787156450003</v>
      </c>
      <c r="I206" s="242">
        <f>IF('Input overrides'!I206&lt;&gt;"",'Input overrides'!I206,F_Inputs!I258)</f>
        <v>63.613</v>
      </c>
      <c r="J206" s="242">
        <f>IF('Input overrides'!J206&lt;&gt;"",'Input overrides'!J206,F_Inputs!J258)</f>
        <v>66.88</v>
      </c>
      <c r="K206" s="518">
        <f>IF('Input overrides'!K206&lt;&gt;"",'Input overrides'!K206,F_Inputs!K258)</f>
        <v>69.438999999999993</v>
      </c>
      <c r="L206" s="519">
        <f>IF('Input overrides'!L206&lt;&gt;"",'Input overrides'!L206,F_Inputs!L258)</f>
        <v>71.917000000000002</v>
      </c>
      <c r="M206" s="519">
        <f>IF('Input overrides'!M206&lt;&gt;"",'Input overrides'!M206,F_Inputs!M258)</f>
        <v>74.346000000000004</v>
      </c>
      <c r="N206" s="519">
        <f>IF('Input overrides'!N206&lt;&gt;"",'Input overrides'!N206,F_Inputs!N258)</f>
        <v>76.727000000000004</v>
      </c>
      <c r="O206" s="519">
        <f>IF('Input overrides'!O206&lt;&gt;"",'Input overrides'!O206,F_Inputs!O258)</f>
        <v>79.063000000000002</v>
      </c>
    </row>
    <row r="207" spans="1:17">
      <c r="A207" t="s">
        <v>55</v>
      </c>
      <c r="B207" t="s">
        <v>83</v>
      </c>
      <c r="C207" t="s">
        <v>91</v>
      </c>
      <c r="D207" t="s">
        <v>183</v>
      </c>
      <c r="E207" t="s">
        <v>182</v>
      </c>
      <c r="F207" s="242">
        <f>IF('Input overrides'!F207&lt;&gt;"",'Input overrides'!F207,F_Inputs!F259)</f>
        <v>0</v>
      </c>
      <c r="G207" s="242">
        <f>IF('Input overrides'!G207&lt;&gt;"",'Input overrides'!G207,F_Inputs!G259)</f>
        <v>0</v>
      </c>
      <c r="H207" s="242">
        <f>IF('Input overrides'!H207&lt;&gt;"",'Input overrides'!H207,F_Inputs!H259)</f>
        <v>0</v>
      </c>
      <c r="I207" s="242">
        <f>IF('Input overrides'!I207&lt;&gt;"",'Input overrides'!I207,F_Inputs!I259)</f>
        <v>0</v>
      </c>
      <c r="J207" s="242">
        <f>IF('Input overrides'!J207&lt;&gt;"",'Input overrides'!J207,F_Inputs!J259)</f>
        <v>0</v>
      </c>
      <c r="K207" s="518">
        <f>IF('Input overrides'!K207&lt;&gt;"",'Input overrides'!K207,F_Inputs!K259)</f>
        <v>0</v>
      </c>
      <c r="L207" s="519">
        <f>IF('Input overrides'!L207&lt;&gt;"",'Input overrides'!L207,F_Inputs!L259)</f>
        <v>0</v>
      </c>
      <c r="M207" s="519">
        <f>IF('Input overrides'!M207&lt;&gt;"",'Input overrides'!M207,F_Inputs!M259)</f>
        <v>0</v>
      </c>
      <c r="N207" s="519">
        <f>IF('Input overrides'!N207&lt;&gt;"",'Input overrides'!N207,F_Inputs!N259)</f>
        <v>0</v>
      </c>
      <c r="O207" s="519">
        <f>IF('Input overrides'!O207&lt;&gt;"",'Input overrides'!O207,F_Inputs!O259)</f>
        <v>0</v>
      </c>
    </row>
    <row r="208" spans="1:17">
      <c r="A208" t="s">
        <v>55</v>
      </c>
      <c r="B208" t="s">
        <v>84</v>
      </c>
      <c r="C208" t="s">
        <v>92</v>
      </c>
      <c r="D208" t="s">
        <v>183</v>
      </c>
      <c r="E208" t="s">
        <v>182</v>
      </c>
      <c r="F208" s="242">
        <f>IF('Input overrides'!F208&lt;&gt;"",'Input overrides'!F208,F_Inputs!F260)</f>
        <v>0</v>
      </c>
      <c r="G208" s="242">
        <f>IF('Input overrides'!G208&lt;&gt;"",'Input overrides'!G208,F_Inputs!G260)</f>
        <v>0</v>
      </c>
      <c r="H208" s="242">
        <f>IF('Input overrides'!H208&lt;&gt;"",'Input overrides'!H208,F_Inputs!H260)</f>
        <v>0</v>
      </c>
      <c r="I208" s="242">
        <f>IF('Input overrides'!I208&lt;&gt;"",'Input overrides'!I208,F_Inputs!I260)</f>
        <v>0</v>
      </c>
      <c r="J208" s="242">
        <f>IF('Input overrides'!J208&lt;&gt;"",'Input overrides'!J208,F_Inputs!J260)</f>
        <v>0</v>
      </c>
      <c r="K208" s="518">
        <f>IF('Input overrides'!K208&lt;&gt;"",'Input overrides'!K208,F_Inputs!K260)</f>
        <v>0</v>
      </c>
      <c r="L208" s="519">
        <f>IF('Input overrides'!L208&lt;&gt;"",'Input overrides'!L208,F_Inputs!L260)</f>
        <v>0</v>
      </c>
      <c r="M208" s="519">
        <f>IF('Input overrides'!M208&lt;&gt;"",'Input overrides'!M208,F_Inputs!M260)</f>
        <v>0</v>
      </c>
      <c r="N208" s="519">
        <f>IF('Input overrides'!N208&lt;&gt;"",'Input overrides'!N208,F_Inputs!N260)</f>
        <v>0</v>
      </c>
      <c r="O208" s="519">
        <f>IF('Input overrides'!O208&lt;&gt;"",'Input overrides'!O208,F_Inputs!O260)</f>
        <v>0</v>
      </c>
    </row>
    <row r="209" spans="1:17">
      <c r="A209" t="s">
        <v>55</v>
      </c>
      <c r="B209" t="s">
        <v>85</v>
      </c>
      <c r="C209" t="s">
        <v>93</v>
      </c>
      <c r="D209" t="s">
        <v>183</v>
      </c>
      <c r="E209" t="s">
        <v>182</v>
      </c>
      <c r="F209" s="242">
        <f>IF('Input overrides'!F209&lt;&gt;"",'Input overrides'!F209,F_Inputs!F261)</f>
        <v>0</v>
      </c>
      <c r="G209" s="242">
        <f>IF('Input overrides'!G209&lt;&gt;"",'Input overrides'!G209,F_Inputs!G261)</f>
        <v>0</v>
      </c>
      <c r="H209" s="242">
        <f>IF('Input overrides'!H209&lt;&gt;"",'Input overrides'!H209,F_Inputs!H261)</f>
        <v>0</v>
      </c>
      <c r="I209" s="242">
        <f>IF('Input overrides'!I209&lt;&gt;"",'Input overrides'!I209,F_Inputs!I261)</f>
        <v>0</v>
      </c>
      <c r="J209" s="242">
        <f>IF('Input overrides'!J209&lt;&gt;"",'Input overrides'!J209,F_Inputs!J261)</f>
        <v>0</v>
      </c>
      <c r="K209" s="518">
        <f>IF('Input overrides'!K209&lt;&gt;"",'Input overrides'!K209,F_Inputs!K261)</f>
        <v>0</v>
      </c>
      <c r="L209" s="519">
        <f>IF('Input overrides'!L209&lt;&gt;"",'Input overrides'!L209,F_Inputs!L261)</f>
        <v>0</v>
      </c>
      <c r="M209" s="519">
        <f>IF('Input overrides'!M209&lt;&gt;"",'Input overrides'!M209,F_Inputs!M261)</f>
        <v>0</v>
      </c>
      <c r="N209" s="519">
        <f>IF('Input overrides'!N209&lt;&gt;"",'Input overrides'!N209,F_Inputs!N261)</f>
        <v>0</v>
      </c>
      <c r="O209" s="519">
        <f>IF('Input overrides'!O209&lt;&gt;"",'Input overrides'!O209,F_Inputs!O261)</f>
        <v>0</v>
      </c>
    </row>
    <row r="210" spans="1:17">
      <c r="A210" t="s">
        <v>55</v>
      </c>
      <c r="B210" t="s">
        <v>86</v>
      </c>
      <c r="C210" t="s">
        <v>94</v>
      </c>
      <c r="D210" t="s">
        <v>183</v>
      </c>
      <c r="E210" t="s">
        <v>182</v>
      </c>
      <c r="F210" s="242">
        <f>IF('Input overrides'!F210&lt;&gt;"",'Input overrides'!F210,F_Inputs!F262)</f>
        <v>0</v>
      </c>
      <c r="G210" s="242">
        <f>IF('Input overrides'!G210&lt;&gt;"",'Input overrides'!G210,F_Inputs!G262)</f>
        <v>0</v>
      </c>
      <c r="H210" s="242">
        <f>IF('Input overrides'!H210&lt;&gt;"",'Input overrides'!H210,F_Inputs!H262)</f>
        <v>0</v>
      </c>
      <c r="I210" s="242">
        <f>IF('Input overrides'!I210&lt;&gt;"",'Input overrides'!I210,F_Inputs!I262)</f>
        <v>0</v>
      </c>
      <c r="J210" s="242">
        <f>IF('Input overrides'!J210&lt;&gt;"",'Input overrides'!J210,F_Inputs!J262)</f>
        <v>0</v>
      </c>
      <c r="K210" s="518">
        <f>IF('Input overrides'!K210&lt;&gt;"",'Input overrides'!K210,F_Inputs!K262)</f>
        <v>0</v>
      </c>
      <c r="L210" s="519">
        <f>IF('Input overrides'!L210&lt;&gt;"",'Input overrides'!L210,F_Inputs!L262)</f>
        <v>0</v>
      </c>
      <c r="M210" s="519">
        <f>IF('Input overrides'!M210&lt;&gt;"",'Input overrides'!M210,F_Inputs!M262)</f>
        <v>0</v>
      </c>
      <c r="N210" s="519">
        <f>IF('Input overrides'!N210&lt;&gt;"",'Input overrides'!N210,F_Inputs!N262)</f>
        <v>0</v>
      </c>
      <c r="O210" s="519">
        <f>IF('Input overrides'!O210&lt;&gt;"",'Input overrides'!O210,F_Inputs!O262)</f>
        <v>0</v>
      </c>
    </row>
    <row r="211" spans="1:17">
      <c r="A211" t="s">
        <v>55</v>
      </c>
      <c r="B211" t="s">
        <v>174</v>
      </c>
      <c r="C211" t="s">
        <v>184</v>
      </c>
      <c r="D211" t="s">
        <v>74</v>
      </c>
      <c r="E211" t="s">
        <v>182</v>
      </c>
      <c r="F211" s="242">
        <f>IF('Input overrides'!F211&lt;&gt;"",'Input overrides'!F211,F_Inputs!F263)*Rebasing</f>
        <v>0</v>
      </c>
      <c r="G211" s="242">
        <f>IF('Input overrides'!G211&lt;&gt;"",'Input overrides'!G211,F_Inputs!G263)*Rebasing</f>
        <v>0</v>
      </c>
      <c r="H211" s="242">
        <f>IF('Input overrides'!H211&lt;&gt;"",'Input overrides'!H211,F_Inputs!H263)*Rebasing</f>
        <v>0</v>
      </c>
      <c r="I211" s="242">
        <f>IF('Input overrides'!I211&lt;&gt;"",'Input overrides'!I211,F_Inputs!I263)*Rebasing</f>
        <v>0</v>
      </c>
      <c r="J211" s="242">
        <f>IF('Input overrides'!J211&lt;&gt;"",'Input overrides'!J211,F_Inputs!J263)*Rebasing</f>
        <v>0</v>
      </c>
      <c r="K211" s="242">
        <f>IF('Input overrides'!K211&lt;&gt;"",'Input overrides'!K211,F_Inputs!K263)*Rebasing</f>
        <v>0</v>
      </c>
      <c r="L211" s="242">
        <f>IF('Input overrides'!L211&lt;&gt;"",'Input overrides'!L211,F_Inputs!L263)*Rebasing</f>
        <v>0</v>
      </c>
      <c r="M211" s="242">
        <f>IF('Input overrides'!M211&lt;&gt;"",'Input overrides'!M211,F_Inputs!M263)*Rebasing</f>
        <v>0</v>
      </c>
      <c r="N211" s="242">
        <f>IF('Input overrides'!N211&lt;&gt;"",'Input overrides'!N211,F_Inputs!N263)*Rebasing</f>
        <v>0</v>
      </c>
      <c r="O211" s="242">
        <f>IF('Input overrides'!O211&lt;&gt;"",'Input overrides'!O211,F_Inputs!O263)*Rebasing</f>
        <v>0</v>
      </c>
    </row>
    <row r="212" spans="1:17">
      <c r="A212" t="s">
        <v>55</v>
      </c>
      <c r="B212" t="s">
        <v>156</v>
      </c>
      <c r="C212" t="s">
        <v>157</v>
      </c>
      <c r="D212" t="s">
        <v>74</v>
      </c>
      <c r="E212" t="s">
        <v>182</v>
      </c>
      <c r="F212" s="242">
        <f>IF('Input overrides'!F212&lt;&gt;"",'Input overrides'!F212,F_Inputs!F264)*Rebasing</f>
        <v>0</v>
      </c>
      <c r="G212" s="242">
        <f>IF('Input overrides'!G212&lt;&gt;"",'Input overrides'!G212,F_Inputs!G264)*Rebasing</f>
        <v>0</v>
      </c>
      <c r="H212" s="242">
        <f>IF('Input overrides'!H212&lt;&gt;"",'Input overrides'!H212,F_Inputs!H264)*Rebasing</f>
        <v>9.2596301215898638E-2</v>
      </c>
      <c r="I212" s="242">
        <f>IF('Input overrides'!I212&lt;&gt;"",'Input overrides'!I212,F_Inputs!I264)*Rebasing</f>
        <v>4.1153911651510507E-2</v>
      </c>
      <c r="J212" s="242">
        <f>IF('Input overrides'!J212&lt;&gt;"",'Input overrides'!J212,F_Inputs!J264)*Rebasing</f>
        <v>0.13580790844998469</v>
      </c>
      <c r="K212" s="242">
        <f>IF('Input overrides'!K212&lt;&gt;"",'Input overrides'!K212,F_Inputs!K264)*Rebasing</f>
        <v>3.84340481388038E-2</v>
      </c>
      <c r="L212" s="242">
        <f>IF('Input overrides'!L212&lt;&gt;"",'Input overrides'!L212,F_Inputs!L264)*Rebasing</f>
        <v>3.84340481388038E-2</v>
      </c>
      <c r="M212" s="242">
        <f>IF('Input overrides'!M212&lt;&gt;"",'Input overrides'!M212,F_Inputs!M264)*Rebasing</f>
        <v>3.84340481388038E-2</v>
      </c>
      <c r="N212" s="242">
        <f>IF('Input overrides'!N212&lt;&gt;"",'Input overrides'!N212,F_Inputs!N264)*Rebasing</f>
        <v>3.84340481388038E-2</v>
      </c>
      <c r="O212" s="242">
        <f>IF('Input overrides'!O212&lt;&gt;"",'Input overrides'!O212,F_Inputs!O264)*Rebasing</f>
        <v>3.84340481388038E-2</v>
      </c>
    </row>
    <row r="213" spans="1:17">
      <c r="A213" t="s">
        <v>55</v>
      </c>
      <c r="B213" t="s">
        <v>159</v>
      </c>
      <c r="C213" t="s">
        <v>158</v>
      </c>
      <c r="D213" t="s">
        <v>74</v>
      </c>
      <c r="E213" t="s">
        <v>182</v>
      </c>
      <c r="F213" s="242">
        <f>IF('Input overrides'!F213&lt;&gt;"",'Input overrides'!F213,F_Inputs!F265)*Rebasing</f>
        <v>0</v>
      </c>
      <c r="G213" s="242">
        <f>IF('Input overrides'!G213&lt;&gt;"",'Input overrides'!G213,F_Inputs!G265)*Rebasing</f>
        <v>0</v>
      </c>
      <c r="H213" s="242">
        <f>IF('Input overrides'!H213&lt;&gt;"",'Input overrides'!H213,F_Inputs!H265)*Rebasing</f>
        <v>0</v>
      </c>
      <c r="I213" s="242">
        <f>IF('Input overrides'!I213&lt;&gt;"",'Input overrides'!I213,F_Inputs!I265)*Rebasing</f>
        <v>0</v>
      </c>
      <c r="J213" s="242">
        <f>IF('Input overrides'!J213&lt;&gt;"",'Input overrides'!J213,F_Inputs!J265)*Rebasing</f>
        <v>0</v>
      </c>
      <c r="K213" s="242">
        <f>IF('Input overrides'!K213&lt;&gt;"",'Input overrides'!K213,F_Inputs!K265)*Rebasing</f>
        <v>0</v>
      </c>
      <c r="L213" s="242">
        <f>IF('Input overrides'!L213&lt;&gt;"",'Input overrides'!L213,F_Inputs!L265)*Rebasing</f>
        <v>0</v>
      </c>
      <c r="M213" s="242">
        <f>IF('Input overrides'!M213&lt;&gt;"",'Input overrides'!M213,F_Inputs!M265)*Rebasing</f>
        <v>0</v>
      </c>
      <c r="N213" s="242">
        <f>IF('Input overrides'!N213&lt;&gt;"",'Input overrides'!N213,F_Inputs!N265)*Rebasing</f>
        <v>0</v>
      </c>
      <c r="O213" s="242">
        <f>IF('Input overrides'!O213&lt;&gt;"",'Input overrides'!O213,F_Inputs!O265)*Rebasing</f>
        <v>0</v>
      </c>
    </row>
    <row r="214" spans="1:17">
      <c r="A214" t="s">
        <v>56</v>
      </c>
      <c r="B214" t="s">
        <v>78</v>
      </c>
      <c r="C214" t="s">
        <v>132</v>
      </c>
      <c r="D214" t="s">
        <v>74</v>
      </c>
      <c r="E214" t="s">
        <v>182</v>
      </c>
      <c r="F214" s="242">
        <f>IF('Input overrides'!F214&lt;&gt;"",'Input overrides'!F214,F_Inputs!F270)*Rebasing</f>
        <v>3.2912840843295528</v>
      </c>
      <c r="G214" s="242">
        <f>IF('Input overrides'!G214&lt;&gt;"",'Input overrides'!G214,F_Inputs!G270)*Rebasing</f>
        <v>3.5577556622730837</v>
      </c>
      <c r="H214" s="242">
        <f>IF('Input overrides'!H214&lt;&gt;"",'Input overrides'!H214,F_Inputs!H270)*Rebasing</f>
        <v>3.9703236265794764</v>
      </c>
      <c r="I214" s="242">
        <f ca="1">IF('Input overrides'!I214&lt;&gt;"",'Input overrides'!I214,F_Inputs!I270)*Rebasing</f>
        <v>4.0526314498824973</v>
      </c>
      <c r="J214" s="242">
        <f>IF('Input overrides'!J214&lt;&gt;"",'Input overrides'!J214,F_Inputs!J270)*Rebasing</f>
        <v>4.0793814924559788</v>
      </c>
      <c r="K214" s="242">
        <f ca="1">IF('Input overrides'!K214&lt;&gt;"",'Input overrides'!K214,F_Inputs!K270)*Rebasing</f>
        <v>4.1637470113415755</v>
      </c>
      <c r="L214" s="242">
        <f ca="1">IF('Input overrides'!L214&lt;&gt;"",'Input overrides'!L214,F_Inputs!L270)*Rebasing</f>
        <v>4.195641292871497</v>
      </c>
      <c r="M214" s="242">
        <f ca="1">IF('Input overrides'!M214&lt;&gt;"",'Input overrides'!M214,F_Inputs!M270)*Rebasing</f>
        <v>4.2275355744014167</v>
      </c>
      <c r="N214" s="242">
        <f ca="1">IF('Input overrides'!N214&lt;&gt;"",'Input overrides'!N214,F_Inputs!N270)*Rebasing</f>
        <v>4.2625163993052011</v>
      </c>
      <c r="O214" s="242">
        <f ca="1">IF('Input overrides'!O214&lt;&gt;"",'Input overrides'!O214,F_Inputs!O270)*Rebasing</f>
        <v>4.296468376417697</v>
      </c>
      <c r="Q214" s="242"/>
    </row>
    <row r="215" spans="1:17">
      <c r="A215" t="s">
        <v>56</v>
      </c>
      <c r="B215" t="s">
        <v>97</v>
      </c>
      <c r="C215" t="s">
        <v>99</v>
      </c>
      <c r="D215" t="s">
        <v>74</v>
      </c>
      <c r="E215" t="s">
        <v>182</v>
      </c>
      <c r="F215" s="242">
        <f>IF('Input overrides'!F215&lt;&gt;"",'Input overrides'!F215,F_Inputs!F271)*Rebasing</f>
        <v>4.218275944279827E-2</v>
      </c>
      <c r="G215" s="242">
        <f>IF('Input overrides'!G215&lt;&gt;"",'Input overrides'!G215,F_Inputs!G271)*Rebasing</f>
        <v>4.218275944279827E-2</v>
      </c>
      <c r="H215" s="242">
        <f>IF('Input overrides'!H215&lt;&gt;"",'Input overrides'!H215,F_Inputs!H271)*Rebasing</f>
        <v>8.3336671094308784E-2</v>
      </c>
      <c r="I215" s="242">
        <f>IF('Input overrides'!I215&lt;&gt;"",'Input overrides'!I215,F_Inputs!I271)*Rebasing</f>
        <v>0.2016541670924015</v>
      </c>
      <c r="J215" s="242">
        <f>IF('Input overrides'!J215&lt;&gt;"",'Input overrides'!J215,F_Inputs!J271)*Rebasing</f>
        <v>0.12346173495453153</v>
      </c>
      <c r="K215" s="242">
        <f>IF('Input overrides'!K215&lt;&gt;"",'Input overrides'!K215,F_Inputs!K271)*Rebasing</f>
        <v>0.18416375464050952</v>
      </c>
      <c r="L215" s="242">
        <f>IF('Input overrides'!L215&lt;&gt;"",'Input overrides'!L215,F_Inputs!L271)*Rebasing</f>
        <v>0.17593297231020741</v>
      </c>
      <c r="M215" s="242">
        <f>IF('Input overrides'!M215&lt;&gt;"",'Input overrides'!M215,F_Inputs!M271)*Rebasing</f>
        <v>0.13477906065869691</v>
      </c>
      <c r="N215" s="242">
        <f>IF('Input overrides'!N215&lt;&gt;"",'Input overrides'!N215,F_Inputs!N271)*Rebasing</f>
        <v>0.1100867136677906</v>
      </c>
      <c r="O215" s="242">
        <f>IF('Input overrides'!O215&lt;&gt;"",'Input overrides'!O215,F_Inputs!O271)*Rebasing</f>
        <v>9.4653996798474166E-2</v>
      </c>
    </row>
    <row r="216" spans="1:17">
      <c r="A216" t="s">
        <v>56</v>
      </c>
      <c r="B216" t="s">
        <v>98</v>
      </c>
      <c r="C216" t="s">
        <v>100</v>
      </c>
      <c r="D216" t="s">
        <v>74</v>
      </c>
      <c r="E216" t="s">
        <v>182</v>
      </c>
      <c r="F216" s="242">
        <f>IF('Input overrides'!F216&lt;&gt;"",'Input overrides'!F216,F_Inputs!F272)*Rebasing</f>
        <v>0</v>
      </c>
      <c r="G216" s="242">
        <f>IF('Input overrides'!G216&lt;&gt;"",'Input overrides'!G216,F_Inputs!G272)*Rebasing</f>
        <v>0</v>
      </c>
      <c r="H216" s="242">
        <f>IF('Input overrides'!H216&lt;&gt;"",'Input overrides'!H216,F_Inputs!H272)*Rebasing</f>
        <v>0</v>
      </c>
      <c r="I216" s="242">
        <f>IF('Input overrides'!I216&lt;&gt;"",'Input overrides'!I216,F_Inputs!I272)*Rebasing</f>
        <v>0</v>
      </c>
      <c r="J216" s="242">
        <f>IF('Input overrides'!J216&lt;&gt;"",'Input overrides'!J216,F_Inputs!J272)*Rebasing</f>
        <v>0</v>
      </c>
      <c r="K216" s="242">
        <f>IF('Input overrides'!K216&lt;&gt;"",'Input overrides'!K216,F_Inputs!K272)*Rebasing</f>
        <v>1.2346173495453153E-2</v>
      </c>
      <c r="L216" s="242">
        <f>IF('Input overrides'!L216&lt;&gt;"",'Input overrides'!L216,F_Inputs!L272)*Rebasing</f>
        <v>2.4692346990906305E-2</v>
      </c>
      <c r="M216" s="242">
        <f>IF('Input overrides'!M216&lt;&gt;"",'Input overrides'!M216,F_Inputs!M272)*Rebasing</f>
        <v>3.7038520486359465E-2</v>
      </c>
      <c r="N216" s="242">
        <f>IF('Input overrides'!N216&lt;&gt;"",'Input overrides'!N216,F_Inputs!N272)*Rebasing</f>
        <v>5.0413541773100375E-2</v>
      </c>
      <c r="O216" s="242">
        <f>IF('Input overrides'!O216&lt;&gt;"",'Input overrides'!O216,F_Inputs!O272)*Rebasing</f>
        <v>6.275971526855352E-2</v>
      </c>
    </row>
    <row r="217" spans="1:17">
      <c r="A217" t="s">
        <v>56</v>
      </c>
      <c r="B217" t="s">
        <v>79</v>
      </c>
      <c r="C217" t="s">
        <v>135</v>
      </c>
      <c r="D217" t="s">
        <v>74</v>
      </c>
      <c r="E217" t="s">
        <v>182</v>
      </c>
      <c r="F217" s="242">
        <f>IF('Input overrides'!F217&lt;&gt;"",'Input overrides'!F217,F_Inputs!F273)*Rebasing</f>
        <v>0.20576955825755255</v>
      </c>
      <c r="G217" s="242">
        <f>IF('Input overrides'!G217&lt;&gt;"",'Input overrides'!G217,F_Inputs!G273)*Rebasing</f>
        <v>0.23149075303974662</v>
      </c>
      <c r="H217" s="242">
        <f>IF('Input overrides'!H217&lt;&gt;"",'Input overrides'!H217,F_Inputs!H273)*Rebasing</f>
        <v>0.26235618677837952</v>
      </c>
      <c r="I217" s="242">
        <f>IF('Input overrides'!I217&lt;&gt;"",'Input overrides'!I217,F_Inputs!I273)*Rebasing</f>
        <v>0.2870485337692858</v>
      </c>
      <c r="J217" s="242">
        <f>IF('Input overrides'!J217&lt;&gt;"",'Input overrides'!J217,F_Inputs!J273)*Rebasing</f>
        <v>0.3148274241340554</v>
      </c>
      <c r="K217" s="242">
        <f>IF('Input overrides'!K217&lt;&gt;"",'Input overrides'!K217,F_Inputs!K273)*Rebasing</f>
        <v>0.34672170566397603</v>
      </c>
      <c r="L217" s="242">
        <f>IF('Input overrides'!L217&lt;&gt;"",'Input overrides'!L217,F_Inputs!L273)*Rebasing</f>
        <v>0.37861598719389666</v>
      </c>
      <c r="M217" s="242">
        <f>IF('Input overrides'!M217&lt;&gt;"",'Input overrides'!M217,F_Inputs!M273)*Rebasing</f>
        <v>0.41051026872381735</v>
      </c>
      <c r="N217" s="242">
        <f>IF('Input overrides'!N217&lt;&gt;"",'Input overrides'!N217,F_Inputs!N273)*Rebasing</f>
        <v>0.44549109362760125</v>
      </c>
      <c r="O217" s="242">
        <f>IF('Input overrides'!O217&lt;&gt;"",'Input overrides'!O217,F_Inputs!O273)*Rebasing</f>
        <v>0.47944307074009745</v>
      </c>
    </row>
    <row r="218" spans="1:17">
      <c r="A218" t="s">
        <v>56</v>
      </c>
      <c r="B218" t="s">
        <v>80</v>
      </c>
      <c r="C218" t="s">
        <v>136</v>
      </c>
      <c r="D218" t="s">
        <v>74</v>
      </c>
      <c r="E218" t="s">
        <v>182</v>
      </c>
      <c r="F218" s="242">
        <f>IF('Input overrides'!F218&lt;&gt;"",'Input overrides'!F218,F_Inputs!F274)*Rebasing</f>
        <v>0</v>
      </c>
      <c r="G218" s="242">
        <f>IF('Input overrides'!G218&lt;&gt;"",'Input overrides'!G218,F_Inputs!G274)*Rebasing</f>
        <v>0</v>
      </c>
      <c r="H218" s="242">
        <f>IF('Input overrides'!H218&lt;&gt;"",'Input overrides'!H218,F_Inputs!H274)*Rebasing</f>
        <v>0</v>
      </c>
      <c r="I218" s="242">
        <f>IF('Input overrides'!I218&lt;&gt;"",'Input overrides'!I218,F_Inputs!I274)*Rebasing</f>
        <v>0</v>
      </c>
      <c r="J218" s="242">
        <f>IF('Input overrides'!J218&lt;&gt;"",'Input overrides'!J218,F_Inputs!J274)*Rebasing</f>
        <v>0</v>
      </c>
      <c r="K218" s="242">
        <f>IF('Input overrides'!K218&lt;&gt;"",'Input overrides'!K218,F_Inputs!K274)*Rebasing</f>
        <v>0</v>
      </c>
      <c r="L218" s="242">
        <f>IF('Input overrides'!L218&lt;&gt;"",'Input overrides'!L218,F_Inputs!L274)*Rebasing</f>
        <v>0</v>
      </c>
      <c r="M218" s="242">
        <f>IF('Input overrides'!M218&lt;&gt;"",'Input overrides'!M218,F_Inputs!M274)*Rebasing</f>
        <v>0</v>
      </c>
      <c r="N218" s="242">
        <f>IF('Input overrides'!N218&lt;&gt;"",'Input overrides'!N218,F_Inputs!N274)*Rebasing</f>
        <v>0</v>
      </c>
      <c r="O218" s="242">
        <f>IF('Input overrides'!O218&lt;&gt;"",'Input overrides'!O218,F_Inputs!O274)*Rebasing</f>
        <v>0</v>
      </c>
    </row>
    <row r="219" spans="1:17">
      <c r="A219" t="s">
        <v>56</v>
      </c>
      <c r="B219" t="s">
        <v>81</v>
      </c>
      <c r="C219" t="s">
        <v>137</v>
      </c>
      <c r="D219" t="s">
        <v>74</v>
      </c>
      <c r="E219" t="s">
        <v>182</v>
      </c>
      <c r="F219" s="242">
        <f>IF('Input overrides'!F219&lt;&gt;"",'Input overrides'!F219,F_Inputs!F275)*Rebasing</f>
        <v>0</v>
      </c>
      <c r="G219" s="242">
        <f>IF('Input overrides'!G219&lt;&gt;"",'Input overrides'!G219,F_Inputs!G275)*Rebasing</f>
        <v>0</v>
      </c>
      <c r="H219" s="242">
        <f>IF('Input overrides'!H219&lt;&gt;"",'Input overrides'!H219,F_Inputs!H275)*Rebasing</f>
        <v>0</v>
      </c>
      <c r="I219" s="242">
        <f>IF('Input overrides'!I219&lt;&gt;"",'Input overrides'!I219,F_Inputs!I275)*Rebasing</f>
        <v>0</v>
      </c>
      <c r="J219" s="242">
        <f>IF('Input overrides'!J219&lt;&gt;"",'Input overrides'!J219,F_Inputs!J275)*Rebasing</f>
        <v>0</v>
      </c>
      <c r="K219" s="242">
        <f>IF('Input overrides'!K219&lt;&gt;"",'Input overrides'!K219,F_Inputs!K275)*Rebasing</f>
        <v>0</v>
      </c>
      <c r="L219" s="242">
        <f>IF('Input overrides'!L219&lt;&gt;"",'Input overrides'!L219,F_Inputs!L275)*Rebasing</f>
        <v>0</v>
      </c>
      <c r="M219" s="242">
        <f>IF('Input overrides'!M219&lt;&gt;"",'Input overrides'!M219,F_Inputs!M275)*Rebasing</f>
        <v>0</v>
      </c>
      <c r="N219" s="242">
        <f>IF('Input overrides'!N219&lt;&gt;"",'Input overrides'!N219,F_Inputs!N275)*Rebasing</f>
        <v>0</v>
      </c>
      <c r="O219" s="242">
        <f>IF('Input overrides'!O219&lt;&gt;"",'Input overrides'!O219,F_Inputs!O275)*Rebasing</f>
        <v>0</v>
      </c>
    </row>
    <row r="220" spans="1:17">
      <c r="A220" t="s">
        <v>56</v>
      </c>
      <c r="B220" t="s">
        <v>82</v>
      </c>
      <c r="C220" t="s">
        <v>89</v>
      </c>
      <c r="D220" t="s">
        <v>183</v>
      </c>
      <c r="E220" t="s">
        <v>182</v>
      </c>
      <c r="F220" s="242">
        <f>IF('Input overrides'!F220&lt;&gt;"",'Input overrides'!F220,F_Inputs!F276)</f>
        <v>231.68700000000001</v>
      </c>
      <c r="G220" s="242">
        <f>IF('Input overrides'!G220&lt;&gt;"",'Input overrides'!G220,F_Inputs!G276)</f>
        <v>226.49799999999999</v>
      </c>
      <c r="H220" s="242">
        <f>IF('Input overrides'!H220&lt;&gt;"",'Input overrides'!H220,F_Inputs!H276)</f>
        <v>221.93899999999999</v>
      </c>
      <c r="I220" s="242">
        <f>IF('Input overrides'!I220&lt;&gt;"",'Input overrides'!I220,F_Inputs!I276)</f>
        <v>217.672</v>
      </c>
      <c r="J220" s="242">
        <f>IF('Input overrides'!J220&lt;&gt;"",'Input overrides'!J220,F_Inputs!J276)</f>
        <v>212.672</v>
      </c>
      <c r="K220" s="518">
        <f>IF('Input overrides'!K220&lt;&gt;"",'Input overrides'!K220,F_Inputs!K276)</f>
        <v>207.72300000000001</v>
      </c>
      <c r="L220" s="519">
        <f>IF('Input overrides'!L220&lt;&gt;"",'Input overrides'!L220,F_Inputs!L276)</f>
        <v>202.72300000000001</v>
      </c>
      <c r="M220" s="519">
        <f>IF('Input overrides'!M220&lt;&gt;"",'Input overrides'!M220,F_Inputs!M276)</f>
        <v>197.72300000000001</v>
      </c>
      <c r="N220" s="519">
        <f>IF('Input overrides'!N220&lt;&gt;"",'Input overrides'!N220,F_Inputs!N276)</f>
        <v>192.72300000000001</v>
      </c>
      <c r="O220" s="519">
        <f>IF('Input overrides'!O220&lt;&gt;"",'Input overrides'!O220,F_Inputs!O276)</f>
        <v>187.72300000000001</v>
      </c>
    </row>
    <row r="221" spans="1:17">
      <c r="A221" t="s">
        <v>56</v>
      </c>
      <c r="B221" t="s">
        <v>87</v>
      </c>
      <c r="C221" t="s">
        <v>90</v>
      </c>
      <c r="D221" t="s">
        <v>183</v>
      </c>
      <c r="E221" t="s">
        <v>182</v>
      </c>
      <c r="F221" s="242">
        <f>IF('Input overrides'!F221&lt;&gt;"",'Input overrides'!F221,F_Inputs!F277)</f>
        <v>47.287999999999997</v>
      </c>
      <c r="G221" s="242">
        <f>IF('Input overrides'!G221&lt;&gt;"",'Input overrides'!G221,F_Inputs!G277)</f>
        <v>53.173999999999999</v>
      </c>
      <c r="H221" s="242">
        <f>IF('Input overrides'!H221&lt;&gt;"",'Input overrides'!H221,F_Inputs!H277)</f>
        <v>60.283999999999999</v>
      </c>
      <c r="I221" s="242">
        <f>IF('Input overrides'!I221&lt;&gt;"",'Input overrides'!I221,F_Inputs!I277)</f>
        <v>66.489000000000004</v>
      </c>
      <c r="J221" s="242">
        <f>IF('Input overrides'!J221&lt;&gt;"",'Input overrides'!J221,F_Inputs!J277)</f>
        <v>72.989000000000004</v>
      </c>
      <c r="K221" s="518">
        <f>IF('Input overrides'!K221&lt;&gt;"",'Input overrides'!K221,F_Inputs!K277)</f>
        <v>80.427000000000007</v>
      </c>
      <c r="L221" s="519">
        <f>IF('Input overrides'!L221&lt;&gt;"",'Input overrides'!L221,F_Inputs!L277)</f>
        <v>87.587000000000003</v>
      </c>
      <c r="M221" s="519">
        <f>IF('Input overrides'!M221&lt;&gt;"",'Input overrides'!M221,F_Inputs!M277)</f>
        <v>95.1</v>
      </c>
      <c r="N221" s="519">
        <f>IF('Input overrides'!N221&lt;&gt;"",'Input overrides'!N221,F_Inputs!N277)</f>
        <v>103.10299999999999</v>
      </c>
      <c r="O221" s="519">
        <f>IF('Input overrides'!O221&lt;&gt;"",'Input overrides'!O221,F_Inputs!O277)</f>
        <v>111.041</v>
      </c>
    </row>
    <row r="222" spans="1:17">
      <c r="A222" t="s">
        <v>56</v>
      </c>
      <c r="B222" t="s">
        <v>83</v>
      </c>
      <c r="C222" t="s">
        <v>91</v>
      </c>
      <c r="D222" t="s">
        <v>183</v>
      </c>
      <c r="E222" t="s">
        <v>182</v>
      </c>
      <c r="F222" s="242">
        <f>IF('Input overrides'!F222&lt;&gt;"",'Input overrides'!F222,F_Inputs!F278)</f>
        <v>0</v>
      </c>
      <c r="G222" s="242">
        <f>IF('Input overrides'!G222&lt;&gt;"",'Input overrides'!G222,F_Inputs!G278)</f>
        <v>0</v>
      </c>
      <c r="H222" s="242">
        <f>IF('Input overrides'!H222&lt;&gt;"",'Input overrides'!H222,F_Inputs!H278)</f>
        <v>0</v>
      </c>
      <c r="I222" s="242">
        <f>IF('Input overrides'!I222&lt;&gt;"",'Input overrides'!I222,F_Inputs!I278)</f>
        <v>0</v>
      </c>
      <c r="J222" s="242">
        <f>IF('Input overrides'!J222&lt;&gt;"",'Input overrides'!J222,F_Inputs!J278)</f>
        <v>0</v>
      </c>
      <c r="K222" s="518">
        <f>IF('Input overrides'!K222&lt;&gt;"",'Input overrides'!K222,F_Inputs!K278)</f>
        <v>0</v>
      </c>
      <c r="L222" s="519">
        <f>IF('Input overrides'!L222&lt;&gt;"",'Input overrides'!L222,F_Inputs!L278)</f>
        <v>0</v>
      </c>
      <c r="M222" s="519">
        <f>IF('Input overrides'!M222&lt;&gt;"",'Input overrides'!M222,F_Inputs!M278)</f>
        <v>0</v>
      </c>
      <c r="N222" s="519">
        <f>IF('Input overrides'!N222&lt;&gt;"",'Input overrides'!N222,F_Inputs!N278)</f>
        <v>0</v>
      </c>
      <c r="O222" s="519">
        <f>IF('Input overrides'!O222&lt;&gt;"",'Input overrides'!O222,F_Inputs!O278)</f>
        <v>0</v>
      </c>
    </row>
    <row r="223" spans="1:17">
      <c r="A223" t="s">
        <v>56</v>
      </c>
      <c r="B223" t="s">
        <v>84</v>
      </c>
      <c r="C223" t="s">
        <v>92</v>
      </c>
      <c r="D223" t="s">
        <v>183</v>
      </c>
      <c r="E223" t="s">
        <v>182</v>
      </c>
      <c r="F223" s="242">
        <f>IF('Input overrides'!F223&lt;&gt;"",'Input overrides'!F223,F_Inputs!F279)</f>
        <v>0</v>
      </c>
      <c r="G223" s="242">
        <f>IF('Input overrides'!G223&lt;&gt;"",'Input overrides'!G223,F_Inputs!G279)</f>
        <v>0</v>
      </c>
      <c r="H223" s="242">
        <f>IF('Input overrides'!H223&lt;&gt;"",'Input overrides'!H223,F_Inputs!H279)</f>
        <v>0</v>
      </c>
      <c r="I223" s="242">
        <f>IF('Input overrides'!I223&lt;&gt;"",'Input overrides'!I223,F_Inputs!I279)</f>
        <v>0</v>
      </c>
      <c r="J223" s="242">
        <f>IF('Input overrides'!J223&lt;&gt;"",'Input overrides'!J223,F_Inputs!J279)</f>
        <v>0</v>
      </c>
      <c r="K223" s="518">
        <f>IF('Input overrides'!K223&lt;&gt;"",'Input overrides'!K223,F_Inputs!K279)</f>
        <v>0</v>
      </c>
      <c r="L223" s="519">
        <f>IF('Input overrides'!L223&lt;&gt;"",'Input overrides'!L223,F_Inputs!L279)</f>
        <v>0</v>
      </c>
      <c r="M223" s="519">
        <f>IF('Input overrides'!M223&lt;&gt;"",'Input overrides'!M223,F_Inputs!M279)</f>
        <v>0</v>
      </c>
      <c r="N223" s="519">
        <f>IF('Input overrides'!N223&lt;&gt;"",'Input overrides'!N223,F_Inputs!N279)</f>
        <v>0</v>
      </c>
      <c r="O223" s="519">
        <f>IF('Input overrides'!O223&lt;&gt;"",'Input overrides'!O223,F_Inputs!O279)</f>
        <v>0</v>
      </c>
    </row>
    <row r="224" spans="1:17">
      <c r="A224" t="s">
        <v>56</v>
      </c>
      <c r="B224" t="s">
        <v>85</v>
      </c>
      <c r="C224" t="s">
        <v>93</v>
      </c>
      <c r="D224" t="s">
        <v>183</v>
      </c>
      <c r="E224" t="s">
        <v>182</v>
      </c>
      <c r="F224" s="242">
        <f>IF('Input overrides'!F224&lt;&gt;"",'Input overrides'!F224,F_Inputs!F280)</f>
        <v>0</v>
      </c>
      <c r="G224" s="242">
        <f>IF('Input overrides'!G224&lt;&gt;"",'Input overrides'!G224,F_Inputs!G280)</f>
        <v>0</v>
      </c>
      <c r="H224" s="242">
        <f>IF('Input overrides'!H224&lt;&gt;"",'Input overrides'!H224,F_Inputs!H280)</f>
        <v>0</v>
      </c>
      <c r="I224" s="242">
        <f>IF('Input overrides'!I224&lt;&gt;"",'Input overrides'!I224,F_Inputs!I280)</f>
        <v>0</v>
      </c>
      <c r="J224" s="242">
        <f>IF('Input overrides'!J224&lt;&gt;"",'Input overrides'!J224,F_Inputs!J280)</f>
        <v>0</v>
      </c>
      <c r="K224" s="518">
        <f>IF('Input overrides'!K224&lt;&gt;"",'Input overrides'!K224,F_Inputs!K280)</f>
        <v>0</v>
      </c>
      <c r="L224" s="519">
        <f>IF('Input overrides'!L224&lt;&gt;"",'Input overrides'!L224,F_Inputs!L280)</f>
        <v>0</v>
      </c>
      <c r="M224" s="519">
        <f>IF('Input overrides'!M224&lt;&gt;"",'Input overrides'!M224,F_Inputs!M280)</f>
        <v>0</v>
      </c>
      <c r="N224" s="519">
        <f>IF('Input overrides'!N224&lt;&gt;"",'Input overrides'!N224,F_Inputs!N280)</f>
        <v>0</v>
      </c>
      <c r="O224" s="519">
        <f>IF('Input overrides'!O224&lt;&gt;"",'Input overrides'!O224,F_Inputs!O280)</f>
        <v>0</v>
      </c>
    </row>
    <row r="225" spans="1:17">
      <c r="A225" t="s">
        <v>56</v>
      </c>
      <c r="B225" t="s">
        <v>86</v>
      </c>
      <c r="C225" t="s">
        <v>94</v>
      </c>
      <c r="D225" t="s">
        <v>183</v>
      </c>
      <c r="E225" t="s">
        <v>182</v>
      </c>
      <c r="F225" s="242">
        <f>IF('Input overrides'!F225&lt;&gt;"",'Input overrides'!F225,F_Inputs!F281)</f>
        <v>0</v>
      </c>
      <c r="G225" s="242">
        <f>IF('Input overrides'!G225&lt;&gt;"",'Input overrides'!G225,F_Inputs!G281)</f>
        <v>0</v>
      </c>
      <c r="H225" s="242">
        <f>IF('Input overrides'!H225&lt;&gt;"",'Input overrides'!H225,F_Inputs!H281)</f>
        <v>0</v>
      </c>
      <c r="I225" s="242">
        <f>IF('Input overrides'!I225&lt;&gt;"",'Input overrides'!I225,F_Inputs!I281)</f>
        <v>0</v>
      </c>
      <c r="J225" s="242">
        <f>IF('Input overrides'!J225&lt;&gt;"",'Input overrides'!J225,F_Inputs!J281)</f>
        <v>0</v>
      </c>
      <c r="K225" s="518">
        <f>IF('Input overrides'!K225&lt;&gt;"",'Input overrides'!K225,F_Inputs!K281)</f>
        <v>0</v>
      </c>
      <c r="L225" s="519">
        <f>IF('Input overrides'!L225&lt;&gt;"",'Input overrides'!L225,F_Inputs!L281)</f>
        <v>0</v>
      </c>
      <c r="M225" s="519">
        <f>IF('Input overrides'!M225&lt;&gt;"",'Input overrides'!M225,F_Inputs!M281)</f>
        <v>0</v>
      </c>
      <c r="N225" s="519">
        <f>IF('Input overrides'!N225&lt;&gt;"",'Input overrides'!N225,F_Inputs!N281)</f>
        <v>0</v>
      </c>
      <c r="O225" s="519">
        <f>IF('Input overrides'!O225&lt;&gt;"",'Input overrides'!O225,F_Inputs!O281)</f>
        <v>0</v>
      </c>
    </row>
    <row r="226" spans="1:17">
      <c r="A226" t="s">
        <v>56</v>
      </c>
      <c r="B226" t="s">
        <v>174</v>
      </c>
      <c r="C226" t="s">
        <v>184</v>
      </c>
      <c r="D226" t="s">
        <v>74</v>
      </c>
      <c r="E226" t="s">
        <v>182</v>
      </c>
      <c r="F226" s="242">
        <f>IF('Input overrides'!F226&lt;&gt;"",'Input overrides'!F226,F_Inputs!F282)*Rebasing</f>
        <v>0</v>
      </c>
      <c r="G226" s="242">
        <f>IF('Input overrides'!G226&lt;&gt;"",'Input overrides'!G226,F_Inputs!G282)*Rebasing</f>
        <v>0</v>
      </c>
      <c r="H226" s="242">
        <f>IF('Input overrides'!H226&lt;&gt;"",'Input overrides'!H226,F_Inputs!H282)*Rebasing</f>
        <v>0</v>
      </c>
      <c r="I226" s="242">
        <f>IF('Input overrides'!I226&lt;&gt;"",'Input overrides'!I226,F_Inputs!I282)*Rebasing</f>
        <v>0</v>
      </c>
      <c r="J226" s="242">
        <f>IF('Input overrides'!J226&lt;&gt;"",'Input overrides'!J226,F_Inputs!J282)*Rebasing</f>
        <v>0</v>
      </c>
      <c r="K226" s="242">
        <f>IF('Input overrides'!K226&lt;&gt;"",'Input overrides'!K226,F_Inputs!K282)*Rebasing</f>
        <v>0.30762548959504105</v>
      </c>
      <c r="L226" s="242">
        <f>IF('Input overrides'!L226&lt;&gt;"",'Input overrides'!L226,F_Inputs!L282)*Rebasing</f>
        <v>0.30762548959504105</v>
      </c>
      <c r="M226" s="242">
        <f>IF('Input overrides'!M226&lt;&gt;"",'Input overrides'!M226,F_Inputs!M282)*Rebasing</f>
        <v>0.30762548959504105</v>
      </c>
      <c r="N226" s="242">
        <f>IF('Input overrides'!N226&lt;&gt;"",'Input overrides'!N226,F_Inputs!N282)*Rebasing</f>
        <v>0.30762548959504105</v>
      </c>
      <c r="O226" s="242">
        <f>IF('Input overrides'!O226&lt;&gt;"",'Input overrides'!O226,F_Inputs!O282)*Rebasing</f>
        <v>0.30762548959504105</v>
      </c>
    </row>
    <row r="227" spans="1:17">
      <c r="A227" t="s">
        <v>56</v>
      </c>
      <c r="B227" t="s">
        <v>156</v>
      </c>
      <c r="C227" t="s">
        <v>157</v>
      </c>
      <c r="D227" t="s">
        <v>74</v>
      </c>
      <c r="E227" t="s">
        <v>182</v>
      </c>
      <c r="F227" s="242">
        <f>IF('Input overrides'!F227&lt;&gt;"",'Input overrides'!F227,F_Inputs!F283)*Rebasing</f>
        <v>0</v>
      </c>
      <c r="G227" s="242">
        <f>IF('Input overrides'!G227&lt;&gt;"",'Input overrides'!G227,F_Inputs!G283)*Rebasing</f>
        <v>0</v>
      </c>
      <c r="H227" s="242">
        <f>IF('Input overrides'!H227&lt;&gt;"",'Input overrides'!H227,F_Inputs!H283)*Rebasing</f>
        <v>0</v>
      </c>
      <c r="I227" s="242">
        <f>IF('Input overrides'!I227&lt;&gt;"",'Input overrides'!I227,F_Inputs!I283)*Rebasing</f>
        <v>0</v>
      </c>
      <c r="J227" s="242">
        <f>IF('Input overrides'!J227&lt;&gt;"",'Input overrides'!J227,F_Inputs!J283)*Rebasing</f>
        <v>3.0865433738632882E-2</v>
      </c>
      <c r="K227" s="242">
        <f>IF('Input overrides'!K227&lt;&gt;"",'Input overrides'!K227,F_Inputs!K283)*Rebasing</f>
        <v>6.0999999999999999E-2</v>
      </c>
      <c r="L227" s="242">
        <f>IF('Input overrides'!L227&lt;&gt;"",'Input overrides'!L227,F_Inputs!L283)*Rebasing</f>
        <v>9.1999999999999998E-2</v>
      </c>
      <c r="M227" s="242">
        <f>IF('Input overrides'!M227&lt;&gt;"",'Input overrides'!M227,F_Inputs!M283)*Rebasing</f>
        <v>0.123</v>
      </c>
      <c r="N227" s="242">
        <f>IF('Input overrides'!N227&lt;&gt;"",'Input overrides'!N227,F_Inputs!N283)*Rebasing</f>
        <v>0.155</v>
      </c>
      <c r="O227" s="242">
        <f>IF('Input overrides'!O227&lt;&gt;"",'Input overrides'!O227,F_Inputs!O283)*Rebasing</f>
        <v>0.187</v>
      </c>
    </row>
    <row r="228" spans="1:17">
      <c r="A228" t="s">
        <v>56</v>
      </c>
      <c r="B228" t="s">
        <v>159</v>
      </c>
      <c r="C228" t="s">
        <v>158</v>
      </c>
      <c r="D228" t="s">
        <v>74</v>
      </c>
      <c r="E228" t="s">
        <v>182</v>
      </c>
      <c r="F228" s="242">
        <f>IF('Input overrides'!F228&lt;&gt;"",'Input overrides'!F228,F_Inputs!F284)*Rebasing</f>
        <v>0</v>
      </c>
      <c r="G228" s="242">
        <f>IF('Input overrides'!G228&lt;&gt;"",'Input overrides'!G228,F_Inputs!G284)*Rebasing</f>
        <v>0</v>
      </c>
      <c r="H228" s="242">
        <f>IF('Input overrides'!H228&lt;&gt;"",'Input overrides'!H228,F_Inputs!H284)*Rebasing</f>
        <v>0</v>
      </c>
      <c r="I228" s="242">
        <f>IF('Input overrides'!I228&lt;&gt;"",'Input overrides'!I228,F_Inputs!I284)*Rebasing</f>
        <v>0</v>
      </c>
      <c r="J228" s="242">
        <f>IF('Input overrides'!J228&lt;&gt;"",'Input overrides'!J228,F_Inputs!J284)*Rebasing</f>
        <v>0</v>
      </c>
      <c r="K228" s="242">
        <f>IF('Input overrides'!K228&lt;&gt;"",'Input overrides'!K228,F_Inputs!K284)*Rebasing</f>
        <v>0</v>
      </c>
      <c r="L228" s="242">
        <f>IF('Input overrides'!L228&lt;&gt;"",'Input overrides'!L228,F_Inputs!L284)*Rebasing</f>
        <v>0</v>
      </c>
      <c r="M228" s="242">
        <f>IF('Input overrides'!M228&lt;&gt;"",'Input overrides'!M228,F_Inputs!M284)*Rebasing</f>
        <v>0</v>
      </c>
      <c r="N228" s="242">
        <f>IF('Input overrides'!N228&lt;&gt;"",'Input overrides'!N228,F_Inputs!N284)*Rebasing</f>
        <v>0</v>
      </c>
      <c r="O228" s="242">
        <f>IF('Input overrides'!O228&lt;&gt;"",'Input overrides'!O228,F_Inputs!O284)*Rebasing</f>
        <v>0</v>
      </c>
    </row>
    <row r="229" spans="1:17">
      <c r="A229" t="s">
        <v>57</v>
      </c>
      <c r="B229" t="s">
        <v>78</v>
      </c>
      <c r="C229" t="s">
        <v>132</v>
      </c>
      <c r="D229" t="s">
        <v>74</v>
      </c>
      <c r="E229" t="s">
        <v>182</v>
      </c>
      <c r="F229" s="242">
        <f>IF('Input overrides'!F229&lt;&gt;"",'Input overrides'!F229,F_Inputs!F289)*Rebasing</f>
        <v>3.3766784510064372</v>
      </c>
      <c r="G229" s="242">
        <f>IF('Input overrides'!G229&lt;&gt;"",'Input overrides'!G229,F_Inputs!G289)*Rebasing</f>
        <v>3.763525220530636</v>
      </c>
      <c r="H229" s="242">
        <f>IF('Input overrides'!H229&lt;&gt;"",'Input overrides'!H229,F_Inputs!H289)*Rebasing</f>
        <v>3.9075639113109228</v>
      </c>
      <c r="I229" s="242">
        <f ca="1">IF('Input overrides'!I229&lt;&gt;"",'Input overrides'!I229,F_Inputs!I289)*Rebasing</f>
        <v>4.167862402506727</v>
      </c>
      <c r="J229" s="242">
        <f>IF('Input overrides'!J229&lt;&gt;"",'Input overrides'!J229,F_Inputs!J289)*Rebasing</f>
        <v>4.1987278362453599</v>
      </c>
      <c r="K229" s="242">
        <f ca="1">IF('Input overrides'!K229&lt;&gt;"",'Input overrides'!K229,F_Inputs!K289)*Rebasing</f>
        <v>4.3149876366608764</v>
      </c>
      <c r="L229" s="242">
        <f ca="1">IF('Input overrides'!L229&lt;&gt;"",'Input overrides'!L229,F_Inputs!L289)*Rebasing</f>
        <v>4.3849492864684452</v>
      </c>
      <c r="M229" s="242">
        <f ca="1">IF('Input overrides'!M229&lt;&gt;"",'Input overrides'!M229,F_Inputs!M289)*Rebasing</f>
        <v>4.4549109362760122</v>
      </c>
      <c r="N229" s="242">
        <f ca="1">IF('Input overrides'!N229&lt;&gt;"",'Input overrides'!N229,F_Inputs!N289)*Rebasing</f>
        <v>4.519728347127141</v>
      </c>
      <c r="O229" s="242">
        <f ca="1">IF('Input overrides'!O229&lt;&gt;"",'Input overrides'!O229,F_Inputs!O289)*Rebasing</f>
        <v>4.5814592146044077</v>
      </c>
      <c r="Q229" s="242"/>
    </row>
    <row r="230" spans="1:17">
      <c r="A230" t="s">
        <v>57</v>
      </c>
      <c r="B230" t="s">
        <v>97</v>
      </c>
      <c r="C230" t="s">
        <v>99</v>
      </c>
      <c r="D230" t="s">
        <v>74</v>
      </c>
      <c r="E230" t="s">
        <v>182</v>
      </c>
      <c r="F230" s="242">
        <f>IF('Input overrides'!F230&lt;&gt;"",'Input overrides'!F230,F_Inputs!F290)*Rebasing</f>
        <v>0.1440386907802868</v>
      </c>
      <c r="G230" s="242">
        <f>IF('Input overrides'!G230&lt;&gt;"",'Input overrides'!G230,F_Inputs!G290)*Rebasing</f>
        <v>0.14918292973672559</v>
      </c>
      <c r="H230" s="242">
        <f>IF('Input overrides'!H230&lt;&gt;"",'Input overrides'!H230,F_Inputs!H290)*Rebasing</f>
        <v>0.16667334218861757</v>
      </c>
      <c r="I230" s="242">
        <f>IF('Input overrides'!I230&lt;&gt;"",'Input overrides'!I230,F_Inputs!I290)*Rebasing</f>
        <v>0.33026014100337187</v>
      </c>
      <c r="J230" s="242">
        <f>IF('Input overrides'!J230&lt;&gt;"",'Input overrides'!J230,F_Inputs!J290)*Rebasing</f>
        <v>0.11625980041551719</v>
      </c>
      <c r="K230" s="242">
        <f>IF('Input overrides'!K230&lt;&gt;"",'Input overrides'!K230,F_Inputs!K290)*Rebasing</f>
        <v>0.50104887435714041</v>
      </c>
      <c r="L230" s="242">
        <f>IF('Input overrides'!L230&lt;&gt;"",'Input overrides'!L230,F_Inputs!L290)*Rebasing</f>
        <v>0.48870270086168727</v>
      </c>
      <c r="M230" s="242">
        <f>IF('Input overrides'!M230&lt;&gt;"",'Input overrides'!M230,F_Inputs!M290)*Rebasing</f>
        <v>0.41565450768025614</v>
      </c>
      <c r="N230" s="242">
        <f>IF('Input overrides'!N230&lt;&gt;"",'Input overrides'!N230,F_Inputs!N290)*Rebasing</f>
        <v>0.3148274241340554</v>
      </c>
      <c r="O230" s="242">
        <f>IF('Input overrides'!O230&lt;&gt;"",'Input overrides'!O230,F_Inputs!O290)*Rebasing</f>
        <v>0.21914457954429345</v>
      </c>
    </row>
    <row r="231" spans="1:17">
      <c r="A231" t="s">
        <v>57</v>
      </c>
      <c r="B231" t="s">
        <v>98</v>
      </c>
      <c r="C231" t="s">
        <v>100</v>
      </c>
      <c r="D231" t="s">
        <v>74</v>
      </c>
      <c r="E231" t="s">
        <v>182</v>
      </c>
      <c r="F231" s="242">
        <f>IF('Input overrides'!F231&lt;&gt;"",'Input overrides'!F231,F_Inputs!F291)*Rebasing</f>
        <v>0</v>
      </c>
      <c r="G231" s="242">
        <f>IF('Input overrides'!G231&lt;&gt;"",'Input overrides'!G231,F_Inputs!G291)*Rebasing</f>
        <v>0</v>
      </c>
      <c r="H231" s="242">
        <f>IF('Input overrides'!H231&lt;&gt;"",'Input overrides'!H231,F_Inputs!H291)*Rebasing</f>
        <v>0</v>
      </c>
      <c r="I231" s="242">
        <f>IF('Input overrides'!I231&lt;&gt;"",'Input overrides'!I231,F_Inputs!I291)*Rebasing</f>
        <v>0</v>
      </c>
      <c r="J231" s="242">
        <f>IF('Input overrides'!J231&lt;&gt;"",'Input overrides'!J231,F_Inputs!J291)*Rebasing</f>
        <v>0</v>
      </c>
      <c r="K231" s="242">
        <f>IF('Input overrides'!K231&lt;&gt;"",'Input overrides'!K231,F_Inputs!K291)*Rebasing</f>
        <v>5.6586628520826951E-2</v>
      </c>
      <c r="L231" s="242">
        <f>IF('Input overrides'!L231&lt;&gt;"",'Input overrides'!L231,F_Inputs!L291)*Rebasing</f>
        <v>0.11523095262422943</v>
      </c>
      <c r="M231" s="242">
        <f>IF('Input overrides'!M231&lt;&gt;"",'Input overrides'!M231,F_Inputs!M291)*Rebasing</f>
        <v>0.18004836347535846</v>
      </c>
      <c r="N231" s="242">
        <f>IF('Input overrides'!N231&lt;&gt;"",'Input overrides'!N231,F_Inputs!N291)*Rebasing</f>
        <v>0.24486577432648751</v>
      </c>
      <c r="O231" s="242">
        <f>IF('Input overrides'!O231&lt;&gt;"",'Input overrides'!O231,F_Inputs!O291)*Rebasing</f>
        <v>0.24177923095262424</v>
      </c>
    </row>
    <row r="232" spans="1:17">
      <c r="A232" t="s">
        <v>57</v>
      </c>
      <c r="B232" t="s">
        <v>79</v>
      </c>
      <c r="C232" t="s">
        <v>135</v>
      </c>
      <c r="D232" t="s">
        <v>74</v>
      </c>
      <c r="E232" t="s">
        <v>182</v>
      </c>
      <c r="F232" s="242">
        <f>IF('Input overrides'!F232&lt;&gt;"",'Input overrides'!F232,F_Inputs!F292)*Rebasing</f>
        <v>0.53602969926092436</v>
      </c>
      <c r="G232" s="242">
        <f>IF('Input overrides'!G232&lt;&gt;"",'Input overrides'!G232,F_Inputs!G292)*Rebasing</f>
        <v>0.57615476312114722</v>
      </c>
      <c r="H232" s="242">
        <f>IF('Input overrides'!H232&lt;&gt;"",'Input overrides'!H232,F_Inputs!H292)*Rebasing</f>
        <v>0.61216443581621882</v>
      </c>
      <c r="I232" s="242">
        <f>IF('Input overrides'!I232&lt;&gt;"",'Input overrides'!I232,F_Inputs!I292)*Rebasing</f>
        <v>0.64302986955485175</v>
      </c>
      <c r="J232" s="242">
        <f>IF('Input overrides'!J232&lt;&gt;"",'Input overrides'!J232,F_Inputs!J292)*Rebasing</f>
        <v>0.67389530329348457</v>
      </c>
      <c r="K232" s="242">
        <f>IF('Input overrides'!K232&lt;&gt;"",'Input overrides'!K232,F_Inputs!K292)*Rebasing</f>
        <v>0.77575123463097306</v>
      </c>
      <c r="L232" s="242">
        <f>IF('Input overrides'!L232&lt;&gt;"",'Input overrides'!L232,F_Inputs!L292)*Rebasing</f>
        <v>0.83645325431695106</v>
      </c>
      <c r="M232" s="242">
        <f>IF('Input overrides'!M232&lt;&gt;"",'Input overrides'!M232,F_Inputs!M292)*Rebasing</f>
        <v>0.90229951295936794</v>
      </c>
      <c r="N232" s="242">
        <f>IF('Input overrides'!N232&lt;&gt;"",'Input overrides'!N232,F_Inputs!N292)*Rebasing</f>
        <v>0.97020346718436024</v>
      </c>
      <c r="O232" s="242">
        <f>IF('Input overrides'!O232&lt;&gt;"",'Input overrides'!O232,F_Inputs!O292)*Rebasing</f>
        <v>1.0381074214093524</v>
      </c>
    </row>
    <row r="233" spans="1:17">
      <c r="A233" t="s">
        <v>57</v>
      </c>
      <c r="B233" t="s">
        <v>80</v>
      </c>
      <c r="C233" t="s">
        <v>136</v>
      </c>
      <c r="D233" t="s">
        <v>74</v>
      </c>
      <c r="E233" t="s">
        <v>182</v>
      </c>
      <c r="F233" s="242">
        <f>IF('Input overrides'!F233&lt;&gt;"",'Input overrides'!F233,F_Inputs!F293)*Rebasing</f>
        <v>0</v>
      </c>
      <c r="G233" s="242">
        <f>IF('Input overrides'!G233&lt;&gt;"",'Input overrides'!G233,F_Inputs!G293)*Rebasing</f>
        <v>0</v>
      </c>
      <c r="H233" s="242">
        <f>IF('Input overrides'!H233&lt;&gt;"",'Input overrides'!H233,F_Inputs!H293)*Rebasing</f>
        <v>0</v>
      </c>
      <c r="I233" s="242">
        <f>IF('Input overrides'!I233&lt;&gt;"",'Input overrides'!I233,F_Inputs!I293)*Rebasing</f>
        <v>0</v>
      </c>
      <c r="J233" s="242">
        <f>IF('Input overrides'!J233&lt;&gt;"",'Input overrides'!J233,F_Inputs!J293)*Rebasing</f>
        <v>0</v>
      </c>
      <c r="K233" s="242">
        <f>IF('Input overrides'!K233&lt;&gt;"",'Input overrides'!K233,F_Inputs!K293)*Rebasing</f>
        <v>0</v>
      </c>
      <c r="L233" s="242">
        <f>IF('Input overrides'!L233&lt;&gt;"",'Input overrides'!L233,F_Inputs!L293)*Rebasing</f>
        <v>0</v>
      </c>
      <c r="M233" s="242">
        <f>IF('Input overrides'!M233&lt;&gt;"",'Input overrides'!M233,F_Inputs!M293)*Rebasing</f>
        <v>0</v>
      </c>
      <c r="N233" s="242">
        <f>IF('Input overrides'!N233&lt;&gt;"",'Input overrides'!N233,F_Inputs!N293)*Rebasing</f>
        <v>0</v>
      </c>
      <c r="O233" s="242">
        <f>IF('Input overrides'!O233&lt;&gt;"",'Input overrides'!O233,F_Inputs!O293)*Rebasing</f>
        <v>0</v>
      </c>
    </row>
    <row r="234" spans="1:17">
      <c r="A234" t="s">
        <v>57</v>
      </c>
      <c r="B234" t="s">
        <v>81</v>
      </c>
      <c r="C234" t="s">
        <v>137</v>
      </c>
      <c r="D234" t="s">
        <v>74</v>
      </c>
      <c r="E234" t="s">
        <v>182</v>
      </c>
      <c r="F234" s="242">
        <f>IF('Input overrides'!F234&lt;&gt;"",'Input overrides'!F234,F_Inputs!F294)*Rebasing</f>
        <v>0</v>
      </c>
      <c r="G234" s="242">
        <f>IF('Input overrides'!G234&lt;&gt;"",'Input overrides'!G234,F_Inputs!G294)*Rebasing</f>
        <v>0</v>
      </c>
      <c r="H234" s="242">
        <f>IF('Input overrides'!H234&lt;&gt;"",'Input overrides'!H234,F_Inputs!H294)*Rebasing</f>
        <v>0</v>
      </c>
      <c r="I234" s="242">
        <f>IF('Input overrides'!I234&lt;&gt;"",'Input overrides'!I234,F_Inputs!I294)*Rebasing</f>
        <v>0</v>
      </c>
      <c r="J234" s="242">
        <f>IF('Input overrides'!J234&lt;&gt;"",'Input overrides'!J234,F_Inputs!J294)*Rebasing</f>
        <v>0</v>
      </c>
      <c r="K234" s="242">
        <f>IF('Input overrides'!K234&lt;&gt;"",'Input overrides'!K234,F_Inputs!K294)*Rebasing</f>
        <v>0</v>
      </c>
      <c r="L234" s="242">
        <f>IF('Input overrides'!L234&lt;&gt;"",'Input overrides'!L234,F_Inputs!L294)*Rebasing</f>
        <v>0</v>
      </c>
      <c r="M234" s="242">
        <f>IF('Input overrides'!M234&lt;&gt;"",'Input overrides'!M234,F_Inputs!M294)*Rebasing</f>
        <v>0</v>
      </c>
      <c r="N234" s="242">
        <f>IF('Input overrides'!N234&lt;&gt;"",'Input overrides'!N234,F_Inputs!N294)*Rebasing</f>
        <v>0</v>
      </c>
      <c r="O234" s="242">
        <f>IF('Input overrides'!O234&lt;&gt;"",'Input overrides'!O234,F_Inputs!O294)*Rebasing</f>
        <v>0</v>
      </c>
    </row>
    <row r="235" spans="1:17">
      <c r="A235" t="s">
        <v>57</v>
      </c>
      <c r="B235" t="s">
        <v>82</v>
      </c>
      <c r="C235" t="s">
        <v>89</v>
      </c>
      <c r="D235" t="s">
        <v>183</v>
      </c>
      <c r="E235" t="s">
        <v>182</v>
      </c>
      <c r="F235" s="242">
        <f>IF('Input overrides'!F235&lt;&gt;"",'Input overrides'!F235,F_Inputs!F295)</f>
        <v>76.569999999999993</v>
      </c>
      <c r="G235" s="242">
        <f>IF('Input overrides'!G235&lt;&gt;"",'Input overrides'!G235,F_Inputs!G295)</f>
        <v>73.33</v>
      </c>
      <c r="H235" s="242">
        <f>IF('Input overrides'!H235&lt;&gt;"",'Input overrides'!H235,F_Inputs!H295)</f>
        <v>69.78</v>
      </c>
      <c r="I235" s="242">
        <f>IF('Input overrides'!I235&lt;&gt;"",'Input overrides'!I235,F_Inputs!I295)</f>
        <v>66.679000000000002</v>
      </c>
      <c r="J235" s="242">
        <f>IF('Input overrides'!J235&lt;&gt;"",'Input overrides'!J235,F_Inputs!J295)</f>
        <v>63.353999999999999</v>
      </c>
      <c r="K235" s="518">
        <f>IF('Input overrides'!K235&lt;&gt;"",'Input overrides'!K235,F_Inputs!K295)</f>
        <v>59.764000000000003</v>
      </c>
      <c r="L235" s="519">
        <f>IF('Input overrides'!L235&lt;&gt;"",'Input overrides'!L235,F_Inputs!L295)</f>
        <v>56.173999999999999</v>
      </c>
      <c r="M235" s="519">
        <f>IF('Input overrides'!M235&lt;&gt;"",'Input overrides'!M235,F_Inputs!M295)</f>
        <v>52.584000000000003</v>
      </c>
      <c r="N235" s="519">
        <f>IF('Input overrides'!N235&lt;&gt;"",'Input overrides'!N235,F_Inputs!N295)</f>
        <v>48.994</v>
      </c>
      <c r="O235" s="519">
        <f>IF('Input overrides'!O235&lt;&gt;"",'Input overrides'!O235,F_Inputs!O295)</f>
        <v>45.404000000000003</v>
      </c>
    </row>
    <row r="236" spans="1:17">
      <c r="A236" t="s">
        <v>57</v>
      </c>
      <c r="B236" t="s">
        <v>87</v>
      </c>
      <c r="C236" t="s">
        <v>90</v>
      </c>
      <c r="D236" t="s">
        <v>183</v>
      </c>
      <c r="E236" t="s">
        <v>182</v>
      </c>
      <c r="F236" s="242">
        <f>IF('Input overrides'!F236&lt;&gt;"",'Input overrides'!F236,F_Inputs!F296)</f>
        <v>105.9</v>
      </c>
      <c r="G236" s="242">
        <f>IF('Input overrides'!G236&lt;&gt;"",'Input overrides'!G236,F_Inputs!G296)</f>
        <v>110.59</v>
      </c>
      <c r="H236" s="242">
        <f>IF('Input overrides'!H236&lt;&gt;"",'Input overrides'!H236,F_Inputs!H296)</f>
        <v>115.17</v>
      </c>
      <c r="I236" s="242">
        <f>IF('Input overrides'!I236&lt;&gt;"",'Input overrides'!I236,F_Inputs!I296)</f>
        <v>119.232</v>
      </c>
      <c r="J236" s="242">
        <f>IF('Input overrides'!J236&lt;&gt;"",'Input overrides'!J236,F_Inputs!J296)</f>
        <v>123.50700000000001</v>
      </c>
      <c r="K236" s="518">
        <f>IF('Input overrides'!K236&lt;&gt;"",'Input overrides'!K236,F_Inputs!K296)</f>
        <v>127.999</v>
      </c>
      <c r="L236" s="519">
        <f>IF('Input overrides'!L236&lt;&gt;"",'Input overrides'!L236,F_Inputs!L296)</f>
        <v>132.67400000000001</v>
      </c>
      <c r="M236" s="519">
        <f>IF('Input overrides'!M236&lt;&gt;"",'Input overrides'!M236,F_Inputs!M296)</f>
        <v>137.482</v>
      </c>
      <c r="N236" s="519">
        <f>IF('Input overrides'!N236&lt;&gt;"",'Input overrides'!N236,F_Inputs!N296)</f>
        <v>142.19200000000001</v>
      </c>
      <c r="O236" s="519">
        <f>IF('Input overrides'!O236&lt;&gt;"",'Input overrides'!O236,F_Inputs!O296)</f>
        <v>146.845</v>
      </c>
    </row>
    <row r="237" spans="1:17">
      <c r="A237" t="s">
        <v>57</v>
      </c>
      <c r="B237" t="s">
        <v>83</v>
      </c>
      <c r="C237" t="s">
        <v>91</v>
      </c>
      <c r="D237" t="s">
        <v>183</v>
      </c>
      <c r="E237" t="s">
        <v>182</v>
      </c>
      <c r="F237" s="242">
        <f>IF('Input overrides'!F237&lt;&gt;"",'Input overrides'!F237,F_Inputs!F297)</f>
        <v>0</v>
      </c>
      <c r="G237" s="242">
        <f>IF('Input overrides'!G237&lt;&gt;"",'Input overrides'!G237,F_Inputs!G297)</f>
        <v>0</v>
      </c>
      <c r="H237" s="242">
        <f>IF('Input overrides'!H237&lt;&gt;"",'Input overrides'!H237,F_Inputs!H297)</f>
        <v>0</v>
      </c>
      <c r="I237" s="242">
        <f>IF('Input overrides'!I237&lt;&gt;"",'Input overrides'!I237,F_Inputs!I297)</f>
        <v>0</v>
      </c>
      <c r="J237" s="242">
        <f>IF('Input overrides'!J237&lt;&gt;"",'Input overrides'!J237,F_Inputs!J297)</f>
        <v>0</v>
      </c>
      <c r="K237" s="518">
        <f>IF('Input overrides'!K237&lt;&gt;"",'Input overrides'!K237,F_Inputs!K297)</f>
        <v>0</v>
      </c>
      <c r="L237" s="519">
        <f>IF('Input overrides'!L237&lt;&gt;"",'Input overrides'!L237,F_Inputs!L297)</f>
        <v>0</v>
      </c>
      <c r="M237" s="519">
        <f>IF('Input overrides'!M237&lt;&gt;"",'Input overrides'!M237,F_Inputs!M297)</f>
        <v>0</v>
      </c>
      <c r="N237" s="519">
        <f>IF('Input overrides'!N237&lt;&gt;"",'Input overrides'!N237,F_Inputs!N297)</f>
        <v>0</v>
      </c>
      <c r="O237" s="519">
        <f>IF('Input overrides'!O237&lt;&gt;"",'Input overrides'!O237,F_Inputs!O297)</f>
        <v>0</v>
      </c>
    </row>
    <row r="238" spans="1:17">
      <c r="A238" t="s">
        <v>57</v>
      </c>
      <c r="B238" t="s">
        <v>84</v>
      </c>
      <c r="C238" t="s">
        <v>92</v>
      </c>
      <c r="D238" t="s">
        <v>183</v>
      </c>
      <c r="E238" t="s">
        <v>182</v>
      </c>
      <c r="F238" s="242">
        <f>IF('Input overrides'!F238&lt;&gt;"",'Input overrides'!F238,F_Inputs!F298)</f>
        <v>0</v>
      </c>
      <c r="G238" s="242">
        <f>IF('Input overrides'!G238&lt;&gt;"",'Input overrides'!G238,F_Inputs!G298)</f>
        <v>0</v>
      </c>
      <c r="H238" s="242">
        <f>IF('Input overrides'!H238&lt;&gt;"",'Input overrides'!H238,F_Inputs!H298)</f>
        <v>0</v>
      </c>
      <c r="I238" s="242">
        <f>IF('Input overrides'!I238&lt;&gt;"",'Input overrides'!I238,F_Inputs!I298)</f>
        <v>0</v>
      </c>
      <c r="J238" s="242">
        <f>IF('Input overrides'!J238&lt;&gt;"",'Input overrides'!J238,F_Inputs!J298)</f>
        <v>0</v>
      </c>
      <c r="K238" s="518">
        <f>IF('Input overrides'!K238&lt;&gt;"",'Input overrides'!K238,F_Inputs!K298)</f>
        <v>0</v>
      </c>
      <c r="L238" s="519">
        <f>IF('Input overrides'!L238&lt;&gt;"",'Input overrides'!L238,F_Inputs!L298)</f>
        <v>0</v>
      </c>
      <c r="M238" s="519">
        <f>IF('Input overrides'!M238&lt;&gt;"",'Input overrides'!M238,F_Inputs!M298)</f>
        <v>0</v>
      </c>
      <c r="N238" s="519">
        <f>IF('Input overrides'!N238&lt;&gt;"",'Input overrides'!N238,F_Inputs!N298)</f>
        <v>0</v>
      </c>
      <c r="O238" s="519">
        <f>IF('Input overrides'!O238&lt;&gt;"",'Input overrides'!O238,F_Inputs!O298)</f>
        <v>0</v>
      </c>
    </row>
    <row r="239" spans="1:17">
      <c r="A239" t="s">
        <v>57</v>
      </c>
      <c r="B239" t="s">
        <v>85</v>
      </c>
      <c r="C239" t="s">
        <v>93</v>
      </c>
      <c r="D239" t="s">
        <v>183</v>
      </c>
      <c r="E239" t="s">
        <v>182</v>
      </c>
      <c r="F239" s="242">
        <f>IF('Input overrides'!F239&lt;&gt;"",'Input overrides'!F239,F_Inputs!F299)</f>
        <v>0</v>
      </c>
      <c r="G239" s="242">
        <f>IF('Input overrides'!G239&lt;&gt;"",'Input overrides'!G239,F_Inputs!G299)</f>
        <v>0</v>
      </c>
      <c r="H239" s="242">
        <f>IF('Input overrides'!H239&lt;&gt;"",'Input overrides'!H239,F_Inputs!H299)</f>
        <v>0</v>
      </c>
      <c r="I239" s="242">
        <f>IF('Input overrides'!I239&lt;&gt;"",'Input overrides'!I239,F_Inputs!I299)</f>
        <v>0</v>
      </c>
      <c r="J239" s="242">
        <f>IF('Input overrides'!J239&lt;&gt;"",'Input overrides'!J239,F_Inputs!J299)</f>
        <v>0</v>
      </c>
      <c r="K239" s="518">
        <f>IF('Input overrides'!K239&lt;&gt;"",'Input overrides'!K239,F_Inputs!K299)</f>
        <v>0</v>
      </c>
      <c r="L239" s="519">
        <f>IF('Input overrides'!L239&lt;&gt;"",'Input overrides'!L239,F_Inputs!L299)</f>
        <v>0</v>
      </c>
      <c r="M239" s="519">
        <f>IF('Input overrides'!M239&lt;&gt;"",'Input overrides'!M239,F_Inputs!M299)</f>
        <v>0</v>
      </c>
      <c r="N239" s="519">
        <f>IF('Input overrides'!N239&lt;&gt;"",'Input overrides'!N239,F_Inputs!N299)</f>
        <v>0</v>
      </c>
      <c r="O239" s="519">
        <f>IF('Input overrides'!O239&lt;&gt;"",'Input overrides'!O239,F_Inputs!O299)</f>
        <v>0</v>
      </c>
    </row>
    <row r="240" spans="1:17">
      <c r="A240" t="s">
        <v>57</v>
      </c>
      <c r="B240" t="s">
        <v>86</v>
      </c>
      <c r="C240" t="s">
        <v>94</v>
      </c>
      <c r="D240" t="s">
        <v>183</v>
      </c>
      <c r="E240" t="s">
        <v>182</v>
      </c>
      <c r="F240" s="242">
        <f>IF('Input overrides'!F240&lt;&gt;"",'Input overrides'!F240,F_Inputs!F300)</f>
        <v>0</v>
      </c>
      <c r="G240" s="242">
        <f>IF('Input overrides'!G240&lt;&gt;"",'Input overrides'!G240,F_Inputs!G300)</f>
        <v>0</v>
      </c>
      <c r="H240" s="242">
        <f>IF('Input overrides'!H240&lt;&gt;"",'Input overrides'!H240,F_Inputs!H300)</f>
        <v>0</v>
      </c>
      <c r="I240" s="242">
        <f>IF('Input overrides'!I240&lt;&gt;"",'Input overrides'!I240,F_Inputs!I300)</f>
        <v>0</v>
      </c>
      <c r="J240" s="242">
        <f>IF('Input overrides'!J240&lt;&gt;"",'Input overrides'!J240,F_Inputs!J300)</f>
        <v>0</v>
      </c>
      <c r="K240" s="518">
        <f>IF('Input overrides'!K240&lt;&gt;"",'Input overrides'!K240,F_Inputs!K300)</f>
        <v>0</v>
      </c>
      <c r="L240" s="519">
        <f>IF('Input overrides'!L240&lt;&gt;"",'Input overrides'!L240,F_Inputs!L300)</f>
        <v>0</v>
      </c>
      <c r="M240" s="519">
        <f>IF('Input overrides'!M240&lt;&gt;"",'Input overrides'!M240,F_Inputs!M300)</f>
        <v>0</v>
      </c>
      <c r="N240" s="519">
        <f>IF('Input overrides'!N240&lt;&gt;"",'Input overrides'!N240,F_Inputs!N300)</f>
        <v>0</v>
      </c>
      <c r="O240" s="519">
        <f>IF('Input overrides'!O240&lt;&gt;"",'Input overrides'!O240,F_Inputs!O300)</f>
        <v>0</v>
      </c>
    </row>
    <row r="241" spans="1:17">
      <c r="A241" t="s">
        <v>57</v>
      </c>
      <c r="B241" t="s">
        <v>174</v>
      </c>
      <c r="C241" t="s">
        <v>184</v>
      </c>
      <c r="D241" t="s">
        <v>74</v>
      </c>
      <c r="E241" t="s">
        <v>182</v>
      </c>
      <c r="F241" s="242">
        <f>IF('Input overrides'!F241&lt;&gt;"",'Input overrides'!F241,F_Inputs!F301)*Rebasing</f>
        <v>0</v>
      </c>
      <c r="G241" s="242">
        <f>IF('Input overrides'!G241&lt;&gt;"",'Input overrides'!G241,F_Inputs!G301)*Rebasing</f>
        <v>0</v>
      </c>
      <c r="H241" s="242">
        <f>IF('Input overrides'!H241&lt;&gt;"",'Input overrides'!H241,F_Inputs!H301)*Rebasing</f>
        <v>0</v>
      </c>
      <c r="I241" s="242">
        <f>IF('Input overrides'!I241&lt;&gt;"",'Input overrides'!I241,F_Inputs!I301)*Rebasing</f>
        <v>0</v>
      </c>
      <c r="J241" s="242">
        <f>IF('Input overrides'!J241&lt;&gt;"",'Input overrides'!J241,F_Inputs!J301)*Rebasing</f>
        <v>0</v>
      </c>
      <c r="K241" s="242">
        <f>IF('Input overrides'!K241&lt;&gt;"",'Input overrides'!K241,F_Inputs!K301)*Rebasing</f>
        <v>0</v>
      </c>
      <c r="L241" s="242">
        <f>IF('Input overrides'!L241&lt;&gt;"",'Input overrides'!L241,F_Inputs!L301)*Rebasing</f>
        <v>0</v>
      </c>
      <c r="M241" s="242">
        <f>IF('Input overrides'!M241&lt;&gt;"",'Input overrides'!M241,F_Inputs!M301)*Rebasing</f>
        <v>0</v>
      </c>
      <c r="N241" s="242">
        <f>IF('Input overrides'!N241&lt;&gt;"",'Input overrides'!N241,F_Inputs!N301)*Rebasing</f>
        <v>0</v>
      </c>
      <c r="O241" s="242">
        <f>IF('Input overrides'!O241&lt;&gt;"",'Input overrides'!O241,F_Inputs!O301)*Rebasing</f>
        <v>0</v>
      </c>
    </row>
    <row r="242" spans="1:17">
      <c r="A242" t="s">
        <v>57</v>
      </c>
      <c r="B242" t="s">
        <v>156</v>
      </c>
      <c r="C242" t="s">
        <v>157</v>
      </c>
      <c r="D242" t="s">
        <v>74</v>
      </c>
      <c r="E242" t="s">
        <v>182</v>
      </c>
      <c r="F242" s="242">
        <f>IF('Input overrides'!F242&lt;&gt;"",'Input overrides'!F242,F_Inputs!F302)*Rebasing</f>
        <v>0.13375021286740915</v>
      </c>
      <c r="G242" s="242">
        <f>IF('Input overrides'!G242&lt;&gt;"",'Input overrides'!G242,F_Inputs!G302)*Rebasing</f>
        <v>0.14095214740642351</v>
      </c>
      <c r="H242" s="242">
        <f>IF('Input overrides'!H242&lt;&gt;"",'Input overrides'!H242,F_Inputs!H302)*Rebasing</f>
        <v>0.14506753857157453</v>
      </c>
      <c r="I242" s="242">
        <f>IF('Input overrides'!I242&lt;&gt;"",'Input overrides'!I242,F_Inputs!I302)*Rebasing</f>
        <v>0.14506753857157453</v>
      </c>
      <c r="J242" s="242">
        <f>IF('Input overrides'!J242&lt;&gt;"",'Input overrides'!J242,F_Inputs!J302)*Rebasing</f>
        <v>0.45989496270562996</v>
      </c>
      <c r="K242" s="242">
        <f>IF('Input overrides'!K242&lt;&gt;"",'Input overrides'!K242,F_Inputs!K302)*Rebasing</f>
        <v>8.2203646489818066E-2</v>
      </c>
      <c r="L242" s="242">
        <f>IF('Input overrides'!L242&lt;&gt;"",'Input overrides'!L242,F_Inputs!L302)*Rebasing</f>
        <v>8.2203646489818066E-2</v>
      </c>
      <c r="M242" s="242">
        <f>IF('Input overrides'!M242&lt;&gt;"",'Input overrides'!M242,F_Inputs!M302)*Rebasing</f>
        <v>8.2203646489818066E-2</v>
      </c>
      <c r="N242" s="242">
        <f>IF('Input overrides'!N242&lt;&gt;"",'Input overrides'!N242,F_Inputs!N302)*Rebasing</f>
        <v>8.2203646489818066E-2</v>
      </c>
      <c r="O242" s="242">
        <f>IF('Input overrides'!O242&lt;&gt;"",'Input overrides'!O242,F_Inputs!O302)*Rebasing</f>
        <v>8.2203646489818066E-2</v>
      </c>
    </row>
    <row r="243" spans="1:17">
      <c r="A243" t="s">
        <v>57</v>
      </c>
      <c r="B243" t="s">
        <v>159</v>
      </c>
      <c r="C243" t="s">
        <v>158</v>
      </c>
      <c r="D243" t="s">
        <v>74</v>
      </c>
      <c r="E243" t="s">
        <v>182</v>
      </c>
      <c r="F243" s="242">
        <f>IF('Input overrides'!F243&lt;&gt;"",'Input overrides'!F243,F_Inputs!F303)*Rebasing</f>
        <v>0</v>
      </c>
      <c r="G243" s="242">
        <f>IF('Input overrides'!G243&lt;&gt;"",'Input overrides'!G243,F_Inputs!G303)*Rebasing</f>
        <v>0</v>
      </c>
      <c r="H243" s="242">
        <f>IF('Input overrides'!H243&lt;&gt;"",'Input overrides'!H243,F_Inputs!H303)*Rebasing</f>
        <v>0</v>
      </c>
      <c r="I243" s="242">
        <f>IF('Input overrides'!I243&lt;&gt;"",'Input overrides'!I243,F_Inputs!I303)*Rebasing</f>
        <v>0</v>
      </c>
      <c r="J243" s="242">
        <f>IF('Input overrides'!J243&lt;&gt;"",'Input overrides'!J243,F_Inputs!J303)*Rebasing</f>
        <v>0</v>
      </c>
      <c r="K243" s="242">
        <f>IF('Input overrides'!K243&lt;&gt;"",'Input overrides'!K243,F_Inputs!K303)*Rebasing</f>
        <v>0</v>
      </c>
      <c r="L243" s="242">
        <f>IF('Input overrides'!L243&lt;&gt;"",'Input overrides'!L243,F_Inputs!L303)*Rebasing</f>
        <v>0</v>
      </c>
      <c r="M243" s="242">
        <f>IF('Input overrides'!M243&lt;&gt;"",'Input overrides'!M243,F_Inputs!M303)*Rebasing</f>
        <v>0</v>
      </c>
      <c r="N243" s="242">
        <f>IF('Input overrides'!N243&lt;&gt;"",'Input overrides'!N243,F_Inputs!N303)*Rebasing</f>
        <v>0</v>
      </c>
      <c r="O243" s="242">
        <f>IF('Input overrides'!O243&lt;&gt;"",'Input overrides'!O243,F_Inputs!O303)*Rebasing</f>
        <v>0</v>
      </c>
    </row>
    <row r="244" spans="1:17">
      <c r="A244" t="s">
        <v>58</v>
      </c>
      <c r="B244" t="s">
        <v>78</v>
      </c>
      <c r="C244" t="s">
        <v>132</v>
      </c>
      <c r="D244" t="s">
        <v>74</v>
      </c>
      <c r="E244" t="s">
        <v>182</v>
      </c>
      <c r="F244" s="242">
        <f>IF('Input overrides'!F244&lt;&gt;"",'Input overrides'!F244,F_Inputs!F308)*Rebasing</f>
        <v>19.162869118876408</v>
      </c>
      <c r="G244" s="242">
        <f>IF('Input overrides'!G244&lt;&gt;"",'Input overrides'!G244,F_Inputs!G308)*Rebasing</f>
        <v>18.841351087283694</v>
      </c>
      <c r="H244" s="242">
        <f>IF('Input overrides'!H244&lt;&gt;"",'Input overrides'!H244,F_Inputs!H308)*Rebasing</f>
        <v>18.598355905951387</v>
      </c>
      <c r="I244" s="242">
        <f ca="1">IF('Input overrides'!I244&lt;&gt;"",'Input overrides'!I244,F_Inputs!I308)*Rebasing</f>
        <v>18.679836401278951</v>
      </c>
      <c r="J244" s="242">
        <f>IF('Input overrides'!J244&lt;&gt;"",'Input overrides'!J244,F_Inputs!J308)*Rebasing</f>
        <v>19.497645539284147</v>
      </c>
      <c r="K244" s="242">
        <f ca="1">IF('Input overrides'!K244&lt;&gt;"",'Input overrides'!K244,F_Inputs!K308)*Rebasing</f>
        <v>18.163730243838572</v>
      </c>
      <c r="L244" s="242">
        <f ca="1">IF('Input overrides'!L244&lt;&gt;"",'Input overrides'!L244,F_Inputs!L308)*Rebasing</f>
        <v>18.640890270985789</v>
      </c>
      <c r="M244" s="242">
        <f ca="1">IF('Input overrides'!M244&lt;&gt;"",'Input overrides'!M244,F_Inputs!M308)*Rebasing</f>
        <v>19.118950042975023</v>
      </c>
      <c r="N244" s="242">
        <f ca="1">IF('Input overrides'!N244&lt;&gt;"",'Input overrides'!N244,F_Inputs!N308)*Rebasing</f>
        <v>19.578353230048798</v>
      </c>
      <c r="O244" s="242">
        <f ca="1">IF('Input overrides'!O244&lt;&gt;"",'Input overrides'!O244,F_Inputs!O308)*Rebasing</f>
        <v>20.033135626986198</v>
      </c>
      <c r="Q244" s="242"/>
    </row>
    <row r="245" spans="1:17">
      <c r="A245" t="s">
        <v>58</v>
      </c>
      <c r="B245" t="s">
        <v>97</v>
      </c>
      <c r="C245" t="s">
        <v>99</v>
      </c>
      <c r="D245" t="s">
        <v>74</v>
      </c>
      <c r="E245" t="s">
        <v>182</v>
      </c>
      <c r="F245" s="242">
        <f>IF('Input overrides'!F245&lt;&gt;"",'Input overrides'!F245,F_Inputs!F309)*Rebasing</f>
        <v>1.2226809434448203</v>
      </c>
      <c r="G245" s="242">
        <f>IF('Input overrides'!G245&lt;&gt;"",'Input overrides'!G245,F_Inputs!G309)*Rebasing</f>
        <v>1.2017016256451702</v>
      </c>
      <c r="H245" s="242">
        <f>IF('Input overrides'!H245&lt;&gt;"",'Input overrides'!H245,F_Inputs!H309)*Rebasing</f>
        <v>0.99078042301011549</v>
      </c>
      <c r="I245" s="242">
        <f>IF('Input overrides'!I245&lt;&gt;"",'Input overrides'!I245,F_Inputs!I309)*Rebasing</f>
        <v>1.4719999999999998</v>
      </c>
      <c r="J245" s="242">
        <f>IF('Input overrides'!J245&lt;&gt;"",'Input overrides'!J245,F_Inputs!J309)*Rebasing</f>
        <v>0.83027739611646334</v>
      </c>
      <c r="K245" s="242">
        <f>IF('Input overrides'!K245&lt;&gt;"",'Input overrides'!K245,F_Inputs!K309)*Rebasing</f>
        <v>1.5214187796038001</v>
      </c>
      <c r="L245" s="242">
        <f>IF('Input overrides'!L245&lt;&gt;"",'Input overrides'!L245,F_Inputs!L309)*Rebasing</f>
        <v>1.3384513637677733</v>
      </c>
      <c r="M245" s="242">
        <f>IF('Input overrides'!M245&lt;&gt;"",'Input overrides'!M245,F_Inputs!M309)*Rebasing</f>
        <v>0.74608361570206461</v>
      </c>
      <c r="N245" s="242">
        <f>IF('Input overrides'!N245&lt;&gt;"",'Input overrides'!N245,F_Inputs!N309)*Rebasing</f>
        <v>0.40844904089635437</v>
      </c>
      <c r="O245" s="242">
        <f>IF('Input overrides'!O245&lt;&gt;"",'Input overrides'!O245,F_Inputs!O309)*Rebasing</f>
        <v>0.25851676541075891</v>
      </c>
    </row>
    <row r="246" spans="1:17">
      <c r="A246" t="s">
        <v>58</v>
      </c>
      <c r="B246" t="s">
        <v>98</v>
      </c>
      <c r="C246" t="s">
        <v>100</v>
      </c>
      <c r="D246" t="s">
        <v>74</v>
      </c>
      <c r="E246" t="s">
        <v>182</v>
      </c>
      <c r="F246" s="242">
        <f>IF('Input overrides'!F246&lt;&gt;"",'Input overrides'!F246,F_Inputs!F310)*Rebasing</f>
        <v>0</v>
      </c>
      <c r="G246" s="242">
        <f>IF('Input overrides'!G246&lt;&gt;"",'Input overrides'!G246,F_Inputs!G310)*Rebasing</f>
        <v>0</v>
      </c>
      <c r="H246" s="242">
        <f>IF('Input overrides'!H246&lt;&gt;"",'Input overrides'!H246,F_Inputs!H310)*Rebasing</f>
        <v>0</v>
      </c>
      <c r="I246" s="242">
        <f>IF('Input overrides'!I246&lt;&gt;"",'Input overrides'!I246,F_Inputs!I310)*Rebasing</f>
        <v>0</v>
      </c>
      <c r="J246" s="242">
        <f>IF('Input overrides'!J246&lt;&gt;"",'Input overrides'!J246,F_Inputs!J310)*Rebasing</f>
        <v>0</v>
      </c>
      <c r="K246" s="242">
        <f>IF('Input overrides'!K246&lt;&gt;"",'Input overrides'!K246,F_Inputs!K310)*Rebasing</f>
        <v>0.10292478754693636</v>
      </c>
      <c r="L246" s="242">
        <f>IF('Input overrides'!L246&lt;&gt;"",'Input overrides'!L246,F_Inputs!L310)*Rebasing</f>
        <v>0.37525651961549078</v>
      </c>
      <c r="M246" s="242">
        <f>IF('Input overrides'!M246&lt;&gt;"",'Input overrides'!M246,F_Inputs!M310)*Rebasing</f>
        <v>0.655669238635884</v>
      </c>
      <c r="N246" s="242">
        <f>IF('Input overrides'!N246&lt;&gt;"",'Input overrides'!N246,F_Inputs!N310)*Rebasing</f>
        <v>0.86335278878759569</v>
      </c>
      <c r="O246" s="242">
        <f>IF('Input overrides'!O246&lt;&gt;"",'Input overrides'!O246,F_Inputs!O310)*Rebasing</f>
        <v>1.0845976510465949</v>
      </c>
    </row>
    <row r="247" spans="1:17">
      <c r="A247" t="s">
        <v>58</v>
      </c>
      <c r="B247" t="s">
        <v>79</v>
      </c>
      <c r="C247" t="s">
        <v>135</v>
      </c>
      <c r="D247" t="s">
        <v>74</v>
      </c>
      <c r="E247" t="s">
        <v>182</v>
      </c>
      <c r="F247" s="242">
        <f>IF('Input overrides'!F247&lt;&gt;"",'Input overrides'!F247,F_Inputs!F311)*Rebasing</f>
        <v>2.4638786653535036</v>
      </c>
      <c r="G247" s="242">
        <f>IF('Input overrides'!G247&lt;&gt;"",'Input overrides'!G247,F_Inputs!G311)*Rebasing</f>
        <v>2.5881843616631248</v>
      </c>
      <c r="H247" s="242">
        <f>IF('Input overrides'!H247&lt;&gt;"",'Input overrides'!H247,F_Inputs!H311)*Rebasing</f>
        <v>2.9648885037476056</v>
      </c>
      <c r="I247" s="242">
        <f>IF('Input overrides'!I247&lt;&gt;"",'Input overrides'!I247,F_Inputs!I311)*Rebasing</f>
        <v>3.4937241828488443</v>
      </c>
      <c r="J247" s="242">
        <f>IF('Input overrides'!J247&lt;&gt;"",'Input overrides'!J247,F_Inputs!J311)*Rebasing</f>
        <v>3.8900968559117799</v>
      </c>
      <c r="K247" s="242">
        <f>IF('Input overrides'!K247&lt;&gt;"",'Input overrides'!K247,F_Inputs!K311)*Rebasing</f>
        <v>4.2221752717606185</v>
      </c>
      <c r="L247" s="242">
        <f>IF('Input overrides'!L247&lt;&gt;"",'Input overrides'!L247,F_Inputs!L311)*Rebasing</f>
        <v>4.5497685230815206</v>
      </c>
      <c r="M247" s="242">
        <f>IF('Input overrides'!M247&lt;&gt;"",'Input overrides'!M247,F_Inputs!M311)*Rebasing</f>
        <v>4.8726148378291976</v>
      </c>
      <c r="N247" s="242">
        <f>IF('Input overrides'!N247&lt;&gt;"",'Input overrides'!N247,F_Inputs!N311)*Rebasing</f>
        <v>5.1878149453960392</v>
      </c>
      <c r="O247" s="242">
        <f>IF('Input overrides'!O247&lt;&gt;"",'Input overrides'!O247,F_Inputs!O311)*Rebasing</f>
        <v>5.4992422525439704</v>
      </c>
    </row>
    <row r="248" spans="1:17">
      <c r="A248" t="s">
        <v>58</v>
      </c>
      <c r="B248" t="s">
        <v>80</v>
      </c>
      <c r="C248" t="s">
        <v>136</v>
      </c>
      <c r="D248" t="s">
        <v>74</v>
      </c>
      <c r="E248" t="s">
        <v>182</v>
      </c>
      <c r="F248" s="242">
        <f>IF('Input overrides'!F248&lt;&gt;"",'Input overrides'!F248,F_Inputs!F312)*Rebasing</f>
        <v>0</v>
      </c>
      <c r="G248" s="242">
        <f>IF('Input overrides'!G248&lt;&gt;"",'Input overrides'!G248,F_Inputs!G312)*Rebasing</f>
        <v>0</v>
      </c>
      <c r="H248" s="242">
        <f>IF('Input overrides'!H248&lt;&gt;"",'Input overrides'!H248,F_Inputs!H312)*Rebasing</f>
        <v>0</v>
      </c>
      <c r="I248" s="242">
        <f>IF('Input overrides'!I248&lt;&gt;"",'Input overrides'!I248,F_Inputs!I312)*Rebasing</f>
        <v>0</v>
      </c>
      <c r="J248" s="242">
        <f>IF('Input overrides'!J248&lt;&gt;"",'Input overrides'!J248,F_Inputs!J312)*Rebasing</f>
        <v>0</v>
      </c>
      <c r="K248" s="242">
        <f>IF('Input overrides'!K248&lt;&gt;"",'Input overrides'!K248,F_Inputs!K312)*Rebasing</f>
        <v>0</v>
      </c>
      <c r="L248" s="242">
        <f>IF('Input overrides'!L248&lt;&gt;"",'Input overrides'!L248,F_Inputs!L312)*Rebasing</f>
        <v>0</v>
      </c>
      <c r="M248" s="242">
        <f>IF('Input overrides'!M248&lt;&gt;"",'Input overrides'!M248,F_Inputs!M312)*Rebasing</f>
        <v>0</v>
      </c>
      <c r="N248" s="242">
        <f>IF('Input overrides'!N248&lt;&gt;"",'Input overrides'!N248,F_Inputs!N312)*Rebasing</f>
        <v>0</v>
      </c>
      <c r="O248" s="242">
        <f>IF('Input overrides'!O248&lt;&gt;"",'Input overrides'!O248,F_Inputs!O312)*Rebasing</f>
        <v>0</v>
      </c>
    </row>
    <row r="249" spans="1:17">
      <c r="A249" t="s">
        <v>58</v>
      </c>
      <c r="B249" t="s">
        <v>81</v>
      </c>
      <c r="C249" t="s">
        <v>137</v>
      </c>
      <c r="D249" t="s">
        <v>74</v>
      </c>
      <c r="E249" t="s">
        <v>182</v>
      </c>
      <c r="F249" s="242">
        <f>IF('Input overrides'!F249&lt;&gt;"",'Input overrides'!F249,F_Inputs!F313)*Rebasing</f>
        <v>0</v>
      </c>
      <c r="G249" s="242">
        <f>IF('Input overrides'!G249&lt;&gt;"",'Input overrides'!G249,F_Inputs!G313)*Rebasing</f>
        <v>0</v>
      </c>
      <c r="H249" s="242">
        <f>IF('Input overrides'!H249&lt;&gt;"",'Input overrides'!H249,F_Inputs!H313)*Rebasing</f>
        <v>0</v>
      </c>
      <c r="I249" s="242">
        <f>IF('Input overrides'!I249&lt;&gt;"",'Input overrides'!I249,F_Inputs!I313)*Rebasing</f>
        <v>0</v>
      </c>
      <c r="J249" s="242">
        <f>IF('Input overrides'!J249&lt;&gt;"",'Input overrides'!J249,F_Inputs!J313)*Rebasing</f>
        <v>0</v>
      </c>
      <c r="K249" s="242">
        <f>IF('Input overrides'!K249&lt;&gt;"",'Input overrides'!K249,F_Inputs!K313)*Rebasing</f>
        <v>0</v>
      </c>
      <c r="L249" s="242">
        <f>IF('Input overrides'!L249&lt;&gt;"",'Input overrides'!L249,F_Inputs!L313)*Rebasing</f>
        <v>0</v>
      </c>
      <c r="M249" s="242">
        <f>IF('Input overrides'!M249&lt;&gt;"",'Input overrides'!M249,F_Inputs!M313)*Rebasing</f>
        <v>0</v>
      </c>
      <c r="N249" s="242">
        <f>IF('Input overrides'!N249&lt;&gt;"",'Input overrides'!N249,F_Inputs!N313)*Rebasing</f>
        <v>0</v>
      </c>
      <c r="O249" s="242">
        <f>IF('Input overrides'!O249&lt;&gt;"",'Input overrides'!O249,F_Inputs!O313)*Rebasing</f>
        <v>0</v>
      </c>
    </row>
    <row r="250" spans="1:17">
      <c r="A250" t="s">
        <v>58</v>
      </c>
      <c r="B250" t="s">
        <v>82</v>
      </c>
      <c r="C250" t="s">
        <v>89</v>
      </c>
      <c r="D250" t="s">
        <v>183</v>
      </c>
      <c r="E250" t="s">
        <v>182</v>
      </c>
      <c r="F250" s="242">
        <f>IF('Input overrides'!F250&lt;&gt;"",'Input overrides'!F250,F_Inputs!F314)</f>
        <v>448.61500000000001</v>
      </c>
      <c r="G250" s="242">
        <f>IF('Input overrides'!G250&lt;&gt;"",'Input overrides'!G250,F_Inputs!G314)</f>
        <v>437.72</v>
      </c>
      <c r="H250" s="242">
        <f>IF('Input overrides'!H250&lt;&gt;"",'Input overrides'!H250,F_Inputs!H314)</f>
        <v>392.49005128205101</v>
      </c>
      <c r="I250" s="242">
        <f>IF('Input overrides'!I250&lt;&gt;"",'Input overrides'!I250,F_Inputs!I314)</f>
        <v>325.05200000000002</v>
      </c>
      <c r="J250" s="242">
        <f>IF('Input overrides'!J250&lt;&gt;"",'Input overrides'!J250,F_Inputs!J314)</f>
        <v>276.96467006462598</v>
      </c>
      <c r="K250" s="518">
        <f>IF('Input overrides'!K250&lt;&gt;"",'Input overrides'!K250,F_Inputs!K314)</f>
        <v>237.65425522721301</v>
      </c>
      <c r="L250" s="519">
        <f>IF('Input overrides'!L250&lt;&gt;"",'Input overrides'!L250,F_Inputs!L314)</f>
        <v>199.321225144583</v>
      </c>
      <c r="M250" s="519">
        <f>IF('Input overrides'!M250&lt;&gt;"",'Input overrides'!M250,F_Inputs!M314)</f>
        <v>161.965579816738</v>
      </c>
      <c r="N250" s="519">
        <f>IF('Input overrides'!N250&lt;&gt;"",'Input overrides'!N250,F_Inputs!N314)</f>
        <v>125.098626866285</v>
      </c>
      <c r="O250" s="519">
        <f>IF('Input overrides'!O250&lt;&gt;"",'Input overrides'!O250,F_Inputs!O314)</f>
        <v>88.720366293223194</v>
      </c>
    </row>
    <row r="251" spans="1:17">
      <c r="A251" t="s">
        <v>58</v>
      </c>
      <c r="B251" t="s">
        <v>87</v>
      </c>
      <c r="C251" t="s">
        <v>90</v>
      </c>
      <c r="D251" t="s">
        <v>183</v>
      </c>
      <c r="E251" t="s">
        <v>182</v>
      </c>
      <c r="F251" s="242">
        <f>IF('Input overrides'!F251&lt;&gt;"",'Input overrides'!F251,F_Inputs!F315)</f>
        <v>349.05</v>
      </c>
      <c r="G251" s="242">
        <f>IF('Input overrides'!G251&lt;&gt;"",'Input overrides'!G251,F_Inputs!G315)</f>
        <v>366.66</v>
      </c>
      <c r="H251" s="242">
        <f>IF('Input overrides'!H251&lt;&gt;"",'Input overrides'!H251,F_Inputs!H315)</f>
        <v>420.0265</v>
      </c>
      <c r="I251" s="242">
        <f>IF('Input overrides'!I251&lt;&gt;"",'Input overrides'!I251,F_Inputs!I315)</f>
        <v>494.94499999999999</v>
      </c>
      <c r="J251" s="242">
        <f>IF('Input overrides'!J251&lt;&gt;"",'Input overrides'!J251,F_Inputs!J315)</f>
        <v>551.09787939220405</v>
      </c>
      <c r="K251" s="518">
        <f>IF('Input overrides'!K251&lt;&gt;"",'Input overrides'!K251,F_Inputs!K315)</f>
        <v>598.14239204697196</v>
      </c>
      <c r="L251" s="519">
        <f>IF('Input overrides'!L251&lt;&gt;"",'Input overrides'!L251,F_Inputs!L315)</f>
        <v>644.551505442642</v>
      </c>
      <c r="M251" s="519">
        <f>IF('Input overrides'!M251&lt;&gt;"",'Input overrides'!M251,F_Inputs!M315)</f>
        <v>690.28813515062598</v>
      </c>
      <c r="N251" s="519">
        <f>IF('Input overrides'!N251&lt;&gt;"",'Input overrides'!N251,F_Inputs!N315)</f>
        <v>734.94155055345902</v>
      </c>
      <c r="O251" s="519">
        <f>IF('Input overrides'!O251&lt;&gt;"",'Input overrides'!O251,F_Inputs!O315)</f>
        <v>779.06048509700997</v>
      </c>
    </row>
    <row r="252" spans="1:17">
      <c r="A252" t="s">
        <v>58</v>
      </c>
      <c r="B252" t="s">
        <v>83</v>
      </c>
      <c r="C252" t="s">
        <v>91</v>
      </c>
      <c r="D252" t="s">
        <v>183</v>
      </c>
      <c r="E252" t="s">
        <v>182</v>
      </c>
      <c r="F252" s="242">
        <f>IF('Input overrides'!F252&lt;&gt;"",'Input overrides'!F252,F_Inputs!F316)</f>
        <v>0</v>
      </c>
      <c r="G252" s="242">
        <f>IF('Input overrides'!G252&lt;&gt;"",'Input overrides'!G252,F_Inputs!G316)</f>
        <v>0</v>
      </c>
      <c r="H252" s="242">
        <f>IF('Input overrides'!H252&lt;&gt;"",'Input overrides'!H252,F_Inputs!H316)</f>
        <v>0</v>
      </c>
      <c r="I252" s="242">
        <f>IF('Input overrides'!I252&lt;&gt;"",'Input overrides'!I252,F_Inputs!I316)</f>
        <v>0</v>
      </c>
      <c r="J252" s="242">
        <f>IF('Input overrides'!J252&lt;&gt;"",'Input overrides'!J252,F_Inputs!J316)</f>
        <v>0</v>
      </c>
      <c r="K252" s="518">
        <f>IF('Input overrides'!K252&lt;&gt;"",'Input overrides'!K252,F_Inputs!K316)</f>
        <v>0</v>
      </c>
      <c r="L252" s="519">
        <f>IF('Input overrides'!L252&lt;&gt;"",'Input overrides'!L252,F_Inputs!L316)</f>
        <v>0</v>
      </c>
      <c r="M252" s="519">
        <f>IF('Input overrides'!M252&lt;&gt;"",'Input overrides'!M252,F_Inputs!M316)</f>
        <v>0</v>
      </c>
      <c r="N252" s="519">
        <f>IF('Input overrides'!N252&lt;&gt;"",'Input overrides'!N252,F_Inputs!N316)</f>
        <v>0</v>
      </c>
      <c r="O252" s="519">
        <f>IF('Input overrides'!O252&lt;&gt;"",'Input overrides'!O252,F_Inputs!O316)</f>
        <v>0</v>
      </c>
    </row>
    <row r="253" spans="1:17">
      <c r="A253" t="s">
        <v>58</v>
      </c>
      <c r="B253" t="s">
        <v>84</v>
      </c>
      <c r="C253" t="s">
        <v>92</v>
      </c>
      <c r="D253" t="s">
        <v>183</v>
      </c>
      <c r="E253" t="s">
        <v>182</v>
      </c>
      <c r="F253" s="242">
        <f>IF('Input overrides'!F253&lt;&gt;"",'Input overrides'!F253,F_Inputs!F317)</f>
        <v>0</v>
      </c>
      <c r="G253" s="242">
        <f>IF('Input overrides'!G253&lt;&gt;"",'Input overrides'!G253,F_Inputs!G317)</f>
        <v>0</v>
      </c>
      <c r="H253" s="242">
        <f>IF('Input overrides'!H253&lt;&gt;"",'Input overrides'!H253,F_Inputs!H317)</f>
        <v>0</v>
      </c>
      <c r="I253" s="242">
        <f>IF('Input overrides'!I253&lt;&gt;"",'Input overrides'!I253,F_Inputs!I317)</f>
        <v>0</v>
      </c>
      <c r="J253" s="242">
        <f>IF('Input overrides'!J253&lt;&gt;"",'Input overrides'!J253,F_Inputs!J317)</f>
        <v>0</v>
      </c>
      <c r="K253" s="518">
        <f>IF('Input overrides'!K253&lt;&gt;"",'Input overrides'!K253,F_Inputs!K317)</f>
        <v>0</v>
      </c>
      <c r="L253" s="519">
        <f>IF('Input overrides'!L253&lt;&gt;"",'Input overrides'!L253,F_Inputs!L317)</f>
        <v>0</v>
      </c>
      <c r="M253" s="519">
        <f>IF('Input overrides'!M253&lt;&gt;"",'Input overrides'!M253,F_Inputs!M317)</f>
        <v>0</v>
      </c>
      <c r="N253" s="519">
        <f>IF('Input overrides'!N253&lt;&gt;"",'Input overrides'!N253,F_Inputs!N317)</f>
        <v>0</v>
      </c>
      <c r="O253" s="519">
        <f>IF('Input overrides'!O253&lt;&gt;"",'Input overrides'!O253,F_Inputs!O317)</f>
        <v>0</v>
      </c>
    </row>
    <row r="254" spans="1:17">
      <c r="A254" t="s">
        <v>58</v>
      </c>
      <c r="B254" t="s">
        <v>85</v>
      </c>
      <c r="C254" t="s">
        <v>93</v>
      </c>
      <c r="D254" t="s">
        <v>183</v>
      </c>
      <c r="E254" t="s">
        <v>182</v>
      </c>
      <c r="F254" s="242">
        <f>IF('Input overrides'!F254&lt;&gt;"",'Input overrides'!F254,F_Inputs!F318)</f>
        <v>0</v>
      </c>
      <c r="G254" s="242">
        <f>IF('Input overrides'!G254&lt;&gt;"",'Input overrides'!G254,F_Inputs!G318)</f>
        <v>0</v>
      </c>
      <c r="H254" s="242">
        <f>IF('Input overrides'!H254&lt;&gt;"",'Input overrides'!H254,F_Inputs!H318)</f>
        <v>0</v>
      </c>
      <c r="I254" s="242">
        <f>IF('Input overrides'!I254&lt;&gt;"",'Input overrides'!I254,F_Inputs!I318)</f>
        <v>0</v>
      </c>
      <c r="J254" s="242">
        <f>IF('Input overrides'!J254&lt;&gt;"",'Input overrides'!J254,F_Inputs!J318)</f>
        <v>0</v>
      </c>
      <c r="K254" s="518">
        <f>IF('Input overrides'!K254&lt;&gt;"",'Input overrides'!K254,F_Inputs!K318)</f>
        <v>0</v>
      </c>
      <c r="L254" s="519">
        <f>IF('Input overrides'!L254&lt;&gt;"",'Input overrides'!L254,F_Inputs!L318)</f>
        <v>0</v>
      </c>
      <c r="M254" s="519">
        <f>IF('Input overrides'!M254&lt;&gt;"",'Input overrides'!M254,F_Inputs!M318)</f>
        <v>0</v>
      </c>
      <c r="N254" s="519">
        <f>IF('Input overrides'!N254&lt;&gt;"",'Input overrides'!N254,F_Inputs!N318)</f>
        <v>0</v>
      </c>
      <c r="O254" s="519">
        <f>IF('Input overrides'!O254&lt;&gt;"",'Input overrides'!O254,F_Inputs!O318)</f>
        <v>0</v>
      </c>
    </row>
    <row r="255" spans="1:17">
      <c r="A255" t="s">
        <v>58</v>
      </c>
      <c r="B255" t="s">
        <v>86</v>
      </c>
      <c r="C255" t="s">
        <v>94</v>
      </c>
      <c r="D255" t="s">
        <v>183</v>
      </c>
      <c r="E255" t="s">
        <v>182</v>
      </c>
      <c r="F255" s="242">
        <f>IF('Input overrides'!F255&lt;&gt;"",'Input overrides'!F255,F_Inputs!F319)</f>
        <v>0</v>
      </c>
      <c r="G255" s="242">
        <f>IF('Input overrides'!G255&lt;&gt;"",'Input overrides'!G255,F_Inputs!G319)</f>
        <v>0</v>
      </c>
      <c r="H255" s="242">
        <f>IF('Input overrides'!H255&lt;&gt;"",'Input overrides'!H255,F_Inputs!H319)</f>
        <v>0</v>
      </c>
      <c r="I255" s="242">
        <f>IF('Input overrides'!I255&lt;&gt;"",'Input overrides'!I255,F_Inputs!I319)</f>
        <v>0</v>
      </c>
      <c r="J255" s="242">
        <f>IF('Input overrides'!J255&lt;&gt;"",'Input overrides'!J255,F_Inputs!J319)</f>
        <v>0</v>
      </c>
      <c r="K255" s="518">
        <f>IF('Input overrides'!K255&lt;&gt;"",'Input overrides'!K255,F_Inputs!K319)</f>
        <v>0</v>
      </c>
      <c r="L255" s="519">
        <f>IF('Input overrides'!L255&lt;&gt;"",'Input overrides'!L255,F_Inputs!L319)</f>
        <v>0</v>
      </c>
      <c r="M255" s="519">
        <f>IF('Input overrides'!M255&lt;&gt;"",'Input overrides'!M255,F_Inputs!M319)</f>
        <v>0</v>
      </c>
      <c r="N255" s="519">
        <f>IF('Input overrides'!N255&lt;&gt;"",'Input overrides'!N255,F_Inputs!N319)</f>
        <v>0</v>
      </c>
      <c r="O255" s="519">
        <f>IF('Input overrides'!O255&lt;&gt;"",'Input overrides'!O255,F_Inputs!O319)</f>
        <v>0</v>
      </c>
    </row>
    <row r="256" spans="1:17">
      <c r="A256" t="s">
        <v>58</v>
      </c>
      <c r="B256" t="s">
        <v>174</v>
      </c>
      <c r="C256" t="s">
        <v>184</v>
      </c>
      <c r="D256" t="s">
        <v>74</v>
      </c>
      <c r="E256" t="s">
        <v>182</v>
      </c>
      <c r="F256" s="242">
        <f>IF('Input overrides'!F256&lt;&gt;"",'Input overrides'!F256,F_Inputs!F320)*Rebasing</f>
        <v>0</v>
      </c>
      <c r="G256" s="242">
        <f>IF('Input overrides'!G256&lt;&gt;"",'Input overrides'!G256,F_Inputs!G320)*Rebasing</f>
        <v>0</v>
      </c>
      <c r="H256" s="242">
        <f>IF('Input overrides'!H256&lt;&gt;"",'Input overrides'!H256,F_Inputs!H320)*Rebasing</f>
        <v>0</v>
      </c>
      <c r="I256" s="242">
        <f>IF('Input overrides'!I256&lt;&gt;"",'Input overrides'!I256,F_Inputs!I320)*Rebasing</f>
        <v>0</v>
      </c>
      <c r="J256" s="242">
        <f>IF('Input overrides'!J256&lt;&gt;"",'Input overrides'!J256,F_Inputs!J320)*Rebasing</f>
        <v>0</v>
      </c>
      <c r="K256" s="242">
        <f>IF('Input overrides'!K256&lt;&gt;"",'Input overrides'!K256,F_Inputs!K320)*Rebasing</f>
        <v>0</v>
      </c>
      <c r="L256" s="242">
        <f>IF('Input overrides'!L256&lt;&gt;"",'Input overrides'!L256,F_Inputs!L320)*Rebasing</f>
        <v>0</v>
      </c>
      <c r="M256" s="242">
        <f>IF('Input overrides'!M256&lt;&gt;"",'Input overrides'!M256,F_Inputs!M320)*Rebasing</f>
        <v>0</v>
      </c>
      <c r="N256" s="242">
        <f>IF('Input overrides'!N256&lt;&gt;"",'Input overrides'!N256,F_Inputs!N320)*Rebasing</f>
        <v>0</v>
      </c>
      <c r="O256" s="242">
        <f>IF('Input overrides'!O256&lt;&gt;"",'Input overrides'!O256,F_Inputs!O320)*Rebasing</f>
        <v>0</v>
      </c>
    </row>
    <row r="257" spans="1:17">
      <c r="A257" t="s">
        <v>58</v>
      </c>
      <c r="B257" t="s">
        <v>156</v>
      </c>
      <c r="C257" t="s">
        <v>157</v>
      </c>
      <c r="D257" t="s">
        <v>74</v>
      </c>
      <c r="E257" t="s">
        <v>182</v>
      </c>
      <c r="F257" s="242">
        <f>IF('Input overrides'!F257&lt;&gt;"",'Input overrides'!F257,F_Inputs!F321)*Rebasing</f>
        <v>-1.4254182812447087</v>
      </c>
      <c r="G257" s="242">
        <f>IF('Input overrides'!G257&lt;&gt;"",'Input overrides'!G257,F_Inputs!G321)*Rebasing</f>
        <v>-0.56470791038484858</v>
      </c>
      <c r="H257" s="242">
        <f>IF('Input overrides'!H257&lt;&gt;"",'Input overrides'!H257,F_Inputs!H321)*Rebasing</f>
        <v>0</v>
      </c>
      <c r="I257" s="242">
        <f>IF('Input overrides'!I257&lt;&gt;"",'Input overrides'!I257,F_Inputs!I321)*Rebasing</f>
        <v>0.66463567317189476</v>
      </c>
      <c r="J257" s="242">
        <f>IF('Input overrides'!J257&lt;&gt;"",'Input overrides'!J257,F_Inputs!J321)*Rebasing</f>
        <v>1.0800148354688801</v>
      </c>
      <c r="K257" s="242">
        <f>IF('Input overrides'!K257&lt;&gt;"",'Input overrides'!K257,F_Inputs!K321)*Rebasing</f>
        <v>0.61540495289025654</v>
      </c>
      <c r="L257" s="242">
        <f>IF('Input overrides'!L257&lt;&gt;"",'Input overrides'!L257,F_Inputs!L321)*Rebasing</f>
        <v>0.61540495289025654</v>
      </c>
      <c r="M257" s="242">
        <f>IF('Input overrides'!M257&lt;&gt;"",'Input overrides'!M257,F_Inputs!M321)*Rebasing</f>
        <v>0.61540495289025654</v>
      </c>
      <c r="N257" s="242">
        <f>IF('Input overrides'!N257&lt;&gt;"",'Input overrides'!N257,F_Inputs!N321)*Rebasing</f>
        <v>0.61540495289025654</v>
      </c>
      <c r="O257" s="242">
        <f>IF('Input overrides'!O257&lt;&gt;"",'Input overrides'!O257,F_Inputs!O321)*Rebasing</f>
        <v>0.61540495289025654</v>
      </c>
    </row>
    <row r="258" spans="1:17">
      <c r="A258" t="s">
        <v>58</v>
      </c>
      <c r="B258" t="s">
        <v>159</v>
      </c>
      <c r="C258" t="s">
        <v>158</v>
      </c>
      <c r="D258" t="s">
        <v>74</v>
      </c>
      <c r="E258" t="s">
        <v>182</v>
      </c>
      <c r="F258" s="242">
        <f>IF('Input overrides'!F258&lt;&gt;"",'Input overrides'!F258,F_Inputs!F322)*Rebasing</f>
        <v>0</v>
      </c>
      <c r="G258" s="242">
        <f>IF('Input overrides'!G258&lt;&gt;"",'Input overrides'!G258,F_Inputs!G322)*Rebasing</f>
        <v>0</v>
      </c>
      <c r="H258" s="242">
        <f>IF('Input overrides'!H258&lt;&gt;"",'Input overrides'!H258,F_Inputs!H322)*Rebasing</f>
        <v>0</v>
      </c>
      <c r="I258" s="242">
        <f>IF('Input overrides'!I258&lt;&gt;"",'Input overrides'!I258,F_Inputs!I322)*Rebasing</f>
        <v>0</v>
      </c>
      <c r="J258" s="242">
        <f>IF('Input overrides'!J258&lt;&gt;"",'Input overrides'!J258,F_Inputs!J322)*Rebasing</f>
        <v>0</v>
      </c>
      <c r="K258" s="242">
        <f>IF('Input overrides'!K258&lt;&gt;"",'Input overrides'!K258,F_Inputs!K322)*Rebasing</f>
        <v>0</v>
      </c>
      <c r="L258" s="242">
        <f>IF('Input overrides'!L258&lt;&gt;"",'Input overrides'!L258,F_Inputs!L322)*Rebasing</f>
        <v>0</v>
      </c>
      <c r="M258" s="242">
        <f>IF('Input overrides'!M258&lt;&gt;"",'Input overrides'!M258,F_Inputs!M322)*Rebasing</f>
        <v>0</v>
      </c>
      <c r="N258" s="242">
        <f>IF('Input overrides'!N258&lt;&gt;"",'Input overrides'!N258,F_Inputs!N322)*Rebasing</f>
        <v>0</v>
      </c>
      <c r="O258" s="242">
        <f>IF('Input overrides'!O258&lt;&gt;"",'Input overrides'!O258,F_Inputs!O322)*Rebasing</f>
        <v>0</v>
      </c>
    </row>
    <row r="259" spans="1:17">
      <c r="A259" t="s">
        <v>59</v>
      </c>
      <c r="B259" t="s">
        <v>78</v>
      </c>
      <c r="C259" t="s">
        <v>132</v>
      </c>
      <c r="D259" t="s">
        <v>74</v>
      </c>
      <c r="E259" t="s">
        <v>182</v>
      </c>
      <c r="F259" s="242">
        <f>IF('Input overrides'!F259&lt;&gt;"",'Input overrides'!F259,F_Inputs!F327)*Rebasing</f>
        <v>4.0696872938254396</v>
      </c>
      <c r="G259" s="242">
        <f>IF('Input overrides'!G259&lt;&gt;"",'Input overrides'!G259,F_Inputs!G327)*Rebasing</f>
        <v>5.0489515695081879</v>
      </c>
      <c r="H259" s="242">
        <f>IF('Input overrides'!H259&lt;&gt;"",'Input overrides'!H259,F_Inputs!H327)*Rebasing</f>
        <v>5.3144275285810005</v>
      </c>
      <c r="I259" s="242">
        <f ca="1">IF('Input overrides'!I259&lt;&gt;"",'Input overrides'!I259,F_Inputs!I327)*Rebasing</f>
        <v>5.8034658510639314</v>
      </c>
      <c r="J259" s="242">
        <f>IF('Input overrides'!J259&lt;&gt;"",'Input overrides'!J259,F_Inputs!J327)*Rebasing</f>
        <v>5.0400492850444847</v>
      </c>
      <c r="K259" s="242">
        <f ca="1">IF('Input overrides'!K259&lt;&gt;"",'Input overrides'!K259,F_Inputs!K327)*Rebasing</f>
        <v>5.3196216657696533</v>
      </c>
      <c r="L259" s="242">
        <f ca="1">IF('Input overrides'!L259&lt;&gt;"",'Input overrides'!L259,F_Inputs!L327)*Rebasing</f>
        <v>5.3112171001397552</v>
      </c>
      <c r="M259" s="242">
        <f ca="1">IF('Input overrides'!M259&lt;&gt;"",'Input overrides'!M259,F_Inputs!M327)*Rebasing</f>
        <v>5.5365515696470426</v>
      </c>
      <c r="N259" s="242">
        <f ca="1">IF('Input overrides'!N259&lt;&gt;"",'Input overrides'!N259,F_Inputs!N327)*Rebasing</f>
        <v>5.5260711389349373</v>
      </c>
      <c r="O259" s="242">
        <f ca="1">IF('Input overrides'!O259&lt;&gt;"",'Input overrides'!O259,F_Inputs!O327)*Rebasing</f>
        <v>5.4856157798309786</v>
      </c>
      <c r="Q259" s="242"/>
    </row>
    <row r="260" spans="1:17">
      <c r="A260" t="s">
        <v>59</v>
      </c>
      <c r="B260" t="s">
        <v>97</v>
      </c>
      <c r="C260" t="s">
        <v>99</v>
      </c>
      <c r="D260" t="s">
        <v>74</v>
      </c>
      <c r="E260" t="s">
        <v>182</v>
      </c>
      <c r="F260" s="242">
        <f>IF('Input overrides'!F260&lt;&gt;"",'Input overrides'!F260,F_Inputs!F328)*Rebasing</f>
        <v>9.0912077381560569E-2</v>
      </c>
      <c r="G260" s="242">
        <f>IF('Input overrides'!G260&lt;&gt;"",'Input overrides'!G260,F_Inputs!G328)*Rebasing</f>
        <v>6.6982106603998504E-2</v>
      </c>
      <c r="H260" s="242">
        <f>IF('Input overrides'!H260&lt;&gt;"",'Input overrides'!H260,F_Inputs!H328)*Rebasing</f>
        <v>5.5736800245223254E-2</v>
      </c>
      <c r="I260" s="242">
        <f>IF('Input overrides'!I260&lt;&gt;"",'Input overrides'!I260,F_Inputs!I328)*Rebasing</f>
        <v>0.21665847174142569</v>
      </c>
      <c r="J260" s="242">
        <f>IF('Input overrides'!J260&lt;&gt;"",'Input overrides'!J260,F_Inputs!J328)*Rebasing</f>
        <v>6.0583551447400463E-2</v>
      </c>
      <c r="K260" s="242">
        <f>IF('Input overrides'!K260&lt;&gt;"",'Input overrides'!K260,F_Inputs!K328)*Rebasing</f>
        <v>0.2004818343590932</v>
      </c>
      <c r="L260" s="242">
        <f>IF('Input overrides'!L260&lt;&gt;"",'Input overrides'!L260,F_Inputs!L328)*Rebasing</f>
        <v>0.16620333345703131</v>
      </c>
      <c r="M260" s="242">
        <f>IF('Input overrides'!M260&lt;&gt;"",'Input overrides'!M260,F_Inputs!M328)*Rebasing</f>
        <v>0.14489565461562026</v>
      </c>
      <c r="N260" s="242">
        <f>IF('Input overrides'!N260&lt;&gt;"",'Input overrides'!N260,F_Inputs!N328)*Rebasing</f>
        <v>0.11244374041515967</v>
      </c>
      <c r="O260" s="242">
        <f>IF('Input overrides'!O260&lt;&gt;"",'Input overrides'!O260,F_Inputs!O328)*Rebasing</f>
        <v>8.5632077093468748E-2</v>
      </c>
    </row>
    <row r="261" spans="1:17">
      <c r="A261" t="s">
        <v>59</v>
      </c>
      <c r="B261" t="s">
        <v>98</v>
      </c>
      <c r="C261" t="s">
        <v>100</v>
      </c>
      <c r="D261" t="s">
        <v>74</v>
      </c>
      <c r="E261" t="s">
        <v>182</v>
      </c>
      <c r="F261" s="242">
        <f>IF('Input overrides'!F261&lt;&gt;"",'Input overrides'!F261,F_Inputs!F329)*Rebasing</f>
        <v>0</v>
      </c>
      <c r="G261" s="242">
        <f>IF('Input overrides'!G261&lt;&gt;"",'Input overrides'!G261,F_Inputs!G329)*Rebasing</f>
        <v>0</v>
      </c>
      <c r="H261" s="242">
        <f>IF('Input overrides'!H261&lt;&gt;"",'Input overrides'!H261,F_Inputs!H329)*Rebasing</f>
        <v>0</v>
      </c>
      <c r="I261" s="242">
        <f>IF('Input overrides'!I261&lt;&gt;"",'Input overrides'!I261,F_Inputs!I329)*Rebasing</f>
        <v>0</v>
      </c>
      <c r="J261" s="242">
        <f>IF('Input overrides'!J261&lt;&gt;"",'Input overrides'!J261,F_Inputs!J329)*Rebasing</f>
        <v>0</v>
      </c>
      <c r="K261" s="242">
        <f>IF('Input overrides'!K261&lt;&gt;"",'Input overrides'!K261,F_Inputs!K329)*Rebasing</f>
        <v>3.5604448244935694E-2</v>
      </c>
      <c r="L261" s="242">
        <f>IF('Input overrides'!L261&lt;&gt;"",'Input overrides'!L261,F_Inputs!L329)*Rebasing</f>
        <v>0.10136076095502138</v>
      </c>
      <c r="M261" s="242">
        <f>IF('Input overrides'!M261&lt;&gt;"",'Input overrides'!M261,F_Inputs!M329)*Rebasing</f>
        <v>0.15642944982879567</v>
      </c>
      <c r="N261" s="242">
        <f>IF('Input overrides'!N261&lt;&gt;"",'Input overrides'!N261,F_Inputs!N329)*Rebasing</f>
        <v>0.20085375120844759</v>
      </c>
      <c r="O261" s="242">
        <f>IF('Input overrides'!O261&lt;&gt;"",'Input overrides'!O261,F_Inputs!O329)*Rebasing</f>
        <v>0.23598861041953256</v>
      </c>
    </row>
    <row r="262" spans="1:17">
      <c r="A262" t="s">
        <v>59</v>
      </c>
      <c r="B262" t="s">
        <v>79</v>
      </c>
      <c r="C262" t="s">
        <v>135</v>
      </c>
      <c r="D262" t="s">
        <v>74</v>
      </c>
      <c r="E262" t="s">
        <v>182</v>
      </c>
      <c r="F262" s="242">
        <f>IF('Input overrides'!F262&lt;&gt;"",'Input overrides'!F262,F_Inputs!F330)*Rebasing</f>
        <v>0.66507152507903433</v>
      </c>
      <c r="G262" s="242">
        <f>IF('Input overrides'!G262&lt;&gt;"",'Input overrides'!G262,F_Inputs!G330)*Rebasing</f>
        <v>0.69087591075193977</v>
      </c>
      <c r="H262" s="242">
        <f>IF('Input overrides'!H262&lt;&gt;"",'Input overrides'!H262,F_Inputs!H330)*Rebasing</f>
        <v>0.74735343411150612</v>
      </c>
      <c r="I262" s="242">
        <f>IF('Input overrides'!I262&lt;&gt;"",'Input overrides'!I262,F_Inputs!I330)*Rebasing</f>
        <v>0.88775057634276766</v>
      </c>
      <c r="J262" s="242">
        <f>IF('Input overrides'!J262&lt;&gt;"",'Input overrides'!J262,F_Inputs!J330)*Rebasing</f>
        <v>0.89120600998732591</v>
      </c>
      <c r="K262" s="242">
        <f>IF('Input overrides'!K262&lt;&gt;"",'Input overrides'!K262,F_Inputs!K330)*Rebasing</f>
        <v>0.92207144372595884</v>
      </c>
      <c r="L262" s="242">
        <f>IF('Input overrides'!L262&lt;&gt;"",'Input overrides'!L262,F_Inputs!L330)*Rebasing</f>
        <v>0.95293687746459155</v>
      </c>
      <c r="M262" s="242">
        <f>IF('Input overrides'!M262&lt;&gt;"",'Input overrides'!M262,F_Inputs!M330)*Rebasing</f>
        <v>1.0129014067437085</v>
      </c>
      <c r="N262" s="242">
        <f>IF('Input overrides'!N262&lt;&gt;"",'Input overrides'!N262,F_Inputs!N330)*Rebasing</f>
        <v>1.0437668404823404</v>
      </c>
      <c r="O262" s="242">
        <f>IF('Input overrides'!O262&lt;&gt;"",'Input overrides'!O262,F_Inputs!O330)*Rebasing</f>
        <v>1.1017985807129218</v>
      </c>
    </row>
    <row r="263" spans="1:17">
      <c r="A263" t="s">
        <v>59</v>
      </c>
      <c r="B263" t="s">
        <v>80</v>
      </c>
      <c r="C263" t="s">
        <v>136</v>
      </c>
      <c r="D263" t="s">
        <v>74</v>
      </c>
      <c r="E263" t="s">
        <v>182</v>
      </c>
      <c r="F263" s="242">
        <f>IF('Input overrides'!F263&lt;&gt;"",'Input overrides'!F263,F_Inputs!F331)*Rebasing</f>
        <v>0</v>
      </c>
      <c r="G263" s="242">
        <f>IF('Input overrides'!G263&lt;&gt;"",'Input overrides'!G263,F_Inputs!G331)*Rebasing</f>
        <v>0</v>
      </c>
      <c r="H263" s="242">
        <f>IF('Input overrides'!H263&lt;&gt;"",'Input overrides'!H263,F_Inputs!H331)*Rebasing</f>
        <v>0</v>
      </c>
      <c r="I263" s="242">
        <f>IF('Input overrides'!I263&lt;&gt;"",'Input overrides'!I263,F_Inputs!I331)*Rebasing</f>
        <v>0</v>
      </c>
      <c r="J263" s="242">
        <f>IF('Input overrides'!J263&lt;&gt;"",'Input overrides'!J263,F_Inputs!J331)*Rebasing</f>
        <v>0</v>
      </c>
      <c r="K263" s="242">
        <f>IF('Input overrides'!K263&lt;&gt;"",'Input overrides'!K263,F_Inputs!K331)*Rebasing</f>
        <v>0</v>
      </c>
      <c r="L263" s="242">
        <f>IF('Input overrides'!L263&lt;&gt;"",'Input overrides'!L263,F_Inputs!L331)*Rebasing</f>
        <v>0</v>
      </c>
      <c r="M263" s="242">
        <f>IF('Input overrides'!M263&lt;&gt;"",'Input overrides'!M263,F_Inputs!M331)*Rebasing</f>
        <v>0</v>
      </c>
      <c r="N263" s="242">
        <f>IF('Input overrides'!N263&lt;&gt;"",'Input overrides'!N263,F_Inputs!N331)*Rebasing</f>
        <v>0</v>
      </c>
      <c r="O263" s="242">
        <f>IF('Input overrides'!O263&lt;&gt;"",'Input overrides'!O263,F_Inputs!O331)*Rebasing</f>
        <v>0</v>
      </c>
    </row>
    <row r="264" spans="1:17">
      <c r="A264" t="s">
        <v>59</v>
      </c>
      <c r="B264" t="s">
        <v>81</v>
      </c>
      <c r="C264" t="s">
        <v>137</v>
      </c>
      <c r="D264" t="s">
        <v>74</v>
      </c>
      <c r="E264" t="s">
        <v>182</v>
      </c>
      <c r="F264" s="242">
        <f>IF('Input overrides'!F264&lt;&gt;"",'Input overrides'!F264,F_Inputs!F332)*Rebasing</f>
        <v>0</v>
      </c>
      <c r="G264" s="242">
        <f>IF('Input overrides'!G264&lt;&gt;"",'Input overrides'!G264,F_Inputs!G332)*Rebasing</f>
        <v>0</v>
      </c>
      <c r="H264" s="242">
        <f>IF('Input overrides'!H264&lt;&gt;"",'Input overrides'!H264,F_Inputs!H332)*Rebasing</f>
        <v>0</v>
      </c>
      <c r="I264" s="242">
        <f>IF('Input overrides'!I264&lt;&gt;"",'Input overrides'!I264,F_Inputs!I332)*Rebasing</f>
        <v>0</v>
      </c>
      <c r="J264" s="242">
        <f>IF('Input overrides'!J264&lt;&gt;"",'Input overrides'!J264,F_Inputs!J332)*Rebasing</f>
        <v>0</v>
      </c>
      <c r="K264" s="242">
        <f>IF('Input overrides'!K264&lt;&gt;"",'Input overrides'!K264,F_Inputs!K332)*Rebasing</f>
        <v>0</v>
      </c>
      <c r="L264" s="242">
        <f>IF('Input overrides'!L264&lt;&gt;"",'Input overrides'!L264,F_Inputs!L332)*Rebasing</f>
        <v>0</v>
      </c>
      <c r="M264" s="242">
        <f>IF('Input overrides'!M264&lt;&gt;"",'Input overrides'!M264,F_Inputs!M332)*Rebasing</f>
        <v>0</v>
      </c>
      <c r="N264" s="242">
        <f>IF('Input overrides'!N264&lt;&gt;"",'Input overrides'!N264,F_Inputs!N332)*Rebasing</f>
        <v>0</v>
      </c>
      <c r="O264" s="242">
        <f>IF('Input overrides'!O264&lt;&gt;"",'Input overrides'!O264,F_Inputs!O332)*Rebasing</f>
        <v>0</v>
      </c>
    </row>
    <row r="265" spans="1:17">
      <c r="A265" t="s">
        <v>59</v>
      </c>
      <c r="B265" t="s">
        <v>82</v>
      </c>
      <c r="C265" t="s">
        <v>89</v>
      </c>
      <c r="D265" t="s">
        <v>183</v>
      </c>
      <c r="E265" t="s">
        <v>182</v>
      </c>
      <c r="F265" s="242">
        <f>IF('Input overrides'!F265&lt;&gt;"",'Input overrides'!F265,F_Inputs!F333)</f>
        <v>165.173</v>
      </c>
      <c r="G265" s="242">
        <f>IF('Input overrides'!G265&lt;&gt;"",'Input overrides'!G265,F_Inputs!G333)</f>
        <v>162.05099999999999</v>
      </c>
      <c r="H265" s="242">
        <f>IF('Input overrides'!H265&lt;&gt;"",'Input overrides'!H265,F_Inputs!H333)</f>
        <v>155.47399999999999</v>
      </c>
      <c r="I265" s="242">
        <f>IF('Input overrides'!I265&lt;&gt;"",'Input overrides'!I265,F_Inputs!I333)</f>
        <v>149.05099999999999</v>
      </c>
      <c r="J265" s="242">
        <f>IF('Input overrides'!J265&lt;&gt;"",'Input overrides'!J265,F_Inputs!J333)</f>
        <v>141.98699999999999</v>
      </c>
      <c r="K265" s="518">
        <f>IF('Input overrides'!K265&lt;&gt;"",'Input overrides'!K265,F_Inputs!K333)</f>
        <v>135.46893750000001</v>
      </c>
      <c r="L265" s="519">
        <f>IF('Input overrides'!L265&lt;&gt;"",'Input overrides'!L265,F_Inputs!L333)</f>
        <v>129.01424812499999</v>
      </c>
      <c r="M265" s="519">
        <f>IF('Input overrides'!M265&lt;&gt;"",'Input overrides'!M265,F_Inputs!M333)</f>
        <v>122.62410564375</v>
      </c>
      <c r="N265" s="519">
        <f>IF('Input overrides'!N265&lt;&gt;"",'Input overrides'!N265,F_Inputs!N333)</f>
        <v>116.29786458731201</v>
      </c>
      <c r="O265" s="519">
        <f>IF('Input overrides'!O265&lt;&gt;"",'Input overrides'!O265,F_Inputs!O333)</f>
        <v>110.034885941439</v>
      </c>
    </row>
    <row r="266" spans="1:17">
      <c r="A266" t="s">
        <v>59</v>
      </c>
      <c r="B266" t="s">
        <v>87</v>
      </c>
      <c r="C266" t="s">
        <v>90</v>
      </c>
      <c r="D266" t="s">
        <v>183</v>
      </c>
      <c r="E266" t="s">
        <v>182</v>
      </c>
      <c r="F266" s="242">
        <f>IF('Input overrides'!F266&lt;&gt;"",'Input overrides'!F266,F_Inputs!F334)</f>
        <v>92.26</v>
      </c>
      <c r="G266" s="242">
        <f>IF('Input overrides'!G266&lt;&gt;"",'Input overrides'!G266,F_Inputs!G334)</f>
        <v>95.834999999999994</v>
      </c>
      <c r="H266" s="242">
        <f>IF('Input overrides'!H266&lt;&gt;"",'Input overrides'!H266,F_Inputs!H334)</f>
        <v>103.655</v>
      </c>
      <c r="I266" s="242">
        <f>IF('Input overrides'!I266&lt;&gt;"",'Input overrides'!I266,F_Inputs!I334)</f>
        <v>111.88800000000001</v>
      </c>
      <c r="J266" s="242">
        <f>IF('Input overrides'!J266&lt;&gt;"",'Input overrides'!J266,F_Inputs!J334)</f>
        <v>121.601468253306</v>
      </c>
      <c r="K266" s="518">
        <f>IF('Input overrides'!K266&lt;&gt;"",'Input overrides'!K266,F_Inputs!K334)</f>
        <v>130.51314222472899</v>
      </c>
      <c r="L266" s="519">
        <f>IF('Input overrides'!L266&lt;&gt;"",'Input overrides'!L266,F_Inputs!L334)</f>
        <v>139.37195098761401</v>
      </c>
      <c r="M266" s="519">
        <f>IF('Input overrides'!M266&lt;&gt;"",'Input overrides'!M266,F_Inputs!M334)</f>
        <v>148.142073787269</v>
      </c>
      <c r="N266" s="519">
        <f>IF('Input overrides'!N266&lt;&gt;"",'Input overrides'!N266,F_Inputs!N334)</f>
        <v>156.92568147398501</v>
      </c>
      <c r="O266" s="519">
        <f>IF('Input overrides'!O266&lt;&gt;"",'Input overrides'!O266,F_Inputs!O334)</f>
        <v>165.650494362845</v>
      </c>
    </row>
    <row r="267" spans="1:17">
      <c r="A267" t="s">
        <v>59</v>
      </c>
      <c r="B267" t="s">
        <v>83</v>
      </c>
      <c r="C267" t="s">
        <v>91</v>
      </c>
      <c r="D267" t="s">
        <v>183</v>
      </c>
      <c r="E267" t="s">
        <v>182</v>
      </c>
      <c r="F267" s="242">
        <f>IF('Input overrides'!F267&lt;&gt;"",'Input overrides'!F267,F_Inputs!F335)</f>
        <v>0</v>
      </c>
      <c r="G267" s="242">
        <f>IF('Input overrides'!G267&lt;&gt;"",'Input overrides'!G267,F_Inputs!G335)</f>
        <v>0</v>
      </c>
      <c r="H267" s="242">
        <f>IF('Input overrides'!H267&lt;&gt;"",'Input overrides'!H267,F_Inputs!H335)</f>
        <v>0</v>
      </c>
      <c r="I267" s="242">
        <f>IF('Input overrides'!I267&lt;&gt;"",'Input overrides'!I267,F_Inputs!I335)</f>
        <v>0</v>
      </c>
      <c r="J267" s="242">
        <f>IF('Input overrides'!J267&lt;&gt;"",'Input overrides'!J267,F_Inputs!J335)</f>
        <v>0</v>
      </c>
      <c r="K267" s="518">
        <f>IF('Input overrides'!K267&lt;&gt;"",'Input overrides'!K267,F_Inputs!K335)</f>
        <v>0</v>
      </c>
      <c r="L267" s="519">
        <f>IF('Input overrides'!L267&lt;&gt;"",'Input overrides'!L267,F_Inputs!L335)</f>
        <v>0</v>
      </c>
      <c r="M267" s="519">
        <f>IF('Input overrides'!M267&lt;&gt;"",'Input overrides'!M267,F_Inputs!M335)</f>
        <v>0</v>
      </c>
      <c r="N267" s="519">
        <f>IF('Input overrides'!N267&lt;&gt;"",'Input overrides'!N267,F_Inputs!N335)</f>
        <v>0</v>
      </c>
      <c r="O267" s="519">
        <f>IF('Input overrides'!O267&lt;&gt;"",'Input overrides'!O267,F_Inputs!O335)</f>
        <v>0</v>
      </c>
    </row>
    <row r="268" spans="1:17">
      <c r="A268" t="s">
        <v>59</v>
      </c>
      <c r="B268" t="s">
        <v>84</v>
      </c>
      <c r="C268" t="s">
        <v>92</v>
      </c>
      <c r="D268" t="s">
        <v>183</v>
      </c>
      <c r="E268" t="s">
        <v>182</v>
      </c>
      <c r="F268" s="242">
        <f>IF('Input overrides'!F268&lt;&gt;"",'Input overrides'!F268,F_Inputs!F336)</f>
        <v>0</v>
      </c>
      <c r="G268" s="242">
        <f>IF('Input overrides'!G268&lt;&gt;"",'Input overrides'!G268,F_Inputs!G336)</f>
        <v>0</v>
      </c>
      <c r="H268" s="242">
        <f>IF('Input overrides'!H268&lt;&gt;"",'Input overrides'!H268,F_Inputs!H336)</f>
        <v>0</v>
      </c>
      <c r="I268" s="242">
        <f>IF('Input overrides'!I268&lt;&gt;"",'Input overrides'!I268,F_Inputs!I336)</f>
        <v>0</v>
      </c>
      <c r="J268" s="242">
        <f>IF('Input overrides'!J268&lt;&gt;"",'Input overrides'!J268,F_Inputs!J336)</f>
        <v>0</v>
      </c>
      <c r="K268" s="518">
        <f>IF('Input overrides'!K268&lt;&gt;"",'Input overrides'!K268,F_Inputs!K336)</f>
        <v>0</v>
      </c>
      <c r="L268" s="519">
        <f>IF('Input overrides'!L268&lt;&gt;"",'Input overrides'!L268,F_Inputs!L336)</f>
        <v>0</v>
      </c>
      <c r="M268" s="519">
        <f>IF('Input overrides'!M268&lt;&gt;"",'Input overrides'!M268,F_Inputs!M336)</f>
        <v>0</v>
      </c>
      <c r="N268" s="519">
        <f>IF('Input overrides'!N268&lt;&gt;"",'Input overrides'!N268,F_Inputs!N336)</f>
        <v>0</v>
      </c>
      <c r="O268" s="519">
        <f>IF('Input overrides'!O268&lt;&gt;"",'Input overrides'!O268,F_Inputs!O336)</f>
        <v>0</v>
      </c>
    </row>
    <row r="269" spans="1:17">
      <c r="A269" t="s">
        <v>59</v>
      </c>
      <c r="B269" t="s">
        <v>85</v>
      </c>
      <c r="C269" t="s">
        <v>93</v>
      </c>
      <c r="D269" t="s">
        <v>183</v>
      </c>
      <c r="E269" t="s">
        <v>182</v>
      </c>
      <c r="F269" s="242">
        <f>IF('Input overrides'!F269&lt;&gt;"",'Input overrides'!F269,F_Inputs!F337)</f>
        <v>0</v>
      </c>
      <c r="G269" s="242">
        <f>IF('Input overrides'!G269&lt;&gt;"",'Input overrides'!G269,F_Inputs!G337)</f>
        <v>0</v>
      </c>
      <c r="H269" s="242">
        <f>IF('Input overrides'!H269&lt;&gt;"",'Input overrides'!H269,F_Inputs!H337)</f>
        <v>0</v>
      </c>
      <c r="I269" s="242">
        <f>IF('Input overrides'!I269&lt;&gt;"",'Input overrides'!I269,F_Inputs!I337)</f>
        <v>0</v>
      </c>
      <c r="J269" s="242">
        <f>IF('Input overrides'!J269&lt;&gt;"",'Input overrides'!J269,F_Inputs!J337)</f>
        <v>0</v>
      </c>
      <c r="K269" s="518">
        <f>IF('Input overrides'!K269&lt;&gt;"",'Input overrides'!K269,F_Inputs!K337)</f>
        <v>0</v>
      </c>
      <c r="L269" s="519">
        <f>IF('Input overrides'!L269&lt;&gt;"",'Input overrides'!L269,F_Inputs!L337)</f>
        <v>0</v>
      </c>
      <c r="M269" s="519">
        <f>IF('Input overrides'!M269&lt;&gt;"",'Input overrides'!M269,F_Inputs!M337)</f>
        <v>0</v>
      </c>
      <c r="N269" s="519">
        <f>IF('Input overrides'!N269&lt;&gt;"",'Input overrides'!N269,F_Inputs!N337)</f>
        <v>0</v>
      </c>
      <c r="O269" s="519">
        <f>IF('Input overrides'!O269&lt;&gt;"",'Input overrides'!O269,F_Inputs!O337)</f>
        <v>0</v>
      </c>
    </row>
    <row r="270" spans="1:17">
      <c r="A270" t="s">
        <v>59</v>
      </c>
      <c r="B270" t="s">
        <v>86</v>
      </c>
      <c r="C270" t="s">
        <v>94</v>
      </c>
      <c r="D270" t="s">
        <v>183</v>
      </c>
      <c r="E270" t="s">
        <v>182</v>
      </c>
      <c r="F270" s="242">
        <f>IF('Input overrides'!F270&lt;&gt;"",'Input overrides'!F270,F_Inputs!F338)</f>
        <v>0</v>
      </c>
      <c r="G270" s="242">
        <f>IF('Input overrides'!G270&lt;&gt;"",'Input overrides'!G270,F_Inputs!G338)</f>
        <v>0</v>
      </c>
      <c r="H270" s="242">
        <f>IF('Input overrides'!H270&lt;&gt;"",'Input overrides'!H270,F_Inputs!H338)</f>
        <v>0</v>
      </c>
      <c r="I270" s="242">
        <f>IF('Input overrides'!I270&lt;&gt;"",'Input overrides'!I270,F_Inputs!I338)</f>
        <v>0</v>
      </c>
      <c r="J270" s="242">
        <f>IF('Input overrides'!J270&lt;&gt;"",'Input overrides'!J270,F_Inputs!J338)</f>
        <v>0</v>
      </c>
      <c r="K270" s="518">
        <f>IF('Input overrides'!K270&lt;&gt;"",'Input overrides'!K270,F_Inputs!K338)</f>
        <v>0</v>
      </c>
      <c r="L270" s="519">
        <f>IF('Input overrides'!L270&lt;&gt;"",'Input overrides'!L270,F_Inputs!L338)</f>
        <v>0</v>
      </c>
      <c r="M270" s="519">
        <f>IF('Input overrides'!M270&lt;&gt;"",'Input overrides'!M270,F_Inputs!M338)</f>
        <v>0</v>
      </c>
      <c r="N270" s="519">
        <f>IF('Input overrides'!N270&lt;&gt;"",'Input overrides'!N270,F_Inputs!N338)</f>
        <v>0</v>
      </c>
      <c r="O270" s="519">
        <f>IF('Input overrides'!O270&lt;&gt;"",'Input overrides'!O270,F_Inputs!O338)</f>
        <v>0</v>
      </c>
    </row>
    <row r="271" spans="1:17">
      <c r="A271" t="s">
        <v>59</v>
      </c>
      <c r="B271" t="s">
        <v>174</v>
      </c>
      <c r="C271" t="s">
        <v>184</v>
      </c>
      <c r="D271" t="s">
        <v>74</v>
      </c>
      <c r="E271" t="s">
        <v>182</v>
      </c>
      <c r="F271" s="242">
        <f>IF('Input overrides'!F271&lt;&gt;"",'Input overrides'!F271,F_Inputs!F339)*Rebasing</f>
        <v>0</v>
      </c>
      <c r="G271" s="242">
        <f>IF('Input overrides'!G271&lt;&gt;"",'Input overrides'!G271,F_Inputs!G339)*Rebasing</f>
        <v>0</v>
      </c>
      <c r="H271" s="242">
        <f>IF('Input overrides'!H271&lt;&gt;"",'Input overrides'!H271,F_Inputs!H339)*Rebasing</f>
        <v>0</v>
      </c>
      <c r="I271" s="242">
        <f>IF('Input overrides'!I271&lt;&gt;"",'Input overrides'!I271,F_Inputs!I339)*Rebasing</f>
        <v>0</v>
      </c>
      <c r="J271" s="242">
        <f>IF('Input overrides'!J271&lt;&gt;"",'Input overrides'!J271,F_Inputs!J339)*Rebasing</f>
        <v>0</v>
      </c>
      <c r="K271" s="242">
        <f>IF('Input overrides'!K271&lt;&gt;"",'Input overrides'!K271,F_Inputs!K339)*Rebasing</f>
        <v>3.7038520486359458E-2</v>
      </c>
      <c r="L271" s="242">
        <f>IF('Input overrides'!L271&lt;&gt;"",'Input overrides'!L271,F_Inputs!L339)*Rebasing</f>
        <v>3.7038520486359458E-2</v>
      </c>
      <c r="M271" s="242">
        <f>IF('Input overrides'!M271&lt;&gt;"",'Input overrides'!M271,F_Inputs!M339)*Rebasing</f>
        <v>3.7038520486359458E-2</v>
      </c>
      <c r="N271" s="242">
        <f>IF('Input overrides'!N271&lt;&gt;"",'Input overrides'!N271,F_Inputs!N339)*Rebasing</f>
        <v>3.7038520486359458E-2</v>
      </c>
      <c r="O271" s="242">
        <f>IF('Input overrides'!O271&lt;&gt;"",'Input overrides'!O271,F_Inputs!O339)*Rebasing</f>
        <v>3.7038520486359458E-2</v>
      </c>
    </row>
    <row r="272" spans="1:17">
      <c r="A272" t="s">
        <v>59</v>
      </c>
      <c r="B272" t="s">
        <v>156</v>
      </c>
      <c r="C272" t="s">
        <v>157</v>
      </c>
      <c r="D272" t="s">
        <v>74</v>
      </c>
      <c r="E272" t="s">
        <v>182</v>
      </c>
      <c r="F272" s="242">
        <f>IF('Input overrides'!F272&lt;&gt;"",'Input overrides'!F272,F_Inputs!F340)*Rebasing</f>
        <v>0</v>
      </c>
      <c r="G272" s="242">
        <f>IF('Input overrides'!G272&lt;&gt;"",'Input overrides'!G272,F_Inputs!G340)*Rebasing</f>
        <v>0</v>
      </c>
      <c r="H272" s="242">
        <f>IF('Input overrides'!H272&lt;&gt;"",'Input overrides'!H272,F_Inputs!H340)*Rebasing</f>
        <v>0</v>
      </c>
      <c r="I272" s="242">
        <f>IF('Input overrides'!I272&lt;&gt;"",'Input overrides'!I272,F_Inputs!I340)*Rebasing</f>
        <v>2.2189349585648478E-2</v>
      </c>
      <c r="J272" s="242">
        <f>IF('Input overrides'!J272&lt;&gt;"",'Input overrides'!J272,F_Inputs!J340)*Rebasing</f>
        <v>0</v>
      </c>
      <c r="K272" s="242">
        <f>IF('Input overrides'!K272&lt;&gt;"",'Input overrides'!K272,F_Inputs!K340)*Rebasing</f>
        <v>8.1563929694952846E-3</v>
      </c>
      <c r="L272" s="242">
        <f>IF('Input overrides'!L272&lt;&gt;"",'Input overrides'!L272,F_Inputs!L340)*Rebasing</f>
        <v>8.1563929694952846E-3</v>
      </c>
      <c r="M272" s="242">
        <f>IF('Input overrides'!M272&lt;&gt;"",'Input overrides'!M272,F_Inputs!M340)*Rebasing</f>
        <v>8.1563929694952846E-3</v>
      </c>
      <c r="N272" s="242">
        <f>IF('Input overrides'!N272&lt;&gt;"",'Input overrides'!N272,F_Inputs!N340)*Rebasing</f>
        <v>8.1563929694952846E-3</v>
      </c>
      <c r="O272" s="242">
        <f>IF('Input overrides'!O272&lt;&gt;"",'Input overrides'!O272,F_Inputs!O340)*Rebasing</f>
        <v>8.1563929694952846E-3</v>
      </c>
    </row>
    <row r="273" spans="1:15">
      <c r="A273" t="s">
        <v>59</v>
      </c>
      <c r="B273" t="s">
        <v>159</v>
      </c>
      <c r="C273" t="s">
        <v>158</v>
      </c>
      <c r="D273" t="s">
        <v>74</v>
      </c>
      <c r="E273" t="s">
        <v>182</v>
      </c>
      <c r="F273" s="242">
        <f>IF('Input overrides'!F273&lt;&gt;"",'Input overrides'!F273,F_Inputs!F341)*Rebasing</f>
        <v>0</v>
      </c>
      <c r="G273" s="242">
        <f>IF('Input overrides'!G273&lt;&gt;"",'Input overrides'!G273,F_Inputs!G341)*Rebasing</f>
        <v>0</v>
      </c>
      <c r="H273" s="242">
        <f>IF('Input overrides'!H273&lt;&gt;"",'Input overrides'!H273,F_Inputs!H341)*Rebasing</f>
        <v>0</v>
      </c>
      <c r="I273" s="242">
        <f>IF('Input overrides'!I273&lt;&gt;"",'Input overrides'!I273,F_Inputs!I341)*Rebasing</f>
        <v>0</v>
      </c>
      <c r="J273" s="242">
        <f>IF('Input overrides'!J273&lt;&gt;"",'Input overrides'!J273,F_Inputs!J341)*Rebasing</f>
        <v>0</v>
      </c>
      <c r="K273" s="242">
        <f>IF('Input overrides'!K273&lt;&gt;"",'Input overrides'!K273,F_Inputs!K341)*Rebasing</f>
        <v>0</v>
      </c>
      <c r="L273" s="242">
        <f>IF('Input overrides'!L273&lt;&gt;"",'Input overrides'!L273,F_Inputs!L341)*Rebasing</f>
        <v>0</v>
      </c>
      <c r="M273" s="242">
        <f>IF('Input overrides'!M273&lt;&gt;"",'Input overrides'!M273,F_Inputs!M341)*Rebasing</f>
        <v>0</v>
      </c>
      <c r="N273" s="242">
        <f>IF('Input overrides'!N273&lt;&gt;"",'Input overrides'!N273,F_Inputs!N341)*Rebasing</f>
        <v>0</v>
      </c>
      <c r="O273" s="242">
        <f>IF('Input overrides'!O273&lt;&gt;"",'Input overrides'!O273,F_Inputs!O341)*Rebasing</f>
        <v>0</v>
      </c>
    </row>
  </sheetData>
  <pageMargins left="0.70866141732283472" right="0.70866141732283472" top="0.74803149606299213" bottom="0.74803149606299213" header="0.31496062992125984" footer="0.31496062992125984"/>
  <pageSetup paperSize="9" scale="11" orientation="portrait" r:id="rId1"/>
  <headerFooter>
    <oddFooter>&amp;L&amp;Z
&amp;F&amp;R&amp;D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443"/>
  <sheetViews>
    <sheetView showGridLines="0" zoomScale="85" zoomScaleNormal="85" workbookViewId="0">
      <pane xSplit="5" ySplit="2" topLeftCell="F251" activePane="bottomRight" state="frozen"/>
      <selection activeCell="B43" sqref="B43:M43"/>
      <selection pane="topRight" activeCell="B43" sqref="B43:M43"/>
      <selection pane="bottomLeft" activeCell="B43" sqref="B43:M43"/>
      <selection pane="bottomRight" activeCell="F303" sqref="F303"/>
    </sheetView>
  </sheetViews>
  <sheetFormatPr defaultColWidth="9.140625" defaultRowHeight="12.75"/>
  <cols>
    <col min="1" max="1" width="4.28515625" style="12" customWidth="1"/>
    <col min="2" max="2" width="1.5703125" style="12" customWidth="1"/>
    <col min="3" max="3" width="12.7109375" style="20" bestFit="1" customWidth="1"/>
    <col min="4" max="4" width="17.5703125" style="12" customWidth="1"/>
    <col min="5" max="5" width="76.5703125" style="13" bestFit="1" customWidth="1"/>
    <col min="6" max="10" width="14.5703125" style="12" customWidth="1"/>
    <col min="11" max="13" width="13.42578125" style="12" customWidth="1"/>
    <col min="14" max="14" width="13.42578125" style="49" customWidth="1"/>
    <col min="15" max="15" width="11.7109375" style="14" customWidth="1"/>
    <col min="16" max="16" width="9.140625" style="14"/>
    <col min="17" max="17" width="10.5703125" style="14" bestFit="1" customWidth="1"/>
    <col min="18" max="16384" width="9.140625" style="14"/>
  </cols>
  <sheetData>
    <row r="1" spans="1:18" ht="33.75">
      <c r="A1" s="76"/>
      <c r="B1" s="440"/>
      <c r="C1" s="441"/>
      <c r="D1" s="442"/>
      <c r="E1" s="443" t="s">
        <v>2</v>
      </c>
      <c r="F1" s="444"/>
      <c r="G1" s="444"/>
      <c r="H1" s="444"/>
      <c r="I1" s="444"/>
      <c r="J1" s="445"/>
      <c r="K1" s="37"/>
      <c r="L1" s="37"/>
      <c r="M1" s="37"/>
      <c r="N1" s="446"/>
      <c r="O1" s="446"/>
    </row>
    <row r="2" spans="1:18" s="53" customFormat="1" ht="18">
      <c r="A2" s="393"/>
      <c r="B2" s="63"/>
      <c r="C2" s="184"/>
      <c r="D2" s="185" t="s">
        <v>4</v>
      </c>
      <c r="E2" s="186"/>
      <c r="F2" s="187" t="str">
        <f>+'Used inputs'!F2</f>
        <v>2010-11</v>
      </c>
      <c r="G2" s="187" t="str">
        <f>+'Used inputs'!G2</f>
        <v>2011-12</v>
      </c>
      <c r="H2" s="187" t="str">
        <f>+'Used inputs'!H2</f>
        <v>2012-13</v>
      </c>
      <c r="I2" s="187" t="str">
        <f>+'Used inputs'!I2</f>
        <v>2013-14</v>
      </c>
      <c r="J2" s="448" t="str">
        <f>+'Used inputs'!J2</f>
        <v>2014-15</v>
      </c>
      <c r="K2" s="189" t="str">
        <f>+'Used inputs'!K2</f>
        <v>2015-16</v>
      </c>
      <c r="L2" s="189" t="str">
        <f>+'Used inputs'!L2</f>
        <v>2016-17</v>
      </c>
      <c r="M2" s="189" t="str">
        <f>+'Used inputs'!M2</f>
        <v>2017-18</v>
      </c>
      <c r="N2" s="189" t="str">
        <f>+'Used inputs'!N2</f>
        <v>2018-19</v>
      </c>
      <c r="O2" s="447" t="str">
        <f>+'Used inputs'!O2</f>
        <v>2019-20</v>
      </c>
    </row>
    <row r="3" spans="1:18" s="53" customFormat="1" ht="18">
      <c r="A3" s="78"/>
      <c r="B3" s="63"/>
      <c r="C3" s="184"/>
      <c r="D3" s="185"/>
      <c r="E3" s="186"/>
      <c r="F3" s="187"/>
      <c r="G3" s="187"/>
      <c r="H3" s="187"/>
      <c r="I3" s="187"/>
      <c r="J3" s="188"/>
      <c r="K3" s="189"/>
      <c r="L3" s="189"/>
      <c r="M3" s="189"/>
      <c r="N3" s="189"/>
      <c r="O3" s="130"/>
    </row>
    <row r="4" spans="1:18" s="53" customFormat="1">
      <c r="A4" s="79"/>
      <c r="B4" s="80"/>
      <c r="C4" s="64"/>
      <c r="D4" s="80"/>
      <c r="E4" s="81"/>
      <c r="F4" s="80"/>
      <c r="G4" s="80"/>
      <c r="H4" s="80"/>
      <c r="I4" s="80"/>
      <c r="J4" s="136"/>
      <c r="K4" s="132"/>
      <c r="L4" s="132"/>
      <c r="M4" s="132"/>
      <c r="N4" s="132"/>
      <c r="O4" s="132"/>
    </row>
    <row r="5" spans="1:18" s="53" customFormat="1">
      <c r="A5" s="79"/>
      <c r="B5" s="80"/>
      <c r="C5" s="64"/>
      <c r="D5" s="80"/>
      <c r="E5" s="81"/>
      <c r="F5" s="80"/>
      <c r="G5" s="80"/>
      <c r="H5" s="80"/>
      <c r="I5" s="80"/>
      <c r="J5" s="136"/>
      <c r="K5" s="132"/>
      <c r="L5" s="132"/>
      <c r="M5" s="132"/>
      <c r="N5" s="133"/>
      <c r="O5" s="131"/>
    </row>
    <row r="6" spans="1:18">
      <c r="A6" s="82"/>
      <c r="B6" s="31"/>
      <c r="C6" s="38" t="str">
        <f>INDEX('Used inputs'!$A$4:$O$15,1,1)</f>
        <v>ANH</v>
      </c>
      <c r="D6" s="39"/>
      <c r="E6" s="48"/>
      <c r="F6" s="31"/>
      <c r="G6" s="31"/>
      <c r="H6" s="31"/>
      <c r="I6" s="31"/>
      <c r="J6" s="44"/>
      <c r="K6" s="31"/>
      <c r="L6" s="31"/>
      <c r="M6" s="31"/>
      <c r="N6" s="31"/>
      <c r="O6" s="31"/>
      <c r="Q6" s="53"/>
    </row>
    <row r="7" spans="1:18">
      <c r="A7" s="83"/>
      <c r="B7" s="16"/>
      <c r="C7" s="17"/>
      <c r="D7" s="18"/>
      <c r="E7" s="19"/>
      <c r="F7" s="16"/>
      <c r="G7" s="16"/>
      <c r="H7" s="16"/>
      <c r="I7" s="16"/>
      <c r="J7" s="137"/>
      <c r="K7" s="134"/>
      <c r="L7" s="134"/>
      <c r="M7" s="134"/>
      <c r="N7" s="134"/>
      <c r="O7" s="134"/>
      <c r="Q7" s="53"/>
    </row>
    <row r="8" spans="1:18" s="11" customFormat="1">
      <c r="A8" s="84"/>
      <c r="B8" s="28"/>
      <c r="C8" s="29" t="s">
        <v>23</v>
      </c>
      <c r="D8" s="47" t="s">
        <v>24</v>
      </c>
      <c r="E8" s="33" t="s">
        <v>133</v>
      </c>
      <c r="F8" s="31"/>
      <c r="G8" s="31"/>
      <c r="H8" s="31"/>
      <c r="I8" s="31"/>
      <c r="J8" s="44"/>
      <c r="K8" s="31"/>
      <c r="L8" s="31"/>
      <c r="M8" s="31"/>
      <c r="N8" s="31"/>
      <c r="O8" s="31"/>
      <c r="Q8" s="53"/>
    </row>
    <row r="9" spans="1:18" s="53" customFormat="1">
      <c r="A9" s="85">
        <f>ROW('Used inputs'!A4)-3</f>
        <v>1</v>
      </c>
      <c r="B9" s="57"/>
      <c r="C9" s="56"/>
      <c r="D9" s="55" t="s">
        <v>10</v>
      </c>
      <c r="E9" s="59" t="s">
        <v>132</v>
      </c>
      <c r="F9" s="129">
        <f>INDEX('Used inputs'!$A$4:$O$18,$A9,COLUMN())</f>
        <v>68.30994994587364</v>
      </c>
      <c r="G9" s="129">
        <f>INDEX('Used inputs'!$A$4:$O$18,$A9,COLUMN())</f>
        <v>71.701579396244242</v>
      </c>
      <c r="H9" s="129">
        <f>INDEX('Used inputs'!$A$4:$O$18,$A9,COLUMN())</f>
        <v>74.853981907840264</v>
      </c>
      <c r="I9" s="129">
        <f ca="1">INDEX('Used inputs'!$A$4:$O$18,$A9,COLUMN())</f>
        <v>67.321406396621526</v>
      </c>
      <c r="J9" s="190">
        <f>INDEX('Used inputs'!$A$4:$O$18,$A9,COLUMN())</f>
        <v>67.733798726621487</v>
      </c>
      <c r="K9" s="115">
        <f ca="1">INDEX('Used inputs'!$A$4:$O$18,$A9,COLUMN())</f>
        <v>68.670189112235548</v>
      </c>
      <c r="L9" s="115">
        <f ca="1">INDEX('Used inputs'!$A$4:$O$18,$A9,COLUMN())</f>
        <v>69.404352124191789</v>
      </c>
      <c r="M9" s="115">
        <f ca="1">INDEX('Used inputs'!$A$4:$O$18,$A9,COLUMN())</f>
        <v>70.215282803383616</v>
      </c>
      <c r="N9" s="115">
        <f ca="1">INDEX('Used inputs'!$A$4:$O$18,$A9,COLUMN())</f>
        <v>71.119636271047668</v>
      </c>
      <c r="O9" s="115">
        <f ca="1">INDEX('Used inputs'!$A$4:$O$18,$A9,COLUMN())</f>
        <v>72.118108864712156</v>
      </c>
      <c r="R9" s="244"/>
    </row>
    <row r="10" spans="1:18" s="53" customFormat="1">
      <c r="A10" s="85">
        <f>ROW('Used inputs'!A5)-3</f>
        <v>2</v>
      </c>
      <c r="B10" s="57"/>
      <c r="C10" s="56"/>
      <c r="D10" s="55" t="s">
        <v>10</v>
      </c>
      <c r="E10" s="114" t="s">
        <v>99</v>
      </c>
      <c r="F10" s="129">
        <f>INDEX('Used inputs'!$A$4:$O$18,$A10,COLUMN())</f>
        <v>11.768832144689044</v>
      </c>
      <c r="G10" s="129">
        <f>INDEX('Used inputs'!$A$4:$O$18,$A10,COLUMN())</f>
        <v>8.4054410518999969</v>
      </c>
      <c r="H10" s="129">
        <f>INDEX('Used inputs'!$A$4:$O$18,$A10,COLUMN())</f>
        <v>1.7465082256579982</v>
      </c>
      <c r="I10" s="129">
        <f>INDEX('Used inputs'!$A$4:$O$18,$A10,COLUMN())</f>
        <v>4.0023743938729712</v>
      </c>
      <c r="J10" s="190">
        <f>INDEX('Used inputs'!$A$4:$O$18,$A10,COLUMN())</f>
        <v>0.92094292961616253</v>
      </c>
      <c r="K10" s="165">
        <f>INDEX('Used inputs'!$A$4:$O$18,$A10,COLUMN())</f>
        <v>3.2080832798147232</v>
      </c>
      <c r="L10" s="157">
        <f>INDEX('Used inputs'!$A$4:$O$18,$A10,COLUMN())</f>
        <v>2.4484407006991544</v>
      </c>
      <c r="M10" s="157">
        <f>INDEX('Used inputs'!$A$4:$O$18,$A10,COLUMN())</f>
        <v>1.8552670110718252</v>
      </c>
      <c r="N10" s="157">
        <f>INDEX('Used inputs'!$A$4:$O$18,$A10,COLUMN())</f>
        <v>1.1780321124913802</v>
      </c>
      <c r="O10" s="157">
        <f>INDEX('Used inputs'!$A$4:$O$18,$A10,COLUMN())</f>
        <v>0.2843231162142319</v>
      </c>
    </row>
    <row r="11" spans="1:18" s="53" customFormat="1">
      <c r="A11" s="85">
        <f>ROW('Used inputs'!A6)-3</f>
        <v>3</v>
      </c>
      <c r="B11" s="57"/>
      <c r="C11" s="56"/>
      <c r="D11" s="55" t="s">
        <v>10</v>
      </c>
      <c r="E11" s="114" t="s">
        <v>100</v>
      </c>
      <c r="F11" s="129">
        <f>INDEX('Used inputs'!$A$4:$O$18,$A11,COLUMN())</f>
        <v>0</v>
      </c>
      <c r="G11" s="129">
        <f>INDEX('Used inputs'!$A$4:$O$18,$A11,COLUMN())</f>
        <v>0</v>
      </c>
      <c r="H11" s="129">
        <f>INDEX('Used inputs'!$A$4:$O$18,$A11,COLUMN())</f>
        <v>0</v>
      </c>
      <c r="I11" s="129">
        <f>INDEX('Used inputs'!$A$4:$O$18,$A11,COLUMN())</f>
        <v>0</v>
      </c>
      <c r="J11" s="190">
        <f>INDEX('Used inputs'!$A$4:$O$18,$A11,COLUMN())</f>
        <v>0</v>
      </c>
      <c r="K11" s="165">
        <f>INDEX('Used inputs'!$A$4:$O$18,$A11,COLUMN())</f>
        <v>0.95451350460011231</v>
      </c>
      <c r="L11" s="165">
        <f>INDEX('Used inputs'!$A$4:$O$18,$A11,COLUMN())</f>
        <v>2.8312201420175542</v>
      </c>
      <c r="M11" s="165">
        <f>INDEX('Used inputs'!$A$4:$O$18,$A11,COLUMN())</f>
        <v>3.9736086737378558</v>
      </c>
      <c r="N11" s="165">
        <f>INDEX('Used inputs'!$A$4:$O$18,$A11,COLUMN())</f>
        <v>4.4383293786617095</v>
      </c>
      <c r="O11" s="165">
        <f>INDEX('Used inputs'!$A$4:$O$18,$A11,COLUMN())</f>
        <v>4.8265817261941386</v>
      </c>
    </row>
    <row r="12" spans="1:18" s="53" customFormat="1">
      <c r="A12" s="110"/>
      <c r="B12" s="57"/>
      <c r="C12" s="56"/>
      <c r="D12" s="55"/>
      <c r="E12" s="59"/>
      <c r="F12" s="129"/>
      <c r="G12" s="129"/>
      <c r="H12" s="129"/>
      <c r="I12" s="129"/>
      <c r="J12" s="190"/>
      <c r="K12" s="61"/>
      <c r="L12" s="61"/>
      <c r="M12" s="61"/>
      <c r="N12" s="61"/>
      <c r="O12" s="61"/>
    </row>
    <row r="13" spans="1:18" s="11" customFormat="1">
      <c r="A13" s="27"/>
      <c r="B13" s="28"/>
      <c r="C13" s="29"/>
      <c r="D13" s="30"/>
      <c r="E13" s="32" t="s">
        <v>134</v>
      </c>
      <c r="F13" s="31"/>
      <c r="G13" s="31"/>
      <c r="H13" s="31"/>
      <c r="I13" s="31"/>
      <c r="J13" s="44"/>
      <c r="K13" s="31"/>
      <c r="L13" s="31"/>
      <c r="M13" s="31"/>
      <c r="N13" s="31"/>
      <c r="O13" s="31"/>
      <c r="Q13" s="53"/>
    </row>
    <row r="14" spans="1:18" s="53" customFormat="1">
      <c r="A14" s="85">
        <f>ROW('Used inputs'!A7)-3</f>
        <v>4</v>
      </c>
      <c r="B14" s="56"/>
      <c r="C14" s="56"/>
      <c r="D14" s="55" t="s">
        <v>10</v>
      </c>
      <c r="E14" s="59" t="s">
        <v>135</v>
      </c>
      <c r="F14" s="129">
        <f>INDEX('Used inputs'!$A$4:$O$18,$A14,COLUMN())</f>
        <v>0.22560470000000005</v>
      </c>
      <c r="G14" s="129">
        <f>INDEX('Used inputs'!$A$4:$O$18,$A14,COLUMN())</f>
        <v>0.24649238999999989</v>
      </c>
      <c r="H14" s="129">
        <f>INDEX('Used inputs'!$A$4:$O$18,$A14,COLUMN())</f>
        <v>0.27236847999999947</v>
      </c>
      <c r="I14" s="129">
        <f>INDEX('Used inputs'!$A$4:$O$18,$A14,COLUMN())</f>
        <v>0.29823983999999981</v>
      </c>
      <c r="J14" s="190">
        <f>INDEX('Used inputs'!$A$4:$O$18,$A14,COLUMN())</f>
        <v>0.32121704000000001</v>
      </c>
      <c r="K14" s="115">
        <f>INDEX('Used inputs'!$A$4:$O$18,$A14,COLUMN())</f>
        <v>0.34366351999999967</v>
      </c>
      <c r="L14" s="115">
        <f>INDEX('Used inputs'!$A$4:$O$18,$A14,COLUMN())</f>
        <v>0.36618688000000021</v>
      </c>
      <c r="M14" s="115">
        <f>INDEX('Used inputs'!$A$4:$O$18,$A14,COLUMN())</f>
        <v>0.38883424000000028</v>
      </c>
      <c r="N14" s="115">
        <f>INDEX('Used inputs'!$A$4:$O$18,$A14,COLUMN())</f>
        <v>0.41123607999999995</v>
      </c>
      <c r="O14" s="115">
        <f>INDEX('Used inputs'!$A$4:$O$18,$A14,COLUMN())</f>
        <v>0.43248471999999988</v>
      </c>
    </row>
    <row r="15" spans="1:18" s="53" customFormat="1">
      <c r="A15" s="85">
        <f>ROW('Used inputs'!A8)-3</f>
        <v>5</v>
      </c>
      <c r="B15" s="56"/>
      <c r="C15" s="56"/>
      <c r="D15" s="55" t="s">
        <v>10</v>
      </c>
      <c r="E15" s="59" t="s">
        <v>136</v>
      </c>
      <c r="F15" s="129">
        <f>INDEX('Used inputs'!$A$4:$O$18,$A15,COLUMN())</f>
        <v>1.3493582700000037</v>
      </c>
      <c r="G15" s="129">
        <f>INDEX('Used inputs'!$A$4:$O$18,$A15,COLUMN())</f>
        <v>1.4561218500000006</v>
      </c>
      <c r="H15" s="129">
        <f>INDEX('Used inputs'!$A$4:$O$18,$A15,COLUMN())</f>
        <v>1.5496873399999955</v>
      </c>
      <c r="I15" s="129">
        <f>INDEX('Used inputs'!$A$4:$O$18,$A15,COLUMN())</f>
        <v>1.5955344800000013</v>
      </c>
      <c r="J15" s="190">
        <f>INDEX('Used inputs'!$A$4:$O$18,$A15,COLUMN())</f>
        <v>1.6422796600000003</v>
      </c>
      <c r="K15" s="115">
        <f>INDEX('Used inputs'!$A$4:$O$18,$A15,COLUMN())</f>
        <v>1.6891818400000023</v>
      </c>
      <c r="L15" s="115">
        <f>INDEX('Used inputs'!$A$4:$O$18,$A15,COLUMN())</f>
        <v>1.7368941400000049</v>
      </c>
      <c r="M15" s="115">
        <f>INDEX('Used inputs'!$A$4:$O$18,$A15,COLUMN())</f>
        <v>1.7857713799999999</v>
      </c>
      <c r="N15" s="115">
        <f>INDEX('Used inputs'!$A$4:$O$18,$A15,COLUMN())</f>
        <v>1.8372924999999978</v>
      </c>
      <c r="O15" s="115">
        <f>INDEX('Used inputs'!$A$4:$O$18,$A15,COLUMN())</f>
        <v>1.892170280000004</v>
      </c>
    </row>
    <row r="16" spans="1:18" s="53" customFormat="1">
      <c r="A16" s="85">
        <f>ROW('Used inputs'!A9)-3</f>
        <v>6</v>
      </c>
      <c r="B16" s="56"/>
      <c r="C16" s="56"/>
      <c r="D16" s="55" t="s">
        <v>10</v>
      </c>
      <c r="E16" s="59" t="s">
        <v>137</v>
      </c>
      <c r="F16" s="129">
        <f>INDEX('Used inputs'!$A$4:$O$18,$A16,COLUMN())</f>
        <v>3.7659991200000045</v>
      </c>
      <c r="G16" s="129">
        <f>INDEX('Used inputs'!$A$4:$O$18,$A16,COLUMN())</f>
        <v>4.0955810400000008</v>
      </c>
      <c r="H16" s="129">
        <f>INDEX('Used inputs'!$A$4:$O$18,$A16,COLUMN())</f>
        <v>4.4151955100000038</v>
      </c>
      <c r="I16" s="129">
        <f>INDEX('Used inputs'!$A$4:$O$18,$A16,COLUMN())</f>
        <v>4.6073828299999988</v>
      </c>
      <c r="J16" s="190">
        <f>INDEX('Used inputs'!$A$4:$O$18,$A16,COLUMN())</f>
        <v>4.7819805500000045</v>
      </c>
      <c r="K16" s="115">
        <f>INDEX('Used inputs'!$A$4:$O$18,$A16,COLUMN())</f>
        <v>4.9470331200000013</v>
      </c>
      <c r="L16" s="115">
        <f>INDEX('Used inputs'!$A$4:$O$18,$A16,COLUMN())</f>
        <v>5.1122741500000037</v>
      </c>
      <c r="M16" s="115">
        <f>INDEX('Used inputs'!$A$4:$O$18,$A16,COLUMN())</f>
        <v>5.2775849800000048</v>
      </c>
      <c r="N16" s="115">
        <f>INDEX('Used inputs'!$A$4:$O$18,$A16,COLUMN())</f>
        <v>5.4431750099999956</v>
      </c>
      <c r="O16" s="115">
        <f>INDEX('Used inputs'!$A$4:$O$18,$A16,COLUMN())</f>
        <v>5.601436039999995</v>
      </c>
    </row>
    <row r="17" spans="1:17" s="53" customFormat="1">
      <c r="A17" s="110"/>
      <c r="B17" s="57"/>
      <c r="C17" s="56"/>
      <c r="D17" s="55"/>
      <c r="E17" s="59"/>
      <c r="F17" s="129"/>
      <c r="G17" s="129"/>
      <c r="H17" s="129"/>
      <c r="I17" s="129"/>
      <c r="J17" s="190"/>
      <c r="K17" s="61"/>
      <c r="L17" s="61"/>
      <c r="M17" s="61"/>
      <c r="N17" s="61"/>
      <c r="O17" s="61"/>
    </row>
    <row r="18" spans="1:17" s="11" customFormat="1">
      <c r="A18" s="27"/>
      <c r="B18" s="28"/>
      <c r="C18" s="29"/>
      <c r="D18" s="30"/>
      <c r="E18" s="32" t="s">
        <v>115</v>
      </c>
      <c r="F18" s="31"/>
      <c r="G18" s="31"/>
      <c r="H18" s="31"/>
      <c r="I18" s="31"/>
      <c r="J18" s="44"/>
      <c r="K18" s="31"/>
      <c r="L18" s="31"/>
      <c r="M18" s="31"/>
      <c r="N18" s="31"/>
      <c r="O18" s="31"/>
      <c r="Q18" s="53"/>
    </row>
    <row r="19" spans="1:17" s="53" customFormat="1">
      <c r="A19" s="85">
        <f>ROW('Used inputs'!A10)-3</f>
        <v>7</v>
      </c>
      <c r="B19" s="57"/>
      <c r="C19" s="56"/>
      <c r="D19" s="55" t="s">
        <v>29</v>
      </c>
      <c r="E19" s="59" t="s">
        <v>89</v>
      </c>
      <c r="F19" s="129">
        <f>INDEX('Used inputs'!$A$4:$O$18,$A19,COLUMN())</f>
        <v>132.48400000000001</v>
      </c>
      <c r="G19" s="129">
        <f>INDEX('Used inputs'!$A$4:$O$18,$A19,COLUMN())</f>
        <v>128.56700000000001</v>
      </c>
      <c r="H19" s="129">
        <f>INDEX('Used inputs'!$A$4:$O$18,$A19,COLUMN())</f>
        <v>122.422</v>
      </c>
      <c r="I19" s="129">
        <f>INDEX('Used inputs'!$A$4:$O$18,$A19,COLUMN())</f>
        <v>115.05200000000001</v>
      </c>
      <c r="J19" s="190">
        <f>INDEX('Used inputs'!$A$4:$O$18,$A19,COLUMN())</f>
        <v>105.756</v>
      </c>
      <c r="K19" s="115">
        <f>INDEX('Used inputs'!$A$4:$O$18,$A19,COLUMN())</f>
        <v>98.325000000000003</v>
      </c>
      <c r="L19" s="115">
        <f>INDEX('Used inputs'!$A$4:$O$18,$A19,COLUMN())</f>
        <v>90.906999999999996</v>
      </c>
      <c r="M19" s="115">
        <f>INDEX('Used inputs'!$A$4:$O$18,$A19,COLUMN())</f>
        <v>83.548000000000002</v>
      </c>
      <c r="N19" s="115">
        <f>INDEX('Used inputs'!$A$4:$O$18,$A19,COLUMN())</f>
        <v>76.350999999999999</v>
      </c>
      <c r="O19" s="115">
        <f>INDEX('Used inputs'!$A$4:$O$18,$A19,COLUMN())</f>
        <v>69.706999999999994</v>
      </c>
    </row>
    <row r="20" spans="1:17" s="53" customFormat="1">
      <c r="A20" s="85">
        <f>ROW('Used inputs'!A11)-3</f>
        <v>8</v>
      </c>
      <c r="B20" s="57"/>
      <c r="C20" s="56"/>
      <c r="D20" s="55" t="s">
        <v>29</v>
      </c>
      <c r="E20" s="59" t="s">
        <v>90</v>
      </c>
      <c r="F20" s="129">
        <f>INDEX('Used inputs'!$A$4:$O$18,$A20,COLUMN())</f>
        <v>98.088999999999999</v>
      </c>
      <c r="G20" s="129">
        <f>INDEX('Used inputs'!$A$4:$O$18,$A20,COLUMN())</f>
        <v>102.279</v>
      </c>
      <c r="H20" s="129">
        <f>INDEX('Used inputs'!$A$4:$O$18,$A20,COLUMN())</f>
        <v>109.82599999999999</v>
      </c>
      <c r="I20" s="129">
        <f>INDEX('Used inputs'!$A$4:$O$18,$A20,COLUMN())</f>
        <v>117.932</v>
      </c>
      <c r="J20" s="190">
        <f>INDEX('Used inputs'!$A$4:$O$18,$A20,COLUMN())</f>
        <v>129.523</v>
      </c>
      <c r="K20" s="115">
        <f>INDEX('Used inputs'!$A$4:$O$18,$A20,COLUMN())</f>
        <v>138.57400000000001</v>
      </c>
      <c r="L20" s="115">
        <f>INDEX('Used inputs'!$A$4:$O$18,$A20,COLUMN())</f>
        <v>147.65600000000001</v>
      </c>
      <c r="M20" s="115">
        <f>INDEX('Used inputs'!$A$4:$O$18,$A20,COLUMN())</f>
        <v>156.78800000000001</v>
      </c>
      <c r="N20" s="115">
        <f>INDEX('Used inputs'!$A$4:$O$18,$A20,COLUMN())</f>
        <v>165.821</v>
      </c>
      <c r="O20" s="115">
        <f>INDEX('Used inputs'!$A$4:$O$18,$A20,COLUMN())</f>
        <v>174.38900000000001</v>
      </c>
    </row>
    <row r="21" spans="1:17" s="53" customFormat="1">
      <c r="A21" s="85">
        <f>ROW('Used inputs'!A12)-3</f>
        <v>9</v>
      </c>
      <c r="B21" s="57"/>
      <c r="C21" s="56"/>
      <c r="D21" s="55" t="s">
        <v>29</v>
      </c>
      <c r="E21" s="59" t="s">
        <v>91</v>
      </c>
      <c r="F21" s="129">
        <f>INDEX('Used inputs'!$A$4:$O$18,$A21,COLUMN())</f>
        <v>325.209</v>
      </c>
      <c r="G21" s="129">
        <f>INDEX('Used inputs'!$A$4:$O$18,$A21,COLUMN())</f>
        <v>315.14499999999998</v>
      </c>
      <c r="H21" s="129">
        <f>INDEX('Used inputs'!$A$4:$O$18,$A21,COLUMN())</f>
        <v>303.37099999999998</v>
      </c>
      <c r="I21" s="129">
        <f>INDEX('Used inputs'!$A$4:$O$18,$A21,COLUMN())</f>
        <v>292.30700000000002</v>
      </c>
      <c r="J21" s="190">
        <f>INDEX('Used inputs'!$A$4:$O$18,$A21,COLUMN())</f>
        <v>281.13900000000001</v>
      </c>
      <c r="K21" s="115">
        <f>INDEX('Used inputs'!$A$4:$O$18,$A21,COLUMN())</f>
        <v>269.91699999999997</v>
      </c>
      <c r="L21" s="115">
        <f>INDEX('Used inputs'!$A$4:$O$18,$A21,COLUMN())</f>
        <v>258.678</v>
      </c>
      <c r="M21" s="115">
        <f>INDEX('Used inputs'!$A$4:$O$18,$A21,COLUMN())</f>
        <v>247.46199999999999</v>
      </c>
      <c r="N21" s="115">
        <f>INDEX('Used inputs'!$A$4:$O$18,$A21,COLUMN())</f>
        <v>236.30699999999999</v>
      </c>
      <c r="O21" s="115">
        <f>INDEX('Used inputs'!$A$4:$O$18,$A21,COLUMN())</f>
        <v>225.24799999999999</v>
      </c>
    </row>
    <row r="22" spans="1:17" s="53" customFormat="1">
      <c r="A22" s="85">
        <f>ROW('Used inputs'!A13)-3</f>
        <v>10</v>
      </c>
      <c r="B22" s="57"/>
      <c r="C22" s="56"/>
      <c r="D22" s="55" t="s">
        <v>29</v>
      </c>
      <c r="E22" s="59" t="s">
        <v>92</v>
      </c>
      <c r="F22" s="129">
        <f>INDEX('Used inputs'!$A$4:$O$18,$A22,COLUMN())</f>
        <v>463.697</v>
      </c>
      <c r="G22" s="129">
        <f>INDEX('Used inputs'!$A$4:$O$18,$A22,COLUMN())</f>
        <v>477.41699999999997</v>
      </c>
      <c r="H22" s="129">
        <f>INDEX('Used inputs'!$A$4:$O$18,$A22,COLUMN())</f>
        <v>493.53100000000001</v>
      </c>
      <c r="I22" s="129">
        <f>INDEX('Used inputs'!$A$4:$O$18,$A22,COLUMN())</f>
        <v>505.98099999999999</v>
      </c>
      <c r="J22" s="190">
        <f>INDEX('Used inputs'!$A$4:$O$18,$A22,COLUMN())</f>
        <v>523.01900000000001</v>
      </c>
      <c r="K22" s="115">
        <f>INDEX('Used inputs'!$A$4:$O$18,$A22,COLUMN())</f>
        <v>537.95600000000002</v>
      </c>
      <c r="L22" s="115">
        <f>INDEX('Used inputs'!$A$4:$O$18,$A22,COLUMN())</f>
        <v>553.15099999999995</v>
      </c>
      <c r="M22" s="115">
        <f>INDEX('Used inputs'!$A$4:$O$18,$A22,COLUMN())</f>
        <v>568.71699999999998</v>
      </c>
      <c r="N22" s="115">
        <f>INDEX('Used inputs'!$A$4:$O$18,$A22,COLUMN())</f>
        <v>585.125</v>
      </c>
      <c r="O22" s="115">
        <f>INDEX('Used inputs'!$A$4:$O$18,$A22,COLUMN())</f>
        <v>602.60199999999998</v>
      </c>
    </row>
    <row r="23" spans="1:17" s="53" customFormat="1">
      <c r="A23" s="85">
        <f>ROW('Used inputs'!A14)-3</f>
        <v>11</v>
      </c>
      <c r="B23" s="57"/>
      <c r="C23" s="56"/>
      <c r="D23" s="55" t="s">
        <v>29</v>
      </c>
      <c r="E23" s="59" t="s">
        <v>93</v>
      </c>
      <c r="F23" s="129">
        <f>INDEX('Used inputs'!$A$4:$O$18,$A23,COLUMN())</f>
        <v>480.96499999999997</v>
      </c>
      <c r="G23" s="129">
        <f>INDEX('Used inputs'!$A$4:$O$18,$A23,COLUMN())</f>
        <v>449.88799999999998</v>
      </c>
      <c r="H23" s="129">
        <f>INDEX('Used inputs'!$A$4:$O$18,$A23,COLUMN())</f>
        <v>407.28300000000002</v>
      </c>
      <c r="I23" s="129">
        <f>INDEX('Used inputs'!$A$4:$O$18,$A23,COLUMN())</f>
        <v>369.65300000000002</v>
      </c>
      <c r="J23" s="190">
        <f>INDEX('Used inputs'!$A$4:$O$18,$A23,COLUMN())</f>
        <v>329.61099999999999</v>
      </c>
      <c r="K23" s="115">
        <f>INDEX('Used inputs'!$A$4:$O$18,$A23,COLUMN())</f>
        <v>296.858</v>
      </c>
      <c r="L23" s="115">
        <f>INDEX('Used inputs'!$A$4:$O$18,$A23,COLUMN())</f>
        <v>264.87700000000001</v>
      </c>
      <c r="M23" s="115">
        <f>INDEX('Used inputs'!$A$4:$O$18,$A23,COLUMN())</f>
        <v>233.91</v>
      </c>
      <c r="N23" s="115">
        <f>INDEX('Used inputs'!$A$4:$O$18,$A23,COLUMN())</f>
        <v>203.89099999999999</v>
      </c>
      <c r="O23" s="115">
        <f>INDEX('Used inputs'!$A$4:$O$18,$A23,COLUMN())</f>
        <v>176.89099999999999</v>
      </c>
    </row>
    <row r="24" spans="1:17" s="53" customFormat="1">
      <c r="A24" s="85">
        <f>ROW('Used inputs'!A15)-3</f>
        <v>12</v>
      </c>
      <c r="B24" s="57"/>
      <c r="C24" s="56"/>
      <c r="D24" s="55" t="s">
        <v>29</v>
      </c>
      <c r="E24" s="59" t="s">
        <v>94</v>
      </c>
      <c r="F24" s="129">
        <f>INDEX('Used inputs'!$A$4:$O$18,$A24,COLUMN())</f>
        <v>1165.944</v>
      </c>
      <c r="G24" s="129">
        <f>INDEX('Used inputs'!$A$4:$O$18,$A24,COLUMN())</f>
        <v>1208.136</v>
      </c>
      <c r="H24" s="129">
        <f>INDEX('Used inputs'!$A$4:$O$18,$A24,COLUMN())</f>
        <v>1265.0989999999999</v>
      </c>
      <c r="I24" s="129">
        <f>INDEX('Used inputs'!$A$4:$O$18,$A24,COLUMN())</f>
        <v>1314.7380000000001</v>
      </c>
      <c r="J24" s="190">
        <f>INDEX('Used inputs'!$A$4:$O$18,$A24,COLUMN())</f>
        <v>1370.1949999999999</v>
      </c>
      <c r="K24" s="115">
        <f>INDEX('Used inputs'!$A$4:$O$18,$A24,COLUMN())</f>
        <v>1417.4880000000001</v>
      </c>
      <c r="L24" s="115">
        <f>INDEX('Used inputs'!$A$4:$O$18,$A24,COLUMN())</f>
        <v>1464.835</v>
      </c>
      <c r="M24" s="115">
        <f>INDEX('Used inputs'!$A$4:$O$18,$A24,COLUMN())</f>
        <v>1512.202</v>
      </c>
      <c r="N24" s="115">
        <f>INDEX('Used inputs'!$A$4:$O$18,$A24,COLUMN())</f>
        <v>1559.6489999999999</v>
      </c>
      <c r="O24" s="115">
        <f>INDEX('Used inputs'!$A$4:$O$18,$A24,COLUMN())</f>
        <v>1604.9960000000001</v>
      </c>
    </row>
    <row r="25" spans="1:17" s="53" customFormat="1">
      <c r="A25" s="110"/>
      <c r="B25" s="57"/>
      <c r="C25" s="56"/>
      <c r="D25" s="55"/>
      <c r="E25" s="59"/>
      <c r="F25" s="129"/>
      <c r="G25" s="129"/>
      <c r="H25" s="129"/>
      <c r="I25" s="129"/>
      <c r="J25" s="190"/>
      <c r="K25" s="61"/>
      <c r="L25" s="61"/>
      <c r="M25" s="61"/>
      <c r="N25" s="61"/>
      <c r="O25" s="61"/>
    </row>
    <row r="26" spans="1:17" s="11" customFormat="1">
      <c r="A26" s="27"/>
      <c r="B26" s="28"/>
      <c r="C26" s="29"/>
      <c r="D26" s="181"/>
      <c r="E26" s="33" t="s">
        <v>160</v>
      </c>
      <c r="F26" s="31"/>
      <c r="G26" s="31"/>
      <c r="H26" s="31"/>
      <c r="I26" s="31"/>
      <c r="J26" s="44"/>
      <c r="K26" s="31"/>
      <c r="L26" s="31"/>
      <c r="M26" s="31"/>
      <c r="N26" s="31"/>
      <c r="O26" s="31"/>
      <c r="Q26" s="53"/>
    </row>
    <row r="27" spans="1:17" s="53" customFormat="1">
      <c r="A27" s="85">
        <f>+A24+1</f>
        <v>13</v>
      </c>
      <c r="B27" s="57"/>
      <c r="C27" s="56"/>
      <c r="D27" s="55" t="s">
        <v>29</v>
      </c>
      <c r="E27" s="182" t="s">
        <v>323</v>
      </c>
      <c r="F27" s="129"/>
      <c r="G27" s="129"/>
      <c r="H27" s="129"/>
      <c r="I27" s="129">
        <f>INDEX('Used inputs'!$A$4:$O$18,$A27+1,COLUMN())+INDEX('Used inputs'!$A$4:$O$18,$A27+2,COLUMN())</f>
        <v>1.7732007871072051</v>
      </c>
      <c r="J27" s="190">
        <f>INDEX('Used inputs'!$A$4:$O$18,$A27+1,COLUMN())+INDEX('Used inputs'!$A$4:$O$18,$A27+2,COLUMN())</f>
        <v>1.7193090539831746</v>
      </c>
      <c r="K27" s="165">
        <f>INDEX('Used inputs'!$A$4:$O$18,$A27+1,COLUMN())+INDEX('Used inputs'!$A$4:$O$18,$A27+2,COLUMN())</f>
        <v>1.7671508664770625</v>
      </c>
      <c r="L27" s="165">
        <f>INDEX('Used inputs'!$A$4:$O$18,$A27+1,COLUMN())+INDEX('Used inputs'!$A$4:$O$18,$A27+2,COLUMN())</f>
        <v>1.7671508664770625</v>
      </c>
      <c r="M27" s="165">
        <f>INDEX('Used inputs'!$A$4:$O$18,$A27+1,COLUMN())+INDEX('Used inputs'!$A$4:$O$18,$A27+2,COLUMN())</f>
        <v>1.7671508664770625</v>
      </c>
      <c r="N27" s="165">
        <f>INDEX('Used inputs'!$A$4:$O$18,$A27+1,COLUMN())+INDEX('Used inputs'!$A$4:$O$18,$A27+2,COLUMN())</f>
        <v>1.7671508664770625</v>
      </c>
      <c r="O27" s="165">
        <f>INDEX('Used inputs'!$A$4:$O$18,$A27+1,COLUMN())+INDEX('Used inputs'!$A$4:$O$18,$A27+2,COLUMN())</f>
        <v>1.7671508664770625</v>
      </c>
    </row>
    <row r="28" spans="1:17" s="53" customFormat="1">
      <c r="A28" s="85"/>
      <c r="B28" s="57"/>
      <c r="C28" s="56"/>
      <c r="D28" s="55"/>
      <c r="E28" s="182"/>
      <c r="F28" s="129"/>
      <c r="G28" s="129"/>
      <c r="H28" s="129"/>
      <c r="I28" s="255"/>
      <c r="J28" s="190"/>
      <c r="K28" s="165"/>
      <c r="L28" s="165"/>
      <c r="M28" s="165"/>
      <c r="N28" s="165"/>
      <c r="O28" s="165"/>
    </row>
    <row r="29" spans="1:17" s="53" customFormat="1">
      <c r="A29" s="85"/>
      <c r="B29" s="57"/>
      <c r="C29" s="56"/>
      <c r="D29" s="55"/>
      <c r="E29" s="59"/>
      <c r="F29" s="129"/>
      <c r="G29" s="129"/>
      <c r="H29" s="129"/>
      <c r="I29" s="129"/>
      <c r="J29" s="190"/>
      <c r="K29" s="61"/>
      <c r="L29" s="61"/>
      <c r="M29" s="61"/>
      <c r="N29" s="61"/>
      <c r="O29" s="61"/>
    </row>
    <row r="30" spans="1:17">
      <c r="A30" s="82"/>
      <c r="B30" s="31"/>
      <c r="C30" s="38" t="str">
        <f>INDEX('Used inputs'!$A$19:$O$30,1,1)</f>
        <v>WSH</v>
      </c>
      <c r="D30" s="39"/>
      <c r="E30" s="48"/>
      <c r="F30" s="31"/>
      <c r="G30" s="31"/>
      <c r="H30" s="31"/>
      <c r="I30" s="31"/>
      <c r="J30" s="44"/>
      <c r="K30" s="31"/>
      <c r="L30" s="31"/>
      <c r="M30" s="31"/>
      <c r="N30" s="31"/>
      <c r="O30" s="31"/>
      <c r="Q30" s="53"/>
    </row>
    <row r="31" spans="1:17">
      <c r="A31" s="83"/>
      <c r="B31" s="16"/>
      <c r="C31" s="17"/>
      <c r="D31" s="18"/>
      <c r="E31" s="19"/>
      <c r="F31" s="16"/>
      <c r="G31" s="16"/>
      <c r="H31" s="16"/>
      <c r="I31" s="16"/>
      <c r="J31" s="220"/>
      <c r="K31" s="134"/>
      <c r="L31" s="134"/>
      <c r="M31" s="134"/>
      <c r="N31" s="134"/>
      <c r="O31" s="134"/>
      <c r="Q31" s="53"/>
    </row>
    <row r="32" spans="1:17" s="11" customFormat="1">
      <c r="A32" s="84"/>
      <c r="B32" s="28"/>
      <c r="C32" s="29" t="s">
        <v>23</v>
      </c>
      <c r="D32" s="47" t="s">
        <v>24</v>
      </c>
      <c r="E32" s="33" t="s">
        <v>344</v>
      </c>
      <c r="F32" s="31"/>
      <c r="G32" s="31"/>
      <c r="H32" s="31"/>
      <c r="I32" s="31"/>
      <c r="J32" s="44"/>
      <c r="K32" s="31"/>
      <c r="L32" s="31"/>
      <c r="M32" s="31"/>
      <c r="N32" s="31"/>
      <c r="O32" s="31"/>
      <c r="Q32" s="53"/>
    </row>
    <row r="33" spans="1:17" s="53" customFormat="1">
      <c r="A33" s="85">
        <f>+A$9</f>
        <v>1</v>
      </c>
      <c r="B33" s="57"/>
      <c r="C33" s="56"/>
      <c r="D33" s="55" t="s">
        <v>10</v>
      </c>
      <c r="E33" s="59" t="s">
        <v>132</v>
      </c>
      <c r="F33" s="129">
        <f>INDEX('Used inputs'!$A$19:$O$33,$A33,COLUMN())</f>
        <v>46.144446029381037</v>
      </c>
      <c r="G33" s="129">
        <f>INDEX('Used inputs'!$A$19:$O$33,$A33,COLUMN())</f>
        <v>49.902577932547374</v>
      </c>
      <c r="H33" s="129">
        <f>INDEX('Used inputs'!$A$19:$O$33,$A33,COLUMN())</f>
        <v>43.44656811645585</v>
      </c>
      <c r="I33" s="129">
        <f ca="1">INDEX('Used inputs'!$A$19:$O$33,$A33,COLUMN())</f>
        <v>44.455777382551858</v>
      </c>
      <c r="J33" s="190">
        <f>INDEX('Used inputs'!$A$19:$O$33,$A33,COLUMN())</f>
        <v>45.05551386023204</v>
      </c>
      <c r="K33" s="165">
        <f ca="1">INDEX('Used inputs'!$A$19:$O$33,$A33,COLUMN())</f>
        <v>44.334265568615614</v>
      </c>
      <c r="L33" s="165">
        <f ca="1">INDEX('Used inputs'!$A$19:$O$33,$A33,COLUMN())</f>
        <v>43.046380526439187</v>
      </c>
      <c r="M33" s="165">
        <f ca="1">INDEX('Used inputs'!$A$19:$O$33,$A33,COLUMN())</f>
        <v>42.106483392000321</v>
      </c>
      <c r="N33" s="165">
        <f ca="1">INDEX('Used inputs'!$A$19:$O$33,$A33,COLUMN())</f>
        <v>41.16078568387158</v>
      </c>
      <c r="O33" s="165">
        <f ca="1">INDEX('Used inputs'!$A$19:$O$33,$A33,COLUMN())</f>
        <v>41.26293695485284</v>
      </c>
    </row>
    <row r="34" spans="1:17" s="53" customFormat="1">
      <c r="A34" s="85">
        <f>+A$10</f>
        <v>2</v>
      </c>
      <c r="B34" s="57"/>
      <c r="C34" s="56"/>
      <c r="D34" s="55" t="s">
        <v>10</v>
      </c>
      <c r="E34" s="114" t="s">
        <v>99</v>
      </c>
      <c r="F34" s="129">
        <f>INDEX('Used inputs'!$A$19:$O$33,$A34,COLUMN())</f>
        <v>0.40898428708647944</v>
      </c>
      <c r="G34" s="129">
        <f>INDEX('Used inputs'!$A$19:$O$33,$A34,COLUMN())</f>
        <v>0.66118043682027738</v>
      </c>
      <c r="H34" s="129">
        <f>INDEX('Used inputs'!$A$19:$O$33,$A34,COLUMN())</f>
        <v>0.90400923305808434</v>
      </c>
      <c r="I34" s="129">
        <f>INDEX('Used inputs'!$A$19:$O$33,$A34,COLUMN())</f>
        <v>1.3729930405700668</v>
      </c>
      <c r="J34" s="190">
        <f>INDEX('Used inputs'!$A$19:$O$33,$A34,COLUMN())</f>
        <v>1.7984259391710091</v>
      </c>
      <c r="K34" s="165">
        <f>INDEX('Used inputs'!$A$19:$O$33,$A34,COLUMN())</f>
        <v>3.5443806409863425</v>
      </c>
      <c r="L34" s="165">
        <f>INDEX('Used inputs'!$A$19:$O$33,$A34,COLUMN())</f>
        <v>3.4209189060318108</v>
      </c>
      <c r="M34" s="165">
        <f>INDEX('Used inputs'!$A$19:$O$33,$A34,COLUMN())</f>
        <v>3.2305820646435746</v>
      </c>
      <c r="N34" s="165">
        <f>INDEX('Used inputs'!$A$19:$O$33,$A34,COLUMN())</f>
        <v>3.1503319369231293</v>
      </c>
      <c r="O34" s="165">
        <f>INDEX('Used inputs'!$A$19:$O$33,$A34,COLUMN())</f>
        <v>3.1451876979666906</v>
      </c>
    </row>
    <row r="35" spans="1:17" s="53" customFormat="1">
      <c r="A35" s="85">
        <f>+A$11</f>
        <v>3</v>
      </c>
      <c r="B35" s="57"/>
      <c r="C35" s="56"/>
      <c r="D35" s="55" t="s">
        <v>10</v>
      </c>
      <c r="E35" s="114" t="s">
        <v>100</v>
      </c>
      <c r="F35" s="129">
        <f>INDEX('Used inputs'!$A$19:$O$33,$A35,COLUMN())</f>
        <v>0</v>
      </c>
      <c r="G35" s="129">
        <f>INDEX('Used inputs'!$A$19:$O$33,$A35,COLUMN())</f>
        <v>0</v>
      </c>
      <c r="H35" s="129">
        <f>INDEX('Used inputs'!$A$19:$O$33,$A35,COLUMN())</f>
        <v>0</v>
      </c>
      <c r="I35" s="129">
        <f>INDEX('Used inputs'!$A$19:$O$33,$A35,COLUMN())</f>
        <v>0</v>
      </c>
      <c r="J35" s="190">
        <f>INDEX('Used inputs'!$A$19:$O$33,$A35,COLUMN())</f>
        <v>0</v>
      </c>
      <c r="K35" s="165">
        <f>INDEX('Used inputs'!$A$19:$O$33,$A35,COLUMN())</f>
        <v>0.73562617077075032</v>
      </c>
      <c r="L35" s="165">
        <f>INDEX('Used inputs'!$A$19:$O$33,$A35,COLUMN())</f>
        <v>1.1872903511460782</v>
      </c>
      <c r="M35" s="165">
        <f>INDEX('Used inputs'!$A$19:$O$33,$A35,COLUMN())</f>
        <v>1.3611656278737101</v>
      </c>
      <c r="N35" s="165">
        <f>INDEX('Used inputs'!$A$19:$O$33,$A35,COLUMN())</f>
        <v>1.4815408194543782</v>
      </c>
      <c r="O35" s="165">
        <f>INDEX('Used inputs'!$A$19:$O$33,$A35,COLUMN())</f>
        <v>1.5617909471748239</v>
      </c>
    </row>
    <row r="36" spans="1:17" s="53" customFormat="1">
      <c r="A36" s="110"/>
      <c r="B36" s="57"/>
      <c r="C36" s="56"/>
      <c r="D36" s="55"/>
      <c r="E36" s="59"/>
      <c r="F36" s="129"/>
      <c r="G36" s="129"/>
      <c r="H36" s="129"/>
      <c r="I36" s="129"/>
      <c r="J36" s="190"/>
      <c r="K36" s="61"/>
      <c r="L36" s="61"/>
      <c r="M36" s="61"/>
      <c r="N36" s="61"/>
      <c r="O36" s="61"/>
    </row>
    <row r="37" spans="1:17" s="11" customFormat="1">
      <c r="A37" s="27"/>
      <c r="B37" s="28"/>
      <c r="C37" s="29"/>
      <c r="D37" s="30"/>
      <c r="E37" s="32" t="s">
        <v>345</v>
      </c>
      <c r="F37" s="31"/>
      <c r="G37" s="31"/>
      <c r="H37" s="31"/>
      <c r="I37" s="31"/>
      <c r="J37" s="44"/>
      <c r="K37" s="31"/>
      <c r="L37" s="31"/>
      <c r="M37" s="31"/>
      <c r="N37" s="31"/>
      <c r="O37" s="31"/>
      <c r="Q37" s="53"/>
    </row>
    <row r="38" spans="1:17" s="53" customFormat="1">
      <c r="A38" s="85">
        <f>+A$14</f>
        <v>4</v>
      </c>
      <c r="B38" s="56" t="s">
        <v>40</v>
      </c>
      <c r="C38" s="56"/>
      <c r="D38" s="55" t="s">
        <v>10</v>
      </c>
      <c r="E38" s="59" t="s">
        <v>135</v>
      </c>
      <c r="F38" s="129">
        <f>INDEX('Used inputs'!$A$19:$O$33,$A38,COLUMN())</f>
        <v>9.2596301215898638E-2</v>
      </c>
      <c r="G38" s="129">
        <f>INDEX('Used inputs'!$A$19:$O$33,$A38,COLUMN())</f>
        <v>9.4653996798474166E-2</v>
      </c>
      <c r="H38" s="129">
        <f>INDEX('Used inputs'!$A$19:$O$33,$A38,COLUMN())</f>
        <v>0.18494813642599139</v>
      </c>
      <c r="I38" s="129">
        <f>INDEX('Used inputs'!$A$19:$O$33,$A38,COLUMN())</f>
        <v>0.20415154471369104</v>
      </c>
      <c r="J38" s="190">
        <f>INDEX('Used inputs'!$A$19:$O$33,$A38,COLUMN())</f>
        <v>0.20298737674026629</v>
      </c>
      <c r="K38" s="165">
        <f>INDEX('Used inputs'!$A$19:$O$33,$A38,COLUMN())</f>
        <v>0.20054201110960143</v>
      </c>
      <c r="L38" s="165">
        <f>INDEX('Used inputs'!$A$19:$O$33,$A38,COLUMN())</f>
        <v>0.19617153215527935</v>
      </c>
      <c r="M38" s="165">
        <f>INDEX('Used inputs'!$A$19:$O$33,$A38,COLUMN())</f>
        <v>0.1919389046355684</v>
      </c>
      <c r="N38" s="165">
        <f>INDEX('Used inputs'!$A$19:$O$33,$A38,COLUMN())</f>
        <v>0.18573815852926345</v>
      </c>
      <c r="O38" s="165">
        <f>INDEX('Used inputs'!$A$19:$O$33,$A38,COLUMN())</f>
        <v>0.18494766540255006</v>
      </c>
    </row>
    <row r="39" spans="1:17" s="53" customFormat="1">
      <c r="A39" s="85">
        <f>+A$15</f>
        <v>5</v>
      </c>
      <c r="B39" s="56" t="s">
        <v>41</v>
      </c>
      <c r="C39" s="56"/>
      <c r="D39" s="55" t="s">
        <v>10</v>
      </c>
      <c r="E39" s="59" t="s">
        <v>136</v>
      </c>
      <c r="F39" s="129">
        <f>INDEX('Used inputs'!$A$19:$O$33,$A39,COLUMN())</f>
        <v>0.21605803617043015</v>
      </c>
      <c r="G39" s="129">
        <f>INDEX('Used inputs'!$A$19:$O$33,$A39,COLUMN())</f>
        <v>0.22840420966588332</v>
      </c>
      <c r="H39" s="129">
        <f>INDEX('Used inputs'!$A$19:$O$33,$A39,COLUMN())</f>
        <v>0.50385299209989287</v>
      </c>
      <c r="I39" s="129">
        <f>INDEX('Used inputs'!$A$19:$O$33,$A39,COLUMN())</f>
        <v>0.54522751154398774</v>
      </c>
      <c r="J39" s="190">
        <f>INDEX('Used inputs'!$A$19:$O$33,$A39,COLUMN())</f>
        <v>0.53216730752865649</v>
      </c>
      <c r="K39" s="165">
        <f>INDEX('Used inputs'!$A$19:$O$33,$A39,COLUMN())</f>
        <v>0.51582865756261131</v>
      </c>
      <c r="L39" s="165">
        <f>INDEX('Used inputs'!$A$19:$O$33,$A39,COLUMN())</f>
        <v>0.49509832024804401</v>
      </c>
      <c r="M39" s="165">
        <f>INDEX('Used inputs'!$A$19:$O$33,$A39,COLUMN())</f>
        <v>0.47400604376505634</v>
      </c>
      <c r="N39" s="165">
        <f>INDEX('Used inputs'!$A$19:$O$33,$A39,COLUMN())</f>
        <v>0.45043644627574597</v>
      </c>
      <c r="O39" s="165">
        <f>INDEX('Used inputs'!$A$19:$O$33,$A39,COLUMN())</f>
        <v>0.4416957510851961</v>
      </c>
    </row>
    <row r="40" spans="1:17" s="53" customFormat="1">
      <c r="A40" s="85">
        <f>+A$16</f>
        <v>6</v>
      </c>
      <c r="B40" s="56" t="s">
        <v>42</v>
      </c>
      <c r="C40" s="56"/>
      <c r="D40" s="55" t="s">
        <v>10</v>
      </c>
      <c r="E40" s="59" t="s">
        <v>137</v>
      </c>
      <c r="F40" s="129">
        <f>INDEX('Used inputs'!$A$19:$O$33,$A40,COLUMN())</f>
        <v>1.5545890126358093</v>
      </c>
      <c r="G40" s="129">
        <f>INDEX('Used inputs'!$A$19:$O$33,$A40,COLUMN())</f>
        <v>1.5875121419570177</v>
      </c>
      <c r="H40" s="129">
        <f>INDEX('Used inputs'!$A$19:$O$33,$A40,COLUMN())</f>
        <v>3.1469695236679307</v>
      </c>
      <c r="I40" s="129">
        <f>INDEX('Used inputs'!$A$19:$O$33,$A40,COLUMN())</f>
        <v>3.5516720350692226</v>
      </c>
      <c r="J40" s="190">
        <f>INDEX('Used inputs'!$A$19:$O$33,$A40,COLUMN())</f>
        <v>3.6096067371810263</v>
      </c>
      <c r="K40" s="165">
        <f>INDEX('Used inputs'!$A$19:$O$33,$A40,COLUMN())</f>
        <v>3.6289712812643722</v>
      </c>
      <c r="L40" s="165">
        <f>INDEX('Used inputs'!$A$19:$O$33,$A40,COLUMN())</f>
        <v>3.6038451896012882</v>
      </c>
      <c r="M40" s="165">
        <f>INDEX('Used inputs'!$A$19:$O$33,$A40,COLUMN())</f>
        <v>3.5665294034013098</v>
      </c>
      <c r="N40" s="165">
        <f>INDEX('Used inputs'!$A$19:$O$33,$A40,COLUMN())</f>
        <v>3.4962595487921275</v>
      </c>
      <c r="O40" s="165">
        <f>INDEX('Used inputs'!$A$19:$O$33,$A40,COLUMN())</f>
        <v>3.5188800329034891</v>
      </c>
    </row>
    <row r="41" spans="1:17" s="53" customFormat="1">
      <c r="A41" s="110"/>
      <c r="B41" s="57"/>
      <c r="C41" s="56"/>
      <c r="D41" s="55"/>
      <c r="E41" s="59"/>
      <c r="F41" s="129"/>
      <c r="G41" s="129"/>
      <c r="H41" s="129"/>
      <c r="I41" s="129"/>
      <c r="J41" s="190"/>
      <c r="K41" s="61"/>
      <c r="L41" s="61"/>
      <c r="M41" s="61"/>
      <c r="N41" s="61"/>
      <c r="O41" s="61"/>
    </row>
    <row r="42" spans="1:17" s="11" customFormat="1">
      <c r="A42" s="27"/>
      <c r="B42" s="28"/>
      <c r="C42" s="29"/>
      <c r="D42" s="30"/>
      <c r="E42" s="32" t="s">
        <v>346</v>
      </c>
      <c r="F42" s="31"/>
      <c r="G42" s="31"/>
      <c r="H42" s="31"/>
      <c r="I42" s="31"/>
      <c r="J42" s="44"/>
      <c r="K42" s="31"/>
      <c r="L42" s="31"/>
      <c r="M42" s="31"/>
      <c r="N42" s="31"/>
      <c r="O42" s="31"/>
      <c r="Q42" s="53"/>
    </row>
    <row r="43" spans="1:17" s="53" customFormat="1">
      <c r="A43" s="85">
        <f>+A$19</f>
        <v>7</v>
      </c>
      <c r="B43" s="57"/>
      <c r="C43" s="56"/>
      <c r="D43" s="55" t="s">
        <v>29</v>
      </c>
      <c r="E43" s="59" t="s">
        <v>89</v>
      </c>
      <c r="F43" s="129">
        <f>INDEX('Used inputs'!$A$19:$O$33,$A43,COLUMN())</f>
        <v>55.576000000000001</v>
      </c>
      <c r="G43" s="129">
        <f>INDEX('Used inputs'!$A$19:$O$33,$A43,COLUMN())</f>
        <v>54.869</v>
      </c>
      <c r="H43" s="129">
        <f>INDEX('Used inputs'!$A$19:$O$33,$A43,COLUMN())</f>
        <v>54.43</v>
      </c>
      <c r="I43" s="129">
        <f>INDEX('Used inputs'!$A$19:$O$33,$A43,COLUMN())</f>
        <v>54.045999999999999</v>
      </c>
      <c r="J43" s="190">
        <f>INDEX('Used inputs'!$A$19:$O$33,$A43,COLUMN())</f>
        <v>53.624000000000002</v>
      </c>
      <c r="K43" s="165">
        <f>INDEX('Used inputs'!$A$19:$O$33,$A43,COLUMN())</f>
        <v>53.197000000000003</v>
      </c>
      <c r="L43" s="165">
        <f>INDEX('Used inputs'!$A$19:$O$33,$A43,COLUMN())</f>
        <v>52.78</v>
      </c>
      <c r="M43" s="165">
        <f>INDEX('Used inputs'!$A$19:$O$33,$A43,COLUMN())</f>
        <v>52.375</v>
      </c>
      <c r="N43" s="165">
        <f>INDEX('Used inputs'!$A$19:$O$33,$A43,COLUMN())</f>
        <v>51.981000000000002</v>
      </c>
      <c r="O43" s="165">
        <f>INDEX('Used inputs'!$A$19:$O$33,$A43,COLUMN())</f>
        <v>51.595999999999997</v>
      </c>
    </row>
    <row r="44" spans="1:17" s="53" customFormat="1">
      <c r="A44" s="85">
        <f>+A$20</f>
        <v>8</v>
      </c>
      <c r="B44" s="57"/>
      <c r="C44" s="56"/>
      <c r="D44" s="55" t="s">
        <v>29</v>
      </c>
      <c r="E44" s="59" t="s">
        <v>90</v>
      </c>
      <c r="F44" s="129">
        <f>INDEX('Used inputs'!$A$19:$O$33,$A44,COLUMN())</f>
        <v>22.231999999999999</v>
      </c>
      <c r="G44" s="129">
        <f>INDEX('Used inputs'!$A$19:$O$33,$A44,COLUMN())</f>
        <v>23.146999999999998</v>
      </c>
      <c r="H44" s="129">
        <f>INDEX('Used inputs'!$A$19:$O$33,$A44,COLUMN())</f>
        <v>23.713000000000001</v>
      </c>
      <c r="I44" s="129">
        <f>INDEX('Used inputs'!$A$19:$O$33,$A44,COLUMN())</f>
        <v>24.497</v>
      </c>
      <c r="J44" s="190">
        <f>INDEX('Used inputs'!$A$19:$O$33,$A44,COLUMN())</f>
        <v>25.318999999999999</v>
      </c>
      <c r="K44" s="165">
        <f>INDEX('Used inputs'!$A$19:$O$33,$A44,COLUMN())</f>
        <v>26.146000000000001</v>
      </c>
      <c r="L44" s="165">
        <f>INDEX('Used inputs'!$A$19:$O$33,$A44,COLUMN())</f>
        <v>26.99</v>
      </c>
      <c r="M44" s="165">
        <f>INDEX('Used inputs'!$A$19:$O$33,$A44,COLUMN())</f>
        <v>27.847999999999999</v>
      </c>
      <c r="N44" s="165">
        <f>INDEX('Used inputs'!$A$19:$O$33,$A44,COLUMN())</f>
        <v>28.722000000000001</v>
      </c>
      <c r="O44" s="165">
        <f>INDEX('Used inputs'!$A$19:$O$33,$A44,COLUMN())</f>
        <v>29.614000000000001</v>
      </c>
    </row>
    <row r="45" spans="1:17" s="53" customFormat="1">
      <c r="A45" s="85">
        <f>+A$21</f>
        <v>9</v>
      </c>
      <c r="B45" s="57"/>
      <c r="C45" s="56"/>
      <c r="D45" s="55" t="s">
        <v>29</v>
      </c>
      <c r="E45" s="59" t="s">
        <v>91</v>
      </c>
      <c r="F45" s="129">
        <f>INDEX('Used inputs'!$A$19:$O$33,$A45,COLUMN())</f>
        <v>70.182000000000002</v>
      </c>
      <c r="G45" s="129">
        <f>INDEX('Used inputs'!$A$19:$O$33,$A45,COLUMN())</f>
        <v>66.59</v>
      </c>
      <c r="H45" s="129">
        <f>INDEX('Used inputs'!$A$19:$O$33,$A45,COLUMN())</f>
        <v>59.552</v>
      </c>
      <c r="I45" s="129">
        <f>INDEX('Used inputs'!$A$19:$O$33,$A45,COLUMN())</f>
        <v>59.167999999999999</v>
      </c>
      <c r="J45" s="190">
        <f>INDEX('Used inputs'!$A$19:$O$33,$A45,COLUMN())</f>
        <v>58.746000000000002</v>
      </c>
      <c r="K45" s="165">
        <f>INDEX('Used inputs'!$A$19:$O$33,$A45,COLUMN())</f>
        <v>58.319000000000003</v>
      </c>
      <c r="L45" s="165">
        <f>INDEX('Used inputs'!$A$19:$O$33,$A45,COLUMN())</f>
        <v>57.902000000000001</v>
      </c>
      <c r="M45" s="165">
        <f>INDEX('Used inputs'!$A$19:$O$33,$A45,COLUMN())</f>
        <v>57.497</v>
      </c>
      <c r="N45" s="165">
        <f>INDEX('Used inputs'!$A$19:$O$33,$A45,COLUMN())</f>
        <v>57.103000000000002</v>
      </c>
      <c r="O45" s="165">
        <f>INDEX('Used inputs'!$A$19:$O$33,$A45,COLUMN())</f>
        <v>56.718000000000004</v>
      </c>
    </row>
    <row r="46" spans="1:17" s="53" customFormat="1">
      <c r="A46" s="85">
        <f>+A$22</f>
        <v>10</v>
      </c>
      <c r="B46" s="57"/>
      <c r="C46" s="56"/>
      <c r="D46" s="55" t="s">
        <v>29</v>
      </c>
      <c r="E46" s="59" t="s">
        <v>92</v>
      </c>
      <c r="F46" s="129">
        <f>INDEX('Used inputs'!$A$19:$O$33,$A46,COLUMN())</f>
        <v>51.960999999999999</v>
      </c>
      <c r="G46" s="129">
        <f>INDEX('Used inputs'!$A$19:$O$33,$A46,COLUMN())</f>
        <v>56.100999999999999</v>
      </c>
      <c r="H46" s="129">
        <f>INDEX('Used inputs'!$A$19:$O$33,$A46,COLUMN())</f>
        <v>64.727999999999994</v>
      </c>
      <c r="I46" s="129">
        <f>INDEX('Used inputs'!$A$19:$O$33,$A46,COLUMN())</f>
        <v>65.512</v>
      </c>
      <c r="J46" s="190">
        <f>INDEX('Used inputs'!$A$19:$O$33,$A46,COLUMN())</f>
        <v>66.334000000000003</v>
      </c>
      <c r="K46" s="165">
        <f>INDEX('Used inputs'!$A$19:$O$33,$A46,COLUMN())</f>
        <v>67.161000000000001</v>
      </c>
      <c r="L46" s="165">
        <f>INDEX('Used inputs'!$A$19:$O$33,$A46,COLUMN())</f>
        <v>68.004999999999995</v>
      </c>
      <c r="M46" s="165">
        <f>INDEX('Used inputs'!$A$19:$O$33,$A46,COLUMN())</f>
        <v>68.863</v>
      </c>
      <c r="N46" s="165">
        <f>INDEX('Used inputs'!$A$19:$O$33,$A46,COLUMN())</f>
        <v>69.736999999999995</v>
      </c>
      <c r="O46" s="165">
        <f>INDEX('Used inputs'!$A$19:$O$33,$A46,COLUMN())</f>
        <v>70.629000000000005</v>
      </c>
    </row>
    <row r="47" spans="1:17" s="53" customFormat="1">
      <c r="A47" s="85">
        <f>+A$23</f>
        <v>11</v>
      </c>
      <c r="B47" s="57"/>
      <c r="C47" s="56"/>
      <c r="D47" s="55" t="s">
        <v>29</v>
      </c>
      <c r="E47" s="59" t="s">
        <v>93</v>
      </c>
      <c r="F47" s="129">
        <f>INDEX('Used inputs'!$A$19:$O$33,$A47,COLUMN())</f>
        <v>764.51599999999996</v>
      </c>
      <c r="G47" s="129">
        <f>INDEX('Used inputs'!$A$19:$O$33,$A47,COLUMN())</f>
        <v>754.78700000000003</v>
      </c>
      <c r="H47" s="129">
        <f>INDEX('Used inputs'!$A$19:$O$33,$A47,COLUMN())</f>
        <v>740.98299999999995</v>
      </c>
      <c r="I47" s="129">
        <f>INDEX('Used inputs'!$A$19:$O$33,$A47,COLUMN())</f>
        <v>723.71</v>
      </c>
      <c r="J47" s="190">
        <f>INDEX('Used inputs'!$A$19:$O$33,$A47,COLUMN())</f>
        <v>706.447</v>
      </c>
      <c r="K47" s="165">
        <f>INDEX('Used inputs'!$A$19:$O$33,$A47,COLUMN())</f>
        <v>688.87300000000005</v>
      </c>
      <c r="L47" s="165">
        <f>INDEX('Used inputs'!$A$19:$O$33,$A47,COLUMN())</f>
        <v>671.755</v>
      </c>
      <c r="M47" s="165">
        <f>INDEX('Used inputs'!$A$19:$O$33,$A47,COLUMN())</f>
        <v>655.08000000000004</v>
      </c>
      <c r="N47" s="165">
        <f>INDEX('Used inputs'!$A$19:$O$33,$A47,COLUMN())</f>
        <v>638.83500000000004</v>
      </c>
      <c r="O47" s="165">
        <f>INDEX('Used inputs'!$A$19:$O$33,$A47,COLUMN())</f>
        <v>623.00900000000001</v>
      </c>
    </row>
    <row r="48" spans="1:17" s="53" customFormat="1">
      <c r="A48" s="85">
        <f>+A$24</f>
        <v>12</v>
      </c>
      <c r="B48" s="57"/>
      <c r="C48" s="56"/>
      <c r="D48" s="55" t="s">
        <v>29</v>
      </c>
      <c r="E48" s="59" t="s">
        <v>94</v>
      </c>
      <c r="F48" s="129">
        <f>INDEX('Used inputs'!$A$19:$O$33,$A48,COLUMN())</f>
        <v>373.75099999999998</v>
      </c>
      <c r="G48" s="129">
        <f>INDEX('Used inputs'!$A$19:$O$33,$A48,COLUMN())</f>
        <v>389.12400000000002</v>
      </c>
      <c r="H48" s="129">
        <f>INDEX('Used inputs'!$A$19:$O$33,$A48,COLUMN())</f>
        <v>404.53100000000001</v>
      </c>
      <c r="I48" s="129">
        <f>INDEX('Used inputs'!$A$19:$O$33,$A48,COLUMN())</f>
        <v>427.11799999999999</v>
      </c>
      <c r="J48" s="190">
        <f>INDEX('Used inputs'!$A$19:$O$33,$A48,COLUMN())</f>
        <v>449.69499999999999</v>
      </c>
      <c r="K48" s="165">
        <f>INDEX('Used inputs'!$A$19:$O$33,$A48,COLUMN())</f>
        <v>472.58300000000003</v>
      </c>
      <c r="L48" s="165">
        <f>INDEX('Used inputs'!$A$19:$O$33,$A48,COLUMN())</f>
        <v>495.37</v>
      </c>
      <c r="M48" s="165">
        <f>INDEX('Used inputs'!$A$19:$O$33,$A48,COLUMN())</f>
        <v>518.07000000000005</v>
      </c>
      <c r="N48" s="165">
        <f>INDEX('Used inputs'!$A$19:$O$33,$A48,COLUMN())</f>
        <v>540.69299999999998</v>
      </c>
      <c r="O48" s="165">
        <f>INDEX('Used inputs'!$A$19:$O$33,$A48,COLUMN())</f>
        <v>563.25199999999995</v>
      </c>
    </row>
    <row r="49" spans="1:17" s="53" customFormat="1">
      <c r="A49" s="110"/>
      <c r="B49" s="57"/>
      <c r="C49" s="56"/>
      <c r="D49" s="55"/>
      <c r="E49" s="59"/>
      <c r="F49" s="129"/>
      <c r="G49" s="129"/>
      <c r="H49" s="129"/>
      <c r="I49" s="129"/>
      <c r="J49" s="190"/>
      <c r="K49" s="61"/>
      <c r="L49" s="61"/>
      <c r="M49" s="61"/>
      <c r="N49" s="61"/>
      <c r="O49" s="61"/>
    </row>
    <row r="50" spans="1:17" s="11" customFormat="1">
      <c r="A50" s="27"/>
      <c r="B50" s="28"/>
      <c r="C50" s="29"/>
      <c r="D50" s="181"/>
      <c r="E50" s="33" t="s">
        <v>349</v>
      </c>
      <c r="F50" s="31"/>
      <c r="G50" s="31"/>
      <c r="H50" s="31"/>
      <c r="I50" s="31"/>
      <c r="J50" s="44"/>
      <c r="K50" s="31"/>
      <c r="L50" s="31"/>
      <c r="M50" s="31"/>
      <c r="N50" s="31"/>
      <c r="O50" s="31"/>
      <c r="Q50" s="53"/>
    </row>
    <row r="51" spans="1:17" s="53" customFormat="1">
      <c r="A51" s="85">
        <f>+A$27</f>
        <v>13</v>
      </c>
      <c r="B51" s="57"/>
      <c r="C51" s="56"/>
      <c r="D51" s="55" t="s">
        <v>29</v>
      </c>
      <c r="E51" s="182" t="s">
        <v>323</v>
      </c>
      <c r="F51" s="129"/>
      <c r="G51" s="129"/>
      <c r="H51" s="129"/>
      <c r="I51" s="313">
        <f>INDEX('Used inputs'!$A$19:$O$33,$A51+1,COLUMN())+INDEX('Used inputs'!$A$19:$O$33,$A51+2,COLUMN())</f>
        <v>10.608698879621056</v>
      </c>
      <c r="J51" s="314">
        <f>INDEX('Used inputs'!$A$19:$O$33,$A51+1,COLUMN())+INDEX('Used inputs'!$A$19:$O$33,$A51+2,COLUMN())</f>
        <v>14.448109533054051</v>
      </c>
      <c r="K51" s="313">
        <f>INDEX('Used inputs'!$A$19:$O$33,$A51+1,COLUMN())+INDEX('Used inputs'!$A$19:$O$33,$A51+2,COLUMN())</f>
        <v>10.002212297022298</v>
      </c>
      <c r="L51" s="313">
        <f>INDEX('Used inputs'!$A$19:$O$33,$A51+1,COLUMN())+INDEX('Used inputs'!$A$19:$O$33,$A51+2,COLUMN())</f>
        <v>9.5078274221615597</v>
      </c>
      <c r="M51" s="313">
        <f>INDEX('Used inputs'!$A$19:$O$33,$A51+1,COLUMN())+INDEX('Used inputs'!$A$19:$O$33,$A51+2,COLUMN())</f>
        <v>9.0368947539600253</v>
      </c>
      <c r="N51" s="313">
        <f>INDEX('Used inputs'!$A$19:$O$33,$A51+1,COLUMN())+INDEX('Used inputs'!$A$19:$O$33,$A51+2,COLUMN())</f>
        <v>8.5902884342970793</v>
      </c>
      <c r="O51" s="313">
        <f>INDEX('Used inputs'!$A$19:$O$33,$A51+1,COLUMN())+INDEX('Used inputs'!$A$19:$O$33,$A51+2,COLUMN())</f>
        <v>8.1660124306172808</v>
      </c>
    </row>
    <row r="52" spans="1:17" s="53" customFormat="1">
      <c r="A52" s="85"/>
      <c r="B52" s="57"/>
      <c r="C52" s="56"/>
      <c r="D52" s="55"/>
      <c r="E52" s="182"/>
      <c r="F52" s="129"/>
      <c r="G52" s="129"/>
      <c r="H52" s="129"/>
      <c r="I52" s="129"/>
      <c r="J52" s="190"/>
      <c r="K52" s="165"/>
      <c r="L52" s="165"/>
      <c r="M52" s="165"/>
      <c r="N52" s="165"/>
      <c r="O52" s="165"/>
    </row>
    <row r="53" spans="1:17" s="53" customFormat="1">
      <c r="A53" s="62"/>
      <c r="B53" s="97"/>
      <c r="C53" s="106"/>
      <c r="D53" s="97"/>
      <c r="E53" s="98"/>
      <c r="F53" s="168"/>
      <c r="G53" s="168"/>
      <c r="H53" s="168"/>
      <c r="I53" s="168"/>
      <c r="J53" s="219"/>
      <c r="K53" s="140"/>
      <c r="L53" s="140"/>
      <c r="M53" s="140"/>
      <c r="N53" s="141"/>
      <c r="O53" s="141"/>
    </row>
    <row r="54" spans="1:17">
      <c r="A54" s="82"/>
      <c r="B54" s="31"/>
      <c r="C54" s="38" t="str">
        <f>INDEX('Used inputs'!$A$34:$O$45,1,1)</f>
        <v>NES</v>
      </c>
      <c r="D54" s="39"/>
      <c r="E54" s="48"/>
      <c r="F54" s="31"/>
      <c r="G54" s="31"/>
      <c r="H54" s="31"/>
      <c r="I54" s="31"/>
      <c r="J54" s="44"/>
      <c r="K54" s="31"/>
      <c r="L54" s="31"/>
      <c r="M54" s="31"/>
      <c r="N54" s="31"/>
      <c r="O54" s="31"/>
      <c r="Q54" s="53"/>
    </row>
    <row r="55" spans="1:17">
      <c r="A55" s="83"/>
      <c r="B55" s="16"/>
      <c r="C55" s="17"/>
      <c r="D55" s="18"/>
      <c r="E55" s="19"/>
      <c r="F55" s="16"/>
      <c r="G55" s="16"/>
      <c r="H55" s="16"/>
      <c r="I55" s="16"/>
      <c r="J55" s="220"/>
      <c r="K55" s="134"/>
      <c r="L55" s="134"/>
      <c r="M55" s="134"/>
      <c r="N55" s="134"/>
      <c r="O55" s="134"/>
      <c r="Q55" s="53"/>
    </row>
    <row r="56" spans="1:17" s="11" customFormat="1">
      <c r="A56" s="84"/>
      <c r="B56" s="28"/>
      <c r="C56" s="29" t="s">
        <v>23</v>
      </c>
      <c r="D56" s="47" t="s">
        <v>24</v>
      </c>
      <c r="E56" s="33" t="s">
        <v>348</v>
      </c>
      <c r="F56" s="31"/>
      <c r="G56" s="31"/>
      <c r="H56" s="31"/>
      <c r="I56" s="31"/>
      <c r="J56" s="44"/>
      <c r="K56" s="31"/>
      <c r="L56" s="31"/>
      <c r="M56" s="31"/>
      <c r="N56" s="31"/>
      <c r="O56" s="31"/>
      <c r="Q56" s="53"/>
    </row>
    <row r="57" spans="1:17" s="53" customFormat="1">
      <c r="A57" s="85">
        <f>+A$9</f>
        <v>1</v>
      </c>
      <c r="B57" s="57"/>
      <c r="C57" s="56"/>
      <c r="D57" s="55" t="s">
        <v>10</v>
      </c>
      <c r="E57" s="59" t="s">
        <v>132</v>
      </c>
      <c r="F57" s="129">
        <f>INDEX('Used inputs'!$A$34:$O$48,$A57,COLUMN())</f>
        <v>40.165536877437759</v>
      </c>
      <c r="G57" s="129">
        <f>INDEX('Used inputs'!$A$34:$O$48,$A57,COLUMN())</f>
        <v>40.55245814246372</v>
      </c>
      <c r="H57" s="129">
        <f>INDEX('Used inputs'!$A$34:$O$48,$A57,COLUMN())</f>
        <v>41.641164030030872</v>
      </c>
      <c r="I57" s="129">
        <f ca="1">INDEX('Used inputs'!$A$34:$O$48,$A57,COLUMN())</f>
        <v>45.32599656382083</v>
      </c>
      <c r="J57" s="190">
        <f>INDEX('Used inputs'!$A$34:$O$48,$A57,COLUMN())</f>
        <v>43.012446749739908</v>
      </c>
      <c r="K57" s="165">
        <f ca="1">INDEX('Used inputs'!$A$34:$O$48,$A57,COLUMN())</f>
        <v>46.602780441087852</v>
      </c>
      <c r="L57" s="165">
        <f ca="1">INDEX('Used inputs'!$A$34:$O$48,$A57,COLUMN())</f>
        <v>47.037881548490823</v>
      </c>
      <c r="M57" s="165">
        <f ca="1">INDEX('Used inputs'!$A$34:$O$48,$A57,COLUMN())</f>
        <v>47.480182910626326</v>
      </c>
      <c r="N57" s="165">
        <f ca="1">INDEX('Used inputs'!$A$34:$O$48,$A57,COLUMN())</f>
        <v>47.928655919675244</v>
      </c>
      <c r="O57" s="165">
        <f ca="1">INDEX('Used inputs'!$A$34:$O$48,$A57,COLUMN())</f>
        <v>48.382271967818859</v>
      </c>
    </row>
    <row r="58" spans="1:17" s="53" customFormat="1">
      <c r="A58" s="85">
        <f>+A$10</f>
        <v>2</v>
      </c>
      <c r="B58" s="57"/>
      <c r="C58" s="56"/>
      <c r="D58" s="55" t="s">
        <v>10</v>
      </c>
      <c r="E58" s="114" t="s">
        <v>99</v>
      </c>
      <c r="F58" s="129">
        <f>INDEX('Used inputs'!$A$34:$O$48,$A58,COLUMN())</f>
        <v>1.3135985267159433</v>
      </c>
      <c r="G58" s="129">
        <f>INDEX('Used inputs'!$A$34:$O$48,$A58,COLUMN())</f>
        <v>1.167865333742957</v>
      </c>
      <c r="H58" s="129">
        <f>INDEX('Used inputs'!$A$34:$O$48,$A58,COLUMN())</f>
        <v>1.1968818402895507</v>
      </c>
      <c r="I58" s="129">
        <f>INDEX('Used inputs'!$A$34:$O$48,$A58,COLUMN())</f>
        <v>2.8960038347508417</v>
      </c>
      <c r="J58" s="190">
        <f>INDEX('Used inputs'!$A$34:$O$48,$A58,COLUMN())</f>
        <v>1.0649974294301665</v>
      </c>
      <c r="K58" s="165">
        <f>INDEX('Used inputs'!$A$34:$O$48,$A58,COLUMN())</f>
        <v>2.624003474580868</v>
      </c>
      <c r="L58" s="165">
        <f>INDEX('Used inputs'!$A$34:$O$48,$A58,COLUMN())</f>
        <v>2.2750030124510277</v>
      </c>
      <c r="M58" s="165">
        <f>INDEX('Used inputs'!$A$34:$O$48,$A58,COLUMN())</f>
        <v>1.8570024589545318</v>
      </c>
      <c r="N58" s="165">
        <f>INDEX('Used inputs'!$A$34:$O$48,$A58,COLUMN())</f>
        <v>1.4800019597483607</v>
      </c>
      <c r="O58" s="165">
        <f>INDEX('Used inputs'!$A$34:$O$48,$A58,COLUMN())</f>
        <v>1.3510017889324544</v>
      </c>
    </row>
    <row r="59" spans="1:17" s="53" customFormat="1">
      <c r="A59" s="85">
        <f>+A$11</f>
        <v>3</v>
      </c>
      <c r="B59" s="57"/>
      <c r="C59" s="56"/>
      <c r="D59" s="55" t="s">
        <v>10</v>
      </c>
      <c r="E59" s="114" t="s">
        <v>100</v>
      </c>
      <c r="F59" s="129">
        <f>INDEX('Used inputs'!$A$34:$O$48,$A59,COLUMN())</f>
        <v>0</v>
      </c>
      <c r="G59" s="129">
        <f>INDEX('Used inputs'!$A$34:$O$48,$A59,COLUMN())</f>
        <v>0</v>
      </c>
      <c r="H59" s="129">
        <f>INDEX('Used inputs'!$A$34:$O$48,$A59,COLUMN())</f>
        <v>0</v>
      </c>
      <c r="I59" s="129">
        <f>INDEX('Used inputs'!$A$34:$O$48,$A59,COLUMN())</f>
        <v>0</v>
      </c>
      <c r="J59" s="190">
        <f>INDEX('Used inputs'!$A$34:$O$48,$A59,COLUMN())</f>
        <v>0</v>
      </c>
      <c r="K59" s="165">
        <f>INDEX('Used inputs'!$A$34:$O$48,$A59,COLUMN())</f>
        <v>1.0040013294509134</v>
      </c>
      <c r="L59" s="165">
        <f>INDEX('Used inputs'!$A$34:$O$48,$A59,COLUMN())</f>
        <v>1.6090021305642646</v>
      </c>
      <c r="M59" s="165">
        <f>INDEX('Used inputs'!$A$34:$O$48,$A59,COLUMN())</f>
        <v>2.2990030442307283</v>
      </c>
      <c r="N59" s="165">
        <f>INDEX('Used inputs'!$A$34:$O$48,$A59,COLUMN())</f>
        <v>2.835003753977428</v>
      </c>
      <c r="O59" s="165">
        <f>INDEX('Used inputs'!$A$34:$O$48,$A59,COLUMN())</f>
        <v>3.4270045378767682</v>
      </c>
    </row>
    <row r="60" spans="1:17" s="53" customFormat="1">
      <c r="A60" s="110"/>
      <c r="B60" s="57"/>
      <c r="C60" s="56"/>
      <c r="D60" s="55"/>
      <c r="E60" s="59"/>
      <c r="F60" s="129"/>
      <c r="G60" s="129"/>
      <c r="H60" s="129"/>
      <c r="I60" s="129"/>
      <c r="J60" s="190"/>
      <c r="K60" s="61"/>
      <c r="L60" s="61"/>
      <c r="M60" s="61"/>
      <c r="N60" s="61"/>
      <c r="O60" s="61"/>
    </row>
    <row r="61" spans="1:17" s="11" customFormat="1">
      <c r="A61" s="27"/>
      <c r="B61" s="28"/>
      <c r="C61" s="29"/>
      <c r="D61" s="30"/>
      <c r="E61" s="32" t="s">
        <v>350</v>
      </c>
      <c r="F61" s="31"/>
      <c r="G61" s="31"/>
      <c r="H61" s="31"/>
      <c r="I61" s="31"/>
      <c r="J61" s="44"/>
      <c r="K61" s="31"/>
      <c r="L61" s="31"/>
      <c r="M61" s="31"/>
      <c r="N61" s="31"/>
      <c r="O61" s="31"/>
      <c r="Q61" s="53"/>
    </row>
    <row r="62" spans="1:17" s="53" customFormat="1">
      <c r="A62" s="85">
        <f>+A$14</f>
        <v>4</v>
      </c>
      <c r="B62" s="56" t="s">
        <v>40</v>
      </c>
      <c r="C62" s="56"/>
      <c r="D62" s="55" t="s">
        <v>10</v>
      </c>
      <c r="E62" s="59" t="s">
        <v>135</v>
      </c>
      <c r="F62" s="129">
        <f>INDEX('Used inputs'!$A$34:$O$48,$A62,COLUMN())</f>
        <v>0.89300118246978666</v>
      </c>
      <c r="G62" s="129">
        <f>INDEX('Used inputs'!$A$34:$O$48,$A62,COLUMN())</f>
        <v>1.0290013625547714</v>
      </c>
      <c r="H62" s="129">
        <f>INDEX('Used inputs'!$A$34:$O$48,$A62,COLUMN())</f>
        <v>1.0080013347475305</v>
      </c>
      <c r="I62" s="129">
        <f>INDEX('Used inputs'!$A$34:$O$48,$A62,COLUMN())</f>
        <v>1.0490013890378536</v>
      </c>
      <c r="J62" s="190">
        <f>INDEX('Used inputs'!$A$34:$O$48,$A62,COLUMN())</f>
        <v>1.0900014433281811</v>
      </c>
      <c r="K62" s="165">
        <f>INDEX('Used inputs'!$A$34:$O$48,$A62,COLUMN())</f>
        <v>1.1340015015909761</v>
      </c>
      <c r="L62" s="165">
        <f>INDEX('Used inputs'!$A$34:$O$48,$A62,COLUMN())</f>
        <v>1.1780015598537612</v>
      </c>
      <c r="M62" s="165">
        <f>INDEX('Used inputs'!$A$34:$O$48,$A62,COLUMN())</f>
        <v>1.2240016207648614</v>
      </c>
      <c r="N62" s="165">
        <f>INDEX('Used inputs'!$A$34:$O$48,$A62,COLUMN())</f>
        <v>1.2700016816759516</v>
      </c>
      <c r="O62" s="165">
        <f>INDEX('Used inputs'!$A$34:$O$48,$A62,COLUMN())</f>
        <v>1.3150017412628994</v>
      </c>
    </row>
    <row r="63" spans="1:17" s="53" customFormat="1">
      <c r="A63" s="85">
        <f>+A$15</f>
        <v>5</v>
      </c>
      <c r="B63" s="56" t="s">
        <v>41</v>
      </c>
      <c r="C63" s="56"/>
      <c r="D63" s="55" t="s">
        <v>10</v>
      </c>
      <c r="E63" s="59" t="s">
        <v>136</v>
      </c>
      <c r="F63" s="129">
        <f>INDEX('Used inputs'!$A$34:$O$48,$A63,COLUMN())</f>
        <v>6.8000090042492162E-2</v>
      </c>
      <c r="G63" s="129">
        <f>INDEX('Used inputs'!$A$34:$O$48,$A63,COLUMN())</f>
        <v>7.900010460818932E-2</v>
      </c>
      <c r="H63" s="129">
        <f>INDEX('Used inputs'!$A$34:$O$48,$A63,COLUMN())</f>
        <v>7.7000101959880787E-2</v>
      </c>
      <c r="I63" s="129">
        <f>INDEX('Used inputs'!$A$34:$O$48,$A63,COLUMN())</f>
        <v>8.3000109904806593E-2</v>
      </c>
      <c r="J63" s="190">
        <f>INDEX('Used inputs'!$A$34:$O$48,$A63,COLUMN())</f>
        <v>8.800011652557807E-2</v>
      </c>
      <c r="K63" s="165">
        <f>INDEX('Used inputs'!$A$34:$O$48,$A63,COLUMN())</f>
        <v>9.4000124470503862E-2</v>
      </c>
      <c r="L63" s="165">
        <f>INDEX('Used inputs'!$A$34:$O$48,$A63,COLUMN())</f>
        <v>9.900013109127534E-2</v>
      </c>
      <c r="M63" s="165">
        <f>INDEX('Used inputs'!$A$34:$O$48,$A63,COLUMN())</f>
        <v>0.10400013771204701</v>
      </c>
      <c r="N63" s="165">
        <f>INDEX('Used inputs'!$A$34:$O$48,$A63,COLUMN())</f>
        <v>0.11000014565697272</v>
      </c>
      <c r="O63" s="165">
        <f>INDEX('Used inputs'!$A$34:$O$48,$A63,COLUMN())</f>
        <v>0.1160001536018984</v>
      </c>
    </row>
    <row r="64" spans="1:17" s="53" customFormat="1">
      <c r="A64" s="85">
        <f>+A$16</f>
        <v>6</v>
      </c>
      <c r="B64" s="56" t="s">
        <v>42</v>
      </c>
      <c r="C64" s="56"/>
      <c r="D64" s="55" t="s">
        <v>10</v>
      </c>
      <c r="E64" s="59" t="s">
        <v>137</v>
      </c>
      <c r="F64" s="129">
        <f>INDEX('Used inputs'!$A$34:$O$48,$A64,COLUMN())</f>
        <v>1.2290016273856346</v>
      </c>
      <c r="G64" s="129">
        <f>INDEX('Used inputs'!$A$34:$O$48,$A64,COLUMN())</f>
        <v>1.4640019385618892</v>
      </c>
      <c r="H64" s="129">
        <f>INDEX('Used inputs'!$A$34:$O$48,$A64,COLUMN())</f>
        <v>1.4890019716657443</v>
      </c>
      <c r="I64" s="129">
        <f>INDEX('Used inputs'!$A$34:$O$48,$A64,COLUMN())</f>
        <v>1.5940021107019493</v>
      </c>
      <c r="J64" s="190">
        <f>INDEX('Used inputs'!$A$34:$O$48,$A64,COLUMN())</f>
        <v>1.7010022523864592</v>
      </c>
      <c r="K64" s="165">
        <f>INDEX('Used inputs'!$A$34:$O$48,$A64,COLUMN())</f>
        <v>1.8080023940709689</v>
      </c>
      <c r="L64" s="165">
        <f>INDEX('Used inputs'!$A$34:$O$48,$A64,COLUMN())</f>
        <v>1.9160025370796312</v>
      </c>
      <c r="M64" s="165">
        <f>INDEX('Used inputs'!$A$34:$O$48,$A64,COLUMN())</f>
        <v>2.0260026827365989</v>
      </c>
      <c r="N64" s="165">
        <f>INDEX('Used inputs'!$A$34:$O$48,$A64,COLUMN())</f>
        <v>2.1350028270694241</v>
      </c>
      <c r="O64" s="165">
        <f>INDEX('Used inputs'!$A$34:$O$48,$A64,COLUMN())</f>
        <v>2.2450029727263918</v>
      </c>
    </row>
    <row r="65" spans="1:17" s="53" customFormat="1">
      <c r="A65" s="110"/>
      <c r="B65" s="57"/>
      <c r="C65" s="56"/>
      <c r="D65" s="55"/>
      <c r="E65" s="59"/>
      <c r="F65" s="129"/>
      <c r="G65" s="129"/>
      <c r="H65" s="129"/>
      <c r="I65" s="129"/>
      <c r="J65" s="190"/>
      <c r="K65" s="61"/>
      <c r="L65" s="61"/>
      <c r="M65" s="61"/>
      <c r="N65" s="61"/>
      <c r="O65" s="61"/>
    </row>
    <row r="66" spans="1:17" s="11" customFormat="1">
      <c r="A66" s="27"/>
      <c r="B66" s="28"/>
      <c r="C66" s="29"/>
      <c r="D66" s="30"/>
      <c r="E66" s="32" t="s">
        <v>351</v>
      </c>
      <c r="F66" s="31"/>
      <c r="G66" s="31"/>
      <c r="H66" s="31"/>
      <c r="I66" s="31"/>
      <c r="J66" s="44"/>
      <c r="K66" s="31"/>
      <c r="L66" s="31"/>
      <c r="M66" s="31"/>
      <c r="N66" s="31"/>
      <c r="O66" s="31"/>
      <c r="Q66" s="53"/>
    </row>
    <row r="67" spans="1:17" s="53" customFormat="1">
      <c r="A67" s="85">
        <f>+A$19</f>
        <v>7</v>
      </c>
      <c r="B67" s="57"/>
      <c r="C67" s="56"/>
      <c r="D67" s="55" t="s">
        <v>29</v>
      </c>
      <c r="E67" s="59" t="s">
        <v>89</v>
      </c>
      <c r="F67" s="129">
        <f>INDEX('Used inputs'!$A$34:$O$48,$A67,COLUMN())</f>
        <v>365.255</v>
      </c>
      <c r="G67" s="129">
        <f>INDEX('Used inputs'!$A$34:$O$48,$A67,COLUMN())</f>
        <v>352.85599999999999</v>
      </c>
      <c r="H67" s="129">
        <f>INDEX('Used inputs'!$A$34:$O$48,$A67,COLUMN())</f>
        <v>340.86700000000002</v>
      </c>
      <c r="I67" s="129">
        <f>INDEX('Used inputs'!$A$34:$O$48,$A67,COLUMN())</f>
        <v>328.83100000000002</v>
      </c>
      <c r="J67" s="190">
        <f>INDEX('Used inputs'!$A$34:$O$48,$A67,COLUMN())</f>
        <v>317.02499999999998</v>
      </c>
      <c r="K67" s="165">
        <f>INDEX('Used inputs'!$A$34:$O$48,$A67,COLUMN())</f>
        <v>304.31200000000001</v>
      </c>
      <c r="L67" s="165">
        <f>INDEX('Used inputs'!$A$34:$O$48,$A67,COLUMN())</f>
        <v>291.65899999999999</v>
      </c>
      <c r="M67" s="165">
        <f>INDEX('Used inputs'!$A$34:$O$48,$A67,COLUMN())</f>
        <v>278.53100000000001</v>
      </c>
      <c r="N67" s="165">
        <f>INDEX('Used inputs'!$A$34:$O$48,$A67,COLUMN())</f>
        <v>265.41000000000003</v>
      </c>
      <c r="O67" s="165">
        <f>INDEX('Used inputs'!$A$34:$O$48,$A67,COLUMN())</f>
        <v>252.82300000000001</v>
      </c>
    </row>
    <row r="68" spans="1:17" s="53" customFormat="1">
      <c r="A68" s="85">
        <f>+A$20</f>
        <v>8</v>
      </c>
      <c r="B68" s="57"/>
      <c r="C68" s="56"/>
      <c r="D68" s="55" t="s">
        <v>29</v>
      </c>
      <c r="E68" s="59" t="s">
        <v>90</v>
      </c>
      <c r="F68" s="129">
        <f>INDEX('Used inputs'!$A$34:$O$48,$A68,COLUMN())</f>
        <v>351.31299999999999</v>
      </c>
      <c r="G68" s="129">
        <f>INDEX('Used inputs'!$A$34:$O$48,$A68,COLUMN())</f>
        <v>364.88799999999998</v>
      </c>
      <c r="H68" s="129">
        <f>INDEX('Used inputs'!$A$34:$O$48,$A68,COLUMN())</f>
        <v>379.97</v>
      </c>
      <c r="I68" s="129">
        <f>INDEX('Used inputs'!$A$34:$O$48,$A68,COLUMN())</f>
        <v>395.48099999999999</v>
      </c>
      <c r="J68" s="190">
        <f>INDEX('Used inputs'!$A$34:$O$48,$A68,COLUMN())</f>
        <v>411.11</v>
      </c>
      <c r="K68" s="165">
        <f>INDEX('Used inputs'!$A$34:$O$48,$A68,COLUMN())</f>
        <v>427.69400000000002</v>
      </c>
      <c r="L68" s="165">
        <f>INDEX('Used inputs'!$A$34:$O$48,$A68,COLUMN())</f>
        <v>444.28300000000002</v>
      </c>
      <c r="M68" s="165">
        <f>INDEX('Used inputs'!$A$34:$O$48,$A68,COLUMN())</f>
        <v>461.40100000000001</v>
      </c>
      <c r="N68" s="165">
        <f>INDEX('Used inputs'!$A$34:$O$48,$A68,COLUMN())</f>
        <v>478.72699999999998</v>
      </c>
      <c r="O68" s="165">
        <f>INDEX('Used inputs'!$A$34:$O$48,$A68,COLUMN())</f>
        <v>495.71199999999999</v>
      </c>
    </row>
    <row r="69" spans="1:17" s="53" customFormat="1">
      <c r="A69" s="85">
        <f>+A$21</f>
        <v>9</v>
      </c>
      <c r="B69" s="57"/>
      <c r="C69" s="56"/>
      <c r="D69" s="55" t="s">
        <v>29</v>
      </c>
      <c r="E69" s="59" t="s">
        <v>91</v>
      </c>
      <c r="F69" s="129">
        <f>INDEX('Used inputs'!$A$34:$O$48,$A69,COLUMN())</f>
        <v>37.493000000000002</v>
      </c>
      <c r="G69" s="129">
        <f>INDEX('Used inputs'!$A$34:$O$48,$A69,COLUMN())</f>
        <v>35.715000000000003</v>
      </c>
      <c r="H69" s="129">
        <f>INDEX('Used inputs'!$A$34:$O$48,$A69,COLUMN())</f>
        <v>35.939</v>
      </c>
      <c r="I69" s="129">
        <f>INDEX('Used inputs'!$A$34:$O$48,$A69,COLUMN())</f>
        <v>35.195999999999998</v>
      </c>
      <c r="J69" s="190">
        <f>INDEX('Used inputs'!$A$34:$O$48,$A69,COLUMN())</f>
        <v>34.453000000000003</v>
      </c>
      <c r="K69" s="165">
        <f>INDEX('Used inputs'!$A$34:$O$48,$A69,COLUMN())</f>
        <v>33.731000000000002</v>
      </c>
      <c r="L69" s="165">
        <f>INDEX('Used inputs'!$A$34:$O$48,$A69,COLUMN())</f>
        <v>33.009</v>
      </c>
      <c r="M69" s="165">
        <f>INDEX('Used inputs'!$A$34:$O$48,$A69,COLUMN())</f>
        <v>32.286999999999999</v>
      </c>
      <c r="N69" s="165">
        <f>INDEX('Used inputs'!$A$34:$O$48,$A69,COLUMN())</f>
        <v>31.565000000000001</v>
      </c>
      <c r="O69" s="165">
        <f>INDEX('Used inputs'!$A$34:$O$48,$A69,COLUMN())</f>
        <v>30.843</v>
      </c>
    </row>
    <row r="70" spans="1:17" s="53" customFormat="1">
      <c r="A70" s="85">
        <f>+A$22</f>
        <v>10</v>
      </c>
      <c r="B70" s="57"/>
      <c r="C70" s="56"/>
      <c r="D70" s="55" t="s">
        <v>29</v>
      </c>
      <c r="E70" s="59" t="s">
        <v>92</v>
      </c>
      <c r="F70" s="129">
        <f>INDEX('Used inputs'!$A$34:$O$48,$A70,COLUMN())</f>
        <v>26.92</v>
      </c>
      <c r="G70" s="129">
        <f>INDEX('Used inputs'!$A$34:$O$48,$A70,COLUMN())</f>
        <v>28.164999999999999</v>
      </c>
      <c r="H70" s="129">
        <f>INDEX('Used inputs'!$A$34:$O$48,$A70,COLUMN())</f>
        <v>29.216999999999999</v>
      </c>
      <c r="I70" s="129">
        <f>INDEX('Used inputs'!$A$34:$O$48,$A70,COLUMN())</f>
        <v>31.207999999999998</v>
      </c>
      <c r="J70" s="190">
        <f>INDEX('Used inputs'!$A$34:$O$48,$A70,COLUMN())</f>
        <v>33.24</v>
      </c>
      <c r="K70" s="165">
        <f>INDEX('Used inputs'!$A$34:$O$48,$A70,COLUMN())</f>
        <v>35.267000000000003</v>
      </c>
      <c r="L70" s="165">
        <f>INDEX('Used inputs'!$A$34:$O$48,$A70,COLUMN())</f>
        <v>37.325000000000003</v>
      </c>
      <c r="M70" s="165">
        <f>INDEX('Used inputs'!$A$34:$O$48,$A70,COLUMN())</f>
        <v>39.396000000000001</v>
      </c>
      <c r="N70" s="165">
        <f>INDEX('Used inputs'!$A$34:$O$48,$A70,COLUMN())</f>
        <v>41.470999999999997</v>
      </c>
      <c r="O70" s="165">
        <f>INDEX('Used inputs'!$A$34:$O$48,$A70,COLUMN())</f>
        <v>43.557000000000002</v>
      </c>
    </row>
    <row r="71" spans="1:17" s="53" customFormat="1">
      <c r="A71" s="85">
        <f>+A$23</f>
        <v>11</v>
      </c>
      <c r="B71" s="57"/>
      <c r="C71" s="56"/>
      <c r="D71" s="55" t="s">
        <v>29</v>
      </c>
      <c r="E71" s="59" t="s">
        <v>93</v>
      </c>
      <c r="F71" s="129">
        <f>INDEX('Used inputs'!$A$34:$O$48,$A71,COLUMN())</f>
        <v>803.89099999999996</v>
      </c>
      <c r="G71" s="129">
        <f>INDEX('Used inputs'!$A$34:$O$48,$A71,COLUMN())</f>
        <v>787.40099999999995</v>
      </c>
      <c r="H71" s="129">
        <f>INDEX('Used inputs'!$A$34:$O$48,$A71,COLUMN())</f>
        <v>768.38099999999997</v>
      </c>
      <c r="I71" s="129">
        <f>INDEX('Used inputs'!$A$34:$O$48,$A71,COLUMN())</f>
        <v>752.673</v>
      </c>
      <c r="J71" s="190">
        <f>INDEX('Used inputs'!$A$34:$O$48,$A71,COLUMN())</f>
        <v>736.96400000000006</v>
      </c>
      <c r="K71" s="165">
        <f>INDEX('Used inputs'!$A$34:$O$48,$A71,COLUMN())</f>
        <v>721.72900000000004</v>
      </c>
      <c r="L71" s="165">
        <f>INDEX('Used inputs'!$A$34:$O$48,$A71,COLUMN())</f>
        <v>706.49400000000003</v>
      </c>
      <c r="M71" s="165">
        <f>INDEX('Used inputs'!$A$34:$O$48,$A71,COLUMN())</f>
        <v>691.25900000000001</v>
      </c>
      <c r="N71" s="165">
        <f>INDEX('Used inputs'!$A$34:$O$48,$A71,COLUMN())</f>
        <v>676.024</v>
      </c>
      <c r="O71" s="165">
        <f>INDEX('Used inputs'!$A$34:$O$48,$A71,COLUMN())</f>
        <v>660.78800000000001</v>
      </c>
    </row>
    <row r="72" spans="1:17" s="53" customFormat="1">
      <c r="A72" s="85">
        <f>+A$24</f>
        <v>12</v>
      </c>
      <c r="B72" s="57"/>
      <c r="C72" s="56"/>
      <c r="D72" s="55" t="s">
        <v>29</v>
      </c>
      <c r="E72" s="59" t="s">
        <v>94</v>
      </c>
      <c r="F72" s="129">
        <f>INDEX('Used inputs'!$A$34:$O$48,$A72,COLUMN())</f>
        <v>241.66800000000001</v>
      </c>
      <c r="G72" s="129">
        <f>INDEX('Used inputs'!$A$34:$O$48,$A72,COLUMN())</f>
        <v>259.524</v>
      </c>
      <c r="H72" s="129">
        <f>INDEX('Used inputs'!$A$34:$O$48,$A72,COLUMN())</f>
        <v>280.66399999999999</v>
      </c>
      <c r="I72" s="129">
        <f>INDEX('Used inputs'!$A$34:$O$48,$A72,COLUMN())</f>
        <v>300.45299999999997</v>
      </c>
      <c r="J72" s="190">
        <f>INDEX('Used inputs'!$A$34:$O$48,$A72,COLUMN())</f>
        <v>320.66800000000001</v>
      </c>
      <c r="K72" s="165">
        <f>INDEX('Used inputs'!$A$34:$O$48,$A72,COLUMN())</f>
        <v>340.822</v>
      </c>
      <c r="L72" s="165">
        <f>INDEX('Used inputs'!$A$34:$O$48,$A72,COLUMN())</f>
        <v>361.30500000000001</v>
      </c>
      <c r="M72" s="165">
        <f>INDEX('Used inputs'!$A$34:$O$48,$A72,COLUMN())</f>
        <v>381.92500000000001</v>
      </c>
      <c r="N72" s="165">
        <f>INDEX('Used inputs'!$A$34:$O$48,$A72,COLUMN())</f>
        <v>402.58</v>
      </c>
      <c r="O72" s="165">
        <f>INDEX('Used inputs'!$A$34:$O$48,$A72,COLUMN())</f>
        <v>423.358</v>
      </c>
    </row>
    <row r="73" spans="1:17" s="53" customFormat="1">
      <c r="A73" s="110"/>
      <c r="B73" s="57"/>
      <c r="C73" s="56"/>
      <c r="D73" s="55"/>
      <c r="E73" s="59"/>
      <c r="F73" s="129"/>
      <c r="G73" s="129"/>
      <c r="H73" s="129"/>
      <c r="I73" s="129"/>
      <c r="J73" s="190"/>
      <c r="K73" s="61"/>
      <c r="L73" s="61"/>
      <c r="M73" s="61"/>
      <c r="N73" s="61"/>
      <c r="O73" s="61"/>
    </row>
    <row r="74" spans="1:17" s="11" customFormat="1">
      <c r="A74" s="27"/>
      <c r="B74" s="28"/>
      <c r="C74" s="29"/>
      <c r="D74" s="181"/>
      <c r="E74" s="33" t="s">
        <v>347</v>
      </c>
      <c r="F74" s="31"/>
      <c r="G74" s="31"/>
      <c r="H74" s="31"/>
      <c r="I74" s="31"/>
      <c r="J74" s="44"/>
      <c r="K74" s="31"/>
      <c r="L74" s="31"/>
      <c r="M74" s="31"/>
      <c r="N74" s="31"/>
      <c r="O74" s="31"/>
      <c r="Q74" s="53"/>
    </row>
    <row r="75" spans="1:17" s="53" customFormat="1">
      <c r="A75" s="85">
        <f>+A$27</f>
        <v>13</v>
      </c>
      <c r="B75" s="57"/>
      <c r="C75" s="56"/>
      <c r="D75" s="55" t="s">
        <v>29</v>
      </c>
      <c r="E75" s="182" t="s">
        <v>323</v>
      </c>
      <c r="F75" s="129"/>
      <c r="G75" s="129"/>
      <c r="H75" s="129"/>
      <c r="I75" s="313">
        <f>INDEX('Used inputs'!$A$34:$O$48,$A75+1,COLUMN())+INDEX('Used inputs'!$A$34:$O$48,$A75+2,COLUMN())</f>
        <v>3.0999999999999992</v>
      </c>
      <c r="J75" s="314">
        <f>INDEX('Used inputs'!$A$34:$O$48,$A75+1,COLUMN())+INDEX('Used inputs'!$A$34:$O$48,$A75+2,COLUMN())</f>
        <v>6.8917708392266457</v>
      </c>
      <c r="K75" s="313">
        <f>INDEX('Used inputs'!$A$34:$O$48,$A75+1,COLUMN())+INDEX('Used inputs'!$A$34:$O$48,$A75+2,COLUMN())</f>
        <v>3.6616803569990632</v>
      </c>
      <c r="L75" s="313">
        <f>INDEX('Used inputs'!$A$34:$O$48,$A75+1,COLUMN())+INDEX('Used inputs'!$A$34:$O$48,$A75+2,COLUMN())</f>
        <v>3.6616803569990632</v>
      </c>
      <c r="M75" s="313">
        <f>INDEX('Used inputs'!$A$34:$O$48,$A75+1,COLUMN())+INDEX('Used inputs'!$A$34:$O$48,$A75+2,COLUMN())</f>
        <v>3.6616803569990632</v>
      </c>
      <c r="N75" s="313">
        <f>INDEX('Used inputs'!$A$34:$O$48,$A75+1,COLUMN())+INDEX('Used inputs'!$A$34:$O$48,$A75+2,COLUMN())</f>
        <v>3.6616803569990632</v>
      </c>
      <c r="O75" s="313">
        <f>INDEX('Used inputs'!$A$34:$O$48,$A75+1,COLUMN())+INDEX('Used inputs'!$A$34:$O$48,$A75+2,COLUMN())</f>
        <v>3.6616803569990632</v>
      </c>
    </row>
    <row r="76" spans="1:17" s="53" customFormat="1">
      <c r="A76" s="85"/>
      <c r="B76" s="57"/>
      <c r="C76" s="56"/>
      <c r="D76" s="55"/>
      <c r="E76" s="182"/>
      <c r="F76" s="129"/>
      <c r="G76" s="129"/>
      <c r="H76" s="129"/>
      <c r="I76" s="129"/>
      <c r="J76" s="190"/>
      <c r="K76" s="165"/>
      <c r="L76" s="165"/>
      <c r="M76" s="165"/>
      <c r="N76" s="165"/>
      <c r="O76" s="165"/>
    </row>
    <row r="77" spans="1:17" s="53" customFormat="1">
      <c r="A77" s="85"/>
      <c r="B77" s="57"/>
      <c r="C77" s="56"/>
      <c r="D77" s="55"/>
      <c r="E77" s="59"/>
      <c r="F77" s="129"/>
      <c r="G77" s="129"/>
      <c r="H77" s="129"/>
      <c r="I77" s="129"/>
      <c r="J77" s="190"/>
      <c r="K77" s="61"/>
      <c r="L77" s="61"/>
      <c r="M77" s="61"/>
      <c r="N77" s="61"/>
      <c r="O77" s="61"/>
    </row>
    <row r="78" spans="1:17">
      <c r="A78" s="82"/>
      <c r="B78" s="31"/>
      <c r="C78" s="38" t="str">
        <f>INDEX('Used inputs'!$A$49:$O$60,1,1)</f>
        <v>SVT</v>
      </c>
      <c r="D78" s="39"/>
      <c r="E78" s="48"/>
      <c r="F78" s="31"/>
      <c r="G78" s="31"/>
      <c r="H78" s="31"/>
      <c r="I78" s="31"/>
      <c r="J78" s="44"/>
      <c r="K78" s="31"/>
      <c r="L78" s="31"/>
      <c r="M78" s="31"/>
      <c r="N78" s="31"/>
      <c r="O78" s="31"/>
      <c r="Q78" s="53"/>
    </row>
    <row r="79" spans="1:17">
      <c r="A79" s="83"/>
      <c r="B79" s="16"/>
      <c r="C79" s="17"/>
      <c r="D79" s="18"/>
      <c r="E79" s="19"/>
      <c r="F79" s="16"/>
      <c r="G79" s="16"/>
      <c r="H79" s="16"/>
      <c r="I79" s="16"/>
      <c r="J79" s="220"/>
      <c r="K79" s="134"/>
      <c r="L79" s="134"/>
      <c r="M79" s="134"/>
      <c r="N79" s="134"/>
      <c r="O79" s="134"/>
      <c r="Q79" s="53"/>
    </row>
    <row r="80" spans="1:17" s="11" customFormat="1">
      <c r="A80" s="84"/>
      <c r="B80" s="28"/>
      <c r="C80" s="29" t="s">
        <v>23</v>
      </c>
      <c r="D80" s="47" t="s">
        <v>24</v>
      </c>
      <c r="E80" s="33" t="s">
        <v>352</v>
      </c>
      <c r="F80" s="31"/>
      <c r="G80" s="31"/>
      <c r="H80" s="31"/>
      <c r="I80" s="31"/>
      <c r="J80" s="44"/>
      <c r="K80" s="31"/>
      <c r="L80" s="31"/>
      <c r="M80" s="31"/>
      <c r="N80" s="31"/>
      <c r="O80" s="31"/>
      <c r="Q80" s="53"/>
    </row>
    <row r="81" spans="1:17" s="53" customFormat="1">
      <c r="A81" s="85">
        <f>+A$9</f>
        <v>1</v>
      </c>
      <c r="B81" s="57"/>
      <c r="C81" s="56"/>
      <c r="D81" s="55" t="s">
        <v>10</v>
      </c>
      <c r="E81" s="59" t="s">
        <v>132</v>
      </c>
      <c r="F81" s="129">
        <f>INDEX('Used inputs'!$A$49:$O$63,$A81,COLUMN())</f>
        <v>87.078593345698977</v>
      </c>
      <c r="G81" s="129">
        <f>INDEX('Used inputs'!$A$49:$O$63,$A81,COLUMN())</f>
        <v>86.308855797768643</v>
      </c>
      <c r="H81" s="129">
        <f>INDEX('Used inputs'!$A$49:$O$63,$A81,COLUMN())</f>
        <v>93.206083635839065</v>
      </c>
      <c r="I81" s="129">
        <f ca="1">INDEX('Used inputs'!$A$49:$O$63,$A81,COLUMN())</f>
        <v>94.754517377257102</v>
      </c>
      <c r="J81" s="190">
        <f>INDEX('Used inputs'!$A$49:$O$63,$A81,COLUMN())</f>
        <v>94.088749076778598</v>
      </c>
      <c r="K81" s="165">
        <f ca="1">INDEX('Used inputs'!$A$49:$O$63,$A81,COLUMN())</f>
        <v>100.88211611016187</v>
      </c>
      <c r="L81" s="165">
        <f ca="1">INDEX('Used inputs'!$A$49:$O$63,$A81,COLUMN())</f>
        <v>103.08514498771366</v>
      </c>
      <c r="M81" s="165">
        <f ca="1">INDEX('Used inputs'!$A$49:$O$63,$A81,COLUMN())</f>
        <v>105.27662688676583</v>
      </c>
      <c r="N81" s="165">
        <f ca="1">INDEX('Used inputs'!$A$49:$O$63,$A81,COLUMN())</f>
        <v>108.33695077809941</v>
      </c>
      <c r="O81" s="165">
        <f ca="1">INDEX('Used inputs'!$A$49:$O$63,$A81,COLUMN())</f>
        <v>111.70955532576066</v>
      </c>
    </row>
    <row r="82" spans="1:17" s="53" customFormat="1">
      <c r="A82" s="85">
        <f>+A$10</f>
        <v>2</v>
      </c>
      <c r="B82" s="57"/>
      <c r="C82" s="56"/>
      <c r="D82" s="55" t="s">
        <v>10</v>
      </c>
      <c r="E82" s="114" t="s">
        <v>99</v>
      </c>
      <c r="F82" s="129">
        <f>INDEX('Used inputs'!$A$49:$O$63,$A82,COLUMN())</f>
        <v>21.299999999999986</v>
      </c>
      <c r="G82" s="129">
        <f>INDEX('Used inputs'!$A$49:$O$63,$A82,COLUMN())</f>
        <v>22.999999999999954</v>
      </c>
      <c r="H82" s="129">
        <f>INDEX('Used inputs'!$A$49:$O$63,$A82,COLUMN())</f>
        <v>6.1765200000000045</v>
      </c>
      <c r="I82" s="129">
        <f>INDEX('Used inputs'!$A$49:$O$63,$A82,COLUMN())</f>
        <v>14.227250551999999</v>
      </c>
      <c r="J82" s="190">
        <f>INDEX('Used inputs'!$A$49:$O$63,$A82,COLUMN())</f>
        <v>4.9591815560161372</v>
      </c>
      <c r="K82" s="165">
        <f>INDEX('Used inputs'!$A$49:$O$63,$A82,COLUMN())</f>
        <v>8.5945861890580595</v>
      </c>
      <c r="L82" s="165">
        <f>INDEX('Used inputs'!$A$49:$O$63,$A82,COLUMN())</f>
        <v>5.7960794951879846</v>
      </c>
      <c r="M82" s="165">
        <f>INDEX('Used inputs'!$A$49:$O$63,$A82,COLUMN())</f>
        <v>5.0393830913790367</v>
      </c>
      <c r="N82" s="165">
        <f>INDEX('Used inputs'!$A$49:$O$63,$A82,COLUMN())</f>
        <v>4.039858774650523</v>
      </c>
      <c r="O82" s="165">
        <f>INDEX('Used inputs'!$A$49:$O$63,$A82,COLUMN())</f>
        <v>3.3662744329452594</v>
      </c>
    </row>
    <row r="83" spans="1:17" s="53" customFormat="1">
      <c r="A83" s="85">
        <f>+A$11</f>
        <v>3</v>
      </c>
      <c r="B83" s="57"/>
      <c r="C83" s="56"/>
      <c r="D83" s="55" t="s">
        <v>10</v>
      </c>
      <c r="E83" s="114" t="s">
        <v>100</v>
      </c>
      <c r="F83" s="129">
        <f>INDEX('Used inputs'!$A$49:$O$63,$A83,COLUMN())</f>
        <v>0</v>
      </c>
      <c r="G83" s="129">
        <f>INDEX('Used inputs'!$A$49:$O$63,$A83,COLUMN())</f>
        <v>0</v>
      </c>
      <c r="H83" s="129">
        <f>INDEX('Used inputs'!$A$49:$O$63,$A83,COLUMN())</f>
        <v>0</v>
      </c>
      <c r="I83" s="129">
        <f>INDEX('Used inputs'!$A$49:$O$63,$A83,COLUMN())</f>
        <v>0</v>
      </c>
      <c r="J83" s="190">
        <f>INDEX('Used inputs'!$A$49:$O$63,$A83,COLUMN())</f>
        <v>0</v>
      </c>
      <c r="K83" s="165">
        <f>INDEX('Used inputs'!$A$49:$O$63,$A83,COLUMN())</f>
        <v>0.50046297928497319</v>
      </c>
      <c r="L83" s="165">
        <f>INDEX('Used inputs'!$A$49:$O$63,$A83,COLUMN())</f>
        <v>1.5521963117371276</v>
      </c>
      <c r="M83" s="165">
        <f>INDEX('Used inputs'!$A$49:$O$63,$A83,COLUMN())</f>
        <v>2.8800011742405318</v>
      </c>
      <c r="N83" s="165">
        <f>INDEX('Used inputs'!$A$49:$O$63,$A83,COLUMN())</f>
        <v>4.6688728344381314</v>
      </c>
      <c r="O83" s="165">
        <f>INDEX('Used inputs'!$A$49:$O$63,$A83,COLUMN())</f>
        <v>5.7931370032965086</v>
      </c>
    </row>
    <row r="84" spans="1:17" s="53" customFormat="1">
      <c r="A84" s="110"/>
      <c r="B84" s="57"/>
      <c r="C84" s="56"/>
      <c r="D84" s="55"/>
      <c r="E84" s="59"/>
      <c r="F84" s="129"/>
      <c r="G84" s="129"/>
      <c r="H84" s="129"/>
      <c r="I84" s="129"/>
      <c r="J84" s="190"/>
      <c r="K84" s="61"/>
      <c r="L84" s="61"/>
      <c r="M84" s="61"/>
      <c r="N84" s="61"/>
      <c r="O84" s="61"/>
    </row>
    <row r="85" spans="1:17" s="11" customFormat="1">
      <c r="A85" s="27"/>
      <c r="B85" s="28"/>
      <c r="C85" s="29"/>
      <c r="D85" s="30"/>
      <c r="E85" s="32" t="s">
        <v>353</v>
      </c>
      <c r="F85" s="31"/>
      <c r="G85" s="31"/>
      <c r="H85" s="31"/>
      <c r="I85" s="31"/>
      <c r="J85" s="44"/>
      <c r="K85" s="31"/>
      <c r="L85" s="31"/>
      <c r="M85" s="31"/>
      <c r="N85" s="31"/>
      <c r="O85" s="31"/>
      <c r="Q85" s="53"/>
    </row>
    <row r="86" spans="1:17" s="53" customFormat="1">
      <c r="A86" s="85">
        <f>+A$14</f>
        <v>4</v>
      </c>
      <c r="B86" s="56" t="s">
        <v>40</v>
      </c>
      <c r="C86" s="56"/>
      <c r="D86" s="55" t="s">
        <v>10</v>
      </c>
      <c r="E86" s="59" t="s">
        <v>135</v>
      </c>
      <c r="F86" s="129">
        <f>INDEX('Used inputs'!$A$49:$O$63,$A86,COLUMN())</f>
        <v>0.77956821311095115</v>
      </c>
      <c r="G86" s="129">
        <f>INDEX('Used inputs'!$A$49:$O$63,$A86,COLUMN())</f>
        <v>0.79921810213895028</v>
      </c>
      <c r="H86" s="129">
        <f>INDEX('Used inputs'!$A$49:$O$63,$A86,COLUMN())</f>
        <v>0.7437159926463236</v>
      </c>
      <c r="I86" s="129">
        <f>INDEX('Used inputs'!$A$49:$O$63,$A86,COLUMN())</f>
        <v>0.81476180058747072</v>
      </c>
      <c r="J86" s="190">
        <f>INDEX('Used inputs'!$A$49:$O$63,$A86,COLUMN())</f>
        <v>0.84172262023666589</v>
      </c>
      <c r="K86" s="165">
        <f>INDEX('Used inputs'!$A$49:$O$63,$A86,COLUMN())</f>
        <v>0.81790965811006966</v>
      </c>
      <c r="L86" s="165">
        <f>INDEX('Used inputs'!$A$49:$O$63,$A86,COLUMN())</f>
        <v>0.83140550886509179</v>
      </c>
      <c r="M86" s="165">
        <f>INDEX('Used inputs'!$A$49:$O$63,$A86,COLUMN())</f>
        <v>0.84588253930681701</v>
      </c>
      <c r="N86" s="165">
        <f>INDEX('Used inputs'!$A$49:$O$63,$A86,COLUMN())</f>
        <v>0.89358255579399626</v>
      </c>
      <c r="O86" s="165">
        <f>INDEX('Used inputs'!$A$49:$O$63,$A86,COLUMN())</f>
        <v>0.94852971648567452</v>
      </c>
    </row>
    <row r="87" spans="1:17" s="53" customFormat="1">
      <c r="A87" s="85">
        <f>+A$15</f>
        <v>5</v>
      </c>
      <c r="B87" s="56" t="s">
        <v>41</v>
      </c>
      <c r="C87" s="56"/>
      <c r="D87" s="55" t="s">
        <v>10</v>
      </c>
      <c r="E87" s="59" t="s">
        <v>136</v>
      </c>
      <c r="F87" s="129">
        <f>INDEX('Used inputs'!$A$49:$O$63,$A87,COLUMN())</f>
        <v>0.15998676153102842</v>
      </c>
      <c r="G87" s="129">
        <f>INDEX('Used inputs'!$A$49:$O$63,$A87,COLUMN())</f>
        <v>0.18788068438378516</v>
      </c>
      <c r="H87" s="129">
        <f>INDEX('Used inputs'!$A$49:$O$63,$A87,COLUMN())</f>
        <v>0.10058191926090898</v>
      </c>
      <c r="I87" s="129">
        <f>INDEX('Used inputs'!$A$49:$O$63,$A87,COLUMN())</f>
        <v>0.11001187686771245</v>
      </c>
      <c r="J87" s="190">
        <f>INDEX('Used inputs'!$A$49:$O$63,$A87,COLUMN())</f>
        <v>0.15587724537244782</v>
      </c>
      <c r="K87" s="165">
        <f>INDEX('Used inputs'!$A$49:$O$63,$A87,COLUMN())</f>
        <v>0.16117707171511106</v>
      </c>
      <c r="L87" s="165">
        <f>INDEX('Used inputs'!$A$49:$O$63,$A87,COLUMN())</f>
        <v>0.16665709215342492</v>
      </c>
      <c r="M87" s="165">
        <f>INDEX('Used inputs'!$A$49:$O$63,$A87,COLUMN())</f>
        <v>0.17249009037879448</v>
      </c>
      <c r="N87" s="165">
        <f>INDEX('Used inputs'!$A$49:$O$63,$A87,COLUMN())</f>
        <v>0.17818226336129511</v>
      </c>
      <c r="O87" s="165">
        <f>INDEX('Used inputs'!$A$49:$O$63,$A87,COLUMN())</f>
        <v>0.1837059135254947</v>
      </c>
    </row>
    <row r="88" spans="1:17" s="53" customFormat="1">
      <c r="A88" s="85">
        <f>+A$16</f>
        <v>6</v>
      </c>
      <c r="B88" s="56" t="s">
        <v>42</v>
      </c>
      <c r="C88" s="56"/>
      <c r="D88" s="55" t="s">
        <v>10</v>
      </c>
      <c r="E88" s="59" t="s">
        <v>137</v>
      </c>
      <c r="F88" s="129">
        <f>INDEX('Used inputs'!$A$49:$O$63,$A88,COLUMN())</f>
        <v>8.254331151997734</v>
      </c>
      <c r="G88" s="129">
        <f>INDEX('Used inputs'!$A$49:$O$63,$A88,COLUMN())</f>
        <v>8.5096204273247427</v>
      </c>
      <c r="H88" s="129">
        <f>INDEX('Used inputs'!$A$49:$O$63,$A88,COLUMN())</f>
        <v>7.9588882483678205</v>
      </c>
      <c r="I88" s="129">
        <f>INDEX('Used inputs'!$A$49:$O$63,$A88,COLUMN())</f>
        <v>8.7191860656926767</v>
      </c>
      <c r="J88" s="190">
        <f>INDEX('Used inputs'!$A$49:$O$63,$A88,COLUMN())</f>
        <v>9.0077076959843936</v>
      </c>
      <c r="K88" s="165">
        <f>INDEX('Used inputs'!$A$49:$O$63,$A88,COLUMN())</f>
        <v>8.7528729118703481</v>
      </c>
      <c r="L88" s="165">
        <f>INDEX('Used inputs'!$A$49:$O$63,$A88,COLUMN())</f>
        <v>8.8972989683730006</v>
      </c>
      <c r="M88" s="165">
        <f>INDEX('Used inputs'!$A$49:$O$63,$A88,COLUMN())</f>
        <v>9.052225134534801</v>
      </c>
      <c r="N88" s="165">
        <f>INDEX('Used inputs'!$A$49:$O$63,$A88,COLUMN())</f>
        <v>9.5626876019558864</v>
      </c>
      <c r="O88" s="165">
        <f>INDEX('Used inputs'!$A$49:$O$63,$A88,COLUMN())</f>
        <v>10.150705495660294</v>
      </c>
    </row>
    <row r="89" spans="1:17" s="53" customFormat="1">
      <c r="A89" s="110"/>
      <c r="B89" s="57"/>
      <c r="C89" s="56"/>
      <c r="D89" s="55"/>
      <c r="E89" s="59"/>
      <c r="F89" s="129"/>
      <c r="G89" s="129"/>
      <c r="H89" s="129"/>
      <c r="I89" s="129"/>
      <c r="J89" s="190"/>
      <c r="K89" s="61"/>
      <c r="L89" s="61"/>
      <c r="M89" s="61"/>
      <c r="N89" s="61"/>
      <c r="O89" s="61"/>
    </row>
    <row r="90" spans="1:17" s="11" customFormat="1">
      <c r="A90" s="27"/>
      <c r="B90" s="28"/>
      <c r="C90" s="29"/>
      <c r="D90" s="30"/>
      <c r="E90" s="32" t="s">
        <v>354</v>
      </c>
      <c r="F90" s="31"/>
      <c r="G90" s="31"/>
      <c r="H90" s="31"/>
      <c r="I90" s="31"/>
      <c r="J90" s="44"/>
      <c r="K90" s="31"/>
      <c r="L90" s="31"/>
      <c r="M90" s="31"/>
      <c r="N90" s="31"/>
      <c r="O90" s="31"/>
      <c r="Q90" s="53"/>
    </row>
    <row r="91" spans="1:17" s="53" customFormat="1">
      <c r="A91" s="85">
        <f>+A$19</f>
        <v>7</v>
      </c>
      <c r="B91" s="57"/>
      <c r="C91" s="56"/>
      <c r="D91" s="55" t="s">
        <v>29</v>
      </c>
      <c r="E91" s="59" t="s">
        <v>89</v>
      </c>
      <c r="F91" s="129">
        <f>INDEX('Used inputs'!$A$49:$O$63,$A91,COLUMN())</f>
        <v>165.81044</v>
      </c>
      <c r="G91" s="129">
        <f>INDEX('Used inputs'!$A$49:$O$63,$A91,COLUMN())</f>
        <v>163.685</v>
      </c>
      <c r="H91" s="129">
        <f>INDEX('Used inputs'!$A$49:$O$63,$A91,COLUMN())</f>
        <v>159.43299999999999</v>
      </c>
      <c r="I91" s="129">
        <f>INDEX('Used inputs'!$A$49:$O$63,$A91,COLUMN())</f>
        <v>155.49700000000001</v>
      </c>
      <c r="J91" s="190">
        <f>INDEX('Used inputs'!$A$49:$O$63,$A91,COLUMN())</f>
        <v>152.13499999999999</v>
      </c>
      <c r="K91" s="165">
        <f>INDEX('Used inputs'!$A$49:$O$63,$A91,COLUMN())</f>
        <v>148.935</v>
      </c>
      <c r="L91" s="165">
        <f>INDEX('Used inputs'!$A$49:$O$63,$A91,COLUMN())</f>
        <v>145.66900000000001</v>
      </c>
      <c r="M91" s="165">
        <f>INDEX('Used inputs'!$A$49:$O$63,$A91,COLUMN())</f>
        <v>142.45599999999999</v>
      </c>
      <c r="N91" s="165">
        <f>INDEX('Used inputs'!$A$49:$O$63,$A91,COLUMN())</f>
        <v>139.298</v>
      </c>
      <c r="O91" s="165">
        <f>INDEX('Used inputs'!$A$49:$O$63,$A91,COLUMN())</f>
        <v>136.191</v>
      </c>
    </row>
    <row r="92" spans="1:17" s="53" customFormat="1">
      <c r="A92" s="85">
        <f>+A$20</f>
        <v>8</v>
      </c>
      <c r="B92" s="57"/>
      <c r="C92" s="56"/>
      <c r="D92" s="55" t="s">
        <v>29</v>
      </c>
      <c r="E92" s="59" t="s">
        <v>90</v>
      </c>
      <c r="F92" s="129">
        <f>INDEX('Used inputs'!$A$49:$O$63,$A92,COLUMN())</f>
        <v>93.694220000000001</v>
      </c>
      <c r="G92" s="129">
        <f>INDEX('Used inputs'!$A$49:$O$63,$A92,COLUMN())</f>
        <v>95.864999999999995</v>
      </c>
      <c r="H92" s="129">
        <f>INDEX('Used inputs'!$A$49:$O$63,$A92,COLUMN())</f>
        <v>100.205</v>
      </c>
      <c r="I92" s="129">
        <f>INDEX('Used inputs'!$A$49:$O$63,$A92,COLUMN())</f>
        <v>104.505</v>
      </c>
      <c r="J92" s="190">
        <f>INDEX('Used inputs'!$A$49:$O$63,$A92,COLUMN())</f>
        <v>109.024</v>
      </c>
      <c r="K92" s="165">
        <f>INDEX('Used inputs'!$A$49:$O$63,$A92,COLUMN())</f>
        <v>113.721</v>
      </c>
      <c r="L92" s="165">
        <f>INDEX('Used inputs'!$A$49:$O$63,$A92,COLUMN())</f>
        <v>118.38800000000001</v>
      </c>
      <c r="M92" s="165">
        <f>INDEX('Used inputs'!$A$49:$O$63,$A92,COLUMN())</f>
        <v>123.16200000000001</v>
      </c>
      <c r="N92" s="165">
        <f>INDEX('Used inputs'!$A$49:$O$63,$A92,COLUMN())</f>
        <v>128.04599999999999</v>
      </c>
      <c r="O92" s="165">
        <f>INDEX('Used inputs'!$A$49:$O$63,$A92,COLUMN())</f>
        <v>133.03899999999999</v>
      </c>
    </row>
    <row r="93" spans="1:17" s="53" customFormat="1">
      <c r="A93" s="85">
        <f>+A$21</f>
        <v>9</v>
      </c>
      <c r="B93" s="57"/>
      <c r="C93" s="56"/>
      <c r="D93" s="55" t="s">
        <v>29</v>
      </c>
      <c r="E93" s="59" t="s">
        <v>91</v>
      </c>
      <c r="F93" s="129">
        <f>INDEX('Used inputs'!$A$49:$O$63,$A93,COLUMN())</f>
        <v>496.77</v>
      </c>
      <c r="G93" s="129">
        <f>INDEX('Used inputs'!$A$49:$O$63,$A93,COLUMN())</f>
        <v>492.81400000000002</v>
      </c>
      <c r="H93" s="129">
        <f>INDEX('Used inputs'!$A$49:$O$63,$A93,COLUMN())</f>
        <v>484.90100000000001</v>
      </c>
      <c r="I93" s="129">
        <f>INDEX('Used inputs'!$A$49:$O$63,$A93,COLUMN())</f>
        <v>478.077</v>
      </c>
      <c r="J93" s="190">
        <f>INDEX('Used inputs'!$A$49:$O$63,$A93,COLUMN())</f>
        <v>468.68799999999999</v>
      </c>
      <c r="K93" s="165">
        <f>INDEX('Used inputs'!$A$49:$O$63,$A93,COLUMN())</f>
        <v>457.61399999999998</v>
      </c>
      <c r="L93" s="165">
        <f>INDEX('Used inputs'!$A$49:$O$63,$A93,COLUMN())</f>
        <v>448.42399999999998</v>
      </c>
      <c r="M93" s="165">
        <f>INDEX('Used inputs'!$A$49:$O$63,$A93,COLUMN())</f>
        <v>439.05799999999999</v>
      </c>
      <c r="N93" s="165">
        <f>INDEX('Used inputs'!$A$49:$O$63,$A93,COLUMN())</f>
        <v>429.61200000000002</v>
      </c>
      <c r="O93" s="165">
        <f>INDEX('Used inputs'!$A$49:$O$63,$A93,COLUMN())</f>
        <v>420.22300000000001</v>
      </c>
    </row>
    <row r="94" spans="1:17" s="53" customFormat="1">
      <c r="A94" s="85">
        <f>+A$22</f>
        <v>10</v>
      </c>
      <c r="B94" s="57"/>
      <c r="C94" s="56"/>
      <c r="D94" s="55" t="s">
        <v>29</v>
      </c>
      <c r="E94" s="59" t="s">
        <v>92</v>
      </c>
      <c r="F94" s="129">
        <f>INDEX('Used inputs'!$A$49:$O$63,$A94,COLUMN())</f>
        <v>189.93</v>
      </c>
      <c r="G94" s="129">
        <f>INDEX('Used inputs'!$A$49:$O$63,$A94,COLUMN())</f>
        <v>196.63399999999999</v>
      </c>
      <c r="H94" s="129">
        <f>INDEX('Used inputs'!$A$49:$O$63,$A94,COLUMN())</f>
        <v>210.042</v>
      </c>
      <c r="I94" s="129">
        <f>INDEX('Used inputs'!$A$49:$O$63,$A94,COLUMN())</f>
        <v>223.54300000000001</v>
      </c>
      <c r="J94" s="190">
        <f>INDEX('Used inputs'!$A$49:$O$63,$A94,COLUMN())</f>
        <v>235.03299999999999</v>
      </c>
      <c r="K94" s="165">
        <f>INDEX('Used inputs'!$A$49:$O$63,$A94,COLUMN())</f>
        <v>245.434</v>
      </c>
      <c r="L94" s="165">
        <f>INDEX('Used inputs'!$A$49:$O$63,$A94,COLUMN())</f>
        <v>256.99700000000001</v>
      </c>
      <c r="M94" s="165">
        <f>INDEX('Used inputs'!$A$49:$O$63,$A94,COLUMN())</f>
        <v>268.89</v>
      </c>
      <c r="N94" s="165">
        <f>INDEX('Used inputs'!$A$49:$O$63,$A94,COLUMN())</f>
        <v>281.012</v>
      </c>
      <c r="O94" s="165">
        <f>INDEX('Used inputs'!$A$49:$O$63,$A94,COLUMN())</f>
        <v>293.17200000000003</v>
      </c>
    </row>
    <row r="95" spans="1:17" s="53" customFormat="1">
      <c r="A95" s="85">
        <f>+A$23</f>
        <v>11</v>
      </c>
      <c r="B95" s="57"/>
      <c r="C95" s="56"/>
      <c r="D95" s="55" t="s">
        <v>29</v>
      </c>
      <c r="E95" s="59" t="s">
        <v>93</v>
      </c>
      <c r="F95" s="129">
        <f>INDEX('Used inputs'!$A$49:$O$63,$A95,COLUMN())</f>
        <v>1847.9069999999999</v>
      </c>
      <c r="G95" s="129">
        <f>INDEX('Used inputs'!$A$49:$O$63,$A95,COLUMN())</f>
        <v>1832.424</v>
      </c>
      <c r="H95" s="129">
        <f>INDEX('Used inputs'!$A$49:$O$63,$A95,COLUMN())</f>
        <v>1801.4580000000001</v>
      </c>
      <c r="I95" s="129">
        <f>INDEX('Used inputs'!$A$49:$O$63,$A95,COLUMN())</f>
        <v>1768.6469999999999</v>
      </c>
      <c r="J95" s="190">
        <f>INDEX('Used inputs'!$A$49:$O$63,$A95,COLUMN())</f>
        <v>1730.471</v>
      </c>
      <c r="K95" s="165">
        <f>INDEX('Used inputs'!$A$49:$O$63,$A95,COLUMN())</f>
        <v>1690.922</v>
      </c>
      <c r="L95" s="165">
        <f>INDEX('Used inputs'!$A$49:$O$63,$A95,COLUMN())</f>
        <v>1653.8330000000001</v>
      </c>
      <c r="M95" s="165">
        <f>INDEX('Used inputs'!$A$49:$O$63,$A95,COLUMN())</f>
        <v>1617.3630000000001</v>
      </c>
      <c r="N95" s="165">
        <f>INDEX('Used inputs'!$A$49:$O$63,$A95,COLUMN())</f>
        <v>1581.5</v>
      </c>
      <c r="O95" s="165">
        <f>INDEX('Used inputs'!$A$49:$O$63,$A95,COLUMN())</f>
        <v>1546.2339999999999</v>
      </c>
    </row>
    <row r="96" spans="1:17" s="53" customFormat="1">
      <c r="A96" s="85">
        <f>+A$24</f>
        <v>12</v>
      </c>
      <c r="B96" s="57"/>
      <c r="C96" s="56"/>
      <c r="D96" s="55" t="s">
        <v>29</v>
      </c>
      <c r="E96" s="59" t="s">
        <v>94</v>
      </c>
      <c r="F96" s="129">
        <f>INDEX('Used inputs'!$A$49:$O$63,$A96,COLUMN())</f>
        <v>992.06600000000003</v>
      </c>
      <c r="G96" s="129">
        <f>INDEX('Used inputs'!$A$49:$O$63,$A96,COLUMN())</f>
        <v>1017.944</v>
      </c>
      <c r="H96" s="129">
        <f>INDEX('Used inputs'!$A$49:$O$63,$A96,COLUMN())</f>
        <v>1069.6990000000001</v>
      </c>
      <c r="I96" s="129">
        <f>INDEX('Used inputs'!$A$49:$O$63,$A96,COLUMN())</f>
        <v>1118.6849999999999</v>
      </c>
      <c r="J96" s="190">
        <f>INDEX('Used inputs'!$A$49:$O$63,$A96,COLUMN())</f>
        <v>1167.05</v>
      </c>
      <c r="K96" s="165">
        <f>INDEX('Used inputs'!$A$49:$O$63,$A96,COLUMN())</f>
        <v>1216.989</v>
      </c>
      <c r="L96" s="165">
        <f>INDEX('Used inputs'!$A$49:$O$63,$A96,COLUMN())</f>
        <v>1266.9280000000001</v>
      </c>
      <c r="M96" s="165">
        <f>INDEX('Used inputs'!$A$49:$O$63,$A96,COLUMN())</f>
        <v>1318.0219999999999</v>
      </c>
      <c r="N96" s="165">
        <f>INDEX('Used inputs'!$A$49:$O$63,$A96,COLUMN())</f>
        <v>1370.2819999999999</v>
      </c>
      <c r="O96" s="165">
        <f>INDEX('Used inputs'!$A$49:$O$63,$A96,COLUMN())</f>
        <v>1423.7190000000001</v>
      </c>
    </row>
    <row r="97" spans="1:17" s="53" customFormat="1">
      <c r="A97" s="110"/>
      <c r="B97" s="57"/>
      <c r="C97" s="56"/>
      <c r="D97" s="55"/>
      <c r="E97" s="59"/>
      <c r="F97" s="129"/>
      <c r="G97" s="129"/>
      <c r="H97" s="129"/>
      <c r="I97" s="129"/>
      <c r="J97" s="190"/>
      <c r="K97" s="61"/>
      <c r="L97" s="61"/>
      <c r="M97" s="61"/>
      <c r="N97" s="61"/>
      <c r="O97" s="61"/>
    </row>
    <row r="98" spans="1:17" s="11" customFormat="1">
      <c r="A98" s="27"/>
      <c r="B98" s="28"/>
      <c r="C98" s="29"/>
      <c r="D98" s="181"/>
      <c r="E98" s="33" t="s">
        <v>355</v>
      </c>
      <c r="F98" s="31"/>
      <c r="G98" s="31"/>
      <c r="H98" s="31"/>
      <c r="I98" s="31"/>
      <c r="J98" s="44"/>
      <c r="K98" s="31"/>
      <c r="L98" s="31"/>
      <c r="M98" s="31"/>
      <c r="N98" s="31"/>
      <c r="O98" s="31"/>
      <c r="Q98" s="53"/>
    </row>
    <row r="99" spans="1:17" s="53" customFormat="1">
      <c r="A99" s="85">
        <f>+A$27</f>
        <v>13</v>
      </c>
      <c r="B99" s="57"/>
      <c r="C99" s="56"/>
      <c r="D99" s="55" t="s">
        <v>29</v>
      </c>
      <c r="E99" s="182" t="s">
        <v>323</v>
      </c>
      <c r="F99" s="129"/>
      <c r="G99" s="129"/>
      <c r="H99" s="129"/>
      <c r="I99" s="165">
        <f>INDEX('Used inputs'!$A$49:$O$63,$A99+1,COLUMN())+INDEX('Used inputs'!$A$49:$O$63,$A99+2,COLUMN())</f>
        <v>0.77323768662024051</v>
      </c>
      <c r="J99" s="243">
        <f>INDEX('Used inputs'!$A$49:$O$63,$A99+1,COLUMN())+INDEX('Used inputs'!$A$49:$O$63,$A99+2,COLUMN())</f>
        <v>4.0698273599602608</v>
      </c>
      <c r="K99" s="165">
        <f>INDEX('Used inputs'!$A$49:$O$63,$A99+1,COLUMN())+INDEX('Used inputs'!$A$49:$O$63,$A99+2,COLUMN())</f>
        <v>1.0525713532657894</v>
      </c>
      <c r="L99" s="165">
        <f>INDEX('Used inputs'!$A$49:$O$63,$A99+1,COLUMN())+INDEX('Used inputs'!$A$49:$O$63,$A99+2,COLUMN())</f>
        <v>1.5766060771538242</v>
      </c>
      <c r="M99" s="165">
        <f>INDEX('Used inputs'!$A$49:$O$63,$A99+1,COLUMN())+INDEX('Used inputs'!$A$49:$O$63,$A99+2,COLUMN())</f>
        <v>1.9780631716998318</v>
      </c>
      <c r="N99" s="165">
        <f>INDEX('Used inputs'!$A$49:$O$63,$A99+1,COLUMN())+INDEX('Used inputs'!$A$49:$O$63,$A99+2,COLUMN())</f>
        <v>2.1796307292669495</v>
      </c>
      <c r="O99" s="165">
        <f>INDEX('Used inputs'!$A$49:$O$63,$A99+1,COLUMN())+INDEX('Used inputs'!$A$49:$O$63,$A99+2,COLUMN())</f>
        <v>2.1139324443264034</v>
      </c>
    </row>
    <row r="100" spans="1:17" s="53" customFormat="1">
      <c r="A100" s="85"/>
      <c r="B100" s="57"/>
      <c r="C100" s="56"/>
      <c r="D100" s="55"/>
      <c r="E100" s="182"/>
      <c r="F100" s="129"/>
      <c r="G100" s="129"/>
      <c r="H100" s="129"/>
      <c r="I100" s="129"/>
      <c r="J100" s="190"/>
      <c r="K100" s="165"/>
      <c r="L100" s="165"/>
      <c r="M100" s="165"/>
      <c r="N100" s="165"/>
      <c r="O100" s="165"/>
    </row>
    <row r="101" spans="1:17" s="53" customFormat="1">
      <c r="A101" s="85"/>
      <c r="B101" s="57"/>
      <c r="C101" s="56"/>
      <c r="D101" s="55"/>
      <c r="E101" s="59"/>
      <c r="F101" s="129"/>
      <c r="G101" s="129"/>
      <c r="H101" s="129"/>
      <c r="I101" s="129"/>
      <c r="J101" s="190"/>
      <c r="K101" s="61"/>
      <c r="L101" s="61"/>
      <c r="M101" s="61"/>
      <c r="N101" s="61"/>
      <c r="O101" s="61"/>
    </row>
    <row r="102" spans="1:17">
      <c r="A102" s="82"/>
      <c r="B102" s="31"/>
      <c r="C102" s="38" t="str">
        <f>INDEX('Used inputs'!$A$64:$O$75,1,1)</f>
        <v>SWT</v>
      </c>
      <c r="D102" s="39"/>
      <c r="E102" s="48"/>
      <c r="F102" s="31"/>
      <c r="G102" s="31"/>
      <c r="H102" s="31"/>
      <c r="I102" s="31"/>
      <c r="J102" s="44"/>
      <c r="K102" s="31"/>
      <c r="L102" s="31"/>
      <c r="M102" s="31"/>
      <c r="N102" s="31"/>
      <c r="O102" s="31"/>
      <c r="Q102" s="53"/>
    </row>
    <row r="103" spans="1:17">
      <c r="A103" s="83"/>
      <c r="B103" s="16"/>
      <c r="C103" s="17"/>
      <c r="D103" s="18"/>
      <c r="E103" s="19"/>
      <c r="F103" s="16"/>
      <c r="G103" s="16"/>
      <c r="H103" s="16"/>
      <c r="I103" s="16"/>
      <c r="J103" s="220"/>
      <c r="K103" s="134"/>
      <c r="L103" s="134"/>
      <c r="M103" s="134"/>
      <c r="N103" s="134"/>
      <c r="O103" s="134"/>
      <c r="Q103" s="53"/>
    </row>
    <row r="104" spans="1:17" s="11" customFormat="1">
      <c r="A104" s="84"/>
      <c r="B104" s="28"/>
      <c r="C104" s="29" t="s">
        <v>23</v>
      </c>
      <c r="D104" s="47" t="s">
        <v>24</v>
      </c>
      <c r="E104" s="33" t="s">
        <v>356</v>
      </c>
      <c r="F104" s="31"/>
      <c r="G104" s="31"/>
      <c r="H104" s="31"/>
      <c r="I104" s="31"/>
      <c r="J104" s="44"/>
      <c r="K104" s="31"/>
      <c r="L104" s="31"/>
      <c r="M104" s="31"/>
      <c r="N104" s="31"/>
      <c r="O104" s="31"/>
      <c r="Q104" s="53"/>
    </row>
    <row r="105" spans="1:17" s="53" customFormat="1">
      <c r="A105" s="85">
        <f>+A$9</f>
        <v>1</v>
      </c>
      <c r="B105" s="57"/>
      <c r="C105" s="56"/>
      <c r="D105" s="55" t="s">
        <v>10</v>
      </c>
      <c r="E105" s="59" t="s">
        <v>132</v>
      </c>
      <c r="F105" s="129">
        <f>INDEX('Used inputs'!$A$64:$O$78,$A105,COLUMN())</f>
        <v>27.963000000000047</v>
      </c>
      <c r="G105" s="129">
        <f>INDEX('Used inputs'!$A$64:$O$78,$A105,COLUMN())</f>
        <v>28.031000000000013</v>
      </c>
      <c r="H105" s="129">
        <f>INDEX('Used inputs'!$A$64:$O$78,$A105,COLUMN())</f>
        <v>29.165999999999993</v>
      </c>
      <c r="I105" s="129">
        <f ca="1">INDEX('Used inputs'!$A$64:$O$78,$A105,COLUMN())</f>
        <v>22.238565886720469</v>
      </c>
      <c r="J105" s="190">
        <f>INDEX('Used inputs'!$A$64:$O$78,$A105,COLUMN())</f>
        <v>28.770000000000039</v>
      </c>
      <c r="K105" s="165">
        <f ca="1">INDEX('Used inputs'!$A$64:$O$78,$A105,COLUMN())</f>
        <v>20.31399999999995</v>
      </c>
      <c r="L105" s="165">
        <f ca="1">INDEX('Used inputs'!$A$64:$O$78,$A105,COLUMN())</f>
        <v>20.415999999999993</v>
      </c>
      <c r="M105" s="165">
        <f ca="1">INDEX('Used inputs'!$A$64:$O$78,$A105,COLUMN())</f>
        <v>20.481999999999992</v>
      </c>
      <c r="N105" s="165">
        <f ca="1">INDEX('Used inputs'!$A$64:$O$78,$A105,COLUMN())</f>
        <v>20.507000000000009</v>
      </c>
      <c r="O105" s="165">
        <f ca="1">INDEX('Used inputs'!$A$64:$O$78,$A105,COLUMN())</f>
        <v>20.510999999999946</v>
      </c>
    </row>
    <row r="106" spans="1:17" s="53" customFormat="1">
      <c r="A106" s="85">
        <f>+A$10</f>
        <v>2</v>
      </c>
      <c r="B106" s="57"/>
      <c r="C106" s="56"/>
      <c r="D106" s="55" t="s">
        <v>10</v>
      </c>
      <c r="E106" s="114" t="s">
        <v>99</v>
      </c>
      <c r="F106" s="129">
        <f>INDEX('Used inputs'!$A$64:$O$78,$A106,COLUMN())</f>
        <v>2.7509999999999954</v>
      </c>
      <c r="G106" s="129">
        <f>INDEX('Used inputs'!$A$64:$O$78,$A106,COLUMN())</f>
        <v>2.8779999999999988</v>
      </c>
      <c r="H106" s="129">
        <f>INDEX('Used inputs'!$A$64:$O$78,$A106,COLUMN())</f>
        <v>3.2140000000000031</v>
      </c>
      <c r="I106" s="129">
        <f>INDEX('Used inputs'!$A$64:$O$78,$A106,COLUMN())</f>
        <v>3.2620000000000009</v>
      </c>
      <c r="J106" s="190">
        <f>INDEX('Used inputs'!$A$64:$O$78,$A106,COLUMN())</f>
        <v>3.1210000000000013</v>
      </c>
      <c r="K106" s="165">
        <f>INDEX('Used inputs'!$A$64:$O$78,$A106,COLUMN())</f>
        <v>2.0040000000000004</v>
      </c>
      <c r="L106" s="165">
        <f>INDEX('Used inputs'!$A$64:$O$78,$A106,COLUMN())</f>
        <v>1.4000000000000044</v>
      </c>
      <c r="M106" s="165">
        <f>INDEX('Used inputs'!$A$64:$O$78,$A106,COLUMN())</f>
        <v>1.1919999999999971</v>
      </c>
      <c r="N106" s="165">
        <f>INDEX('Used inputs'!$A$64:$O$78,$A106,COLUMN())</f>
        <v>0.98200000000000032</v>
      </c>
      <c r="O106" s="165">
        <f>INDEX('Used inputs'!$A$64:$O$78,$A106,COLUMN())</f>
        <v>0.56299999999999983</v>
      </c>
    </row>
    <row r="107" spans="1:17" s="53" customFormat="1">
      <c r="A107" s="85">
        <f>+A$11</f>
        <v>3</v>
      </c>
      <c r="B107" s="57"/>
      <c r="C107" s="56"/>
      <c r="D107" s="55" t="s">
        <v>10</v>
      </c>
      <c r="E107" s="114" t="s">
        <v>100</v>
      </c>
      <c r="F107" s="129">
        <f>INDEX('Used inputs'!$A$64:$O$78,$A107,COLUMN())</f>
        <v>0</v>
      </c>
      <c r="G107" s="129">
        <f>INDEX('Used inputs'!$A$64:$O$78,$A107,COLUMN())</f>
        <v>0</v>
      </c>
      <c r="H107" s="129">
        <f>INDEX('Used inputs'!$A$64:$O$78,$A107,COLUMN())</f>
        <v>0</v>
      </c>
      <c r="I107" s="129">
        <f>INDEX('Used inputs'!$A$64:$O$78,$A107,COLUMN())</f>
        <v>0</v>
      </c>
      <c r="J107" s="190">
        <f>INDEX('Used inputs'!$A$64:$O$78,$A107,COLUMN())</f>
        <v>0</v>
      </c>
      <c r="K107" s="165">
        <f>INDEX('Used inputs'!$A$64:$O$78,$A107,COLUMN())</f>
        <v>0.13600000000000045</v>
      </c>
      <c r="L107" s="165">
        <f>INDEX('Used inputs'!$A$64:$O$78,$A107,COLUMN())</f>
        <v>0.43399999999999966</v>
      </c>
      <c r="M107" s="165">
        <f>INDEX('Used inputs'!$A$64:$O$78,$A107,COLUMN())</f>
        <v>0.70099999999999985</v>
      </c>
      <c r="N107" s="165">
        <f>INDEX('Used inputs'!$A$64:$O$78,$A107,COLUMN())</f>
        <v>0.91699999999999982</v>
      </c>
      <c r="O107" s="165">
        <f>INDEX('Used inputs'!$A$64:$O$78,$A107,COLUMN())</f>
        <v>1.1159999999999961</v>
      </c>
    </row>
    <row r="108" spans="1:17" s="53" customFormat="1">
      <c r="A108" s="110"/>
      <c r="B108" s="57"/>
      <c r="C108" s="56"/>
      <c r="D108" s="55"/>
      <c r="E108" s="59"/>
      <c r="F108" s="129"/>
      <c r="G108" s="129"/>
      <c r="H108" s="129"/>
      <c r="I108" s="129"/>
      <c r="J108" s="190"/>
      <c r="K108" s="61"/>
      <c r="L108" s="61"/>
      <c r="M108" s="61"/>
      <c r="N108" s="61"/>
      <c r="O108" s="61"/>
    </row>
    <row r="109" spans="1:17" s="11" customFormat="1">
      <c r="A109" s="27"/>
      <c r="B109" s="28"/>
      <c r="C109" s="29"/>
      <c r="D109" s="30"/>
      <c r="E109" s="32" t="s">
        <v>357</v>
      </c>
      <c r="F109" s="31"/>
      <c r="G109" s="31"/>
      <c r="H109" s="31"/>
      <c r="I109" s="31"/>
      <c r="J109" s="44"/>
      <c r="K109" s="31"/>
      <c r="L109" s="31"/>
      <c r="M109" s="31"/>
      <c r="N109" s="31"/>
      <c r="O109" s="31"/>
      <c r="Q109" s="53"/>
    </row>
    <row r="110" spans="1:17" s="53" customFormat="1">
      <c r="A110" s="85">
        <f>+A$14</f>
        <v>4</v>
      </c>
      <c r="B110" s="56" t="s">
        <v>40</v>
      </c>
      <c r="C110" s="56"/>
      <c r="D110" s="55" t="s">
        <v>10</v>
      </c>
      <c r="E110" s="59" t="s">
        <v>135</v>
      </c>
      <c r="F110" s="129">
        <f>INDEX('Used inputs'!$A$64:$O$78,$A110,COLUMN())</f>
        <v>7.9000000000000015E-2</v>
      </c>
      <c r="G110" s="129">
        <f>INDEX('Used inputs'!$A$64:$O$78,$A110,COLUMN())</f>
        <v>7.7999999999999972E-2</v>
      </c>
      <c r="H110" s="129">
        <f>INDEX('Used inputs'!$A$64:$O$78,$A110,COLUMN())</f>
        <v>7.3999999999999996E-2</v>
      </c>
      <c r="I110" s="129">
        <f>INDEX('Used inputs'!$A$64:$O$78,$A110,COLUMN())</f>
        <v>8.1000000000000003E-2</v>
      </c>
      <c r="J110" s="190">
        <f>INDEX('Used inputs'!$A$64:$O$78,$A110,COLUMN())</f>
        <v>8.1000000000000003E-2</v>
      </c>
      <c r="K110" s="165">
        <f>INDEX('Used inputs'!$A$64:$O$78,$A110,COLUMN())</f>
        <v>8.4000000000000047E-2</v>
      </c>
      <c r="L110" s="165">
        <f>INDEX('Used inputs'!$A$64:$O$78,$A110,COLUMN())</f>
        <v>8.8000000000000023E-2</v>
      </c>
      <c r="M110" s="165">
        <f>INDEX('Used inputs'!$A$64:$O$78,$A110,COLUMN())</f>
        <v>9.2999999999999958E-2</v>
      </c>
      <c r="N110" s="165">
        <f>INDEX('Used inputs'!$A$64:$O$78,$A110,COLUMN())</f>
        <v>9.7000000000000045E-2</v>
      </c>
      <c r="O110" s="165">
        <f>INDEX('Used inputs'!$A$64:$O$78,$A110,COLUMN())</f>
        <v>9.7000000000000045E-2</v>
      </c>
    </row>
    <row r="111" spans="1:17" s="53" customFormat="1">
      <c r="A111" s="85">
        <f>+A$15</f>
        <v>5</v>
      </c>
      <c r="B111" s="56" t="s">
        <v>41</v>
      </c>
      <c r="C111" s="56"/>
      <c r="D111" s="55" t="s">
        <v>10</v>
      </c>
      <c r="E111" s="59" t="s">
        <v>136</v>
      </c>
      <c r="F111" s="129">
        <f>INDEX('Used inputs'!$A$64:$O$78,$A111,COLUMN())</f>
        <v>0</v>
      </c>
      <c r="G111" s="129">
        <f>INDEX('Used inputs'!$A$64:$O$78,$A111,COLUMN())</f>
        <v>0</v>
      </c>
      <c r="H111" s="129">
        <f>INDEX('Used inputs'!$A$64:$O$78,$A111,COLUMN())</f>
        <v>0</v>
      </c>
      <c r="I111" s="129">
        <f>INDEX('Used inputs'!$A$64:$O$78,$A111,COLUMN())</f>
        <v>0</v>
      </c>
      <c r="J111" s="190">
        <f>INDEX('Used inputs'!$A$64:$O$78,$A111,COLUMN())</f>
        <v>0</v>
      </c>
      <c r="K111" s="165">
        <f>INDEX('Used inputs'!$A$64:$O$78,$A111,COLUMN())</f>
        <v>0</v>
      </c>
      <c r="L111" s="165">
        <f>INDEX('Used inputs'!$A$64:$O$78,$A111,COLUMN())</f>
        <v>0</v>
      </c>
      <c r="M111" s="165">
        <f>INDEX('Used inputs'!$A$64:$O$78,$A111,COLUMN())</f>
        <v>0</v>
      </c>
      <c r="N111" s="165">
        <f>INDEX('Used inputs'!$A$64:$O$78,$A111,COLUMN())</f>
        <v>0</v>
      </c>
      <c r="O111" s="165">
        <f>INDEX('Used inputs'!$A$64:$O$78,$A111,COLUMN())</f>
        <v>0</v>
      </c>
    </row>
    <row r="112" spans="1:17" s="53" customFormat="1">
      <c r="A112" s="85">
        <f>+A$16</f>
        <v>6</v>
      </c>
      <c r="B112" s="56" t="s">
        <v>42</v>
      </c>
      <c r="C112" s="56"/>
      <c r="D112" s="55" t="s">
        <v>10</v>
      </c>
      <c r="E112" s="59" t="s">
        <v>137</v>
      </c>
      <c r="F112" s="129">
        <f>INDEX('Used inputs'!$A$64:$O$78,$A112,COLUMN())</f>
        <v>1.5689999999999962</v>
      </c>
      <c r="G112" s="129">
        <f>INDEX('Used inputs'!$A$64:$O$78,$A112,COLUMN())</f>
        <v>1.5359999999999996</v>
      </c>
      <c r="H112" s="129">
        <f>INDEX('Used inputs'!$A$64:$O$78,$A112,COLUMN())</f>
        <v>1.4610000000000039</v>
      </c>
      <c r="I112" s="129">
        <f>INDEX('Used inputs'!$A$64:$O$78,$A112,COLUMN())</f>
        <v>1.5739999999999998</v>
      </c>
      <c r="J112" s="190">
        <f>INDEX('Used inputs'!$A$64:$O$78,$A112,COLUMN())</f>
        <v>1.5439999999999976</v>
      </c>
      <c r="K112" s="165">
        <f>INDEX('Used inputs'!$A$64:$O$78,$A112,COLUMN())</f>
        <v>1.5890000000000011</v>
      </c>
      <c r="L112" s="165">
        <f>INDEX('Used inputs'!$A$64:$O$78,$A112,COLUMN())</f>
        <v>1.6310000000000004</v>
      </c>
      <c r="M112" s="165">
        <f>INDEX('Used inputs'!$A$64:$O$78,$A112,COLUMN())</f>
        <v>1.6699999999999953</v>
      </c>
      <c r="N112" s="165">
        <f>INDEX('Used inputs'!$A$64:$O$78,$A112,COLUMN())</f>
        <v>1.707000000000001</v>
      </c>
      <c r="O112" s="165">
        <f>INDEX('Used inputs'!$A$64:$O$78,$A112,COLUMN())</f>
        <v>1.707000000000001</v>
      </c>
    </row>
    <row r="113" spans="1:17" s="53" customFormat="1">
      <c r="A113" s="110"/>
      <c r="B113" s="57"/>
      <c r="C113" s="56"/>
      <c r="D113" s="55"/>
      <c r="E113" s="59"/>
      <c r="F113" s="129"/>
      <c r="G113" s="129"/>
      <c r="H113" s="129"/>
      <c r="I113" s="129"/>
      <c r="J113" s="190"/>
      <c r="K113" s="61"/>
      <c r="L113" s="61"/>
      <c r="M113" s="61"/>
      <c r="N113" s="61"/>
      <c r="O113" s="61"/>
    </row>
    <row r="114" spans="1:17" s="11" customFormat="1">
      <c r="A114" s="27"/>
      <c r="B114" s="28"/>
      <c r="C114" s="29"/>
      <c r="D114" s="30"/>
      <c r="E114" s="32" t="s">
        <v>358</v>
      </c>
      <c r="F114" s="31"/>
      <c r="G114" s="31"/>
      <c r="H114" s="31"/>
      <c r="I114" s="31"/>
      <c r="J114" s="44"/>
      <c r="K114" s="31"/>
      <c r="L114" s="31"/>
      <c r="M114" s="31"/>
      <c r="N114" s="31"/>
      <c r="O114" s="31"/>
      <c r="Q114" s="53"/>
    </row>
    <row r="115" spans="1:17" s="53" customFormat="1">
      <c r="A115" s="85">
        <f>+A$19</f>
        <v>7</v>
      </c>
      <c r="B115" s="57"/>
      <c r="C115" s="56"/>
      <c r="D115" s="55" t="s">
        <v>29</v>
      </c>
      <c r="E115" s="59" t="s">
        <v>89</v>
      </c>
      <c r="F115" s="129">
        <f>INDEX('Used inputs'!$A$64:$O$78,$A115,COLUMN())</f>
        <v>34.552</v>
      </c>
      <c r="G115" s="129">
        <f>INDEX('Used inputs'!$A$64:$O$78,$A115,COLUMN())</f>
        <v>33.71</v>
      </c>
      <c r="H115" s="129">
        <f>INDEX('Used inputs'!$A$64:$O$78,$A115,COLUMN())</f>
        <v>32.726999999999997</v>
      </c>
      <c r="I115" s="129">
        <f>INDEX('Used inputs'!$A$64:$O$78,$A115,COLUMN())</f>
        <v>32.115000000000002</v>
      </c>
      <c r="J115" s="190">
        <f>INDEX('Used inputs'!$A$64:$O$78,$A115,COLUMN())</f>
        <v>31.177</v>
      </c>
      <c r="K115" s="165">
        <f>INDEX('Used inputs'!$A$64:$O$78,$A115,COLUMN())</f>
        <v>30.221</v>
      </c>
      <c r="L115" s="165">
        <f>INDEX('Used inputs'!$A$64:$O$78,$A115,COLUMN())</f>
        <v>29.224</v>
      </c>
      <c r="M115" s="165">
        <f>INDEX('Used inputs'!$A$64:$O$78,$A115,COLUMN())</f>
        <v>28.206</v>
      </c>
      <c r="N115" s="165">
        <f>INDEX('Used inputs'!$A$64:$O$78,$A115,COLUMN())</f>
        <v>27.18</v>
      </c>
      <c r="O115" s="165">
        <f>INDEX('Used inputs'!$A$64:$O$78,$A115,COLUMN())</f>
        <v>26.161000000000001</v>
      </c>
    </row>
    <row r="116" spans="1:17" s="53" customFormat="1">
      <c r="A116" s="85">
        <f>+A$20</f>
        <v>8</v>
      </c>
      <c r="B116" s="57"/>
      <c r="C116" s="56"/>
      <c r="D116" s="55" t="s">
        <v>29</v>
      </c>
      <c r="E116" s="59" t="s">
        <v>90</v>
      </c>
      <c r="F116" s="129">
        <f>INDEX('Used inputs'!$A$64:$O$78,$A116,COLUMN())</f>
        <v>24.471</v>
      </c>
      <c r="G116" s="129">
        <f>INDEX('Used inputs'!$A$64:$O$78,$A116,COLUMN())</f>
        <v>25.629000000000001</v>
      </c>
      <c r="H116" s="129">
        <f>INDEX('Used inputs'!$A$64:$O$78,$A116,COLUMN())</f>
        <v>26.748999999999999</v>
      </c>
      <c r="I116" s="129">
        <f>INDEX('Used inputs'!$A$64:$O$78,$A116,COLUMN())</f>
        <v>27.384</v>
      </c>
      <c r="J116" s="190">
        <f>INDEX('Used inputs'!$A$64:$O$78,$A116,COLUMN())</f>
        <v>28.978999999999999</v>
      </c>
      <c r="K116" s="165">
        <f>INDEX('Used inputs'!$A$64:$O$78,$A116,COLUMN())</f>
        <v>30.388000000000002</v>
      </c>
      <c r="L116" s="165">
        <f>INDEX('Used inputs'!$A$64:$O$78,$A116,COLUMN())</f>
        <v>31.841999999999999</v>
      </c>
      <c r="M116" s="165">
        <f>INDEX('Used inputs'!$A$64:$O$78,$A116,COLUMN())</f>
        <v>33.317</v>
      </c>
      <c r="N116" s="165">
        <f>INDEX('Used inputs'!$A$64:$O$78,$A116,COLUMN())</f>
        <v>34.787999999999997</v>
      </c>
      <c r="O116" s="165">
        <f>INDEX('Used inputs'!$A$64:$O$78,$A116,COLUMN())</f>
        <v>36.26</v>
      </c>
    </row>
    <row r="117" spans="1:17" s="53" customFormat="1">
      <c r="A117" s="85">
        <f>+A$21</f>
        <v>9</v>
      </c>
      <c r="B117" s="57"/>
      <c r="C117" s="56"/>
      <c r="D117" s="55" t="s">
        <v>29</v>
      </c>
      <c r="E117" s="59" t="s">
        <v>91</v>
      </c>
      <c r="F117" s="129">
        <f>INDEX('Used inputs'!$A$64:$O$78,$A117,COLUMN())</f>
        <v>2.7669999999999999</v>
      </c>
      <c r="G117" s="129">
        <f>INDEX('Used inputs'!$A$64:$O$78,$A117,COLUMN())</f>
        <v>2.6949999999999998</v>
      </c>
      <c r="H117" s="129">
        <f>INDEX('Used inputs'!$A$64:$O$78,$A117,COLUMN())</f>
        <v>2.5939999999999999</v>
      </c>
      <c r="I117" s="129">
        <f>INDEX('Used inputs'!$A$64:$O$78,$A117,COLUMN())</f>
        <v>2.512</v>
      </c>
      <c r="J117" s="190">
        <f>INDEX('Used inputs'!$A$64:$O$78,$A117,COLUMN())</f>
        <v>2.4889999999999999</v>
      </c>
      <c r="K117" s="165">
        <f>INDEX('Used inputs'!$A$64:$O$78,$A117,COLUMN())</f>
        <v>2.4390000000000001</v>
      </c>
      <c r="L117" s="165">
        <f>INDEX('Used inputs'!$A$64:$O$78,$A117,COLUMN())</f>
        <v>2.395</v>
      </c>
      <c r="M117" s="165">
        <f>INDEX('Used inputs'!$A$64:$O$78,$A117,COLUMN())</f>
        <v>2.3559999999999999</v>
      </c>
      <c r="N117" s="165">
        <f>INDEX('Used inputs'!$A$64:$O$78,$A117,COLUMN())</f>
        <v>2.3220000000000001</v>
      </c>
      <c r="O117" s="165">
        <f>INDEX('Used inputs'!$A$64:$O$78,$A117,COLUMN())</f>
        <v>2.2919999999999998</v>
      </c>
    </row>
    <row r="118" spans="1:17" s="53" customFormat="1">
      <c r="A118" s="85">
        <f>+A$22</f>
        <v>10</v>
      </c>
      <c r="B118" s="57"/>
      <c r="C118" s="56"/>
      <c r="D118" s="55" t="s">
        <v>29</v>
      </c>
      <c r="E118" s="59" t="s">
        <v>92</v>
      </c>
      <c r="F118" s="129">
        <f>INDEX('Used inputs'!$A$64:$O$78,$A118,COLUMN())</f>
        <v>1.8320000000000001</v>
      </c>
      <c r="G118" s="129">
        <f>INDEX('Used inputs'!$A$64:$O$78,$A118,COLUMN())</f>
        <v>1.9139999999999999</v>
      </c>
      <c r="H118" s="129">
        <f>INDEX('Used inputs'!$A$64:$O$78,$A118,COLUMN())</f>
        <v>2.0289999999999999</v>
      </c>
      <c r="I118" s="129">
        <f>INDEX('Used inputs'!$A$64:$O$78,$A118,COLUMN())</f>
        <v>2.089</v>
      </c>
      <c r="J118" s="190">
        <f>INDEX('Used inputs'!$A$64:$O$78,$A118,COLUMN())</f>
        <v>2.1659999999999999</v>
      </c>
      <c r="K118" s="165">
        <f>INDEX('Used inputs'!$A$64:$O$78,$A118,COLUMN())</f>
        <v>2.2360000000000002</v>
      </c>
      <c r="L118" s="165">
        <f>INDEX('Used inputs'!$A$64:$O$78,$A118,COLUMN())</f>
        <v>2.2989999999999999</v>
      </c>
      <c r="M118" s="165">
        <f>INDEX('Used inputs'!$A$64:$O$78,$A118,COLUMN())</f>
        <v>2.3570000000000002</v>
      </c>
      <c r="N118" s="165">
        <f>INDEX('Used inputs'!$A$64:$O$78,$A118,COLUMN())</f>
        <v>2.41</v>
      </c>
      <c r="O118" s="165">
        <f>INDEX('Used inputs'!$A$64:$O$78,$A118,COLUMN())</f>
        <v>2.4590000000000001</v>
      </c>
    </row>
    <row r="119" spans="1:17" s="53" customFormat="1">
      <c r="A119" s="85">
        <f>+A$23</f>
        <v>11</v>
      </c>
      <c r="B119" s="57"/>
      <c r="C119" s="56"/>
      <c r="D119" s="55" t="s">
        <v>29</v>
      </c>
      <c r="E119" s="59" t="s">
        <v>93</v>
      </c>
      <c r="F119" s="129">
        <f>INDEX('Used inputs'!$A$64:$O$78,$A119,COLUMN())</f>
        <v>174.91200000000001</v>
      </c>
      <c r="G119" s="129">
        <f>INDEX('Used inputs'!$A$64:$O$78,$A119,COLUMN())</f>
        <v>160.74299999999999</v>
      </c>
      <c r="H119" s="129">
        <f>INDEX('Used inputs'!$A$64:$O$78,$A119,COLUMN())</f>
        <v>147.16399999999999</v>
      </c>
      <c r="I119" s="129">
        <f>INDEX('Used inputs'!$A$64:$O$78,$A119,COLUMN())</f>
        <v>137.31</v>
      </c>
      <c r="J119" s="190">
        <f>INDEX('Used inputs'!$A$64:$O$78,$A119,COLUMN())</f>
        <v>129.02799999999999</v>
      </c>
      <c r="K119" s="165">
        <f>INDEX('Used inputs'!$A$64:$O$78,$A119,COLUMN())</f>
        <v>120.35599999999999</v>
      </c>
      <c r="L119" s="165">
        <f>INDEX('Used inputs'!$A$64:$O$78,$A119,COLUMN())</f>
        <v>112.687</v>
      </c>
      <c r="M119" s="165">
        <f>INDEX('Used inputs'!$A$64:$O$78,$A119,COLUMN())</f>
        <v>105.905</v>
      </c>
      <c r="N119" s="165">
        <f>INDEX('Used inputs'!$A$64:$O$78,$A119,COLUMN())</f>
        <v>99.906999999999996</v>
      </c>
      <c r="O119" s="165">
        <f>INDEX('Used inputs'!$A$64:$O$78,$A119,COLUMN())</f>
        <v>94.605000000000004</v>
      </c>
    </row>
    <row r="120" spans="1:17" s="53" customFormat="1">
      <c r="A120" s="85">
        <f>+A$24</f>
        <v>12</v>
      </c>
      <c r="B120" s="57"/>
      <c r="C120" s="56"/>
      <c r="D120" s="55" t="s">
        <v>29</v>
      </c>
      <c r="E120" s="59" t="s">
        <v>94</v>
      </c>
      <c r="F120" s="129">
        <f>INDEX('Used inputs'!$A$64:$O$78,$A120,COLUMN())</f>
        <v>459.73899999999998</v>
      </c>
      <c r="G120" s="129">
        <f>INDEX('Used inputs'!$A$64:$O$78,$A120,COLUMN())</f>
        <v>480.33</v>
      </c>
      <c r="H120" s="129">
        <f>INDEX('Used inputs'!$A$64:$O$78,$A120,COLUMN())</f>
        <v>499.99799999999999</v>
      </c>
      <c r="I120" s="129">
        <f>INDEX('Used inputs'!$A$64:$O$78,$A120,COLUMN())</f>
        <v>514.22400000000005</v>
      </c>
      <c r="J120" s="190">
        <f>INDEX('Used inputs'!$A$64:$O$78,$A120,COLUMN())</f>
        <v>527.04300000000001</v>
      </c>
      <c r="K120" s="165">
        <f>INDEX('Used inputs'!$A$64:$O$78,$A120,COLUMN())</f>
        <v>541.63400000000001</v>
      </c>
      <c r="L120" s="165">
        <f>INDEX('Used inputs'!$A$64:$O$78,$A120,COLUMN())</f>
        <v>555.29200000000003</v>
      </c>
      <c r="M120" s="165">
        <f>INDEX('Used inputs'!$A$64:$O$78,$A120,COLUMN())</f>
        <v>568.02099999999996</v>
      </c>
      <c r="N120" s="165">
        <f>INDEX('Used inputs'!$A$64:$O$78,$A120,COLUMN())</f>
        <v>579.80200000000002</v>
      </c>
      <c r="O120" s="165">
        <f>INDEX('Used inputs'!$A$64:$O$78,$A120,COLUMN())</f>
        <v>590.95699999999999</v>
      </c>
    </row>
    <row r="121" spans="1:17" s="53" customFormat="1">
      <c r="A121" s="110"/>
      <c r="B121" s="57"/>
      <c r="C121" s="56"/>
      <c r="D121" s="55"/>
      <c r="E121" s="59"/>
      <c r="F121" s="129"/>
      <c r="G121" s="129"/>
      <c r="H121" s="129"/>
      <c r="I121" s="129"/>
      <c r="J121" s="190"/>
      <c r="K121" s="61"/>
      <c r="L121" s="61"/>
      <c r="M121" s="61"/>
      <c r="N121" s="61"/>
      <c r="O121" s="61"/>
    </row>
    <row r="122" spans="1:17" s="11" customFormat="1">
      <c r="A122" s="27"/>
      <c r="B122" s="28"/>
      <c r="C122" s="29"/>
      <c r="D122" s="181"/>
      <c r="E122" s="33" t="s">
        <v>359</v>
      </c>
      <c r="F122" s="31"/>
      <c r="G122" s="31"/>
      <c r="H122" s="31"/>
      <c r="I122" s="31"/>
      <c r="J122" s="44"/>
      <c r="K122" s="31"/>
      <c r="L122" s="31"/>
      <c r="M122" s="31"/>
      <c r="N122" s="31"/>
      <c r="O122" s="31"/>
      <c r="Q122" s="53"/>
    </row>
    <row r="123" spans="1:17" s="53" customFormat="1">
      <c r="A123" s="85">
        <f>+A$27</f>
        <v>13</v>
      </c>
      <c r="B123" s="57"/>
      <c r="C123" s="56"/>
      <c r="D123" s="55" t="s">
        <v>29</v>
      </c>
      <c r="E123" s="182" t="s">
        <v>323</v>
      </c>
      <c r="F123" s="129"/>
      <c r="G123" s="129"/>
      <c r="H123" s="129"/>
      <c r="I123" s="313">
        <f>INDEX('Used inputs'!$A$64:$O$78,$A123+1,COLUMN())+INDEX('Used inputs'!$A$64:$O$78,$A123+2,COLUMN())</f>
        <v>7.6782910663805728</v>
      </c>
      <c r="J123" s="314">
        <f>INDEX('Used inputs'!$A$64:$O$78,$A123+1,COLUMN())+INDEX('Used inputs'!$A$64:$O$78,$A123+2,COLUMN())</f>
        <v>0</v>
      </c>
      <c r="K123" s="313">
        <f>INDEX('Used inputs'!$A$64:$O$78,$A123+1,COLUMN())+INDEX('Used inputs'!$A$64:$O$78,$A123+2,COLUMN())</f>
        <v>7.6552622656671048</v>
      </c>
      <c r="L123" s="313">
        <f>INDEX('Used inputs'!$A$64:$O$78,$A123+1,COLUMN())+INDEX('Used inputs'!$A$64:$O$78,$A123+2,COLUMN())</f>
        <v>7.6552622656671048</v>
      </c>
      <c r="M123" s="313">
        <f>INDEX('Used inputs'!$A$64:$O$78,$A123+1,COLUMN())+INDEX('Used inputs'!$A$64:$O$78,$A123+2,COLUMN())</f>
        <v>7.6552622656671048</v>
      </c>
      <c r="N123" s="313">
        <f>INDEX('Used inputs'!$A$64:$O$78,$A123+1,COLUMN())+INDEX('Used inputs'!$A$64:$O$78,$A123+2,COLUMN())</f>
        <v>7.6552622656671048</v>
      </c>
      <c r="O123" s="313">
        <f>INDEX('Used inputs'!$A$64:$O$78,$A123+1,COLUMN())+INDEX('Used inputs'!$A$64:$O$78,$A123+2,COLUMN())</f>
        <v>7.6552622656671048</v>
      </c>
    </row>
    <row r="124" spans="1:17" s="53" customFormat="1">
      <c r="A124" s="85"/>
      <c r="B124" s="57"/>
      <c r="C124" s="56"/>
      <c r="D124" s="55"/>
      <c r="E124" s="182"/>
      <c r="F124" s="129"/>
      <c r="G124" s="129"/>
      <c r="H124" s="129"/>
      <c r="I124" s="129"/>
      <c r="J124" s="190"/>
      <c r="K124" s="165"/>
      <c r="L124" s="165"/>
      <c r="M124" s="165"/>
      <c r="N124" s="165"/>
      <c r="O124" s="165"/>
    </row>
    <row r="125" spans="1:17" s="53" customFormat="1">
      <c r="A125" s="85"/>
      <c r="B125" s="57"/>
      <c r="C125" s="56"/>
      <c r="D125" s="55"/>
      <c r="E125" s="59"/>
      <c r="F125" s="129"/>
      <c r="G125" s="129"/>
      <c r="H125" s="129"/>
      <c r="I125" s="129"/>
      <c r="J125" s="190"/>
      <c r="K125" s="61"/>
      <c r="L125" s="61"/>
      <c r="M125" s="61"/>
      <c r="N125" s="61"/>
      <c r="O125" s="61"/>
    </row>
    <row r="126" spans="1:17">
      <c r="A126" s="82"/>
      <c r="B126" s="31"/>
      <c r="C126" s="38" t="str">
        <f>INDEX('Used inputs'!$A$79:$O$90,1,1)</f>
        <v>SRN</v>
      </c>
      <c r="D126" s="39"/>
      <c r="E126" s="48"/>
      <c r="F126" s="31"/>
      <c r="G126" s="31"/>
      <c r="H126" s="31"/>
      <c r="I126" s="31"/>
      <c r="J126" s="44"/>
      <c r="K126" s="31"/>
      <c r="L126" s="31"/>
      <c r="M126" s="31"/>
      <c r="N126" s="31"/>
      <c r="O126" s="31"/>
      <c r="Q126" s="53"/>
    </row>
    <row r="127" spans="1:17">
      <c r="A127" s="83"/>
      <c r="B127" s="16"/>
      <c r="C127" s="17"/>
      <c r="D127" s="18"/>
      <c r="E127" s="19"/>
      <c r="F127" s="16"/>
      <c r="G127" s="16"/>
      <c r="H127" s="16"/>
      <c r="I127" s="16"/>
      <c r="J127" s="220"/>
      <c r="K127" s="134"/>
      <c r="L127" s="134"/>
      <c r="M127" s="134"/>
      <c r="N127" s="134"/>
      <c r="O127" s="134"/>
      <c r="Q127" s="53"/>
    </row>
    <row r="128" spans="1:17" s="11" customFormat="1">
      <c r="A128" s="84"/>
      <c r="B128" s="28"/>
      <c r="C128" s="29" t="s">
        <v>23</v>
      </c>
      <c r="D128" s="47" t="s">
        <v>24</v>
      </c>
      <c r="E128" s="33" t="s">
        <v>360</v>
      </c>
      <c r="F128" s="31"/>
      <c r="G128" s="31"/>
      <c r="H128" s="31"/>
      <c r="I128" s="31"/>
      <c r="J128" s="44"/>
      <c r="K128" s="31"/>
      <c r="L128" s="31"/>
      <c r="M128" s="31"/>
      <c r="N128" s="31"/>
      <c r="O128" s="31"/>
      <c r="Q128" s="53"/>
    </row>
    <row r="129" spans="1:17" s="53" customFormat="1">
      <c r="A129" s="85">
        <f>+A$9</f>
        <v>1</v>
      </c>
      <c r="B129" s="57"/>
      <c r="C129" s="56"/>
      <c r="D129" s="55" t="s">
        <v>10</v>
      </c>
      <c r="E129" s="59" t="s">
        <v>132</v>
      </c>
      <c r="F129" s="129">
        <f>INDEX('Used inputs'!$A$79:$O$93,$A129,COLUMN())</f>
        <v>52.825748062745205</v>
      </c>
      <c r="G129" s="129">
        <f>INDEX('Used inputs'!$A$79:$O$93,$A129,COLUMN())</f>
        <v>52.595868122307493</v>
      </c>
      <c r="H129" s="129">
        <f>INDEX('Used inputs'!$A$79:$O$93,$A129,COLUMN())</f>
        <v>53.736487757219066</v>
      </c>
      <c r="I129" s="129">
        <f ca="1">INDEX('Used inputs'!$A$79:$O$93,$A129,COLUMN())</f>
        <v>61.94358378158033</v>
      </c>
      <c r="J129" s="190">
        <f>INDEX('Used inputs'!$A$79:$O$93,$A129,COLUMN())</f>
        <v>55.916472805336007</v>
      </c>
      <c r="K129" s="165">
        <f ca="1">INDEX('Used inputs'!$A$79:$O$93,$A129,COLUMN())</f>
        <v>57.447874142851468</v>
      </c>
      <c r="L129" s="165">
        <f ca="1">INDEX('Used inputs'!$A$79:$O$93,$A129,COLUMN())</f>
        <v>58.70988891354677</v>
      </c>
      <c r="M129" s="165">
        <f ca="1">INDEX('Used inputs'!$A$79:$O$93,$A129,COLUMN())</f>
        <v>58.045221275994606</v>
      </c>
      <c r="N129" s="165">
        <f ca="1">INDEX('Used inputs'!$A$79:$O$93,$A129,COLUMN())</f>
        <v>53.675693376875991</v>
      </c>
      <c r="O129" s="165">
        <f ca="1">INDEX('Used inputs'!$A$79:$O$93,$A129,COLUMN())</f>
        <v>53.758411777683975</v>
      </c>
    </row>
    <row r="130" spans="1:17" s="53" customFormat="1">
      <c r="A130" s="85">
        <f>+A$10</f>
        <v>2</v>
      </c>
      <c r="B130" s="57"/>
      <c r="C130" s="56"/>
      <c r="D130" s="55" t="s">
        <v>10</v>
      </c>
      <c r="E130" s="114" t="s">
        <v>99</v>
      </c>
      <c r="F130" s="129">
        <f>INDEX('Used inputs'!$A$79:$O$93,$A130,COLUMN())</f>
        <v>6.8757897891761184</v>
      </c>
      <c r="G130" s="129">
        <f>INDEX('Used inputs'!$A$79:$O$93,$A130,COLUMN())</f>
        <v>8.0034069684275053</v>
      </c>
      <c r="H130" s="129">
        <f>INDEX('Used inputs'!$A$79:$O$93,$A130,COLUMN())</f>
        <v>7.1113959333810159</v>
      </c>
      <c r="I130" s="129">
        <f>INDEX('Used inputs'!$A$79:$O$93,$A130,COLUMN())</f>
        <v>10.725940578370057</v>
      </c>
      <c r="J130" s="190">
        <f>INDEX('Used inputs'!$A$79:$O$93,$A130,COLUMN())</f>
        <v>7.8593682776472198</v>
      </c>
      <c r="K130" s="165">
        <f>INDEX('Used inputs'!$A$79:$O$93,$A130,COLUMN())</f>
        <v>7.587418294717299</v>
      </c>
      <c r="L130" s="165">
        <f>INDEX('Used inputs'!$A$79:$O$93,$A130,COLUMN())</f>
        <v>6.7164072652037259</v>
      </c>
      <c r="M130" s="165">
        <f>INDEX('Used inputs'!$A$79:$O$93,$A130,COLUMN())</f>
        <v>5.7864683032833604</v>
      </c>
      <c r="N130" s="165">
        <f>INDEX('Used inputs'!$A$79:$O$93,$A130,COLUMN())</f>
        <v>4.9323243512973143</v>
      </c>
      <c r="O130" s="165">
        <f>INDEX('Used inputs'!$A$79:$O$93,$A130,COLUMN())</f>
        <v>4.0220541827244709</v>
      </c>
    </row>
    <row r="131" spans="1:17" s="53" customFormat="1">
      <c r="A131" s="85">
        <f>+A$11</f>
        <v>3</v>
      </c>
      <c r="B131" s="57"/>
      <c r="C131" s="56"/>
      <c r="D131" s="55" t="s">
        <v>10</v>
      </c>
      <c r="E131" s="114" t="s">
        <v>100</v>
      </c>
      <c r="F131" s="129">
        <f>INDEX('Used inputs'!$A$79:$O$93,$A131,COLUMN())</f>
        <v>0</v>
      </c>
      <c r="G131" s="129">
        <f>INDEX('Used inputs'!$A$79:$O$93,$A131,COLUMN())</f>
        <v>0</v>
      </c>
      <c r="H131" s="129">
        <f>INDEX('Used inputs'!$A$79:$O$93,$A131,COLUMN())</f>
        <v>0</v>
      </c>
      <c r="I131" s="129">
        <f>INDEX('Used inputs'!$A$79:$O$93,$A131,COLUMN())</f>
        <v>0</v>
      </c>
      <c r="J131" s="190">
        <f>INDEX('Used inputs'!$A$79:$O$93,$A131,COLUMN())</f>
        <v>0</v>
      </c>
      <c r="K131" s="165">
        <f>INDEX('Used inputs'!$A$79:$O$93,$A131,COLUMN())</f>
        <v>0.27515545184855122</v>
      </c>
      <c r="L131" s="165">
        <f>INDEX('Used inputs'!$A$79:$O$93,$A131,COLUMN())</f>
        <v>0.83268233875927489</v>
      </c>
      <c r="M131" s="165">
        <f>INDEX('Used inputs'!$A$79:$O$93,$A131,COLUMN())</f>
        <v>1.3960580947201056</v>
      </c>
      <c r="N131" s="165">
        <f>INDEX('Used inputs'!$A$79:$O$93,$A131,COLUMN())</f>
        <v>1.9594338506809361</v>
      </c>
      <c r="O131" s="165">
        <f>INDEX('Used inputs'!$A$79:$O$93,$A131,COLUMN())</f>
        <v>2.5169607375916629</v>
      </c>
    </row>
    <row r="132" spans="1:17" s="53" customFormat="1">
      <c r="A132" s="110"/>
      <c r="B132" s="57"/>
      <c r="C132" s="56"/>
      <c r="D132" s="55"/>
      <c r="E132" s="59"/>
      <c r="F132" s="129"/>
      <c r="G132" s="129"/>
      <c r="H132" s="129"/>
      <c r="I132" s="129"/>
      <c r="J132" s="190"/>
      <c r="K132" s="61"/>
      <c r="L132" s="61"/>
      <c r="M132" s="61"/>
      <c r="N132" s="61"/>
      <c r="O132" s="61"/>
    </row>
    <row r="133" spans="1:17" s="11" customFormat="1">
      <c r="A133" s="27"/>
      <c r="B133" s="28"/>
      <c r="C133" s="29"/>
      <c r="D133" s="30"/>
      <c r="E133" s="32" t="s">
        <v>361</v>
      </c>
      <c r="F133" s="31"/>
      <c r="G133" s="31"/>
      <c r="H133" s="31"/>
      <c r="I133" s="31"/>
      <c r="J133" s="44"/>
      <c r="K133" s="31"/>
      <c r="L133" s="31"/>
      <c r="M133" s="31"/>
      <c r="N133" s="31"/>
      <c r="O133" s="31"/>
      <c r="Q133" s="53"/>
    </row>
    <row r="134" spans="1:17" s="53" customFormat="1">
      <c r="A134" s="85">
        <f>+A$14</f>
        <v>4</v>
      </c>
      <c r="B134" s="56" t="s">
        <v>40</v>
      </c>
      <c r="C134" s="56"/>
      <c r="D134" s="55" t="s">
        <v>10</v>
      </c>
      <c r="E134" s="59" t="s">
        <v>135</v>
      </c>
      <c r="F134" s="129">
        <f>INDEX('Used inputs'!$A$79:$O$93,$A134,COLUMN())</f>
        <v>0.23636495581841352</v>
      </c>
      <c r="G134" s="129">
        <f>INDEX('Used inputs'!$A$79:$O$93,$A134,COLUMN())</f>
        <v>0.26245887686116204</v>
      </c>
      <c r="H134" s="129">
        <f>INDEX('Used inputs'!$A$79:$O$93,$A134,COLUMN())</f>
        <v>0.30315515081171318</v>
      </c>
      <c r="I134" s="129">
        <f>INDEX('Used inputs'!$A$79:$O$93,$A134,COLUMN())</f>
        <v>0.34897385755498839</v>
      </c>
      <c r="J134" s="190">
        <f>INDEX('Used inputs'!$A$79:$O$93,$A134,COLUMN())</f>
        <v>0.29433937858009074</v>
      </c>
      <c r="K134" s="165">
        <f>INDEX('Used inputs'!$A$79:$O$93,$A134,COLUMN())</f>
        <v>0.25842857242405165</v>
      </c>
      <c r="L134" s="165">
        <f>INDEX('Used inputs'!$A$79:$O$93,$A134,COLUMN())</f>
        <v>0.26088408911940969</v>
      </c>
      <c r="M134" s="165">
        <f>INDEX('Used inputs'!$A$79:$O$93,$A134,COLUMN())</f>
        <v>0.24186584575777617</v>
      </c>
      <c r="N134" s="165">
        <f>INDEX('Used inputs'!$A$79:$O$93,$A134,COLUMN())</f>
        <v>0.24382392226508831</v>
      </c>
      <c r="O134" s="165">
        <f>INDEX('Used inputs'!$A$79:$O$93,$A134,COLUMN())</f>
        <v>0.22986644207504753</v>
      </c>
    </row>
    <row r="135" spans="1:17" s="53" customFormat="1">
      <c r="A135" s="85">
        <f>+A$15</f>
        <v>5</v>
      </c>
      <c r="B135" s="56" t="s">
        <v>41</v>
      </c>
      <c r="C135" s="56"/>
      <c r="D135" s="55" t="s">
        <v>10</v>
      </c>
      <c r="E135" s="59" t="s">
        <v>136</v>
      </c>
      <c r="F135" s="129">
        <f>INDEX('Used inputs'!$A$79:$O$93,$A135,COLUMN())</f>
        <v>1.6980681018168085</v>
      </c>
      <c r="G135" s="129">
        <f>INDEX('Used inputs'!$A$79:$O$93,$A135,COLUMN())</f>
        <v>1.6954226798303969</v>
      </c>
      <c r="H135" s="129">
        <f>INDEX('Used inputs'!$A$79:$O$93,$A135,COLUMN())</f>
        <v>1.9528565231773496</v>
      </c>
      <c r="I135" s="129">
        <f>INDEX('Used inputs'!$A$79:$O$93,$A135,COLUMN())</f>
        <v>2.1948778221754157</v>
      </c>
      <c r="J135" s="190">
        <f>INDEX('Used inputs'!$A$79:$O$93,$A135,COLUMN())</f>
        <v>2.1866800790663992</v>
      </c>
      <c r="K135" s="165">
        <f>INDEX('Used inputs'!$A$79:$O$93,$A135,COLUMN())</f>
        <v>2.4304566082826247</v>
      </c>
      <c r="L135" s="165">
        <f>INDEX('Used inputs'!$A$79:$O$93,$A135,COLUMN())</f>
        <v>2.4437267647957297</v>
      </c>
      <c r="M135" s="165">
        <f>INDEX('Used inputs'!$A$79:$O$93,$A135,COLUMN())</f>
        <v>2.4324135262281614</v>
      </c>
      <c r="N135" s="165">
        <f>INDEX('Used inputs'!$A$79:$O$93,$A135,COLUMN())</f>
        <v>2.3957616931001677</v>
      </c>
      <c r="O135" s="165">
        <f>INDEX('Used inputs'!$A$79:$O$93,$A135,COLUMN())</f>
        <v>2.549954794462054</v>
      </c>
    </row>
    <row r="136" spans="1:17" s="53" customFormat="1">
      <c r="A136" s="85">
        <f>+A$16</f>
        <v>6</v>
      </c>
      <c r="B136" s="56" t="s">
        <v>42</v>
      </c>
      <c r="C136" s="56"/>
      <c r="D136" s="55" t="s">
        <v>10</v>
      </c>
      <c r="E136" s="59" t="s">
        <v>137</v>
      </c>
      <c r="F136" s="129">
        <f>INDEX('Used inputs'!$A$79:$O$93,$A136,COLUMN())</f>
        <v>2.6421552853292689</v>
      </c>
      <c r="G136" s="129">
        <f>INDEX('Used inputs'!$A$79:$O$93,$A136,COLUMN())</f>
        <v>2.8658953676335539</v>
      </c>
      <c r="H136" s="129">
        <f>INDEX('Used inputs'!$A$79:$O$93,$A136,COLUMN())</f>
        <v>3.2564741560238648</v>
      </c>
      <c r="I136" s="129">
        <f>INDEX('Used inputs'!$A$79:$O$93,$A136,COLUMN())</f>
        <v>3.6923053560108405</v>
      </c>
      <c r="J136" s="190">
        <f>INDEX('Used inputs'!$A$79:$O$93,$A136,COLUMN())</f>
        <v>3.1246484880080132</v>
      </c>
      <c r="K136" s="165">
        <f>INDEX('Used inputs'!$A$79:$O$93,$A136,COLUMN())</f>
        <v>3.2857501678376413</v>
      </c>
      <c r="L136" s="165">
        <f>INDEX('Used inputs'!$A$79:$O$93,$A136,COLUMN())</f>
        <v>3.2941066130924272</v>
      </c>
      <c r="M136" s="165">
        <f>INDEX('Used inputs'!$A$79:$O$93,$A136,COLUMN())</f>
        <v>3.0379049041595252</v>
      </c>
      <c r="N136" s="165">
        <f>INDEX('Used inputs'!$A$79:$O$93,$A136,COLUMN())</f>
        <v>3.0506630066160274</v>
      </c>
      <c r="O136" s="165">
        <f>INDEX('Used inputs'!$A$79:$O$93,$A136,COLUMN())</f>
        <v>2.870950017501309</v>
      </c>
    </row>
    <row r="137" spans="1:17" s="53" customFormat="1">
      <c r="A137" s="110"/>
      <c r="B137" s="57"/>
      <c r="C137" s="56"/>
      <c r="D137" s="55"/>
      <c r="E137" s="59"/>
      <c r="F137" s="129"/>
      <c r="G137" s="129"/>
      <c r="H137" s="129"/>
      <c r="I137" s="129"/>
      <c r="J137" s="190"/>
      <c r="K137" s="61"/>
      <c r="L137" s="61"/>
      <c r="M137" s="61"/>
      <c r="N137" s="61"/>
      <c r="O137" s="61"/>
    </row>
    <row r="138" spans="1:17" s="11" customFormat="1">
      <c r="A138" s="27"/>
      <c r="B138" s="28"/>
      <c r="C138" s="29"/>
      <c r="D138" s="30"/>
      <c r="E138" s="32" t="s">
        <v>362</v>
      </c>
      <c r="F138" s="31"/>
      <c r="G138" s="31"/>
      <c r="H138" s="31"/>
      <c r="I138" s="31"/>
      <c r="J138" s="44"/>
      <c r="K138" s="31"/>
      <c r="L138" s="31"/>
      <c r="M138" s="31"/>
      <c r="N138" s="31"/>
      <c r="O138" s="31"/>
      <c r="Q138" s="53"/>
    </row>
    <row r="139" spans="1:17" s="53" customFormat="1">
      <c r="A139" s="85">
        <f>+A$19</f>
        <v>7</v>
      </c>
      <c r="B139" s="57"/>
      <c r="C139" s="56"/>
      <c r="D139" s="55" t="s">
        <v>29</v>
      </c>
      <c r="E139" s="59" t="s">
        <v>89</v>
      </c>
      <c r="F139" s="129">
        <f>INDEX('Used inputs'!$A$79:$O$93,$A139,COLUMN())</f>
        <v>46.537877728388601</v>
      </c>
      <c r="G139" s="129">
        <f>INDEX('Used inputs'!$A$79:$O$93,$A139,COLUMN())</f>
        <v>43.8311437158697</v>
      </c>
      <c r="H139" s="129">
        <f>INDEX('Used inputs'!$A$79:$O$93,$A139,COLUMN())</f>
        <v>34.100107801418403</v>
      </c>
      <c r="I139" s="129">
        <f>INDEX('Used inputs'!$A$79:$O$93,$A139,COLUMN())</f>
        <v>30.657</v>
      </c>
      <c r="J139" s="190">
        <f>INDEX('Used inputs'!$A$79:$O$93,$A139,COLUMN())</f>
        <v>16.083231262406901</v>
      </c>
      <c r="K139" s="165">
        <f>INDEX('Used inputs'!$A$79:$O$93,$A139,COLUMN())</f>
        <v>6.6303407958681397</v>
      </c>
      <c r="L139" s="165">
        <f>INDEX('Used inputs'!$A$79:$O$93,$A139,COLUMN())</f>
        <v>6.5968377284694597</v>
      </c>
      <c r="M139" s="165">
        <f>INDEX('Used inputs'!$A$79:$O$93,$A139,COLUMN())</f>
        <v>6.5633346610707699</v>
      </c>
      <c r="N139" s="165">
        <f>INDEX('Used inputs'!$A$79:$O$93,$A139,COLUMN())</f>
        <v>6.5298315936720899</v>
      </c>
      <c r="O139" s="165">
        <f>INDEX('Used inputs'!$A$79:$O$93,$A139,COLUMN())</f>
        <v>6.4963285262734001</v>
      </c>
    </row>
    <row r="140" spans="1:17" s="53" customFormat="1">
      <c r="A140" s="85">
        <f>+A$20</f>
        <v>8</v>
      </c>
      <c r="B140" s="57"/>
      <c r="C140" s="56"/>
      <c r="D140" s="55" t="s">
        <v>29</v>
      </c>
      <c r="E140" s="59" t="s">
        <v>90</v>
      </c>
      <c r="F140" s="129">
        <f>INDEX('Used inputs'!$A$79:$O$93,$A140,COLUMN())</f>
        <v>34.699029197614401</v>
      </c>
      <c r="G140" s="129">
        <f>INDEX('Used inputs'!$A$79:$O$93,$A140,COLUMN())</f>
        <v>39.052813181612102</v>
      </c>
      <c r="H140" s="129">
        <f>INDEX('Used inputs'!$A$79:$O$93,$A140,COLUMN())</f>
        <v>39.836972843093399</v>
      </c>
      <c r="I140" s="129">
        <f>INDEX('Used inputs'!$A$79:$O$93,$A140,COLUMN())</f>
        <v>45.451000000000001</v>
      </c>
      <c r="J140" s="190">
        <f>INDEX('Used inputs'!$A$79:$O$93,$A140,COLUMN())</f>
        <v>60.5194847910779</v>
      </c>
      <c r="K140" s="165">
        <f>INDEX('Used inputs'!$A$79:$O$93,$A140,COLUMN())</f>
        <v>70.580510722633306</v>
      </c>
      <c r="L140" s="165">
        <f>INDEX('Used inputs'!$A$79:$O$93,$A140,COLUMN())</f>
        <v>71.194709843882094</v>
      </c>
      <c r="M140" s="165">
        <f>INDEX('Used inputs'!$A$79:$O$93,$A140,COLUMN())</f>
        <v>71.842871137946801</v>
      </c>
      <c r="N140" s="165">
        <f>INDEX('Used inputs'!$A$79:$O$93,$A140,COLUMN())</f>
        <v>72.455964546076501</v>
      </c>
      <c r="O140" s="165">
        <f>INDEX('Used inputs'!$A$79:$O$93,$A140,COLUMN())</f>
        <v>73.046670592544501</v>
      </c>
    </row>
    <row r="141" spans="1:17" s="53" customFormat="1">
      <c r="A141" s="85">
        <f>+A$21</f>
        <v>9</v>
      </c>
      <c r="B141" s="57"/>
      <c r="C141" s="56"/>
      <c r="D141" s="55" t="s">
        <v>29</v>
      </c>
      <c r="E141" s="59" t="s">
        <v>91</v>
      </c>
      <c r="F141" s="129">
        <f>INDEX('Used inputs'!$A$79:$O$93,$A141,COLUMN())</f>
        <v>506.76196003549899</v>
      </c>
      <c r="G141" s="129">
        <f>INDEX('Used inputs'!$A$79:$O$93,$A141,COLUMN())</f>
        <v>479.69915104880101</v>
      </c>
      <c r="H141" s="129">
        <f>INDEX('Used inputs'!$A$79:$O$93,$A141,COLUMN())</f>
        <v>452.30331205673798</v>
      </c>
      <c r="I141" s="129">
        <f>INDEX('Used inputs'!$A$79:$O$93,$A141,COLUMN())</f>
        <v>416.75400000000002</v>
      </c>
      <c r="J141" s="190">
        <f>INDEX('Used inputs'!$A$79:$O$93,$A141,COLUMN())</f>
        <v>381.92899999999997</v>
      </c>
      <c r="K141" s="165">
        <f>INDEX('Used inputs'!$A$79:$O$93,$A141,COLUMN())</f>
        <v>347.05900000000003</v>
      </c>
      <c r="L141" s="165">
        <f>INDEX('Used inputs'!$A$79:$O$93,$A141,COLUMN())</f>
        <v>312.09899999999999</v>
      </c>
      <c r="M141" s="165">
        <f>INDEX('Used inputs'!$A$79:$O$93,$A141,COLUMN())</f>
        <v>277.13900000000001</v>
      </c>
      <c r="N141" s="165">
        <f>INDEX('Used inputs'!$A$79:$O$93,$A141,COLUMN())</f>
        <v>242.179</v>
      </c>
      <c r="O141" s="165">
        <f>INDEX('Used inputs'!$A$79:$O$93,$A141,COLUMN())</f>
        <v>207.21899999999999</v>
      </c>
    </row>
    <row r="142" spans="1:17" s="53" customFormat="1">
      <c r="A142" s="85">
        <f>+A$22</f>
        <v>10</v>
      </c>
      <c r="B142" s="57"/>
      <c r="C142" s="56"/>
      <c r="D142" s="55" t="s">
        <v>29</v>
      </c>
      <c r="E142" s="59" t="s">
        <v>92</v>
      </c>
      <c r="F142" s="129">
        <f>INDEX('Used inputs'!$A$79:$O$93,$A142,COLUMN())</f>
        <v>371.82499431539998</v>
      </c>
      <c r="G142" s="129">
        <f>INDEX('Used inputs'!$A$79:$O$93,$A142,COLUMN())</f>
        <v>407.44562261436403</v>
      </c>
      <c r="H142" s="129">
        <f>INDEX('Used inputs'!$A$79:$O$93,$A142,COLUMN())</f>
        <v>403.83348245418</v>
      </c>
      <c r="I142" s="129">
        <f>INDEX('Used inputs'!$A$79:$O$93,$A142,COLUMN())</f>
        <v>450.66849999999999</v>
      </c>
      <c r="J142" s="190">
        <f>INDEX('Used inputs'!$A$79:$O$93,$A142,COLUMN())</f>
        <v>490.76821605348499</v>
      </c>
      <c r="K142" s="165">
        <f>INDEX('Used inputs'!$A$79:$O$93,$A142,COLUMN())</f>
        <v>533.21827628666301</v>
      </c>
      <c r="L142" s="165">
        <f>INDEX('Used inputs'!$A$79:$O$93,$A142,COLUMN())</f>
        <v>575.54872277417303</v>
      </c>
      <c r="M142" s="165">
        <f>INDEX('Used inputs'!$A$79:$O$93,$A142,COLUMN())</f>
        <v>618.34849284897302</v>
      </c>
      <c r="N142" s="165">
        <f>INDEX('Used inputs'!$A$79:$O$93,$A142,COLUMN())</f>
        <v>661.53042570671096</v>
      </c>
      <c r="O142" s="165">
        <f>INDEX('Used inputs'!$A$79:$O$93,$A142,COLUMN())</f>
        <v>704.107042687746</v>
      </c>
    </row>
    <row r="143" spans="1:17" s="53" customFormat="1">
      <c r="A143" s="85">
        <f>+A$23</f>
        <v>11</v>
      </c>
      <c r="B143" s="57"/>
      <c r="C143" s="56"/>
      <c r="D143" s="55" t="s">
        <v>29</v>
      </c>
      <c r="E143" s="59" t="s">
        <v>93</v>
      </c>
      <c r="F143" s="129">
        <f>INDEX('Used inputs'!$A$79:$O$93,$A143,COLUMN())</f>
        <v>475.50490744204899</v>
      </c>
      <c r="G143" s="129">
        <f>INDEX('Used inputs'!$A$79:$O$93,$A143,COLUMN())</f>
        <v>447.98335458244799</v>
      </c>
      <c r="H143" s="129">
        <f>INDEX('Used inputs'!$A$79:$O$93,$A143,COLUMN())</f>
        <v>373.02808014184399</v>
      </c>
      <c r="I143" s="129">
        <f>INDEX('Used inputs'!$A$79:$O$93,$A143,COLUMN())</f>
        <v>259.81900000000002</v>
      </c>
      <c r="J143" s="190">
        <f>INDEX('Used inputs'!$A$79:$O$93,$A143,COLUMN())</f>
        <v>175.93776873759299</v>
      </c>
      <c r="K143" s="165">
        <f>INDEX('Used inputs'!$A$79:$O$93,$A143,COLUMN())</f>
        <v>72.530659204131894</v>
      </c>
      <c r="L143" s="165">
        <f>INDEX('Used inputs'!$A$79:$O$93,$A143,COLUMN())</f>
        <v>72.1641622715305</v>
      </c>
      <c r="M143" s="165">
        <f>INDEX('Used inputs'!$A$79:$O$93,$A143,COLUMN())</f>
        <v>71.797665338929207</v>
      </c>
      <c r="N143" s="165">
        <f>INDEX('Used inputs'!$A$79:$O$93,$A143,COLUMN())</f>
        <v>71.431168406327899</v>
      </c>
      <c r="O143" s="165">
        <f>INDEX('Used inputs'!$A$79:$O$93,$A143,COLUMN())</f>
        <v>71.064671473726605</v>
      </c>
    </row>
    <row r="144" spans="1:17" s="53" customFormat="1">
      <c r="A144" s="85">
        <f>+A$24</f>
        <v>12</v>
      </c>
      <c r="B144" s="57"/>
      <c r="C144" s="56"/>
      <c r="D144" s="55" t="s">
        <v>29</v>
      </c>
      <c r="E144" s="59" t="s">
        <v>94</v>
      </c>
      <c r="F144" s="129">
        <f>INDEX('Used inputs'!$A$79:$O$93,$A144,COLUMN())</f>
        <v>350.90127693015</v>
      </c>
      <c r="G144" s="129">
        <f>INDEX('Used inputs'!$A$79:$O$93,$A144,COLUMN())</f>
        <v>387.06857381298602</v>
      </c>
      <c r="H144" s="129">
        <f>INDEX('Used inputs'!$A$79:$O$93,$A144,COLUMN())</f>
        <v>538.98004470272701</v>
      </c>
      <c r="I144" s="129">
        <f>INDEX('Used inputs'!$A$79:$O$93,$A144,COLUMN())</f>
        <v>655.28499999999997</v>
      </c>
      <c r="J144" s="190">
        <f>INDEX('Used inputs'!$A$79:$O$93,$A144,COLUMN())</f>
        <v>745.26851520892205</v>
      </c>
      <c r="K144" s="165">
        <f>INDEX('Used inputs'!$A$79:$O$93,$A144,COLUMN())</f>
        <v>856.17692828678298</v>
      </c>
      <c r="L144" s="165">
        <f>INDEX('Used inputs'!$A$79:$O$93,$A144,COLUMN())</f>
        <v>863.70626576650795</v>
      </c>
      <c r="M144" s="165">
        <f>INDEX('Used inputs'!$A$79:$O$93,$A144,COLUMN())</f>
        <v>871.65452399987305</v>
      </c>
      <c r="N144" s="165">
        <f>INDEX('Used inputs'!$A$79:$O$93,$A144,COLUMN())</f>
        <v>879.170222594488</v>
      </c>
      <c r="O144" s="165">
        <f>INDEX('Used inputs'!$A$79:$O$93,$A144,COLUMN())</f>
        <v>886.40977482855601</v>
      </c>
    </row>
    <row r="145" spans="1:17" s="53" customFormat="1">
      <c r="A145" s="110"/>
      <c r="B145" s="57"/>
      <c r="C145" s="56"/>
      <c r="D145" s="55"/>
      <c r="E145" s="59"/>
      <c r="F145" s="129"/>
      <c r="G145" s="129"/>
      <c r="H145" s="129"/>
      <c r="I145" s="129"/>
      <c r="J145" s="190"/>
      <c r="K145" s="61"/>
      <c r="L145" s="61"/>
      <c r="M145" s="61"/>
      <c r="N145" s="61"/>
      <c r="O145" s="61"/>
    </row>
    <row r="146" spans="1:17" s="11" customFormat="1">
      <c r="A146" s="27"/>
      <c r="B146" s="28"/>
      <c r="C146" s="29"/>
      <c r="D146" s="181"/>
      <c r="E146" s="33" t="s">
        <v>363</v>
      </c>
      <c r="F146" s="31"/>
      <c r="G146" s="31"/>
      <c r="H146" s="31"/>
      <c r="I146" s="31"/>
      <c r="J146" s="44"/>
      <c r="K146" s="31"/>
      <c r="L146" s="31"/>
      <c r="M146" s="31"/>
      <c r="N146" s="31"/>
      <c r="O146" s="31"/>
      <c r="Q146" s="53"/>
    </row>
    <row r="147" spans="1:17" s="53" customFormat="1">
      <c r="A147" s="85">
        <f>+A$27</f>
        <v>13</v>
      </c>
      <c r="B147" s="57"/>
      <c r="C147" s="56"/>
      <c r="D147" s="55" t="s">
        <v>29</v>
      </c>
      <c r="E147" s="182" t="s">
        <v>323</v>
      </c>
      <c r="F147" s="129"/>
      <c r="G147" s="129"/>
      <c r="H147" s="129"/>
      <c r="I147" s="165">
        <f>INDEX('Used inputs'!$A$79:$O$93,$A147+1,COLUMN())+INDEX('Used inputs'!$A$79:$O$93,$A147+2,COLUMN())</f>
        <v>1.3152790163822758</v>
      </c>
      <c r="J147" s="243">
        <f>INDEX('Used inputs'!$A$79:$O$93,$A147+1,COLUMN())+INDEX('Used inputs'!$A$79:$O$93,$A147+2,COLUMN())</f>
        <v>4.6921740980681585</v>
      </c>
      <c r="K147" s="165">
        <f>INDEX('Used inputs'!$A$79:$O$93,$A147+1,COLUMN())+INDEX('Used inputs'!$A$79:$O$93,$A147+2,COLUMN())</f>
        <v>0.78394711721079269</v>
      </c>
      <c r="L147" s="165">
        <f>INDEX('Used inputs'!$A$79:$O$93,$A147+1,COLUMN())+INDEX('Used inputs'!$A$79:$O$93,$A147+2,COLUMN())</f>
        <v>0.80143752966268467</v>
      </c>
      <c r="M147" s="165">
        <f>INDEX('Used inputs'!$A$79:$O$93,$A147+1,COLUMN())+INDEX('Used inputs'!$A$79:$O$93,$A147+2,COLUMN())</f>
        <v>0.82612987665359094</v>
      </c>
      <c r="N147" s="165">
        <f>INDEX('Used inputs'!$A$79:$O$93,$A147+1,COLUMN())+INDEX('Used inputs'!$A$79:$O$93,$A147+2,COLUMN())</f>
        <v>0.85802415818351163</v>
      </c>
      <c r="O147" s="165">
        <f>INDEX('Used inputs'!$A$79:$O$93,$A147+1,COLUMN())+INDEX('Used inputs'!$A$79:$O$93,$A147+2,COLUMN())</f>
        <v>0.89712037425244662</v>
      </c>
    </row>
    <row r="148" spans="1:17" s="53" customFormat="1">
      <c r="A148" s="85"/>
      <c r="B148" s="57"/>
      <c r="C148" s="56"/>
      <c r="D148" s="55"/>
      <c r="E148" s="182"/>
      <c r="F148" s="129"/>
      <c r="G148" s="129"/>
      <c r="H148" s="129"/>
      <c r="I148" s="129"/>
      <c r="J148" s="190"/>
      <c r="K148" s="165"/>
      <c r="L148" s="165"/>
      <c r="M148" s="165"/>
      <c r="N148" s="165"/>
      <c r="O148" s="165"/>
    </row>
    <row r="149" spans="1:17" s="53" customFormat="1">
      <c r="A149" s="85"/>
      <c r="B149" s="57"/>
      <c r="C149" s="56"/>
      <c r="D149" s="55"/>
      <c r="E149" s="59"/>
      <c r="F149" s="129"/>
      <c r="G149" s="129"/>
      <c r="H149" s="129"/>
      <c r="I149" s="129"/>
      <c r="J149" s="190"/>
      <c r="K149" s="61"/>
      <c r="L149" s="61"/>
      <c r="M149" s="61"/>
      <c r="N149" s="61"/>
      <c r="O149" s="61"/>
    </row>
    <row r="150" spans="1:17">
      <c r="A150" s="82"/>
      <c r="B150" s="31"/>
      <c r="C150" s="38" t="str">
        <f>INDEX('Used inputs'!$A$94:$O$105,1,1)</f>
        <v>TMS</v>
      </c>
      <c r="D150" s="39"/>
      <c r="E150" s="48"/>
      <c r="F150" s="31"/>
      <c r="G150" s="31"/>
      <c r="H150" s="31"/>
      <c r="I150" s="31"/>
      <c r="J150" s="44"/>
      <c r="K150" s="31"/>
      <c r="L150" s="31"/>
      <c r="M150" s="31"/>
      <c r="N150" s="31"/>
      <c r="O150" s="31"/>
      <c r="Q150" s="53"/>
    </row>
    <row r="151" spans="1:17">
      <c r="A151" s="83"/>
      <c r="B151" s="16"/>
      <c r="C151" s="17"/>
      <c r="D151" s="18"/>
      <c r="E151" s="19"/>
      <c r="F151" s="16"/>
      <c r="G151" s="16"/>
      <c r="H151" s="16"/>
      <c r="I151" s="16"/>
      <c r="J151" s="220"/>
      <c r="K151" s="134"/>
      <c r="L151" s="134"/>
      <c r="M151" s="134"/>
      <c r="N151" s="134"/>
      <c r="O151" s="134"/>
      <c r="Q151" s="53"/>
    </row>
    <row r="152" spans="1:17" s="11" customFormat="1">
      <c r="A152" s="84"/>
      <c r="B152" s="28"/>
      <c r="C152" s="29" t="s">
        <v>23</v>
      </c>
      <c r="D152" s="47" t="s">
        <v>24</v>
      </c>
      <c r="E152" s="33" t="s">
        <v>364</v>
      </c>
      <c r="F152" s="31"/>
      <c r="G152" s="31"/>
      <c r="H152" s="31"/>
      <c r="I152" s="31"/>
      <c r="J152" s="44"/>
      <c r="K152" s="31"/>
      <c r="L152" s="31"/>
      <c r="M152" s="31"/>
      <c r="N152" s="31"/>
      <c r="O152" s="31"/>
      <c r="Q152" s="53"/>
    </row>
    <row r="153" spans="1:17" s="53" customFormat="1">
      <c r="A153" s="85">
        <f>+A$9</f>
        <v>1</v>
      </c>
      <c r="B153" s="57"/>
      <c r="C153" s="56"/>
      <c r="D153" s="55" t="s">
        <v>10</v>
      </c>
      <c r="E153" s="59" t="s">
        <v>132</v>
      </c>
      <c r="F153" s="129">
        <f>INDEX('Used inputs'!$A$94:$O$108,$A153,COLUMN())</f>
        <v>96.583127890794344</v>
      </c>
      <c r="G153" s="129">
        <f>INDEX('Used inputs'!$A$94:$O$108,$A153,COLUMN())</f>
        <v>120.43815947849498</v>
      </c>
      <c r="H153" s="129">
        <f>INDEX('Used inputs'!$A$94:$O$108,$A153,COLUMN())</f>
        <v>166.42422037105433</v>
      </c>
      <c r="I153" s="129">
        <f ca="1">INDEX('Used inputs'!$A$94:$O$108,$A153,COLUMN())</f>
        <v>147.95719591789685</v>
      </c>
      <c r="J153" s="190">
        <f>INDEX('Used inputs'!$A$94:$O$108,$A153,COLUMN())</f>
        <v>133.26809234522213</v>
      </c>
      <c r="K153" s="165">
        <f ca="1">INDEX('Used inputs'!$A$94:$O$108,$A153,COLUMN())</f>
        <v>150.43119919385472</v>
      </c>
      <c r="L153" s="165">
        <f ca="1">INDEX('Used inputs'!$A$94:$O$108,$A153,COLUMN())</f>
        <v>155.56020598544231</v>
      </c>
      <c r="M153" s="165">
        <f ca="1">INDEX('Used inputs'!$A$94:$O$108,$A153,COLUMN())</f>
        <v>155.87120639725376</v>
      </c>
      <c r="N153" s="165">
        <f ca="1">INDEX('Used inputs'!$A$94:$O$108,$A153,COLUMN())</f>
        <v>157.45720849736313</v>
      </c>
      <c r="O153" s="165">
        <f ca="1">INDEX('Used inputs'!$A$94:$O$108,$A153,COLUMN())</f>
        <v>153.12720276377453</v>
      </c>
    </row>
    <row r="154" spans="1:17" s="53" customFormat="1">
      <c r="A154" s="85">
        <f>+A$10</f>
        <v>2</v>
      </c>
      <c r="B154" s="57"/>
      <c r="C154" s="56"/>
      <c r="D154" s="55" t="s">
        <v>10</v>
      </c>
      <c r="E154" s="114" t="s">
        <v>99</v>
      </c>
      <c r="F154" s="129">
        <f>INDEX('Used inputs'!$A$94:$O$108,$A154,COLUMN())</f>
        <v>2.4050031845910804</v>
      </c>
      <c r="G154" s="129">
        <f>INDEX('Used inputs'!$A$94:$O$108,$A154,COLUMN())</f>
        <v>2.4130031951843112</v>
      </c>
      <c r="H154" s="129">
        <f>INDEX('Used inputs'!$A$94:$O$108,$A154,COLUMN())</f>
        <v>2.3400030985210503</v>
      </c>
      <c r="I154" s="129">
        <f>INDEX('Used inputs'!$A$94:$O$108,$A154,COLUMN())</f>
        <v>2.0660027357027735</v>
      </c>
      <c r="J154" s="190">
        <f>INDEX('Used inputs'!$A$94:$O$108,$A154,COLUMN())</f>
        <v>3.5610047153134436</v>
      </c>
      <c r="K154" s="165">
        <f>INDEX('Used inputs'!$A$94:$O$108,$A154,COLUMN())</f>
        <v>7.6450101231595955</v>
      </c>
      <c r="L154" s="165">
        <f>INDEX('Used inputs'!$A$94:$O$108,$A154,COLUMN())</f>
        <v>7.1900095206693857</v>
      </c>
      <c r="M154" s="165">
        <f>INDEX('Used inputs'!$A$94:$O$108,$A154,COLUMN())</f>
        <v>4.4150058461412174</v>
      </c>
      <c r="N154" s="165">
        <f>INDEX('Used inputs'!$A$94:$O$108,$A154,COLUMN())</f>
        <v>2.7320036175895348</v>
      </c>
      <c r="O154" s="165">
        <f>INDEX('Used inputs'!$A$94:$O$108,$A154,COLUMN())</f>
        <v>0.7020009295563161</v>
      </c>
    </row>
    <row r="155" spans="1:17" s="53" customFormat="1">
      <c r="A155" s="85">
        <f>+A$11</f>
        <v>3</v>
      </c>
      <c r="B155" s="57"/>
      <c r="C155" s="56"/>
      <c r="D155" s="55" t="s">
        <v>10</v>
      </c>
      <c r="E155" s="114" t="s">
        <v>100</v>
      </c>
      <c r="F155" s="129">
        <f>INDEX('Used inputs'!$A$94:$O$108,$A155,COLUMN())</f>
        <v>0</v>
      </c>
      <c r="G155" s="129">
        <f>INDEX('Used inputs'!$A$94:$O$108,$A155,COLUMN())</f>
        <v>0</v>
      </c>
      <c r="H155" s="129">
        <f>INDEX('Used inputs'!$A$94:$O$108,$A155,COLUMN())</f>
        <v>0</v>
      </c>
      <c r="I155" s="129">
        <f>INDEX('Used inputs'!$A$94:$O$108,$A155,COLUMN())</f>
        <v>0</v>
      </c>
      <c r="J155" s="190">
        <f>INDEX('Used inputs'!$A$94:$O$108,$A155,COLUMN())</f>
        <v>0</v>
      </c>
      <c r="K155" s="165">
        <f>INDEX('Used inputs'!$A$94:$O$108,$A155,COLUMN())</f>
        <v>0.74300098384664137</v>
      </c>
      <c r="L155" s="165">
        <f>INDEX('Used inputs'!$A$94:$O$108,$A155,COLUMN())</f>
        <v>2.8230037380875737</v>
      </c>
      <c r="M155" s="165">
        <f>INDEX('Used inputs'!$A$94:$O$108,$A155,COLUMN())</f>
        <v>5.7920076695016798</v>
      </c>
      <c r="N155" s="165">
        <f>INDEX('Used inputs'!$A$94:$O$108,$A155,COLUMN())</f>
        <v>8.726011554570384</v>
      </c>
      <c r="O155" s="165">
        <f>INDEX('Used inputs'!$A$94:$O$108,$A155,COLUMN())</f>
        <v>10.354013710293621</v>
      </c>
    </row>
    <row r="156" spans="1:17" s="53" customFormat="1">
      <c r="A156" s="110"/>
      <c r="B156" s="57"/>
      <c r="C156" s="56"/>
      <c r="D156" s="55"/>
      <c r="E156" s="59"/>
      <c r="F156" s="129"/>
      <c r="G156" s="129"/>
      <c r="H156" s="129"/>
      <c r="I156" s="129"/>
      <c r="J156" s="190"/>
      <c r="K156" s="61"/>
      <c r="L156" s="61"/>
      <c r="M156" s="61"/>
      <c r="N156" s="61"/>
      <c r="O156" s="61"/>
    </row>
    <row r="157" spans="1:17" s="11" customFormat="1">
      <c r="A157" s="27"/>
      <c r="B157" s="28"/>
      <c r="C157" s="29"/>
      <c r="D157" s="30"/>
      <c r="E157" s="32" t="s">
        <v>365</v>
      </c>
      <c r="F157" s="31"/>
      <c r="G157" s="31"/>
      <c r="H157" s="31"/>
      <c r="I157" s="31"/>
      <c r="J157" s="44"/>
      <c r="K157" s="31"/>
      <c r="L157" s="31"/>
      <c r="M157" s="31"/>
      <c r="N157" s="31"/>
      <c r="O157" s="31"/>
      <c r="Q157" s="53"/>
    </row>
    <row r="158" spans="1:17" s="53" customFormat="1">
      <c r="A158" s="85">
        <f>+A$14</f>
        <v>4</v>
      </c>
      <c r="B158" s="56" t="s">
        <v>40</v>
      </c>
      <c r="C158" s="56"/>
      <c r="D158" s="55" t="s">
        <v>10</v>
      </c>
      <c r="E158" s="59" t="s">
        <v>135</v>
      </c>
      <c r="F158" s="129">
        <f>INDEX('Used inputs'!$A$94:$O$108,$A158,COLUMN())</f>
        <v>0.17800023569946455</v>
      </c>
      <c r="G158" s="129">
        <f>INDEX('Used inputs'!$A$94:$O$108,$A158,COLUMN())</f>
        <v>0.18500024496854489</v>
      </c>
      <c r="H158" s="129">
        <f>INDEX('Used inputs'!$A$94:$O$108,$A158,COLUMN())</f>
        <v>0.20900027674824764</v>
      </c>
      <c r="I158" s="129">
        <f>INDEX('Used inputs'!$A$94:$O$108,$A158,COLUMN())</f>
        <v>0.13269160006642863</v>
      </c>
      <c r="J158" s="190">
        <f>INDEX('Used inputs'!$A$94:$O$108,$A158,COLUMN())</f>
        <v>0.12046499339132163</v>
      </c>
      <c r="K158" s="165">
        <f>INDEX('Used inputs'!$A$94:$O$108,$A158,COLUMN())</f>
        <v>0.13700697321438066</v>
      </c>
      <c r="L158" s="165">
        <f>INDEX('Used inputs'!$A$94:$O$108,$A158,COLUMN())</f>
        <v>0.1312837240029395</v>
      </c>
      <c r="M158" s="165">
        <f>INDEX('Used inputs'!$A$94:$O$108,$A158,COLUMN())</f>
        <v>0.12201112728117179</v>
      </c>
      <c r="N158" s="165">
        <f>INDEX('Used inputs'!$A$94:$O$108,$A158,COLUMN())</f>
        <v>0.11062227021439734</v>
      </c>
      <c r="O158" s="165">
        <f>INDEX('Used inputs'!$A$94:$O$108,$A158,COLUMN())</f>
        <v>0.10180929427664064</v>
      </c>
    </row>
    <row r="159" spans="1:17" s="53" customFormat="1">
      <c r="A159" s="85">
        <f>+A$15</f>
        <v>5</v>
      </c>
      <c r="B159" s="56" t="s">
        <v>41</v>
      </c>
      <c r="C159" s="56"/>
      <c r="D159" s="55" t="s">
        <v>10</v>
      </c>
      <c r="E159" s="59" t="s">
        <v>136</v>
      </c>
      <c r="F159" s="129">
        <f>INDEX('Used inputs'!$A$94:$O$108,$A159,COLUMN())</f>
        <v>1.9490025807767277</v>
      </c>
      <c r="G159" s="129">
        <f>INDEX('Used inputs'!$A$94:$O$108,$A159,COLUMN())</f>
        <v>2.6920035646233607</v>
      </c>
      <c r="H159" s="129">
        <f>INDEX('Used inputs'!$A$94:$O$108,$A159,COLUMN())</f>
        <v>2.1250028138278783</v>
      </c>
      <c r="I159" s="129">
        <f>INDEX('Used inputs'!$A$94:$O$108,$A159,COLUMN())</f>
        <v>3.1767558911083409</v>
      </c>
      <c r="J159" s="190">
        <f>INDEX('Used inputs'!$A$94:$O$108,$A159,COLUMN())</f>
        <v>3.0611039427110551</v>
      </c>
      <c r="K159" s="165">
        <f>INDEX('Used inputs'!$A$94:$O$108,$A159,COLUMN())</f>
        <v>4.2747633826351796</v>
      </c>
      <c r="L159" s="165">
        <f>INDEX('Used inputs'!$A$94:$O$108,$A159,COLUMN())</f>
        <v>4.4858193999025948</v>
      </c>
      <c r="M159" s="165">
        <f>INDEX('Used inputs'!$A$94:$O$108,$A159,COLUMN())</f>
        <v>4.5429083055167139</v>
      </c>
      <c r="N159" s="165">
        <f>INDEX('Used inputs'!$A$94:$O$108,$A159,COLUMN())</f>
        <v>4.4049524270882383</v>
      </c>
      <c r="O159" s="165">
        <f>INDEX('Used inputs'!$A$94:$O$108,$A159,COLUMN())</f>
        <v>4.338663964848287</v>
      </c>
    </row>
    <row r="160" spans="1:17" s="53" customFormat="1">
      <c r="A160" s="85">
        <f>+A$16</f>
        <v>6</v>
      </c>
      <c r="B160" s="56" t="s">
        <v>42</v>
      </c>
      <c r="C160" s="56"/>
      <c r="D160" s="55" t="s">
        <v>10</v>
      </c>
      <c r="E160" s="59" t="s">
        <v>137</v>
      </c>
      <c r="F160" s="129">
        <f>INDEX('Used inputs'!$A$94:$O$108,$A160,COLUMN())</f>
        <v>12.414016438051409</v>
      </c>
      <c r="G160" s="129">
        <f>INDEX('Used inputs'!$A$94:$O$108,$A160,COLUMN())</f>
        <v>13.202017481485052</v>
      </c>
      <c r="H160" s="129">
        <f>INDEX('Used inputs'!$A$94:$O$108,$A160,COLUMN())</f>
        <v>15.127020030482035</v>
      </c>
      <c r="I160" s="129">
        <f>INDEX('Used inputs'!$A$94:$O$108,$A160,COLUMN())</f>
        <v>12.192376087698403</v>
      </c>
      <c r="J160" s="190">
        <f>INDEX('Used inputs'!$A$94:$O$108,$A160,COLUMN())</f>
        <v>11.476452862687372</v>
      </c>
      <c r="K160" s="165">
        <f>INDEX('Used inputs'!$A$94:$O$108,$A160,COLUMN())</f>
        <v>14.499578669219517</v>
      </c>
      <c r="L160" s="165">
        <f>INDEX('Used inputs'!$A$94:$O$108,$A160,COLUMN())</f>
        <v>15.210468371341687</v>
      </c>
      <c r="M160" s="165">
        <f>INDEX('Used inputs'!$A$94:$O$108,$A160,COLUMN())</f>
        <v>15.676851417606827</v>
      </c>
      <c r="N160" s="165">
        <f>INDEX('Used inputs'!$A$94:$O$108,$A160,COLUMN())</f>
        <v>15.767936744091063</v>
      </c>
      <c r="O160" s="165">
        <f>INDEX('Used inputs'!$A$94:$O$108,$A160,COLUMN())</f>
        <v>15.96357808628513</v>
      </c>
    </row>
    <row r="161" spans="1:17" s="53" customFormat="1">
      <c r="A161" s="110"/>
      <c r="B161" s="57"/>
      <c r="C161" s="56"/>
      <c r="D161" s="55"/>
      <c r="E161" s="59"/>
      <c r="F161" s="129"/>
      <c r="G161" s="129"/>
      <c r="H161" s="129"/>
      <c r="I161" s="129"/>
      <c r="J161" s="190"/>
      <c r="K161" s="61"/>
      <c r="L161" s="61"/>
      <c r="M161" s="61"/>
      <c r="N161" s="61"/>
      <c r="O161" s="61"/>
    </row>
    <row r="162" spans="1:17" s="11" customFormat="1">
      <c r="A162" s="27"/>
      <c r="B162" s="28"/>
      <c r="C162" s="29"/>
      <c r="D162" s="30"/>
      <c r="E162" s="32" t="s">
        <v>366</v>
      </c>
      <c r="F162" s="31"/>
      <c r="G162" s="31"/>
      <c r="H162" s="31"/>
      <c r="I162" s="31"/>
      <c r="J162" s="44"/>
      <c r="K162" s="31"/>
      <c r="L162" s="31"/>
      <c r="M162" s="31"/>
      <c r="N162" s="31"/>
      <c r="O162" s="31"/>
      <c r="Q162" s="53"/>
    </row>
    <row r="163" spans="1:17" s="53" customFormat="1">
      <c r="A163" s="85">
        <f>+A$19</f>
        <v>7</v>
      </c>
      <c r="B163" s="57"/>
      <c r="C163" s="56"/>
      <c r="D163" s="55" t="s">
        <v>29</v>
      </c>
      <c r="E163" s="59" t="s">
        <v>89</v>
      </c>
      <c r="F163" s="129">
        <f>INDEX('Used inputs'!$A$94:$O$108,$A163,COLUMN())</f>
        <v>33.268000000000001</v>
      </c>
      <c r="G163" s="129">
        <f>INDEX('Used inputs'!$A$94:$O$108,$A163,COLUMN())</f>
        <v>32.923999999999999</v>
      </c>
      <c r="H163" s="129">
        <f>INDEX('Used inputs'!$A$94:$O$108,$A163,COLUMN())</f>
        <v>32.362000000000002</v>
      </c>
      <c r="I163" s="129">
        <f>INDEX('Used inputs'!$A$94:$O$108,$A163,COLUMN())</f>
        <v>32.143000000000001</v>
      </c>
      <c r="J163" s="190">
        <f>INDEX('Used inputs'!$A$94:$O$108,$A163,COLUMN())</f>
        <v>32.143000000000001</v>
      </c>
      <c r="K163" s="165">
        <f>INDEX('Used inputs'!$A$94:$O$108,$A163,COLUMN())</f>
        <v>32.143000000000001</v>
      </c>
      <c r="L163" s="165">
        <f>INDEX('Used inputs'!$A$94:$O$108,$A163,COLUMN())</f>
        <v>32.143000000000001</v>
      </c>
      <c r="M163" s="165">
        <f>INDEX('Used inputs'!$A$94:$O$108,$A163,COLUMN())</f>
        <v>32.143000000000001</v>
      </c>
      <c r="N163" s="165">
        <f>INDEX('Used inputs'!$A$94:$O$108,$A163,COLUMN())</f>
        <v>32.143000000000001</v>
      </c>
      <c r="O163" s="165">
        <f>INDEX('Used inputs'!$A$94:$O$108,$A163,COLUMN())</f>
        <v>32.143000000000001</v>
      </c>
    </row>
    <row r="164" spans="1:17" s="53" customFormat="1">
      <c r="A164" s="85">
        <f>+A$20</f>
        <v>8</v>
      </c>
      <c r="B164" s="57"/>
      <c r="C164" s="56"/>
      <c r="D164" s="55" t="s">
        <v>29</v>
      </c>
      <c r="E164" s="59" t="s">
        <v>90</v>
      </c>
      <c r="F164" s="129">
        <f>INDEX('Used inputs'!$A$94:$O$108,$A164,COLUMN())</f>
        <v>13.922000000000001</v>
      </c>
      <c r="G164" s="129">
        <f>INDEX('Used inputs'!$A$94:$O$108,$A164,COLUMN())</f>
        <v>14.316000000000001</v>
      </c>
      <c r="H164" s="129">
        <f>INDEX('Used inputs'!$A$94:$O$108,$A164,COLUMN())</f>
        <v>15.081</v>
      </c>
      <c r="I164" s="129">
        <f>INDEX('Used inputs'!$A$94:$O$108,$A164,COLUMN())</f>
        <v>15.452</v>
      </c>
      <c r="J164" s="190">
        <f>INDEX('Used inputs'!$A$94:$O$108,$A164,COLUMN())</f>
        <v>15.452</v>
      </c>
      <c r="K164" s="165">
        <f>INDEX('Used inputs'!$A$94:$O$108,$A164,COLUMN())</f>
        <v>15.452</v>
      </c>
      <c r="L164" s="165">
        <f>INDEX('Used inputs'!$A$94:$O$108,$A164,COLUMN())</f>
        <v>15.452</v>
      </c>
      <c r="M164" s="165">
        <f>INDEX('Used inputs'!$A$94:$O$108,$A164,COLUMN())</f>
        <v>15.452</v>
      </c>
      <c r="N164" s="165">
        <f>INDEX('Used inputs'!$A$94:$O$108,$A164,COLUMN())</f>
        <v>15.452</v>
      </c>
      <c r="O164" s="165">
        <f>INDEX('Used inputs'!$A$94:$O$108,$A164,COLUMN())</f>
        <v>15.452</v>
      </c>
    </row>
    <row r="165" spans="1:17" s="53" customFormat="1">
      <c r="A165" s="85">
        <f>+A$21</f>
        <v>9</v>
      </c>
      <c r="B165" s="57"/>
      <c r="C165" s="56"/>
      <c r="D165" s="55" t="s">
        <v>29</v>
      </c>
      <c r="E165" s="59" t="s">
        <v>91</v>
      </c>
      <c r="F165" s="129">
        <f>INDEX('Used inputs'!$A$94:$O$108,$A165,COLUMN())</f>
        <v>1329.231</v>
      </c>
      <c r="G165" s="129">
        <f>INDEX('Used inputs'!$A$94:$O$108,$A165,COLUMN())</f>
        <v>1310.4290000000001</v>
      </c>
      <c r="H165" s="129">
        <f>INDEX('Used inputs'!$A$94:$O$108,$A165,COLUMN())</f>
        <v>1279.1880000000001</v>
      </c>
      <c r="I165" s="129">
        <f>INDEX('Used inputs'!$A$94:$O$108,$A165,COLUMN())</f>
        <v>1262.7260000000001</v>
      </c>
      <c r="J165" s="190">
        <f>INDEX('Used inputs'!$A$94:$O$108,$A165,COLUMN())</f>
        <v>1231.7270000000001</v>
      </c>
      <c r="K165" s="165">
        <f>INDEX('Used inputs'!$A$94:$O$108,$A165,COLUMN())</f>
        <v>1109.327</v>
      </c>
      <c r="L165" s="165">
        <f>INDEX('Used inputs'!$A$94:$O$108,$A165,COLUMN())</f>
        <v>992.49599999999998</v>
      </c>
      <c r="M165" s="165">
        <f>INDEX('Used inputs'!$A$94:$O$108,$A165,COLUMN())</f>
        <v>872.70100000000002</v>
      </c>
      <c r="N165" s="165">
        <f>INDEX('Used inputs'!$A$94:$O$108,$A165,COLUMN())</f>
        <v>751.452</v>
      </c>
      <c r="O165" s="165">
        <f>INDEX('Used inputs'!$A$94:$O$108,$A165,COLUMN())</f>
        <v>637.14400000000001</v>
      </c>
    </row>
    <row r="166" spans="1:17" s="53" customFormat="1">
      <c r="A166" s="85">
        <f>+A$22</f>
        <v>10</v>
      </c>
      <c r="B166" s="57"/>
      <c r="C166" s="56"/>
      <c r="D166" s="55" t="s">
        <v>29</v>
      </c>
      <c r="E166" s="59" t="s">
        <v>92</v>
      </c>
      <c r="F166" s="129">
        <f>INDEX('Used inputs'!$A$94:$O$108,$A166,COLUMN())</f>
        <v>556.24400000000003</v>
      </c>
      <c r="G166" s="129">
        <f>INDEX('Used inputs'!$A$94:$O$108,$A166,COLUMN())</f>
        <v>569.68399999999997</v>
      </c>
      <c r="H166" s="129">
        <f>INDEX('Used inputs'!$A$94:$O$108,$A166,COLUMN())</f>
        <v>596.04100000000005</v>
      </c>
      <c r="I166" s="129">
        <f>INDEX('Used inputs'!$A$94:$O$108,$A166,COLUMN())</f>
        <v>612.82799999999997</v>
      </c>
      <c r="J166" s="190">
        <f>INDEX('Used inputs'!$A$94:$O$108,$A166,COLUMN())</f>
        <v>651.40800000000002</v>
      </c>
      <c r="K166" s="165">
        <f>INDEX('Used inputs'!$A$94:$O$108,$A166,COLUMN())</f>
        <v>804.98900000000003</v>
      </c>
      <c r="L166" s="165">
        <f>INDEX('Used inputs'!$A$94:$O$108,$A166,COLUMN())</f>
        <v>938.37400000000002</v>
      </c>
      <c r="M166" s="165">
        <f>INDEX('Used inputs'!$A$94:$O$108,$A166,COLUMN())</f>
        <v>1074.615</v>
      </c>
      <c r="N166" s="165">
        <f>INDEX('Used inputs'!$A$94:$O$108,$A166,COLUMN())</f>
        <v>1212.2</v>
      </c>
      <c r="O166" s="165">
        <f>INDEX('Used inputs'!$A$94:$O$108,$A166,COLUMN())</f>
        <v>1342.6849999999999</v>
      </c>
    </row>
    <row r="167" spans="1:17" s="53" customFormat="1">
      <c r="A167" s="85">
        <f>+A$23</f>
        <v>11</v>
      </c>
      <c r="B167" s="57"/>
      <c r="C167" s="56"/>
      <c r="D167" s="55" t="s">
        <v>29</v>
      </c>
      <c r="E167" s="59" t="s">
        <v>93</v>
      </c>
      <c r="F167" s="129">
        <f>INDEX('Used inputs'!$A$94:$O$108,$A167,COLUMN())</f>
        <v>2333.0430000000001</v>
      </c>
      <c r="G167" s="129">
        <f>INDEX('Used inputs'!$A$94:$O$108,$A167,COLUMN())</f>
        <v>2312.1709999999998</v>
      </c>
      <c r="H167" s="129">
        <f>INDEX('Used inputs'!$A$94:$O$108,$A167,COLUMN())</f>
        <v>2274.4279999999999</v>
      </c>
      <c r="I167" s="129">
        <f>INDEX('Used inputs'!$A$94:$O$108,$A167,COLUMN())</f>
        <v>2250.386</v>
      </c>
      <c r="J167" s="190">
        <f>INDEX('Used inputs'!$A$94:$O$108,$A167,COLUMN())</f>
        <v>2224.2559999999999</v>
      </c>
      <c r="K167" s="165">
        <f>INDEX('Used inputs'!$A$94:$O$108,$A167,COLUMN())</f>
        <v>2154.703</v>
      </c>
      <c r="L167" s="165">
        <f>INDEX('Used inputs'!$A$94:$O$108,$A167,COLUMN())</f>
        <v>2070.2020000000002</v>
      </c>
      <c r="M167" s="165">
        <f>INDEX('Used inputs'!$A$94:$O$108,$A167,COLUMN())</f>
        <v>1956.895</v>
      </c>
      <c r="N167" s="165">
        <f>INDEX('Used inputs'!$A$94:$O$108,$A167,COLUMN())</f>
        <v>1826.8420000000001</v>
      </c>
      <c r="O167" s="165">
        <f>INDEX('Used inputs'!$A$94:$O$108,$A167,COLUMN())</f>
        <v>1693.788</v>
      </c>
    </row>
    <row r="168" spans="1:17" s="53" customFormat="1">
      <c r="A168" s="85">
        <f>+A$24</f>
        <v>12</v>
      </c>
      <c r="B168" s="57"/>
      <c r="C168" s="56"/>
      <c r="D168" s="55" t="s">
        <v>29</v>
      </c>
      <c r="E168" s="59" t="s">
        <v>94</v>
      </c>
      <c r="F168" s="129">
        <f>INDEX('Used inputs'!$A$94:$O$108,$A168,COLUMN())</f>
        <v>976.31</v>
      </c>
      <c r="G168" s="129">
        <f>INDEX('Used inputs'!$A$94:$O$108,$A168,COLUMN())</f>
        <v>1005.376</v>
      </c>
      <c r="H168" s="129">
        <f>INDEX('Used inputs'!$A$94:$O$108,$A168,COLUMN())</f>
        <v>1059.8530000000001</v>
      </c>
      <c r="I168" s="129">
        <f>INDEX('Used inputs'!$A$94:$O$108,$A168,COLUMN())</f>
        <v>1092.1600000000001</v>
      </c>
      <c r="J168" s="190">
        <f>INDEX('Used inputs'!$A$94:$O$108,$A168,COLUMN())</f>
        <v>1132.3699999999999</v>
      </c>
      <c r="K168" s="165">
        <f>INDEX('Used inputs'!$A$94:$O$108,$A168,COLUMN())</f>
        <v>1257.923</v>
      </c>
      <c r="L168" s="165">
        <f>INDEX('Used inputs'!$A$94:$O$108,$A168,COLUMN())</f>
        <v>1377.124</v>
      </c>
      <c r="M168" s="165">
        <f>INDEX('Used inputs'!$A$94:$O$108,$A168,COLUMN())</f>
        <v>1527.2170000000001</v>
      </c>
      <c r="N168" s="165">
        <f>INDEX('Used inputs'!$A$94:$O$108,$A168,COLUMN())</f>
        <v>1694.2349999999999</v>
      </c>
      <c r="O168" s="165">
        <f>INDEX('Used inputs'!$A$94:$O$108,$A168,COLUMN())</f>
        <v>1863.7349999999999</v>
      </c>
    </row>
    <row r="169" spans="1:17" s="53" customFormat="1">
      <c r="A169" s="110"/>
      <c r="B169" s="57"/>
      <c r="C169" s="56"/>
      <c r="D169" s="55"/>
      <c r="E169" s="59"/>
      <c r="F169" s="129"/>
      <c r="G169" s="129"/>
      <c r="H169" s="129"/>
      <c r="I169" s="129"/>
      <c r="J169" s="190"/>
      <c r="K169" s="61"/>
      <c r="L169" s="61"/>
      <c r="M169" s="61"/>
      <c r="N169" s="61"/>
      <c r="O169" s="61"/>
    </row>
    <row r="170" spans="1:17" s="11" customFormat="1">
      <c r="A170" s="27"/>
      <c r="B170" s="28"/>
      <c r="C170" s="29"/>
      <c r="D170" s="181"/>
      <c r="E170" s="33" t="s">
        <v>367</v>
      </c>
      <c r="F170" s="31"/>
      <c r="G170" s="31"/>
      <c r="H170" s="31"/>
      <c r="I170" s="31"/>
      <c r="J170" s="44"/>
      <c r="K170" s="31"/>
      <c r="L170" s="31"/>
      <c r="M170" s="31"/>
      <c r="N170" s="31"/>
      <c r="O170" s="31"/>
      <c r="Q170" s="53"/>
    </row>
    <row r="171" spans="1:17" s="53" customFormat="1">
      <c r="A171" s="85">
        <f>+A$27</f>
        <v>13</v>
      </c>
      <c r="B171" s="57"/>
      <c r="C171" s="56"/>
      <c r="D171" s="55" t="s">
        <v>29</v>
      </c>
      <c r="E171" s="182" t="s">
        <v>323</v>
      </c>
      <c r="F171" s="129"/>
      <c r="G171" s="129"/>
      <c r="H171" s="129"/>
      <c r="I171" s="165">
        <f>INDEX('Used inputs'!$A$94:$O$108,$A171+1,COLUMN())+INDEX('Used inputs'!$A$94:$O$108,$A171+2,COLUMN())</f>
        <v>1.6461564660604204</v>
      </c>
      <c r="J171" s="243">
        <f>INDEX('Used inputs'!$A$94:$O$108,$A171+1,COLUMN())+INDEX('Used inputs'!$A$94:$O$108,$A171+2,COLUMN())</f>
        <v>22.752114249330734</v>
      </c>
      <c r="K171" s="165">
        <f>INDEX('Used inputs'!$A$94:$O$108,$A171+1,COLUMN())+INDEX('Used inputs'!$A$94:$O$108,$A171+2,COLUMN())</f>
        <v>1.6742845552360341</v>
      </c>
      <c r="L171" s="165">
        <f>INDEX('Used inputs'!$A$94:$O$108,$A171+1,COLUMN())+INDEX('Used inputs'!$A$94:$O$108,$A171+2,COLUMN())</f>
        <v>1.6742845552360341</v>
      </c>
      <c r="M171" s="165">
        <f>INDEX('Used inputs'!$A$94:$O$108,$A171+1,COLUMN())+INDEX('Used inputs'!$A$94:$O$108,$A171+2,COLUMN())</f>
        <v>1.6742845552360341</v>
      </c>
      <c r="N171" s="165">
        <f>INDEX('Used inputs'!$A$94:$O$108,$A171+1,COLUMN())+INDEX('Used inputs'!$A$94:$O$108,$A171+2,COLUMN())</f>
        <v>1.6742845552360341</v>
      </c>
      <c r="O171" s="165">
        <f>INDEX('Used inputs'!$A$94:$O$108,$A171+1,COLUMN())+INDEX('Used inputs'!$A$94:$O$108,$A171+2,COLUMN())</f>
        <v>1.6742845552360341</v>
      </c>
    </row>
    <row r="172" spans="1:17" s="53" customFormat="1">
      <c r="A172" s="85"/>
      <c r="B172" s="57"/>
      <c r="C172" s="56"/>
      <c r="D172" s="55"/>
      <c r="E172" s="182"/>
      <c r="F172" s="129"/>
      <c r="G172" s="129"/>
      <c r="H172" s="129"/>
      <c r="I172" s="129"/>
      <c r="J172" s="190"/>
      <c r="K172" s="165"/>
      <c r="L172" s="165"/>
      <c r="M172" s="165"/>
      <c r="N172" s="165"/>
      <c r="O172" s="165"/>
    </row>
    <row r="173" spans="1:17" s="53" customFormat="1">
      <c r="A173" s="85"/>
      <c r="B173" s="57"/>
      <c r="C173" s="56"/>
      <c r="D173" s="55"/>
      <c r="E173" s="59"/>
      <c r="F173" s="129"/>
      <c r="G173" s="129"/>
      <c r="H173" s="129"/>
      <c r="I173" s="129"/>
      <c r="J173" s="190"/>
      <c r="K173" s="61"/>
      <c r="L173" s="61"/>
      <c r="M173" s="61"/>
      <c r="N173" s="61"/>
      <c r="O173" s="61"/>
    </row>
    <row r="174" spans="1:17">
      <c r="A174" s="82"/>
      <c r="B174" s="31"/>
      <c r="C174" s="38" t="str">
        <f>INDEX('Used inputs'!$A$109:$O$120,1,1)</f>
        <v>NWT</v>
      </c>
      <c r="D174" s="39"/>
      <c r="E174" s="48"/>
      <c r="F174" s="31"/>
      <c r="G174" s="31"/>
      <c r="H174" s="31"/>
      <c r="I174" s="31"/>
      <c r="J174" s="44"/>
      <c r="K174" s="31"/>
      <c r="L174" s="31"/>
      <c r="M174" s="31"/>
      <c r="N174" s="31"/>
      <c r="O174" s="31"/>
      <c r="Q174" s="53"/>
    </row>
    <row r="175" spans="1:17">
      <c r="A175" s="83"/>
      <c r="B175" s="16"/>
      <c r="C175" s="17"/>
      <c r="D175" s="18"/>
      <c r="E175" s="19"/>
      <c r="F175" s="16"/>
      <c r="G175" s="16"/>
      <c r="H175" s="16"/>
      <c r="I175" s="16"/>
      <c r="J175" s="220"/>
      <c r="K175" s="134"/>
      <c r="L175" s="134"/>
      <c r="M175" s="134"/>
      <c r="N175" s="134"/>
      <c r="O175" s="134"/>
      <c r="Q175" s="53"/>
    </row>
    <row r="176" spans="1:17" s="11" customFormat="1">
      <c r="A176" s="84"/>
      <c r="B176" s="28"/>
      <c r="C176" s="29" t="s">
        <v>23</v>
      </c>
      <c r="D176" s="47" t="s">
        <v>24</v>
      </c>
      <c r="E176" s="33" t="s">
        <v>368</v>
      </c>
      <c r="F176" s="31"/>
      <c r="G176" s="31"/>
      <c r="H176" s="31"/>
      <c r="I176" s="31"/>
      <c r="J176" s="44"/>
      <c r="K176" s="31"/>
      <c r="L176" s="31"/>
      <c r="M176" s="31"/>
      <c r="N176" s="31"/>
      <c r="O176" s="31"/>
      <c r="Q176" s="53"/>
    </row>
    <row r="177" spans="1:17" s="53" customFormat="1">
      <c r="A177" s="85">
        <f>+A$9</f>
        <v>1</v>
      </c>
      <c r="B177" s="57"/>
      <c r="C177" s="56"/>
      <c r="D177" s="55" t="s">
        <v>10</v>
      </c>
      <c r="E177" s="59" t="s">
        <v>132</v>
      </c>
      <c r="F177" s="129">
        <f>INDEX('Used inputs'!$A$109:$O$123,$A177,COLUMN())</f>
        <v>98.744294465408345</v>
      </c>
      <c r="G177" s="129">
        <f>INDEX('Used inputs'!$A$109:$O$123,$A177,COLUMN())</f>
        <v>102.07291581840181</v>
      </c>
      <c r="H177" s="129">
        <f>INDEX('Used inputs'!$A$109:$O$123,$A177,COLUMN())</f>
        <v>93.821345096434541</v>
      </c>
      <c r="I177" s="129">
        <f ca="1">INDEX('Used inputs'!$A$109:$O$123,$A177,COLUMN())</f>
        <v>98.814844019894181</v>
      </c>
      <c r="J177" s="190">
        <f>INDEX('Used inputs'!$A$109:$O$123,$A177,COLUMN())</f>
        <v>98.899036461398794</v>
      </c>
      <c r="K177" s="165">
        <f ca="1">INDEX('Used inputs'!$A$109:$O$123,$A177,COLUMN())</f>
        <v>101.42004208699682</v>
      </c>
      <c r="L177" s="165">
        <f ca="1">INDEX('Used inputs'!$A$109:$O$123,$A177,COLUMN())</f>
        <v>104.24687705707251</v>
      </c>
      <c r="M177" s="165">
        <f ca="1">INDEX('Used inputs'!$A$109:$O$123,$A177,COLUMN())</f>
        <v>105.9019377297992</v>
      </c>
      <c r="N177" s="165">
        <f ca="1">INDEX('Used inputs'!$A$109:$O$123,$A177,COLUMN())</f>
        <v>103.61351661468181</v>
      </c>
      <c r="O177" s="165">
        <f ca="1">INDEX('Used inputs'!$A$109:$O$123,$A177,COLUMN())</f>
        <v>104.02979871323124</v>
      </c>
    </row>
    <row r="178" spans="1:17" s="53" customFormat="1">
      <c r="A178" s="85">
        <f>+A$10</f>
        <v>2</v>
      </c>
      <c r="B178" s="57"/>
      <c r="C178" s="56"/>
      <c r="D178" s="55" t="s">
        <v>10</v>
      </c>
      <c r="E178" s="114" t="s">
        <v>99</v>
      </c>
      <c r="F178" s="129">
        <f>INDEX('Used inputs'!$A$109:$O$123,$A178,COLUMN())</f>
        <v>18.406888827351906</v>
      </c>
      <c r="G178" s="129">
        <f>INDEX('Used inputs'!$A$109:$O$123,$A178,COLUMN())</f>
        <v>18.50490241699805</v>
      </c>
      <c r="H178" s="129">
        <f>INDEX('Used inputs'!$A$109:$O$123,$A178,COLUMN())</f>
        <v>9.9448394332834571</v>
      </c>
      <c r="I178" s="129">
        <f>INDEX('Used inputs'!$A$109:$O$123,$A178,COLUMN())</f>
        <v>13.360840469196154</v>
      </c>
      <c r="J178" s="190">
        <f>INDEX('Used inputs'!$A$109:$O$123,$A178,COLUMN())</f>
        <v>8.1798825337992618</v>
      </c>
      <c r="K178" s="165">
        <f>INDEX('Used inputs'!$A$109:$O$123,$A178,COLUMN())</f>
        <v>10.760372712105257</v>
      </c>
      <c r="L178" s="165">
        <f>INDEX('Used inputs'!$A$109:$O$123,$A178,COLUMN())</f>
        <v>9.4866334727751394</v>
      </c>
      <c r="M178" s="165">
        <f>INDEX('Used inputs'!$A$109:$O$123,$A178,COLUMN())</f>
        <v>9.0504528287504638</v>
      </c>
      <c r="N178" s="165">
        <f>INDEX('Used inputs'!$A$109:$O$123,$A178,COLUMN())</f>
        <v>7.2821996484723979</v>
      </c>
      <c r="O178" s="165">
        <f>INDEX('Used inputs'!$A$109:$O$123,$A178,COLUMN())</f>
        <v>5.5004894474522876</v>
      </c>
    </row>
    <row r="179" spans="1:17" s="53" customFormat="1">
      <c r="A179" s="85">
        <f>+A$11</f>
        <v>3</v>
      </c>
      <c r="B179" s="57"/>
      <c r="C179" s="56"/>
      <c r="D179" s="55" t="s">
        <v>10</v>
      </c>
      <c r="E179" s="114" t="s">
        <v>100</v>
      </c>
      <c r="F179" s="129">
        <f>INDEX('Used inputs'!$A$109:$O$123,$A179,COLUMN())</f>
        <v>0</v>
      </c>
      <c r="G179" s="129">
        <f>INDEX('Used inputs'!$A$109:$O$123,$A179,COLUMN())</f>
        <v>0</v>
      </c>
      <c r="H179" s="129">
        <f>INDEX('Used inputs'!$A$109:$O$123,$A179,COLUMN())</f>
        <v>0</v>
      </c>
      <c r="I179" s="129">
        <f>INDEX('Used inputs'!$A$109:$O$123,$A179,COLUMN())</f>
        <v>0</v>
      </c>
      <c r="J179" s="190">
        <f>INDEX('Used inputs'!$A$109:$O$123,$A179,COLUMN())</f>
        <v>0</v>
      </c>
      <c r="K179" s="165">
        <f>INDEX('Used inputs'!$A$109:$O$123,$A179,COLUMN())</f>
        <v>1.1082273636609039</v>
      </c>
      <c r="L179" s="165">
        <f>INDEX('Used inputs'!$A$109:$O$123,$A179,COLUMN())</f>
        <v>2.5043956191171781</v>
      </c>
      <c r="M179" s="165">
        <f>INDEX('Used inputs'!$A$109:$O$123,$A179,COLUMN())</f>
        <v>3.6458111284875323</v>
      </c>
      <c r="N179" s="165">
        <f>INDEX('Used inputs'!$A$109:$O$123,$A179,COLUMN())</f>
        <v>7.3451524279317999</v>
      </c>
      <c r="O179" s="165">
        <f>INDEX('Used inputs'!$A$109:$O$123,$A179,COLUMN())</f>
        <v>11.144408370562354</v>
      </c>
    </row>
    <row r="180" spans="1:17" s="53" customFormat="1">
      <c r="A180" s="110"/>
      <c r="B180" s="57"/>
      <c r="C180" s="56"/>
      <c r="D180" s="55"/>
      <c r="E180" s="59"/>
      <c r="F180" s="129"/>
      <c r="G180" s="129"/>
      <c r="H180" s="129"/>
      <c r="I180" s="129"/>
      <c r="J180" s="190"/>
      <c r="K180" s="61"/>
      <c r="L180" s="61"/>
      <c r="M180" s="61"/>
      <c r="N180" s="61"/>
      <c r="O180" s="61"/>
    </row>
    <row r="181" spans="1:17" s="11" customFormat="1">
      <c r="A181" s="27"/>
      <c r="B181" s="28"/>
      <c r="C181" s="29"/>
      <c r="D181" s="30"/>
      <c r="E181" s="32" t="s">
        <v>369</v>
      </c>
      <c r="F181" s="31"/>
      <c r="G181" s="31"/>
      <c r="H181" s="31"/>
      <c r="I181" s="31"/>
      <c r="J181" s="44"/>
      <c r="K181" s="31"/>
      <c r="L181" s="31"/>
      <c r="M181" s="31"/>
      <c r="N181" s="31"/>
      <c r="O181" s="31"/>
      <c r="Q181" s="53"/>
    </row>
    <row r="182" spans="1:17" s="53" customFormat="1">
      <c r="A182" s="85">
        <f>+A$14</f>
        <v>4</v>
      </c>
      <c r="B182" s="56" t="s">
        <v>40</v>
      </c>
      <c r="C182" s="56"/>
      <c r="D182" s="55" t="s">
        <v>10</v>
      </c>
      <c r="E182" s="59" t="s">
        <v>135</v>
      </c>
      <c r="F182" s="129">
        <f>INDEX('Used inputs'!$A$109:$O$123,$A182,COLUMN())</f>
        <v>0.10800014300866345</v>
      </c>
      <c r="G182" s="129">
        <f>INDEX('Used inputs'!$A$109:$O$123,$A182,COLUMN())</f>
        <v>0.13200017478836726</v>
      </c>
      <c r="H182" s="129">
        <f>INDEX('Used inputs'!$A$109:$O$123,$A182,COLUMN())</f>
        <v>0.13300017611252188</v>
      </c>
      <c r="I182" s="129">
        <f>INDEX('Used inputs'!$A$109:$O$123,$A182,COLUMN())</f>
        <v>0.11400015095359019</v>
      </c>
      <c r="J182" s="190">
        <f>INDEX('Used inputs'!$A$109:$O$123,$A182,COLUMN())</f>
        <v>0.12454500330764551</v>
      </c>
      <c r="K182" s="165">
        <f>INDEX('Used inputs'!$A$109:$O$123,$A182,COLUMN())</f>
        <v>0.15822460115548234</v>
      </c>
      <c r="L182" s="165">
        <f>INDEX('Used inputs'!$A$109:$O$123,$A182,COLUMN())</f>
        <v>0.14978962687195388</v>
      </c>
      <c r="M182" s="165">
        <f>INDEX('Used inputs'!$A$109:$O$123,$A182,COLUMN())</f>
        <v>0.13643369000815453</v>
      </c>
      <c r="N182" s="165">
        <f>INDEX('Used inputs'!$A$109:$O$123,$A182,COLUMN())</f>
        <v>0.12338090713489688</v>
      </c>
      <c r="O182" s="165">
        <f>INDEX('Used inputs'!$A$109:$O$123,$A182,COLUMN())</f>
        <v>0.11526565359998346</v>
      </c>
    </row>
    <row r="183" spans="1:17" s="53" customFormat="1">
      <c r="A183" s="85">
        <f>+A$15</f>
        <v>5</v>
      </c>
      <c r="B183" s="56" t="s">
        <v>41</v>
      </c>
      <c r="C183" s="56"/>
      <c r="D183" s="55" t="s">
        <v>10</v>
      </c>
      <c r="E183" s="59" t="s">
        <v>136</v>
      </c>
      <c r="F183" s="129">
        <f>INDEX('Used inputs'!$A$109:$O$123,$A183,COLUMN())</f>
        <v>1.7586719925897859E-2</v>
      </c>
      <c r="G183" s="129">
        <f>INDEX('Used inputs'!$A$109:$O$123,$A183,COLUMN())</f>
        <v>1.8430561511921677E-2</v>
      </c>
      <c r="H183" s="129">
        <f>INDEX('Used inputs'!$A$109:$O$123,$A183,COLUMN())</f>
        <v>1.9000025158931594E-2</v>
      </c>
      <c r="I183" s="129">
        <f>INDEX('Used inputs'!$A$109:$O$123,$A183,COLUMN())</f>
        <v>1.9548133919178701E-2</v>
      </c>
      <c r="J183" s="190">
        <f>INDEX('Used inputs'!$A$109:$O$123,$A183,COLUMN())</f>
        <v>2.0053856464790385E-2</v>
      </c>
      <c r="K183" s="165">
        <f>INDEX('Used inputs'!$A$109:$O$123,$A183,COLUMN())</f>
        <v>5.9676372811704202E-2</v>
      </c>
      <c r="L183" s="165">
        <f>INDEX('Used inputs'!$A$109:$O$123,$A183,COLUMN())</f>
        <v>5.8891400722249097E-2</v>
      </c>
      <c r="M183" s="165">
        <f>INDEX('Used inputs'!$A$109:$O$123,$A183,COLUMN())</f>
        <v>5.7518520766680868E-2</v>
      </c>
      <c r="N183" s="165">
        <f>INDEX('Used inputs'!$A$109:$O$123,$A183,COLUMN())</f>
        <v>5.615124903273902E-2</v>
      </c>
      <c r="O183" s="165">
        <f>INDEX('Used inputs'!$A$109:$O$123,$A183,COLUMN())</f>
        <v>5.7596295400506675E-2</v>
      </c>
    </row>
    <row r="184" spans="1:17" s="53" customFormat="1">
      <c r="A184" s="85">
        <f>+A$16</f>
        <v>6</v>
      </c>
      <c r="B184" s="56" t="s">
        <v>42</v>
      </c>
      <c r="C184" s="56"/>
      <c r="D184" s="55" t="s">
        <v>10</v>
      </c>
      <c r="E184" s="59" t="s">
        <v>137</v>
      </c>
      <c r="F184" s="129">
        <f>INDEX('Used inputs'!$A$109:$O$123,$A184,COLUMN())</f>
        <v>5.0010066220956304</v>
      </c>
      <c r="G184" s="129">
        <f>INDEX('Used inputs'!$A$109:$O$123,$A184,COLUMN())</f>
        <v>5.8430077370335525</v>
      </c>
      <c r="H184" s="129">
        <f>INDEX('Used inputs'!$A$109:$O$123,$A184,COLUMN())</f>
        <v>5.6610074960374668</v>
      </c>
      <c r="I184" s="129">
        <f>INDEX('Used inputs'!$A$109:$O$123,$A184,COLUMN())</f>
        <v>5.342007073632252</v>
      </c>
      <c r="J184" s="190">
        <f>INDEX('Used inputs'!$A$109:$O$123,$A184,COLUMN())</f>
        <v>5.8198402393081308</v>
      </c>
      <c r="K184" s="165">
        <f>INDEX('Used inputs'!$A$109:$O$123,$A184,COLUMN())</f>
        <v>7.7964429161663391</v>
      </c>
      <c r="L184" s="165">
        <f>INDEX('Used inputs'!$A$109:$O$123,$A184,COLUMN())</f>
        <v>7.7546409115616983</v>
      </c>
      <c r="M184" s="165">
        <f>INDEX('Used inputs'!$A$109:$O$123,$A184,COLUMN())</f>
        <v>7.3759093594519971</v>
      </c>
      <c r="N184" s="165">
        <f>INDEX('Used inputs'!$A$109:$O$123,$A184,COLUMN())</f>
        <v>6.9257296776287927</v>
      </c>
      <c r="O184" s="165">
        <f>INDEX('Used inputs'!$A$109:$O$123,$A184,COLUMN())</f>
        <v>6.6665680713117901</v>
      </c>
    </row>
    <row r="185" spans="1:17" s="53" customFormat="1">
      <c r="A185" s="110"/>
      <c r="B185" s="57"/>
      <c r="C185" s="56"/>
      <c r="D185" s="55"/>
      <c r="E185" s="59"/>
      <c r="F185" s="129"/>
      <c r="G185" s="129"/>
      <c r="H185" s="129"/>
      <c r="I185" s="129"/>
      <c r="J185" s="190"/>
      <c r="K185" s="61"/>
      <c r="L185" s="61"/>
      <c r="M185" s="61"/>
      <c r="N185" s="61"/>
      <c r="O185" s="61"/>
    </row>
    <row r="186" spans="1:17" s="11" customFormat="1">
      <c r="A186" s="27"/>
      <c r="B186" s="28"/>
      <c r="C186" s="29"/>
      <c r="D186" s="30"/>
      <c r="E186" s="32" t="s">
        <v>370</v>
      </c>
      <c r="F186" s="31"/>
      <c r="G186" s="31"/>
      <c r="H186" s="31"/>
      <c r="I186" s="31"/>
      <c r="J186" s="44"/>
      <c r="K186" s="31"/>
      <c r="L186" s="31"/>
      <c r="M186" s="31"/>
      <c r="N186" s="31"/>
      <c r="O186" s="31"/>
      <c r="Q186" s="53"/>
    </row>
    <row r="187" spans="1:17" s="53" customFormat="1">
      <c r="A187" s="85">
        <f>+A$19</f>
        <v>7</v>
      </c>
      <c r="B187" s="57"/>
      <c r="C187" s="56"/>
      <c r="D187" s="55" t="s">
        <v>29</v>
      </c>
      <c r="E187" s="59" t="s">
        <v>89</v>
      </c>
      <c r="F187" s="129">
        <f>INDEX('Used inputs'!$A$109:$O$123,$A187,COLUMN())</f>
        <v>48.545000000000002</v>
      </c>
      <c r="G187" s="129">
        <f>INDEX('Used inputs'!$A$109:$O$123,$A187,COLUMN())</f>
        <v>47.8</v>
      </c>
      <c r="H187" s="129">
        <f>INDEX('Used inputs'!$A$109:$O$123,$A187,COLUMN())</f>
        <v>46.94</v>
      </c>
      <c r="I187" s="129">
        <f>INDEX('Used inputs'!$A$109:$O$123,$A187,COLUMN())</f>
        <v>46.084000000000003</v>
      </c>
      <c r="J187" s="190">
        <f>INDEX('Used inputs'!$A$109:$O$123,$A187,COLUMN())</f>
        <v>47.109000000000002</v>
      </c>
      <c r="K187" s="165">
        <f>INDEX('Used inputs'!$A$109:$O$123,$A187,COLUMN())</f>
        <v>47.109000000000002</v>
      </c>
      <c r="L187" s="165">
        <f>INDEX('Used inputs'!$A$109:$O$123,$A187,COLUMN())</f>
        <v>47.109000000000002</v>
      </c>
      <c r="M187" s="165">
        <f>INDEX('Used inputs'!$A$109:$O$123,$A187,COLUMN())</f>
        <v>47.109000000000002</v>
      </c>
      <c r="N187" s="165">
        <f>INDEX('Used inputs'!$A$109:$O$123,$A187,COLUMN())</f>
        <v>47.109000000000002</v>
      </c>
      <c r="O187" s="165">
        <f>INDEX('Used inputs'!$A$109:$O$123,$A187,COLUMN())</f>
        <v>47.109000000000002</v>
      </c>
    </row>
    <row r="188" spans="1:17" s="53" customFormat="1">
      <c r="A188" s="85">
        <f>+A$20</f>
        <v>8</v>
      </c>
      <c r="B188" s="57"/>
      <c r="C188" s="56"/>
      <c r="D188" s="55" t="s">
        <v>29</v>
      </c>
      <c r="E188" s="59" t="s">
        <v>90</v>
      </c>
      <c r="F188" s="129">
        <f>INDEX('Used inputs'!$A$109:$O$123,$A188,COLUMN())</f>
        <v>18.14</v>
      </c>
      <c r="G188" s="129">
        <f>INDEX('Used inputs'!$A$109:$O$123,$A188,COLUMN())</f>
        <v>20.219000000000001</v>
      </c>
      <c r="H188" s="129">
        <f>INDEX('Used inputs'!$A$109:$O$123,$A188,COLUMN())</f>
        <v>22.327000000000002</v>
      </c>
      <c r="I188" s="129">
        <f>INDEX('Used inputs'!$A$109:$O$123,$A188,COLUMN())</f>
        <v>23.175999999999998</v>
      </c>
      <c r="J188" s="190">
        <f>INDEX('Used inputs'!$A$109:$O$123,$A188,COLUMN())</f>
        <v>22.893999999999998</v>
      </c>
      <c r="K188" s="165">
        <f>INDEX('Used inputs'!$A$109:$O$123,$A188,COLUMN())</f>
        <v>23.187999999999999</v>
      </c>
      <c r="L188" s="165">
        <f>INDEX('Used inputs'!$A$109:$O$123,$A188,COLUMN())</f>
        <v>23.503</v>
      </c>
      <c r="M188" s="165">
        <f>INDEX('Used inputs'!$A$109:$O$123,$A188,COLUMN())</f>
        <v>23.838000000000001</v>
      </c>
      <c r="N188" s="165">
        <f>INDEX('Used inputs'!$A$109:$O$123,$A188,COLUMN())</f>
        <v>24.195</v>
      </c>
      <c r="O188" s="165">
        <f>INDEX('Used inputs'!$A$109:$O$123,$A188,COLUMN())</f>
        <v>24.574999999999999</v>
      </c>
    </row>
    <row r="189" spans="1:17" s="53" customFormat="1">
      <c r="A189" s="85">
        <f>+A$21</f>
        <v>9</v>
      </c>
      <c r="B189" s="57"/>
      <c r="C189" s="56"/>
      <c r="D189" s="55" t="s">
        <v>29</v>
      </c>
      <c r="E189" s="59" t="s">
        <v>91</v>
      </c>
      <c r="F189" s="129">
        <f>INDEX('Used inputs'!$A$109:$O$123,$A189,COLUMN())</f>
        <v>29.373999999999999</v>
      </c>
      <c r="G189" s="129">
        <f>INDEX('Used inputs'!$A$109:$O$123,$A189,COLUMN())</f>
        <v>29.032</v>
      </c>
      <c r="H189" s="129">
        <f>INDEX('Used inputs'!$A$109:$O$123,$A189,COLUMN())</f>
        <v>28.268999999999998</v>
      </c>
      <c r="I189" s="129">
        <f>INDEX('Used inputs'!$A$109:$O$123,$A189,COLUMN())</f>
        <v>27.266999999999999</v>
      </c>
      <c r="J189" s="190">
        <f>INDEX('Used inputs'!$A$109:$O$123,$A189,COLUMN())</f>
        <v>28.268999999999998</v>
      </c>
      <c r="K189" s="165">
        <f>INDEX('Used inputs'!$A$109:$O$123,$A189,COLUMN())</f>
        <v>28.268999999999998</v>
      </c>
      <c r="L189" s="165">
        <f>INDEX('Used inputs'!$A$109:$O$123,$A189,COLUMN())</f>
        <v>28.268999999999998</v>
      </c>
      <c r="M189" s="165">
        <f>INDEX('Used inputs'!$A$109:$O$123,$A189,COLUMN())</f>
        <v>28.268999999999998</v>
      </c>
      <c r="N189" s="165">
        <f>INDEX('Used inputs'!$A$109:$O$123,$A189,COLUMN())</f>
        <v>28.268999999999998</v>
      </c>
      <c r="O189" s="165">
        <f>INDEX('Used inputs'!$A$109:$O$123,$A189,COLUMN())</f>
        <v>28.268999999999998</v>
      </c>
    </row>
    <row r="190" spans="1:17" s="53" customFormat="1">
      <c r="A190" s="85">
        <f>+A$22</f>
        <v>10</v>
      </c>
      <c r="B190" s="57"/>
      <c r="C190" s="56"/>
      <c r="D190" s="55" t="s">
        <v>29</v>
      </c>
      <c r="E190" s="59" t="s">
        <v>92</v>
      </c>
      <c r="F190" s="129">
        <f>INDEX('Used inputs'!$A$109:$O$123,$A190,COLUMN())</f>
        <v>11.779</v>
      </c>
      <c r="G190" s="129">
        <f>INDEX('Used inputs'!$A$109:$O$123,$A190,COLUMN())</f>
        <v>13.238</v>
      </c>
      <c r="H190" s="129">
        <f>INDEX('Used inputs'!$A$109:$O$123,$A190,COLUMN())</f>
        <v>14.968</v>
      </c>
      <c r="I190" s="129">
        <f>INDEX('Used inputs'!$A$109:$O$123,$A190,COLUMN())</f>
        <v>15.521000000000001</v>
      </c>
      <c r="J190" s="190">
        <f>INDEX('Used inputs'!$A$109:$O$123,$A190,COLUMN())</f>
        <v>14.968</v>
      </c>
      <c r="K190" s="165">
        <f>INDEX('Used inputs'!$A$109:$O$123,$A190,COLUMN())</f>
        <v>14.968</v>
      </c>
      <c r="L190" s="165">
        <f>INDEX('Used inputs'!$A$109:$O$123,$A190,COLUMN())</f>
        <v>14.968</v>
      </c>
      <c r="M190" s="165">
        <f>INDEX('Used inputs'!$A$109:$O$123,$A190,COLUMN())</f>
        <v>14.968</v>
      </c>
      <c r="N190" s="165">
        <f>INDEX('Used inputs'!$A$109:$O$123,$A190,COLUMN())</f>
        <v>14.968</v>
      </c>
      <c r="O190" s="165">
        <f>INDEX('Used inputs'!$A$109:$O$123,$A190,COLUMN())</f>
        <v>14.968</v>
      </c>
    </row>
    <row r="191" spans="1:17" s="53" customFormat="1">
      <c r="A191" s="85">
        <f>+A$23</f>
        <v>11</v>
      </c>
      <c r="B191" s="57"/>
      <c r="C191" s="56"/>
      <c r="D191" s="55" t="s">
        <v>29</v>
      </c>
      <c r="E191" s="59" t="s">
        <v>93</v>
      </c>
      <c r="F191" s="129">
        <f>INDEX('Used inputs'!$A$109:$O$123,$A191,COLUMN())</f>
        <v>1933.723</v>
      </c>
      <c r="G191" s="129">
        <f>INDEX('Used inputs'!$A$109:$O$123,$A191,COLUMN())</f>
        <v>1891.1880000000001</v>
      </c>
      <c r="H191" s="129">
        <f>INDEX('Used inputs'!$A$109:$O$123,$A191,COLUMN())</f>
        <v>1843.48</v>
      </c>
      <c r="I191" s="129">
        <f>INDEX('Used inputs'!$A$109:$O$123,$A191,COLUMN())</f>
        <v>1793.423</v>
      </c>
      <c r="J191" s="190">
        <f>INDEX('Used inputs'!$A$109:$O$123,$A191,COLUMN())</f>
        <v>1736.88</v>
      </c>
      <c r="K191" s="165">
        <f>INDEX('Used inputs'!$A$109:$O$123,$A191,COLUMN())</f>
        <v>1678.184</v>
      </c>
      <c r="L191" s="165">
        <f>INDEX('Used inputs'!$A$109:$O$123,$A191,COLUMN())</f>
        <v>1616.836</v>
      </c>
      <c r="M191" s="165">
        <f>INDEX('Used inputs'!$A$109:$O$123,$A191,COLUMN())</f>
        <v>1558.1020000000001</v>
      </c>
      <c r="N191" s="165">
        <f>INDEX('Used inputs'!$A$109:$O$123,$A191,COLUMN())</f>
        <v>1505.809</v>
      </c>
      <c r="O191" s="165">
        <f>INDEX('Used inputs'!$A$109:$O$123,$A191,COLUMN())</f>
        <v>1459.174</v>
      </c>
    </row>
    <row r="192" spans="1:17" s="53" customFormat="1">
      <c r="A192" s="85">
        <f>+A$24</f>
        <v>12</v>
      </c>
      <c r="B192" s="57"/>
      <c r="C192" s="56"/>
      <c r="D192" s="55" t="s">
        <v>29</v>
      </c>
      <c r="E192" s="59" t="s">
        <v>94</v>
      </c>
      <c r="F192" s="129">
        <f>INDEX('Used inputs'!$A$109:$O$123,$A192,COLUMN())</f>
        <v>843.80899999999997</v>
      </c>
      <c r="G192" s="129">
        <f>INDEX('Used inputs'!$A$109:$O$123,$A192,COLUMN())</f>
        <v>895.49900000000002</v>
      </c>
      <c r="H192" s="129">
        <f>INDEX('Used inputs'!$A$109:$O$123,$A192,COLUMN())</f>
        <v>950.42600000000004</v>
      </c>
      <c r="I192" s="129">
        <f>INDEX('Used inputs'!$A$109:$O$123,$A192,COLUMN())</f>
        <v>1006.773</v>
      </c>
      <c r="J192" s="190">
        <f>INDEX('Used inputs'!$A$109:$O$123,$A192,COLUMN())</f>
        <v>1072.3820000000001</v>
      </c>
      <c r="K192" s="165">
        <f>INDEX('Used inputs'!$A$109:$O$123,$A192,COLUMN())</f>
        <v>1142.0429999999999</v>
      </c>
      <c r="L192" s="165">
        <f>INDEX('Used inputs'!$A$109:$O$123,$A192,COLUMN())</f>
        <v>1215.5840000000001</v>
      </c>
      <c r="M192" s="165">
        <f>INDEX('Used inputs'!$A$109:$O$123,$A192,COLUMN())</f>
        <v>1287.8969999999999</v>
      </c>
      <c r="N192" s="165">
        <f>INDEX('Used inputs'!$A$109:$O$123,$A192,COLUMN())</f>
        <v>1355.3140000000001</v>
      </c>
      <c r="O192" s="165">
        <f>INDEX('Used inputs'!$A$109:$O$123,$A192,COLUMN())</f>
        <v>1418.1780000000001</v>
      </c>
    </row>
    <row r="193" spans="1:17" s="53" customFormat="1">
      <c r="A193" s="110"/>
      <c r="B193" s="57"/>
      <c r="C193" s="56"/>
      <c r="D193" s="55"/>
      <c r="E193" s="59"/>
      <c r="F193" s="129"/>
      <c r="G193" s="129"/>
      <c r="H193" s="129"/>
      <c r="I193" s="129"/>
      <c r="J193" s="190"/>
      <c r="K193" s="61"/>
      <c r="L193" s="61"/>
      <c r="M193" s="61"/>
      <c r="N193" s="61"/>
      <c r="O193" s="61"/>
    </row>
    <row r="194" spans="1:17" s="11" customFormat="1">
      <c r="A194" s="27"/>
      <c r="B194" s="28"/>
      <c r="C194" s="29"/>
      <c r="D194" s="181"/>
      <c r="E194" s="33" t="s">
        <v>371</v>
      </c>
      <c r="F194" s="31"/>
      <c r="G194" s="31"/>
      <c r="H194" s="31"/>
      <c r="I194" s="31"/>
      <c r="J194" s="44"/>
      <c r="K194" s="31"/>
      <c r="L194" s="31"/>
      <c r="M194" s="31"/>
      <c r="N194" s="31"/>
      <c r="O194" s="31"/>
      <c r="Q194" s="53"/>
    </row>
    <row r="195" spans="1:17" s="53" customFormat="1">
      <c r="A195" s="85">
        <f>+A$27</f>
        <v>13</v>
      </c>
      <c r="B195" s="57"/>
      <c r="C195" s="56"/>
      <c r="D195" s="55" t="s">
        <v>29</v>
      </c>
      <c r="E195" s="182" t="s">
        <v>323</v>
      </c>
      <c r="F195" s="129"/>
      <c r="G195" s="129"/>
      <c r="H195" s="129"/>
      <c r="I195" s="165">
        <f>INDEX('Used inputs'!$A$109:$O$123,$A195+1,COLUMN())+INDEX('Used inputs'!$A$109:$O$123,$A195+2,COLUMN())</f>
        <v>19.96047148942958</v>
      </c>
      <c r="J195" s="243">
        <f>INDEX('Used inputs'!$A$109:$O$123,$A195+1,COLUMN())+INDEX('Used inputs'!$A$109:$O$123,$A195+2,COLUMN())</f>
        <v>21.365775681752314</v>
      </c>
      <c r="K195" s="165">
        <f>INDEX('Used inputs'!$A$109:$O$123,$A195+1,COLUMN())+INDEX('Used inputs'!$A$109:$O$123,$A195+2,COLUMN())</f>
        <v>21.263261769110137</v>
      </c>
      <c r="L195" s="165">
        <f>INDEX('Used inputs'!$A$109:$O$123,$A195+1,COLUMN())+INDEX('Used inputs'!$A$109:$O$123,$A195+2,COLUMN())</f>
        <v>21.263261769110137</v>
      </c>
      <c r="M195" s="165">
        <f>INDEX('Used inputs'!$A$109:$O$123,$A195+1,COLUMN())+INDEX('Used inputs'!$A$109:$O$123,$A195+2,COLUMN())</f>
        <v>21.263261769110137</v>
      </c>
      <c r="N195" s="165">
        <f>INDEX('Used inputs'!$A$109:$O$123,$A195+1,COLUMN())+INDEX('Used inputs'!$A$109:$O$123,$A195+2,COLUMN())</f>
        <v>21.263261769110137</v>
      </c>
      <c r="O195" s="165">
        <f>INDEX('Used inputs'!$A$109:$O$123,$A195+1,COLUMN())+INDEX('Used inputs'!$A$109:$O$123,$A195+2,COLUMN())</f>
        <v>21.263261769110137</v>
      </c>
    </row>
    <row r="196" spans="1:17" s="53" customFormat="1">
      <c r="A196" s="85"/>
      <c r="B196" s="57"/>
      <c r="C196" s="56"/>
      <c r="D196" s="55"/>
      <c r="E196" s="182"/>
      <c r="F196" s="129"/>
      <c r="G196" s="129"/>
      <c r="H196" s="129"/>
      <c r="I196" s="129"/>
      <c r="J196" s="190"/>
      <c r="K196" s="165"/>
      <c r="L196" s="165"/>
      <c r="M196" s="165"/>
      <c r="N196" s="165"/>
      <c r="O196" s="165"/>
    </row>
    <row r="197" spans="1:17" s="53" customFormat="1">
      <c r="A197" s="85"/>
      <c r="B197" s="57"/>
      <c r="C197" s="56"/>
      <c r="D197" s="55"/>
      <c r="E197" s="59"/>
      <c r="F197" s="129"/>
      <c r="G197" s="129"/>
      <c r="H197" s="129"/>
      <c r="I197" s="129"/>
      <c r="J197" s="190"/>
      <c r="K197" s="61"/>
      <c r="L197" s="61"/>
      <c r="M197" s="61"/>
      <c r="N197" s="61"/>
      <c r="O197" s="61"/>
    </row>
    <row r="198" spans="1:17">
      <c r="A198" s="82"/>
      <c r="B198" s="31"/>
      <c r="C198" s="175" t="str">
        <f>INDEX('Used inputs'!$A$124:$O$135,1,1)</f>
        <v>WSX</v>
      </c>
      <c r="D198" s="39"/>
      <c r="E198" s="48"/>
      <c r="F198" s="31"/>
      <c r="G198" s="31"/>
      <c r="H198" s="31"/>
      <c r="I198" s="31"/>
      <c r="J198" s="44"/>
      <c r="K198" s="31"/>
      <c r="L198" s="31"/>
      <c r="M198" s="31"/>
      <c r="N198" s="31"/>
      <c r="O198" s="31"/>
      <c r="Q198" s="53"/>
    </row>
    <row r="199" spans="1:17">
      <c r="A199" s="83"/>
      <c r="B199" s="16"/>
      <c r="C199" s="17"/>
      <c r="D199" s="18"/>
      <c r="E199" s="19"/>
      <c r="F199" s="16"/>
      <c r="G199" s="16"/>
      <c r="H199" s="16"/>
      <c r="I199" s="16"/>
      <c r="J199" s="220"/>
      <c r="K199" s="134"/>
      <c r="L199" s="134"/>
      <c r="M199" s="134"/>
      <c r="N199" s="134"/>
      <c r="O199" s="134"/>
      <c r="Q199" s="53"/>
    </row>
    <row r="200" spans="1:17" s="11" customFormat="1">
      <c r="A200" s="84"/>
      <c r="B200" s="28"/>
      <c r="C200" s="29" t="s">
        <v>23</v>
      </c>
      <c r="D200" s="47" t="s">
        <v>24</v>
      </c>
      <c r="E200" s="33" t="s">
        <v>372</v>
      </c>
      <c r="F200" s="31"/>
      <c r="G200" s="31"/>
      <c r="H200" s="31"/>
      <c r="I200" s="31"/>
      <c r="J200" s="44"/>
      <c r="K200" s="31"/>
      <c r="L200" s="31"/>
      <c r="M200" s="31"/>
      <c r="N200" s="31"/>
      <c r="O200" s="31"/>
      <c r="Q200" s="53"/>
    </row>
    <row r="201" spans="1:17" s="53" customFormat="1">
      <c r="A201" s="85">
        <f>+A$9</f>
        <v>1</v>
      </c>
      <c r="B201" s="57"/>
      <c r="C201" s="56"/>
      <c r="D201" s="55" t="s">
        <v>10</v>
      </c>
      <c r="E201" s="59" t="s">
        <v>132</v>
      </c>
      <c r="F201" s="129">
        <f>INDEX('Used inputs'!$A$124:$O$138,$A201,COLUMN())</f>
        <v>21.515028489179727</v>
      </c>
      <c r="G201" s="129">
        <f>INDEX('Used inputs'!$A$124:$O$138,$A201,COLUMN())</f>
        <v>23.000030455548757</v>
      </c>
      <c r="H201" s="129">
        <f>INDEX('Used inputs'!$A$124:$O$138,$A201,COLUMN())</f>
        <v>24.300032176949355</v>
      </c>
      <c r="I201" s="129">
        <f ca="1">INDEX('Used inputs'!$A$124:$O$138,$A201,COLUMN())</f>
        <v>26.500035090088808</v>
      </c>
      <c r="J201" s="190">
        <f>INDEX('Used inputs'!$A$124:$O$138,$A201,COLUMN())</f>
        <v>26.923035650206145</v>
      </c>
      <c r="K201" s="165">
        <f ca="1">INDEX('Used inputs'!$A$124:$O$138,$A201,COLUMN())</f>
        <v>27.518036438077957</v>
      </c>
      <c r="L201" s="165">
        <f ca="1">INDEX('Used inputs'!$A$124:$O$138,$A201,COLUMN())</f>
        <v>28.111037223301437</v>
      </c>
      <c r="M201" s="165">
        <f ca="1">INDEX('Used inputs'!$A$124:$O$138,$A201,COLUMN())</f>
        <v>28.688037987338415</v>
      </c>
      <c r="N201" s="165">
        <f ca="1">INDEX('Used inputs'!$A$124:$O$138,$A201,COLUMN())</f>
        <v>29.237038714299143</v>
      </c>
      <c r="O201" s="165">
        <f ca="1">INDEX('Used inputs'!$A$124:$O$138,$A201,COLUMN())</f>
        <v>29.760039406831837</v>
      </c>
    </row>
    <row r="202" spans="1:17" s="53" customFormat="1">
      <c r="A202" s="85">
        <f>+A$10</f>
        <v>2</v>
      </c>
      <c r="B202" s="57"/>
      <c r="C202" s="56"/>
      <c r="D202" s="55" t="s">
        <v>10</v>
      </c>
      <c r="E202" s="114" t="s">
        <v>99</v>
      </c>
      <c r="F202" s="129">
        <f>INDEX('Used inputs'!$A$124:$O$138,$A202,COLUMN())</f>
        <v>1.4280018908923351</v>
      </c>
      <c r="G202" s="129">
        <f>INDEX('Used inputs'!$A$124:$O$138,$A202,COLUMN())</f>
        <v>1.6640022033927522</v>
      </c>
      <c r="H202" s="129">
        <f>INDEX('Used inputs'!$A$124:$O$138,$A202,COLUMN())</f>
        <v>1.6110021332125737</v>
      </c>
      <c r="I202" s="129">
        <f>INDEX('Used inputs'!$A$124:$O$138,$A202,COLUMN())</f>
        <v>0.72500096001186498</v>
      </c>
      <c r="J202" s="190">
        <f>INDEX('Used inputs'!$A$124:$O$138,$A202,COLUMN())</f>
        <v>0.72300095736355596</v>
      </c>
      <c r="K202" s="165">
        <f>INDEX('Used inputs'!$A$124:$O$138,$A202,COLUMN())</f>
        <v>0.82500109242729425</v>
      </c>
      <c r="L202" s="165">
        <f>INDEX('Used inputs'!$A$124:$O$138,$A202,COLUMN())</f>
        <v>0.82500109242729425</v>
      </c>
      <c r="M202" s="165">
        <f>INDEX('Used inputs'!$A$124:$O$138,$A202,COLUMN())</f>
        <v>0.82500109242729425</v>
      </c>
      <c r="N202" s="165">
        <f>INDEX('Used inputs'!$A$124:$O$138,$A202,COLUMN())</f>
        <v>0.82500109242729425</v>
      </c>
      <c r="O202" s="165">
        <f>INDEX('Used inputs'!$A$124:$O$138,$A202,COLUMN())</f>
        <v>0.82500109242729425</v>
      </c>
    </row>
    <row r="203" spans="1:17" s="53" customFormat="1">
      <c r="A203" s="85">
        <f>+A$11</f>
        <v>3</v>
      </c>
      <c r="B203" s="57"/>
      <c r="C203" s="56"/>
      <c r="D203" s="55" t="s">
        <v>10</v>
      </c>
      <c r="E203" s="114" t="s">
        <v>100</v>
      </c>
      <c r="F203" s="129">
        <f>INDEX('Used inputs'!$A$124:$O$138,$A203,COLUMN())</f>
        <v>0</v>
      </c>
      <c r="G203" s="129">
        <f>INDEX('Used inputs'!$A$124:$O$138,$A203,COLUMN())</f>
        <v>0</v>
      </c>
      <c r="H203" s="129">
        <f>INDEX('Used inputs'!$A$124:$O$138,$A203,COLUMN())</f>
        <v>0</v>
      </c>
      <c r="I203" s="129">
        <f>INDEX('Used inputs'!$A$124:$O$138,$A203,COLUMN())</f>
        <v>0</v>
      </c>
      <c r="J203" s="190">
        <f>INDEX('Used inputs'!$A$124:$O$138,$A203,COLUMN())</f>
        <v>0</v>
      </c>
      <c r="K203" s="165">
        <f>INDEX('Used inputs'!$A$124:$O$138,$A203,COLUMN())</f>
        <v>0.49869990167272826</v>
      </c>
      <c r="L203" s="165">
        <f>INDEX('Used inputs'!$A$124:$O$138,$A203,COLUMN())</f>
        <v>0.47469915769843102</v>
      </c>
      <c r="M203" s="165">
        <f>INDEX('Used inputs'!$A$124:$O$138,$A203,COLUMN())</f>
        <v>0.60252191965432034</v>
      </c>
      <c r="N203" s="165">
        <f>INDEX('Used inputs'!$A$124:$O$138,$A203,COLUMN())</f>
        <v>0.58442521156837846</v>
      </c>
      <c r="O203" s="165">
        <f>INDEX('Used inputs'!$A$124:$O$138,$A203,COLUMN())</f>
        <v>0.53883835627982435</v>
      </c>
    </row>
    <row r="204" spans="1:17" s="53" customFormat="1">
      <c r="A204" s="110"/>
      <c r="B204" s="57"/>
      <c r="C204" s="56"/>
      <c r="D204" s="55"/>
      <c r="E204" s="59"/>
      <c r="F204" s="129"/>
      <c r="G204" s="129"/>
      <c r="H204" s="129"/>
      <c r="I204" s="129"/>
      <c r="J204" s="190"/>
      <c r="K204" s="61"/>
      <c r="L204" s="61"/>
      <c r="M204" s="61"/>
      <c r="N204" s="61"/>
      <c r="O204" s="61"/>
    </row>
    <row r="205" spans="1:17" s="11" customFormat="1">
      <c r="A205" s="27"/>
      <c r="B205" s="28"/>
      <c r="C205" s="29"/>
      <c r="D205" s="30"/>
      <c r="E205" s="32" t="s">
        <v>373</v>
      </c>
      <c r="F205" s="31"/>
      <c r="G205" s="31"/>
      <c r="H205" s="31"/>
      <c r="I205" s="31"/>
      <c r="J205" s="44"/>
      <c r="K205" s="31"/>
      <c r="L205" s="31"/>
      <c r="M205" s="31"/>
      <c r="N205" s="31"/>
      <c r="O205" s="31"/>
      <c r="Q205" s="53"/>
    </row>
    <row r="206" spans="1:17" s="53" customFormat="1">
      <c r="A206" s="85">
        <f>+A$14</f>
        <v>4</v>
      </c>
      <c r="B206" s="56" t="s">
        <v>40</v>
      </c>
      <c r="C206" s="56"/>
      <c r="D206" s="55" t="s">
        <v>10</v>
      </c>
      <c r="E206" s="59" t="s">
        <v>135</v>
      </c>
      <c r="F206" s="129">
        <f>INDEX('Used inputs'!$A$124:$O$138,$A206,COLUMN())</f>
        <v>6.5000086070029203E-2</v>
      </c>
      <c r="G206" s="129">
        <f>INDEX('Used inputs'!$A$124:$O$138,$A206,COLUMN())</f>
        <v>6.8000090042492162E-2</v>
      </c>
      <c r="H206" s="129">
        <f>INDEX('Used inputs'!$A$124:$O$138,$A206,COLUMN())</f>
        <v>7.5000099311572171E-2</v>
      </c>
      <c r="I206" s="129">
        <f>INDEX('Used inputs'!$A$124:$O$138,$A206,COLUMN())</f>
        <v>8.100010725649795E-2</v>
      </c>
      <c r="J206" s="190">
        <f>INDEX('Used inputs'!$A$124:$O$138,$A206,COLUMN())</f>
        <v>8.100010725649795E-2</v>
      </c>
      <c r="K206" s="165">
        <f>INDEX('Used inputs'!$A$124:$O$138,$A206,COLUMN())</f>
        <v>8.100010725649795E-2</v>
      </c>
      <c r="L206" s="165">
        <f>INDEX('Used inputs'!$A$124:$O$138,$A206,COLUMN())</f>
        <v>8.100010725649795E-2</v>
      </c>
      <c r="M206" s="165">
        <f>INDEX('Used inputs'!$A$124:$O$138,$A206,COLUMN())</f>
        <v>8.100010725649795E-2</v>
      </c>
      <c r="N206" s="165">
        <f>INDEX('Used inputs'!$A$124:$O$138,$A206,COLUMN())</f>
        <v>8.100010725649795E-2</v>
      </c>
      <c r="O206" s="165">
        <f>INDEX('Used inputs'!$A$124:$O$138,$A206,COLUMN())</f>
        <v>8.100010725649795E-2</v>
      </c>
    </row>
    <row r="207" spans="1:17" s="53" customFormat="1">
      <c r="A207" s="85">
        <f>+A$15</f>
        <v>5</v>
      </c>
      <c r="B207" s="56" t="s">
        <v>41</v>
      </c>
      <c r="C207" s="56"/>
      <c r="D207" s="55" t="s">
        <v>10</v>
      </c>
      <c r="E207" s="59" t="s">
        <v>136</v>
      </c>
      <c r="F207" s="129">
        <f>INDEX('Used inputs'!$A$124:$O$138,$A207,COLUMN())</f>
        <v>1.0550013969827794</v>
      </c>
      <c r="G207" s="129">
        <f>INDEX('Used inputs'!$A$124:$O$138,$A207,COLUMN())</f>
        <v>1.118001480404504</v>
      </c>
      <c r="H207" s="129">
        <f>INDEX('Used inputs'!$A$124:$O$138,$A207,COLUMN())</f>
        <v>1.2430016459237911</v>
      </c>
      <c r="I207" s="129">
        <f>INDEX('Used inputs'!$A$124:$O$138,$A207,COLUMN())</f>
        <v>1.3520017902566062</v>
      </c>
      <c r="J207" s="190">
        <f>INDEX('Used inputs'!$A$124:$O$138,$A207,COLUMN())</f>
        <v>1.444001912078807</v>
      </c>
      <c r="K207" s="165">
        <f>INDEX('Used inputs'!$A$124:$O$138,$A207,COLUMN())</f>
        <v>1.5650020723014735</v>
      </c>
      <c r="L207" s="165">
        <f>INDEX('Used inputs'!$A$124:$O$138,$A207,COLUMN())</f>
        <v>1.7110022656280053</v>
      </c>
      <c r="M207" s="165">
        <f>INDEX('Used inputs'!$A$124:$O$138,$A207,COLUMN())</f>
        <v>1.8620024655753002</v>
      </c>
      <c r="N207" s="165">
        <f>INDEX('Used inputs'!$A$124:$O$138,$A207,COLUMN())</f>
        <v>2.0070026575776692</v>
      </c>
      <c r="O207" s="165">
        <f>INDEX('Used inputs'!$A$124:$O$138,$A207,COLUMN())</f>
        <v>2.1460028416351231</v>
      </c>
    </row>
    <row r="208" spans="1:17" s="53" customFormat="1">
      <c r="A208" s="85">
        <f>+A$16</f>
        <v>6</v>
      </c>
      <c r="B208" s="56" t="s">
        <v>42</v>
      </c>
      <c r="C208" s="56"/>
      <c r="D208" s="55" t="s">
        <v>10</v>
      </c>
      <c r="E208" s="59" t="s">
        <v>137</v>
      </c>
      <c r="F208" s="129">
        <f>INDEX('Used inputs'!$A$124:$O$138,$A208,COLUMN())</f>
        <v>1.6400021716130495</v>
      </c>
      <c r="G208" s="129">
        <f>INDEX('Used inputs'!$A$124:$O$138,$A208,COLUMN())</f>
        <v>1.7220022801936936</v>
      </c>
      <c r="H208" s="129">
        <f>INDEX('Used inputs'!$A$124:$O$138,$A208,COLUMN())</f>
        <v>1.8960025105965492</v>
      </c>
      <c r="I208" s="129">
        <f>INDEX('Used inputs'!$A$124:$O$138,$A208,COLUMN())</f>
        <v>2.0360026959781452</v>
      </c>
      <c r="J208" s="190">
        <f>INDEX('Used inputs'!$A$124:$O$138,$A208,COLUMN())</f>
        <v>2.1420028363385026</v>
      </c>
      <c r="K208" s="165">
        <f>INDEX('Used inputs'!$A$124:$O$138,$A208,COLUMN())</f>
        <v>2.3820031541355302</v>
      </c>
      <c r="L208" s="165">
        <f>INDEX('Used inputs'!$A$124:$O$138,$A208,COLUMN())</f>
        <v>2.5940034348562446</v>
      </c>
      <c r="M208" s="165">
        <f>INDEX('Used inputs'!$A$124:$O$138,$A208,COLUMN())</f>
        <v>2.7810036824730937</v>
      </c>
      <c r="N208" s="165">
        <f>INDEX('Used inputs'!$A$124:$O$138,$A208,COLUMN())</f>
        <v>2.9490039049310237</v>
      </c>
      <c r="O208" s="165">
        <f>INDEX('Used inputs'!$A$124:$O$138,$A208,COLUMN())</f>
        <v>3.099004103554166</v>
      </c>
    </row>
    <row r="209" spans="1:17" s="53" customFormat="1">
      <c r="A209" s="110"/>
      <c r="B209" s="57"/>
      <c r="C209" s="56"/>
      <c r="D209" s="55"/>
      <c r="E209" s="59"/>
      <c r="F209" s="129"/>
      <c r="G209" s="129"/>
      <c r="H209" s="129"/>
      <c r="I209" s="129"/>
      <c r="J209" s="190"/>
      <c r="K209" s="61"/>
      <c r="L209" s="61"/>
      <c r="M209" s="61"/>
      <c r="N209" s="61"/>
      <c r="O209" s="61"/>
    </row>
    <row r="210" spans="1:17" s="11" customFormat="1">
      <c r="A210" s="27"/>
      <c r="B210" s="28"/>
      <c r="C210" s="29"/>
      <c r="D210" s="30"/>
      <c r="E210" s="32" t="s">
        <v>374</v>
      </c>
      <c r="F210" s="31"/>
      <c r="G210" s="31"/>
      <c r="H210" s="31"/>
      <c r="I210" s="31"/>
      <c r="J210" s="44"/>
      <c r="K210" s="31"/>
      <c r="L210" s="31"/>
      <c r="M210" s="31"/>
      <c r="N210" s="31"/>
      <c r="O210" s="31"/>
      <c r="Q210" s="53"/>
    </row>
    <row r="211" spans="1:17" s="53" customFormat="1">
      <c r="A211" s="85">
        <f>+A$19</f>
        <v>7</v>
      </c>
      <c r="B211" s="57"/>
      <c r="C211" s="56"/>
      <c r="D211" s="55" t="s">
        <v>29</v>
      </c>
      <c r="E211" s="59" t="s">
        <v>89</v>
      </c>
      <c r="F211" s="129">
        <f>INDEX('Used inputs'!$A$124:$O$138,$A211,COLUMN())</f>
        <v>23.718</v>
      </c>
      <c r="G211" s="129">
        <f>INDEX('Used inputs'!$A$124:$O$138,$A211,COLUMN())</f>
        <v>23.327000000000002</v>
      </c>
      <c r="H211" s="129">
        <f>INDEX('Used inputs'!$A$124:$O$138,$A211,COLUMN())</f>
        <v>22.681999999999999</v>
      </c>
      <c r="I211" s="129">
        <f>INDEX('Used inputs'!$A$124:$O$138,$A211,COLUMN())</f>
        <v>22.218</v>
      </c>
      <c r="J211" s="190">
        <f>INDEX('Used inputs'!$A$124:$O$138,$A211,COLUMN())</f>
        <v>22.218</v>
      </c>
      <c r="K211" s="165">
        <f>INDEX('Used inputs'!$A$124:$O$138,$A211,COLUMN())</f>
        <v>22.218</v>
      </c>
      <c r="L211" s="165">
        <f>INDEX('Used inputs'!$A$124:$O$138,$A211,COLUMN())</f>
        <v>22.218</v>
      </c>
      <c r="M211" s="165">
        <f>INDEX('Used inputs'!$A$124:$O$138,$A211,COLUMN())</f>
        <v>22.218</v>
      </c>
      <c r="N211" s="165">
        <f>INDEX('Used inputs'!$A$124:$O$138,$A211,COLUMN())</f>
        <v>22.218</v>
      </c>
      <c r="O211" s="165">
        <f>INDEX('Used inputs'!$A$124:$O$138,$A211,COLUMN())</f>
        <v>22.218</v>
      </c>
    </row>
    <row r="212" spans="1:17" s="53" customFormat="1">
      <c r="A212" s="85">
        <f>+A$20</f>
        <v>8</v>
      </c>
      <c r="B212" s="57"/>
      <c r="C212" s="56"/>
      <c r="D212" s="55" t="s">
        <v>29</v>
      </c>
      <c r="E212" s="59" t="s">
        <v>90</v>
      </c>
      <c r="F212" s="129">
        <f>INDEX('Used inputs'!$A$124:$O$138,$A212,COLUMN())</f>
        <v>14.289</v>
      </c>
      <c r="G212" s="129">
        <f>INDEX('Used inputs'!$A$124:$O$138,$A212,COLUMN())</f>
        <v>14.818</v>
      </c>
      <c r="H212" s="129">
        <f>INDEX('Used inputs'!$A$124:$O$138,$A212,COLUMN())</f>
        <v>15.744999999999999</v>
      </c>
      <c r="I212" s="129">
        <f>INDEX('Used inputs'!$A$124:$O$138,$A212,COLUMN())</f>
        <v>16.611999999999998</v>
      </c>
      <c r="J212" s="190">
        <f>INDEX('Used inputs'!$A$124:$O$138,$A212,COLUMN())</f>
        <v>16.611999999999998</v>
      </c>
      <c r="K212" s="165">
        <f>INDEX('Used inputs'!$A$124:$O$138,$A212,COLUMN())</f>
        <v>16.611999999999998</v>
      </c>
      <c r="L212" s="165">
        <f>INDEX('Used inputs'!$A$124:$O$138,$A212,COLUMN())</f>
        <v>16.611999999999998</v>
      </c>
      <c r="M212" s="165">
        <f>INDEX('Used inputs'!$A$124:$O$138,$A212,COLUMN())</f>
        <v>16.611999999999998</v>
      </c>
      <c r="N212" s="165">
        <f>INDEX('Used inputs'!$A$124:$O$138,$A212,COLUMN())</f>
        <v>16.611999999999998</v>
      </c>
      <c r="O212" s="165">
        <f>INDEX('Used inputs'!$A$124:$O$138,$A212,COLUMN())</f>
        <v>16.611999999999998</v>
      </c>
    </row>
    <row r="213" spans="1:17" s="53" customFormat="1">
      <c r="A213" s="85">
        <f>+A$21</f>
        <v>9</v>
      </c>
      <c r="B213" s="57"/>
      <c r="C213" s="56"/>
      <c r="D213" s="55" t="s">
        <v>29</v>
      </c>
      <c r="E213" s="59" t="s">
        <v>91</v>
      </c>
      <c r="F213" s="129">
        <f>INDEX('Used inputs'!$A$124:$O$138,$A213,COLUMN())</f>
        <v>357.60700000000003</v>
      </c>
      <c r="G213" s="129">
        <f>INDEX('Used inputs'!$A$124:$O$138,$A213,COLUMN())</f>
        <v>348.09300000000002</v>
      </c>
      <c r="H213" s="129">
        <f>INDEX('Used inputs'!$A$124:$O$138,$A213,COLUMN())</f>
        <v>335.447</v>
      </c>
      <c r="I213" s="129">
        <f>INDEX('Used inputs'!$A$124:$O$138,$A213,COLUMN())</f>
        <v>324.24599999999998</v>
      </c>
      <c r="J213" s="190">
        <f>INDEX('Used inputs'!$A$124:$O$138,$A213,COLUMN())</f>
        <v>311.38657144214602</v>
      </c>
      <c r="K213" s="165">
        <f>INDEX('Used inputs'!$A$124:$O$138,$A213,COLUMN())</f>
        <v>292.10199999999998</v>
      </c>
      <c r="L213" s="165">
        <f>INDEX('Used inputs'!$A$124:$O$138,$A213,COLUMN())</f>
        <v>268.60199999999998</v>
      </c>
      <c r="M213" s="165">
        <f>INDEX('Used inputs'!$A$124:$O$138,$A213,COLUMN())</f>
        <v>244.124</v>
      </c>
      <c r="N213" s="165">
        <f>INDEX('Used inputs'!$A$124:$O$138,$A213,COLUMN())</f>
        <v>220.78700000000001</v>
      </c>
      <c r="O213" s="165">
        <f>INDEX('Used inputs'!$A$124:$O$138,$A213,COLUMN())</f>
        <v>198.536</v>
      </c>
    </row>
    <row r="214" spans="1:17" s="53" customFormat="1">
      <c r="A214" s="85">
        <f>+A$22</f>
        <v>10</v>
      </c>
      <c r="B214" s="57"/>
      <c r="C214" s="56"/>
      <c r="D214" s="55" t="s">
        <v>29</v>
      </c>
      <c r="E214" s="59" t="s">
        <v>92</v>
      </c>
      <c r="F214" s="129">
        <f>INDEX('Used inputs'!$A$124:$O$138,$A214,COLUMN())</f>
        <v>230.554</v>
      </c>
      <c r="G214" s="129">
        <f>INDEX('Used inputs'!$A$124:$O$138,$A214,COLUMN())</f>
        <v>244.40199999999999</v>
      </c>
      <c r="H214" s="129">
        <f>INDEX('Used inputs'!$A$124:$O$138,$A214,COLUMN())</f>
        <v>261.40699999999998</v>
      </c>
      <c r="I214" s="129">
        <f>INDEX('Used inputs'!$A$124:$O$138,$A214,COLUMN())</f>
        <v>277.37299999999999</v>
      </c>
      <c r="J214" s="190">
        <f>INDEX('Used inputs'!$A$124:$O$138,$A214,COLUMN())</f>
        <v>296.268678557854</v>
      </c>
      <c r="K214" s="165">
        <f>INDEX('Used inputs'!$A$124:$O$138,$A214,COLUMN())</f>
        <v>321.17500000000001</v>
      </c>
      <c r="L214" s="165">
        <f>INDEX('Used inputs'!$A$124:$O$138,$A214,COLUMN())</f>
        <v>351.07</v>
      </c>
      <c r="M214" s="165">
        <f>INDEX('Used inputs'!$A$124:$O$138,$A214,COLUMN())</f>
        <v>382.05599999999998</v>
      </c>
      <c r="N214" s="165">
        <f>INDEX('Used inputs'!$A$124:$O$138,$A214,COLUMN())</f>
        <v>411.82600000000002</v>
      </c>
      <c r="O214" s="165">
        <f>INDEX('Used inputs'!$A$124:$O$138,$A214,COLUMN())</f>
        <v>440.37099999999998</v>
      </c>
    </row>
    <row r="215" spans="1:17" s="53" customFormat="1">
      <c r="A215" s="85">
        <f>+A$23</f>
        <v>11</v>
      </c>
      <c r="B215" s="57"/>
      <c r="C215" s="56"/>
      <c r="D215" s="55" t="s">
        <v>29</v>
      </c>
      <c r="E215" s="59" t="s">
        <v>93</v>
      </c>
      <c r="F215" s="129">
        <f>INDEX('Used inputs'!$A$124:$O$138,$A215,COLUMN())</f>
        <v>236.58799999999999</v>
      </c>
      <c r="G215" s="129">
        <f>INDEX('Used inputs'!$A$124:$O$138,$A215,COLUMN())</f>
        <v>229.06700000000001</v>
      </c>
      <c r="H215" s="129">
        <f>INDEX('Used inputs'!$A$124:$O$138,$A215,COLUMN())</f>
        <v>219.28899999999999</v>
      </c>
      <c r="I215" s="129">
        <f>INDEX('Used inputs'!$A$124:$O$138,$A215,COLUMN())</f>
        <v>210.52699999999999</v>
      </c>
      <c r="J215" s="190">
        <f>INDEX('Used inputs'!$A$124:$O$138,$A215,COLUMN())</f>
        <v>200.63875553147199</v>
      </c>
      <c r="K215" s="165">
        <f>INDEX('Used inputs'!$A$124:$O$138,$A215,COLUMN())</f>
        <v>172.98699999999999</v>
      </c>
      <c r="L215" s="165">
        <f>INDEX('Used inputs'!$A$124:$O$138,$A215,COLUMN())</f>
        <v>148.68700000000001</v>
      </c>
      <c r="M215" s="165">
        <f>INDEX('Used inputs'!$A$124:$O$138,$A215,COLUMN())</f>
        <v>127.64700000000001</v>
      </c>
      <c r="N215" s="165">
        <f>INDEX('Used inputs'!$A$124:$O$138,$A215,COLUMN())</f>
        <v>109.414</v>
      </c>
      <c r="O215" s="165">
        <f>INDEX('Used inputs'!$A$124:$O$138,$A215,COLUMN())</f>
        <v>93.599000000000004</v>
      </c>
    </row>
    <row r="216" spans="1:17" s="53" customFormat="1">
      <c r="A216" s="85">
        <f>+A$24</f>
        <v>12</v>
      </c>
      <c r="B216" s="57"/>
      <c r="C216" s="56"/>
      <c r="D216" s="55" t="s">
        <v>29</v>
      </c>
      <c r="E216" s="59" t="s">
        <v>94</v>
      </c>
      <c r="F216" s="129">
        <f>INDEX('Used inputs'!$A$124:$O$138,$A216,COLUMN())</f>
        <v>240.524</v>
      </c>
      <c r="G216" s="129">
        <f>INDEX('Used inputs'!$A$124:$O$138,$A216,COLUMN())</f>
        <v>252.46100000000001</v>
      </c>
      <c r="H216" s="129">
        <f>INDEX('Used inputs'!$A$124:$O$138,$A216,COLUMN())</f>
        <v>267.31200000000001</v>
      </c>
      <c r="I216" s="129">
        <f>INDEX('Used inputs'!$A$124:$O$138,$A216,COLUMN())</f>
        <v>280.26400000000001</v>
      </c>
      <c r="J216" s="190">
        <f>INDEX('Used inputs'!$A$124:$O$138,$A216,COLUMN())</f>
        <v>294.80224446852799</v>
      </c>
      <c r="K216" s="165">
        <f>INDEX('Used inputs'!$A$124:$O$138,$A216,COLUMN())</f>
        <v>327.89</v>
      </c>
      <c r="L216" s="165">
        <f>INDEX('Used inputs'!$A$124:$O$138,$A216,COLUMN())</f>
        <v>356.99</v>
      </c>
      <c r="M216" s="165">
        <f>INDEX('Used inputs'!$A$124:$O$138,$A216,COLUMN())</f>
        <v>382.83</v>
      </c>
      <c r="N216" s="165">
        <f>INDEX('Used inputs'!$A$124:$O$138,$A216,COLUMN())</f>
        <v>405.863</v>
      </c>
      <c r="O216" s="165">
        <f>INDEX('Used inputs'!$A$124:$O$138,$A216,COLUMN())</f>
        <v>426.47800000000001</v>
      </c>
    </row>
    <row r="217" spans="1:17" s="53" customFormat="1">
      <c r="A217" s="110"/>
      <c r="B217" s="57"/>
      <c r="C217" s="56"/>
      <c r="D217" s="55"/>
      <c r="E217" s="59"/>
      <c r="F217" s="129"/>
      <c r="G217" s="129"/>
      <c r="H217" s="129"/>
      <c r="I217" s="129"/>
      <c r="J217" s="190"/>
      <c r="K217" s="61"/>
      <c r="L217" s="61"/>
      <c r="M217" s="61"/>
      <c r="N217" s="61"/>
      <c r="O217" s="61"/>
    </row>
    <row r="218" spans="1:17" s="11" customFormat="1">
      <c r="A218" s="27"/>
      <c r="B218" s="28"/>
      <c r="C218" s="29"/>
      <c r="D218" s="181"/>
      <c r="E218" s="33" t="s">
        <v>375</v>
      </c>
      <c r="F218" s="31"/>
      <c r="G218" s="31"/>
      <c r="H218" s="31"/>
      <c r="I218" s="31"/>
      <c r="J218" s="44"/>
      <c r="K218" s="31"/>
      <c r="L218" s="31"/>
      <c r="M218" s="31"/>
      <c r="N218" s="31"/>
      <c r="O218" s="31"/>
      <c r="Q218" s="53"/>
    </row>
    <row r="219" spans="1:17" s="53" customFormat="1">
      <c r="A219" s="85">
        <f>+A$27</f>
        <v>13</v>
      </c>
      <c r="B219" s="57"/>
      <c r="C219" s="56"/>
      <c r="D219" s="55" t="s">
        <v>29</v>
      </c>
      <c r="E219" s="182" t="s">
        <v>323</v>
      </c>
      <c r="F219" s="129"/>
      <c r="G219" s="129"/>
      <c r="H219" s="129"/>
      <c r="I219" s="165">
        <f>INDEX('Used inputs'!$A$124:$O$138,$A219+1,COLUMN())+INDEX('Used inputs'!$A$124:$O$138,$A219+2,COLUMN())</f>
        <v>0.45115259675464298</v>
      </c>
      <c r="J219" s="243">
        <f>INDEX('Used inputs'!$A$124:$O$138,$A219+1,COLUMN())+INDEX('Used inputs'!$A$124:$O$138,$A219+2,COLUMN())</f>
        <v>0.5390007137191658</v>
      </c>
      <c r="K219" s="165">
        <f>INDEX('Used inputs'!$A$124:$O$138,$A219+1,COLUMN())+INDEX('Used inputs'!$A$124:$O$138,$A219+2,COLUMN())</f>
        <v>1.5238729350550329</v>
      </c>
      <c r="L219" s="165">
        <f>INDEX('Used inputs'!$A$124:$O$138,$A219+1,COLUMN())+INDEX('Used inputs'!$A$124:$O$138,$A219+2,COLUMN())</f>
        <v>2.1448729350550333</v>
      </c>
      <c r="M219" s="165">
        <f>INDEX('Used inputs'!$A$124:$O$138,$A219+1,COLUMN())+INDEX('Used inputs'!$A$124:$O$138,$A219+2,COLUMN())</f>
        <v>2.8088729350550325</v>
      </c>
      <c r="N219" s="165">
        <f>INDEX('Used inputs'!$A$124:$O$138,$A219+1,COLUMN())+INDEX('Used inputs'!$A$124:$O$138,$A219+2,COLUMN())</f>
        <v>3.514872935055033</v>
      </c>
      <c r="O219" s="165">
        <f>INDEX('Used inputs'!$A$124:$O$138,$A219+1,COLUMN())+INDEX('Used inputs'!$A$124:$O$138,$A219+2,COLUMN())</f>
        <v>4.2618729350550328</v>
      </c>
    </row>
    <row r="220" spans="1:17" s="53" customFormat="1">
      <c r="A220" s="85"/>
      <c r="B220" s="57"/>
      <c r="C220" s="56"/>
      <c r="D220" s="55"/>
      <c r="E220" s="182"/>
      <c r="F220" s="129"/>
      <c r="G220" s="129"/>
      <c r="H220" s="129"/>
      <c r="I220" s="129"/>
      <c r="J220" s="190"/>
      <c r="K220" s="165"/>
      <c r="L220" s="165"/>
      <c r="M220" s="165"/>
      <c r="N220" s="165"/>
      <c r="O220" s="165"/>
    </row>
    <row r="221" spans="1:17" s="53" customFormat="1">
      <c r="A221" s="85"/>
      <c r="B221" s="57"/>
      <c r="C221" s="56"/>
      <c r="D221" s="55"/>
      <c r="E221" s="59"/>
      <c r="F221" s="129"/>
      <c r="G221" s="129"/>
      <c r="H221" s="129"/>
      <c r="I221" s="129"/>
      <c r="J221" s="190"/>
      <c r="K221" s="61"/>
      <c r="L221" s="61"/>
      <c r="M221" s="61"/>
      <c r="N221" s="61"/>
      <c r="O221" s="61"/>
    </row>
    <row r="222" spans="1:17">
      <c r="A222" s="82"/>
      <c r="B222" s="31"/>
      <c r="C222" s="38" t="str">
        <f>INDEX('Used inputs'!$A$139:$O$150,1,1)</f>
        <v>YKY</v>
      </c>
      <c r="D222" s="39"/>
      <c r="E222" s="48"/>
      <c r="F222" s="31"/>
      <c r="G222" s="31"/>
      <c r="H222" s="31"/>
      <c r="I222" s="31"/>
      <c r="J222" s="44"/>
      <c r="K222" s="31"/>
      <c r="L222" s="31"/>
      <c r="M222" s="31"/>
      <c r="N222" s="31"/>
      <c r="O222" s="31"/>
      <c r="Q222" s="53"/>
    </row>
    <row r="223" spans="1:17">
      <c r="A223" s="83"/>
      <c r="B223" s="16"/>
      <c r="C223" s="17"/>
      <c r="D223" s="18"/>
      <c r="E223" s="19"/>
      <c r="F223" s="16"/>
      <c r="G223" s="16"/>
      <c r="H223" s="16"/>
      <c r="I223" s="16"/>
      <c r="J223" s="220"/>
      <c r="K223" s="134"/>
      <c r="L223" s="134"/>
      <c r="M223" s="134"/>
      <c r="N223" s="134"/>
      <c r="O223" s="134"/>
      <c r="Q223" s="53"/>
    </row>
    <row r="224" spans="1:17" s="11" customFormat="1">
      <c r="A224" s="84"/>
      <c r="B224" s="28"/>
      <c r="C224" s="29" t="s">
        <v>23</v>
      </c>
      <c r="D224" s="47" t="s">
        <v>24</v>
      </c>
      <c r="E224" s="33" t="s">
        <v>376</v>
      </c>
      <c r="F224" s="31"/>
      <c r="G224" s="31"/>
      <c r="H224" s="31"/>
      <c r="I224" s="31"/>
      <c r="J224" s="44"/>
      <c r="K224" s="31"/>
      <c r="L224" s="31"/>
      <c r="M224" s="31"/>
      <c r="N224" s="31"/>
      <c r="O224" s="31"/>
      <c r="Q224" s="53"/>
    </row>
    <row r="225" spans="1:17" s="53" customFormat="1">
      <c r="A225" s="85">
        <f>+A$9</f>
        <v>1</v>
      </c>
      <c r="B225" s="57"/>
      <c r="C225" s="56"/>
      <c r="D225" s="55" t="s">
        <v>10</v>
      </c>
      <c r="E225" s="59" t="s">
        <v>132</v>
      </c>
      <c r="F225" s="129">
        <f>INDEX('Used inputs'!$A$139:$O$153,$A225,COLUMN())</f>
        <v>50.454335513960444</v>
      </c>
      <c r="G225" s="129">
        <f>INDEX('Used inputs'!$A$139:$O$153,$A225,COLUMN())</f>
        <v>50.173154523766947</v>
      </c>
      <c r="H225" s="129">
        <f>INDEX('Used inputs'!$A$139:$O$153,$A225,COLUMN())</f>
        <v>47.03502182251458</v>
      </c>
      <c r="I225" s="129">
        <f ca="1">INDEX('Used inputs'!$A$139:$O$153,$A225,COLUMN())</f>
        <v>48.732924056400336</v>
      </c>
      <c r="J225" s="190">
        <f>INDEX('Used inputs'!$A$139:$O$153,$A225,COLUMN())</f>
        <v>48.93993649587442</v>
      </c>
      <c r="K225" s="165">
        <f ca="1">INDEX('Used inputs'!$A$139:$O$153,$A225,COLUMN())</f>
        <v>48.913922244020377</v>
      </c>
      <c r="L225" s="165">
        <f ca="1">INDEX('Used inputs'!$A$139:$O$153,$A225,COLUMN())</f>
        <v>49.311734956059055</v>
      </c>
      <c r="M225" s="165">
        <f ca="1">INDEX('Used inputs'!$A$139:$O$153,$A225,COLUMN())</f>
        <v>49.868753011469551</v>
      </c>
      <c r="N225" s="165">
        <f ca="1">INDEX('Used inputs'!$A$139:$O$153,$A225,COLUMN())</f>
        <v>50.509161053252413</v>
      </c>
      <c r="O225" s="165">
        <f ca="1">INDEX('Used inputs'!$A$139:$O$153,$A225,COLUMN())</f>
        <v>51.167467402717818</v>
      </c>
    </row>
    <row r="226" spans="1:17" s="53" customFormat="1">
      <c r="A226" s="85">
        <f>+A$10</f>
        <v>2</v>
      </c>
      <c r="B226" s="57"/>
      <c r="C226" s="56"/>
      <c r="D226" s="55" t="s">
        <v>10</v>
      </c>
      <c r="E226" s="114" t="s">
        <v>99</v>
      </c>
      <c r="F226" s="129">
        <f>INDEX('Used inputs'!$A$139:$O$153,$A226,COLUMN())</f>
        <v>6.2794292046824323</v>
      </c>
      <c r="G226" s="129">
        <f>INDEX('Used inputs'!$A$139:$O$153,$A226,COLUMN())</f>
        <v>6.1631009724878867</v>
      </c>
      <c r="H226" s="129">
        <f>INDEX('Used inputs'!$A$139:$O$153,$A226,COLUMN())</f>
        <v>6.0887524867531324</v>
      </c>
      <c r="I226" s="129">
        <f>INDEX('Used inputs'!$A$139:$O$153,$A226,COLUMN())</f>
        <v>5.7983564866914534</v>
      </c>
      <c r="J226" s="190">
        <f>INDEX('Used inputs'!$A$139:$O$153,$A226,COLUMN())</f>
        <v>4.8002925281771978</v>
      </c>
      <c r="K226" s="165">
        <f>INDEX('Used inputs'!$A$139:$O$153,$A226,COLUMN())</f>
        <v>4.8152419667897925</v>
      </c>
      <c r="L226" s="165">
        <f>INDEX('Used inputs'!$A$139:$O$153,$A226,COLUMN())</f>
        <v>4.3774943017108736</v>
      </c>
      <c r="M226" s="165">
        <f>INDEX('Used inputs'!$A$139:$O$153,$A226,COLUMN())</f>
        <v>3.6867361110605343</v>
      </c>
      <c r="N226" s="165">
        <f>INDEX('Used inputs'!$A$139:$O$153,$A226,COLUMN())</f>
        <v>1.8199818031914756</v>
      </c>
      <c r="O226" s="165">
        <f>INDEX('Used inputs'!$A$139:$O$153,$A226,COLUMN())</f>
        <v>1.7739936211477054</v>
      </c>
    </row>
    <row r="227" spans="1:17" s="53" customFormat="1">
      <c r="A227" s="85">
        <f>+A$11</f>
        <v>3</v>
      </c>
      <c r="B227" s="57"/>
      <c r="C227" s="56"/>
      <c r="D227" s="55" t="s">
        <v>10</v>
      </c>
      <c r="E227" s="114" t="s">
        <v>100</v>
      </c>
      <c r="F227" s="129">
        <f>INDEX('Used inputs'!$A$139:$O$153,$A227,COLUMN())</f>
        <v>0</v>
      </c>
      <c r="G227" s="129">
        <f>INDEX('Used inputs'!$A$139:$O$153,$A227,COLUMN())</f>
        <v>0</v>
      </c>
      <c r="H227" s="129">
        <f>INDEX('Used inputs'!$A$139:$O$153,$A227,COLUMN())</f>
        <v>0</v>
      </c>
      <c r="I227" s="129">
        <f>INDEX('Used inputs'!$A$139:$O$153,$A227,COLUMN())</f>
        <v>0</v>
      </c>
      <c r="J227" s="190">
        <f>INDEX('Used inputs'!$A$139:$O$153,$A227,COLUMN())</f>
        <v>0</v>
      </c>
      <c r="K227" s="165">
        <f>INDEX('Used inputs'!$A$139:$O$153,$A227,COLUMN())</f>
        <v>7.0584323309140176E-2</v>
      </c>
      <c r="L227" s="165">
        <f>INDEX('Used inputs'!$A$139:$O$153,$A227,COLUMN())</f>
        <v>0.21975227262300545</v>
      </c>
      <c r="M227" s="165">
        <f>INDEX('Used inputs'!$A$139:$O$153,$A227,COLUMN())</f>
        <v>0.3825952203545625</v>
      </c>
      <c r="N227" s="165">
        <f>INDEX('Used inputs'!$A$139:$O$153,$A227,COLUMN())</f>
        <v>0.54684756903724552</v>
      </c>
      <c r="O227" s="165">
        <f>INDEX('Used inputs'!$A$139:$O$153,$A227,COLUMN())</f>
        <v>0.7051575785746369</v>
      </c>
    </row>
    <row r="228" spans="1:17" s="53" customFormat="1">
      <c r="A228" s="110"/>
      <c r="B228" s="57"/>
      <c r="C228" s="56"/>
      <c r="D228" s="55"/>
      <c r="E228" s="59"/>
      <c r="F228" s="129"/>
      <c r="G228" s="129"/>
      <c r="H228" s="129"/>
      <c r="I228" s="129"/>
      <c r="J228" s="190"/>
      <c r="K228" s="61"/>
      <c r="L228" s="61"/>
      <c r="M228" s="61"/>
      <c r="N228" s="61"/>
      <c r="O228" s="61"/>
    </row>
    <row r="229" spans="1:17" s="11" customFormat="1">
      <c r="A229" s="27"/>
      <c r="B229" s="28"/>
      <c r="C229" s="29"/>
      <c r="D229" s="30"/>
      <c r="E229" s="32" t="s">
        <v>377</v>
      </c>
      <c r="F229" s="31"/>
      <c r="G229" s="31"/>
      <c r="H229" s="31"/>
      <c r="I229" s="31"/>
      <c r="J229" s="44"/>
      <c r="K229" s="31"/>
      <c r="L229" s="31"/>
      <c r="M229" s="31"/>
      <c r="N229" s="31"/>
      <c r="O229" s="31"/>
      <c r="Q229" s="53"/>
    </row>
    <row r="230" spans="1:17" s="53" customFormat="1">
      <c r="A230" s="85">
        <f>+A$14</f>
        <v>4</v>
      </c>
      <c r="B230" s="56" t="s">
        <v>40</v>
      </c>
      <c r="C230" s="56"/>
      <c r="D230" s="55" t="s">
        <v>10</v>
      </c>
      <c r="E230" s="59" t="s">
        <v>135</v>
      </c>
      <c r="F230" s="129">
        <f>INDEX('Used inputs'!$A$139:$O$153,$A230,COLUMN())</f>
        <v>0.27161581689996939</v>
      </c>
      <c r="G230" s="129">
        <f>INDEX('Used inputs'!$A$139:$O$153,$A230,COLUMN())</f>
        <v>0.1985676237185382</v>
      </c>
      <c r="H230" s="129">
        <f>INDEX('Used inputs'!$A$139:$O$153,$A230,COLUMN())</f>
        <v>0.14918292973672559</v>
      </c>
      <c r="I230" s="129">
        <f>INDEX('Used inputs'!$A$139:$O$153,$A230,COLUMN())</f>
        <v>0.22484722781553879</v>
      </c>
      <c r="J230" s="190">
        <f>INDEX('Used inputs'!$A$139:$O$153,$A230,COLUMN())</f>
        <v>0.2302652971231739</v>
      </c>
      <c r="K230" s="165">
        <f>INDEX('Used inputs'!$A$139:$O$153,$A230,COLUMN())</f>
        <v>0.23005396321599703</v>
      </c>
      <c r="L230" s="165">
        <f>INDEX('Used inputs'!$A$139:$O$153,$A230,COLUMN())</f>
        <v>0.24205677868813646</v>
      </c>
      <c r="M230" s="165">
        <f>INDEX('Used inputs'!$A$139:$O$153,$A230,COLUMN())</f>
        <v>0.25706029802831071</v>
      </c>
      <c r="N230" s="165">
        <f>INDEX('Used inputs'!$A$139:$O$153,$A230,COLUMN())</f>
        <v>0.27306405199116257</v>
      </c>
      <c r="O230" s="165">
        <f>INDEX('Used inputs'!$A$139:$O$153,$A230,COLUMN())</f>
        <v>0.29106827519937067</v>
      </c>
    </row>
    <row r="231" spans="1:17" s="53" customFormat="1">
      <c r="A231" s="85">
        <f>+A$15</f>
        <v>5</v>
      </c>
      <c r="B231" s="56" t="s">
        <v>41</v>
      </c>
      <c r="C231" s="56"/>
      <c r="D231" s="55" t="s">
        <v>10</v>
      </c>
      <c r="E231" s="59" t="s">
        <v>136</v>
      </c>
      <c r="F231" s="129">
        <f>INDEX('Used inputs'!$A$139:$O$153,$A231,COLUMN())</f>
        <v>0.31071203296890432</v>
      </c>
      <c r="G231" s="129">
        <f>INDEX('Used inputs'!$A$139:$O$153,$A231,COLUMN())</f>
        <v>0.22428881850073226</v>
      </c>
      <c r="H231" s="129">
        <f>INDEX('Used inputs'!$A$139:$O$153,$A231,COLUMN())</f>
        <v>0.16461564660604203</v>
      </c>
      <c r="I231" s="129">
        <f>INDEX('Used inputs'!$A$139:$O$153,$A231,COLUMN())</f>
        <v>0.24568383749068126</v>
      </c>
      <c r="J231" s="190">
        <f>INDEX('Used inputs'!$A$139:$O$153,$A231,COLUMN())</f>
        <v>0.25533519858592751</v>
      </c>
      <c r="K231" s="165">
        <f>INDEX('Used inputs'!$A$139:$O$153,$A231,COLUMN())</f>
        <v>0.25505982878295347</v>
      </c>
      <c r="L231" s="165">
        <f>INDEX('Used inputs'!$A$139:$O$153,$A231,COLUMN())</f>
        <v>0.26806287887777153</v>
      </c>
      <c r="M231" s="165">
        <f>INDEX('Used inputs'!$A$139:$O$153,$A231,COLUMN())</f>
        <v>0.28406663284062345</v>
      </c>
      <c r="N231" s="165">
        <f>INDEX('Used inputs'!$A$139:$O$153,$A231,COLUMN())</f>
        <v>0.30107062142615287</v>
      </c>
      <c r="O231" s="165">
        <f>INDEX('Used inputs'!$A$139:$O$153,$A231,COLUMN())</f>
        <v>0.31907484463436198</v>
      </c>
    </row>
    <row r="232" spans="1:17" s="53" customFormat="1">
      <c r="A232" s="85">
        <f>+A$16</f>
        <v>6</v>
      </c>
      <c r="B232" s="56" t="s">
        <v>42</v>
      </c>
      <c r="C232" s="56"/>
      <c r="D232" s="55" t="s">
        <v>10</v>
      </c>
      <c r="E232" s="59" t="s">
        <v>137</v>
      </c>
      <c r="F232" s="129">
        <f>INDEX('Used inputs'!$A$139:$O$153,$A232,COLUMN())</f>
        <v>6.4436737168352574</v>
      </c>
      <c r="G232" s="129">
        <f>INDEX('Used inputs'!$A$139:$O$153,$A232,COLUMN())</f>
        <v>4.7285844487585571</v>
      </c>
      <c r="H232" s="129">
        <f>INDEX('Used inputs'!$A$139:$O$153,$A232,COLUMN())</f>
        <v>3.5484960321514936</v>
      </c>
      <c r="I232" s="129">
        <f>INDEX('Used inputs'!$A$139:$O$153,$A232,COLUMN())</f>
        <v>5.3549832069616663</v>
      </c>
      <c r="J232" s="190">
        <f>INDEX('Used inputs'!$A$139:$O$153,$A232,COLUMN())</f>
        <v>5.5410803486889684</v>
      </c>
      <c r="K232" s="165">
        <f>INDEX('Used inputs'!$A$139:$O$153,$A232,COLUMN())</f>
        <v>5.5412998096375006</v>
      </c>
      <c r="L232" s="165">
        <f>INDEX('Used inputs'!$A$139:$O$153,$A232,COLUMN())</f>
        <v>5.8643755927625802</v>
      </c>
      <c r="M232" s="165">
        <f>INDEX('Used inputs'!$A$139:$O$153,$A232,COLUMN())</f>
        <v>6.2494659224937017</v>
      </c>
      <c r="N232" s="165">
        <f>INDEX('Used inputs'!$A$139:$O$153,$A232,COLUMN())</f>
        <v>6.6825675141133889</v>
      </c>
      <c r="O232" s="165">
        <f>INDEX('Used inputs'!$A$139:$O$153,$A232,COLUMN())</f>
        <v>7.1326730943186067</v>
      </c>
    </row>
    <row r="233" spans="1:17" s="53" customFormat="1">
      <c r="A233" s="110"/>
      <c r="B233" s="57"/>
      <c r="C233" s="56"/>
      <c r="D233" s="55"/>
      <c r="E233" s="59"/>
      <c r="F233" s="129"/>
      <c r="G233" s="129"/>
      <c r="H233" s="129"/>
      <c r="I233" s="129"/>
      <c r="J233" s="190"/>
      <c r="K233" s="61"/>
      <c r="L233" s="61"/>
      <c r="M233" s="61"/>
      <c r="N233" s="61"/>
      <c r="O233" s="61"/>
    </row>
    <row r="234" spans="1:17" s="11" customFormat="1">
      <c r="A234" s="27"/>
      <c r="B234" s="28"/>
      <c r="C234" s="29"/>
      <c r="D234" s="30"/>
      <c r="E234" s="32" t="s">
        <v>378</v>
      </c>
      <c r="F234" s="31"/>
      <c r="G234" s="31"/>
      <c r="H234" s="31"/>
      <c r="I234" s="31"/>
      <c r="J234" s="44"/>
      <c r="K234" s="31"/>
      <c r="L234" s="31"/>
      <c r="M234" s="31"/>
      <c r="N234" s="31"/>
      <c r="O234" s="31"/>
      <c r="Q234" s="53"/>
    </row>
    <row r="235" spans="1:17" s="53" customFormat="1">
      <c r="A235" s="85">
        <f>+A$19</f>
        <v>7</v>
      </c>
      <c r="B235" s="57"/>
      <c r="C235" s="56"/>
      <c r="D235" s="55" t="s">
        <v>29</v>
      </c>
      <c r="E235" s="59" t="s">
        <v>89</v>
      </c>
      <c r="F235" s="129">
        <f>INDEX('Used inputs'!$A$139:$O$153,$A235,COLUMN())</f>
        <v>65.295000000000002</v>
      </c>
      <c r="G235" s="129">
        <f>INDEX('Used inputs'!$A$139:$O$153,$A235,COLUMN())</f>
        <v>64.087999999999994</v>
      </c>
      <c r="H235" s="129">
        <f>INDEX('Used inputs'!$A$139:$O$153,$A235,COLUMN())</f>
        <v>62.8</v>
      </c>
      <c r="I235" s="129">
        <f>INDEX('Used inputs'!$A$139:$O$153,$A235,COLUMN())</f>
        <v>61.487000000000002</v>
      </c>
      <c r="J235" s="190">
        <f>INDEX('Used inputs'!$A$139:$O$153,$A235,COLUMN())</f>
        <v>59.6</v>
      </c>
      <c r="K235" s="165">
        <f>INDEX('Used inputs'!$A$139:$O$153,$A235,COLUMN())</f>
        <v>55.256999999999998</v>
      </c>
      <c r="L235" s="165">
        <f>INDEX('Used inputs'!$A$139:$O$153,$A235,COLUMN())</f>
        <v>53.05</v>
      </c>
      <c r="M235" s="165">
        <f>INDEX('Used inputs'!$A$139:$O$153,$A235,COLUMN())</f>
        <v>50.622</v>
      </c>
      <c r="N235" s="165">
        <f>INDEX('Used inputs'!$A$139:$O$153,$A235,COLUMN())</f>
        <v>48.304000000000002</v>
      </c>
      <c r="O235" s="165">
        <f>INDEX('Used inputs'!$A$139:$O$153,$A235,COLUMN())</f>
        <v>46.207000000000001</v>
      </c>
    </row>
    <row r="236" spans="1:17" s="53" customFormat="1">
      <c r="A236" s="85">
        <f>+A$20</f>
        <v>8</v>
      </c>
      <c r="B236" s="57"/>
      <c r="C236" s="56"/>
      <c r="D236" s="55" t="s">
        <v>29</v>
      </c>
      <c r="E236" s="59" t="s">
        <v>90</v>
      </c>
      <c r="F236" s="129">
        <f>INDEX('Used inputs'!$A$139:$O$153,$A236,COLUMN())</f>
        <v>36.668999999999997</v>
      </c>
      <c r="G236" s="129">
        <f>INDEX('Used inputs'!$A$139:$O$153,$A236,COLUMN())</f>
        <v>38.03</v>
      </c>
      <c r="H236" s="129">
        <f>INDEX('Used inputs'!$A$139:$O$153,$A236,COLUMN())</f>
        <v>39.847999999999999</v>
      </c>
      <c r="I236" s="129">
        <f>INDEX('Used inputs'!$A$139:$O$153,$A236,COLUMN())</f>
        <v>41.761000000000003</v>
      </c>
      <c r="J236" s="190">
        <f>INDEX('Used inputs'!$A$139:$O$153,$A236,COLUMN())</f>
        <v>43.161000000000001</v>
      </c>
      <c r="K236" s="165">
        <f>INDEX('Used inputs'!$A$139:$O$153,$A236,COLUMN())</f>
        <v>47.725000000000001</v>
      </c>
      <c r="L236" s="165">
        <f>INDEX('Used inputs'!$A$139:$O$153,$A236,COLUMN())</f>
        <v>50.343000000000004</v>
      </c>
      <c r="M236" s="165">
        <f>INDEX('Used inputs'!$A$139:$O$153,$A236,COLUMN())</f>
        <v>53.36</v>
      </c>
      <c r="N236" s="165">
        <f>INDEX('Used inputs'!$A$139:$O$153,$A236,COLUMN())</f>
        <v>56.402000000000001</v>
      </c>
      <c r="O236" s="165">
        <f>INDEX('Used inputs'!$A$139:$O$153,$A236,COLUMN())</f>
        <v>59.347000000000001</v>
      </c>
    </row>
    <row r="237" spans="1:17" s="53" customFormat="1">
      <c r="A237" s="85">
        <f>+A$21</f>
        <v>9</v>
      </c>
      <c r="B237" s="57"/>
      <c r="C237" s="56"/>
      <c r="D237" s="55" t="s">
        <v>29</v>
      </c>
      <c r="E237" s="59" t="s">
        <v>91</v>
      </c>
      <c r="F237" s="129">
        <f>INDEX('Used inputs'!$A$139:$O$153,$A237,COLUMN())</f>
        <v>78.194999999999993</v>
      </c>
      <c r="G237" s="129">
        <f>INDEX('Used inputs'!$A$139:$O$153,$A237,COLUMN())</f>
        <v>76.388000000000005</v>
      </c>
      <c r="H237" s="129">
        <f>INDEX('Used inputs'!$A$139:$O$153,$A237,COLUMN())</f>
        <v>73.430000000000007</v>
      </c>
      <c r="I237" s="129">
        <f>INDEX('Used inputs'!$A$139:$O$153,$A237,COLUMN())</f>
        <v>70.823999999999998</v>
      </c>
      <c r="J237" s="190">
        <f>INDEX('Used inputs'!$A$139:$O$153,$A237,COLUMN())</f>
        <v>70.884</v>
      </c>
      <c r="K237" s="165">
        <f>INDEX('Used inputs'!$A$139:$O$153,$A237,COLUMN())</f>
        <v>65.846000000000004</v>
      </c>
      <c r="L237" s="165">
        <f>INDEX('Used inputs'!$A$139:$O$153,$A237,COLUMN())</f>
        <v>63.216000000000001</v>
      </c>
      <c r="M237" s="165">
        <f>INDEX('Used inputs'!$A$139:$O$153,$A237,COLUMN())</f>
        <v>60.322000000000003</v>
      </c>
      <c r="N237" s="165">
        <f>INDEX('Used inputs'!$A$139:$O$153,$A237,COLUMN())</f>
        <v>57.561</v>
      </c>
      <c r="O237" s="165">
        <f>INDEX('Used inputs'!$A$139:$O$153,$A237,COLUMN())</f>
        <v>55.061999999999998</v>
      </c>
    </row>
    <row r="238" spans="1:17" s="53" customFormat="1">
      <c r="A238" s="85">
        <f>+A$22</f>
        <v>10</v>
      </c>
      <c r="B238" s="57"/>
      <c r="C238" s="56"/>
      <c r="D238" s="55" t="s">
        <v>29</v>
      </c>
      <c r="E238" s="59" t="s">
        <v>92</v>
      </c>
      <c r="F238" s="129">
        <f>INDEX('Used inputs'!$A$139:$O$153,$A238,COLUMN())</f>
        <v>38.319000000000003</v>
      </c>
      <c r="G238" s="129">
        <f>INDEX('Used inputs'!$A$139:$O$153,$A238,COLUMN())</f>
        <v>38.734999999999999</v>
      </c>
      <c r="H238" s="129">
        <f>INDEX('Used inputs'!$A$139:$O$153,$A238,COLUMN())</f>
        <v>39.799999999999997</v>
      </c>
      <c r="I238" s="129">
        <f>INDEX('Used inputs'!$A$139:$O$153,$A238,COLUMN())</f>
        <v>41.991999999999997</v>
      </c>
      <c r="J238" s="190">
        <f>INDEX('Used inputs'!$A$139:$O$153,$A238,COLUMN())</f>
        <v>43.064999999999998</v>
      </c>
      <c r="K238" s="165">
        <f>INDEX('Used inputs'!$A$139:$O$153,$A238,COLUMN())</f>
        <v>48.798999999999999</v>
      </c>
      <c r="L238" s="165">
        <f>INDEX('Used inputs'!$A$139:$O$153,$A238,COLUMN())</f>
        <v>51.475999999999999</v>
      </c>
      <c r="M238" s="165">
        <f>INDEX('Used inputs'!$A$139:$O$153,$A238,COLUMN())</f>
        <v>54.564</v>
      </c>
      <c r="N238" s="165">
        <f>INDEX('Used inputs'!$A$139:$O$153,$A238,COLUMN())</f>
        <v>57.670999999999999</v>
      </c>
      <c r="O238" s="165">
        <f>INDEX('Used inputs'!$A$139:$O$153,$A238,COLUMN())</f>
        <v>60.682000000000002</v>
      </c>
    </row>
    <row r="239" spans="1:17" s="53" customFormat="1">
      <c r="A239" s="85">
        <f>+A$23</f>
        <v>11</v>
      </c>
      <c r="B239" s="57"/>
      <c r="C239" s="56"/>
      <c r="D239" s="55" t="s">
        <v>29</v>
      </c>
      <c r="E239" s="59" t="s">
        <v>93</v>
      </c>
      <c r="F239" s="129">
        <f>INDEX('Used inputs'!$A$139:$O$153,$A239,COLUMN())</f>
        <v>1124.394</v>
      </c>
      <c r="G239" s="129">
        <f>INDEX('Used inputs'!$A$139:$O$153,$A239,COLUMN())</f>
        <v>1093.5419999999999</v>
      </c>
      <c r="H239" s="129">
        <f>INDEX('Used inputs'!$A$139:$O$153,$A239,COLUMN())</f>
        <v>1058.6479999999999</v>
      </c>
      <c r="I239" s="129">
        <f>INDEX('Used inputs'!$A$139:$O$153,$A239,COLUMN())</f>
        <v>1021.321</v>
      </c>
      <c r="J239" s="190">
        <f>INDEX('Used inputs'!$A$139:$O$153,$A239,COLUMN())</f>
        <v>987.03099999999995</v>
      </c>
      <c r="K239" s="165">
        <f>INDEX('Used inputs'!$A$139:$O$153,$A239,COLUMN())</f>
        <v>946.12099999999998</v>
      </c>
      <c r="L239" s="165">
        <f>INDEX('Used inputs'!$A$139:$O$153,$A239,COLUMN())</f>
        <v>908.32799999999997</v>
      </c>
      <c r="M239" s="165">
        <f>INDEX('Used inputs'!$A$139:$O$153,$A239,COLUMN())</f>
        <v>866.75599999999997</v>
      </c>
      <c r="N239" s="165">
        <f>INDEX('Used inputs'!$A$139:$O$153,$A239,COLUMN())</f>
        <v>827.07399999999996</v>
      </c>
      <c r="O239" s="165">
        <f>INDEX('Used inputs'!$A$139:$O$153,$A239,COLUMN())</f>
        <v>791.17100000000005</v>
      </c>
    </row>
    <row r="240" spans="1:17" s="53" customFormat="1">
      <c r="A240" s="85">
        <f>+A$24</f>
        <v>12</v>
      </c>
      <c r="B240" s="57"/>
      <c r="C240" s="56"/>
      <c r="D240" s="55" t="s">
        <v>29</v>
      </c>
      <c r="E240" s="59" t="s">
        <v>94</v>
      </c>
      <c r="F240" s="129">
        <f>INDEX('Used inputs'!$A$139:$O$153,$A240,COLUMN())</f>
        <v>735.17600000000004</v>
      </c>
      <c r="G240" s="129">
        <f>INDEX('Used inputs'!$A$139:$O$153,$A240,COLUMN())</f>
        <v>776.26700000000005</v>
      </c>
      <c r="H240" s="129">
        <f>INDEX('Used inputs'!$A$139:$O$153,$A240,COLUMN())</f>
        <v>822.66</v>
      </c>
      <c r="I240" s="129">
        <f>INDEX('Used inputs'!$A$139:$O$153,$A240,COLUMN())</f>
        <v>870.19</v>
      </c>
      <c r="J240" s="190">
        <f>INDEX('Used inputs'!$A$139:$O$153,$A240,COLUMN())</f>
        <v>915.14599999999996</v>
      </c>
      <c r="K240" s="165">
        <f>INDEX('Used inputs'!$A$139:$O$153,$A240,COLUMN())</f>
        <v>966.21500000000003</v>
      </c>
      <c r="L240" s="165">
        <f>INDEX('Used inputs'!$A$139:$O$153,$A240,COLUMN())</f>
        <v>1019.213</v>
      </c>
      <c r="M240" s="165">
        <f>INDEX('Used inputs'!$A$139:$O$153,$A240,COLUMN())</f>
        <v>1080.3019999999999</v>
      </c>
      <c r="N240" s="165">
        <f>INDEX('Used inputs'!$A$139:$O$153,$A240,COLUMN())</f>
        <v>1141.8889999999999</v>
      </c>
      <c r="O240" s="165">
        <f>INDEX('Used inputs'!$A$139:$O$153,$A240,COLUMN())</f>
        <v>1201.5029999999999</v>
      </c>
    </row>
    <row r="241" spans="1:17" s="53" customFormat="1">
      <c r="A241" s="110"/>
      <c r="B241" s="57"/>
      <c r="C241" s="56"/>
      <c r="D241" s="55"/>
      <c r="E241" s="59"/>
      <c r="F241" s="129"/>
      <c r="G241" s="129"/>
      <c r="H241" s="129"/>
      <c r="I241" s="129"/>
      <c r="J241" s="190"/>
      <c r="K241" s="61"/>
      <c r="L241" s="61"/>
      <c r="M241" s="61"/>
      <c r="N241" s="61"/>
      <c r="O241" s="61"/>
    </row>
    <row r="242" spans="1:17" s="11" customFormat="1">
      <c r="A242" s="27"/>
      <c r="B242" s="28"/>
      <c r="C242" s="29"/>
      <c r="D242" s="181"/>
      <c r="E242" s="33" t="s">
        <v>379</v>
      </c>
      <c r="F242" s="31"/>
      <c r="G242" s="31"/>
      <c r="H242" s="31"/>
      <c r="I242" s="31"/>
      <c r="J242" s="44"/>
      <c r="K242" s="31"/>
      <c r="L242" s="31"/>
      <c r="M242" s="31"/>
      <c r="N242" s="31"/>
      <c r="O242" s="31"/>
      <c r="Q242" s="53"/>
    </row>
    <row r="243" spans="1:17" s="53" customFormat="1">
      <c r="A243" s="85">
        <f>+A$27</f>
        <v>13</v>
      </c>
      <c r="B243" s="57"/>
      <c r="C243" s="56"/>
      <c r="D243" s="55" t="s">
        <v>29</v>
      </c>
      <c r="E243" s="182" t="s">
        <v>323</v>
      </c>
      <c r="F243" s="129"/>
      <c r="G243" s="129"/>
      <c r="H243" s="129"/>
      <c r="I243" s="165">
        <f>INDEX('Used inputs'!$A$139:$O$153,$A243+1,COLUMN())+INDEX('Used inputs'!$A$139:$O$153,$A243+2,COLUMN())</f>
        <v>0.97843424951466229</v>
      </c>
      <c r="J243" s="243">
        <f>INDEX('Used inputs'!$A$139:$O$153,$A243+1,COLUMN())+INDEX('Used inputs'!$A$139:$O$153,$A243+2,COLUMN())</f>
        <v>0.95579959810633164</v>
      </c>
      <c r="K243" s="165">
        <f>INDEX('Used inputs'!$A$139:$O$153,$A243+1,COLUMN())+INDEX('Used inputs'!$A$139:$O$153,$A243+2,COLUMN())</f>
        <v>2.7890097102843634</v>
      </c>
      <c r="L243" s="165">
        <f>INDEX('Used inputs'!$A$139:$O$153,$A243+1,COLUMN())+INDEX('Used inputs'!$A$139:$O$153,$A243+2,COLUMN())</f>
        <v>3.7250097102843633</v>
      </c>
      <c r="M243" s="165">
        <f>INDEX('Used inputs'!$A$139:$O$153,$A243+1,COLUMN())+INDEX('Used inputs'!$A$139:$O$153,$A243+2,COLUMN())</f>
        <v>4.7030097102843635</v>
      </c>
      <c r="N243" s="165">
        <f>INDEX('Used inputs'!$A$139:$O$153,$A243+1,COLUMN())+INDEX('Used inputs'!$A$139:$O$153,$A243+2,COLUMN())</f>
        <v>5.7270097102843645</v>
      </c>
      <c r="O243" s="165">
        <f>INDEX('Used inputs'!$A$139:$O$153,$A243+1,COLUMN())+INDEX('Used inputs'!$A$139:$O$153,$A243+2,COLUMN())</f>
        <v>6.7950097102843641</v>
      </c>
    </row>
    <row r="244" spans="1:17" s="53" customFormat="1">
      <c r="A244" s="85"/>
      <c r="B244" s="57"/>
      <c r="C244" s="56"/>
      <c r="D244" s="55"/>
      <c r="E244" s="182"/>
      <c r="F244" s="129"/>
      <c r="G244" s="129"/>
      <c r="H244" s="129"/>
      <c r="I244" s="129"/>
      <c r="J244" s="190"/>
      <c r="K244" s="165"/>
      <c r="L244" s="165"/>
      <c r="M244" s="165"/>
      <c r="N244" s="165"/>
      <c r="O244" s="165"/>
    </row>
    <row r="245" spans="1:17" s="53" customFormat="1">
      <c r="A245" s="85"/>
      <c r="B245" s="57"/>
      <c r="C245" s="56"/>
      <c r="D245" s="55"/>
      <c r="E245" s="59"/>
      <c r="F245" s="129"/>
      <c r="G245" s="129"/>
      <c r="H245" s="129"/>
      <c r="I245" s="129"/>
      <c r="J245" s="190"/>
      <c r="K245" s="61"/>
      <c r="L245" s="61"/>
      <c r="M245" s="61"/>
      <c r="N245" s="61"/>
      <c r="O245" s="61"/>
    </row>
    <row r="246" spans="1:17">
      <c r="A246" s="82"/>
      <c r="B246" s="31"/>
      <c r="C246" s="38" t="str">
        <f>INDEX('Used inputs'!$A$154:$O$165,1,1)</f>
        <v>AFW</v>
      </c>
      <c r="D246" s="39"/>
      <c r="E246" s="48"/>
      <c r="F246" s="31"/>
      <c r="G246" s="31"/>
      <c r="H246" s="31"/>
      <c r="I246" s="31"/>
      <c r="J246" s="44"/>
      <c r="K246" s="31"/>
      <c r="L246" s="31"/>
      <c r="M246" s="31"/>
      <c r="N246" s="31"/>
      <c r="O246" s="31"/>
      <c r="Q246" s="53"/>
    </row>
    <row r="247" spans="1:17">
      <c r="A247" s="83"/>
      <c r="B247" s="16"/>
      <c r="C247" s="17"/>
      <c r="D247" s="18"/>
      <c r="E247" s="19"/>
      <c r="F247" s="16"/>
      <c r="G247" s="16"/>
      <c r="H247" s="16"/>
      <c r="I247" s="16"/>
      <c r="J247" s="220"/>
      <c r="K247" s="134"/>
      <c r="L247" s="134"/>
      <c r="M247" s="134"/>
      <c r="N247" s="134"/>
      <c r="O247" s="134"/>
      <c r="Q247" s="53"/>
    </row>
    <row r="248" spans="1:17" s="11" customFormat="1">
      <c r="A248" s="84"/>
      <c r="B248" s="28"/>
      <c r="C248" s="29" t="s">
        <v>23</v>
      </c>
      <c r="D248" s="47" t="s">
        <v>24</v>
      </c>
      <c r="E248" s="33" t="s">
        <v>380</v>
      </c>
      <c r="F248" s="31"/>
      <c r="G248" s="31"/>
      <c r="H248" s="31"/>
      <c r="I248" s="31"/>
      <c r="J248" s="44"/>
      <c r="K248" s="31"/>
      <c r="L248" s="31"/>
      <c r="M248" s="31"/>
      <c r="N248" s="31"/>
      <c r="O248" s="31"/>
      <c r="Q248" s="53"/>
    </row>
    <row r="249" spans="1:17" s="53" customFormat="1">
      <c r="A249" s="85">
        <f>+A$9</f>
        <v>1</v>
      </c>
      <c r="B249" s="57"/>
      <c r="C249" s="56"/>
      <c r="D249" s="55" t="s">
        <v>10</v>
      </c>
      <c r="E249" s="59" t="s">
        <v>132</v>
      </c>
      <c r="F249" s="129">
        <f>INDEX('Used inputs'!$A$154:$O$168,$A249,COLUMN())</f>
        <v>33.646095631236207</v>
      </c>
      <c r="G249" s="129">
        <f>INDEX('Used inputs'!$A$154:$O$168,$A249,COLUMN())</f>
        <v>28.30521227364029</v>
      </c>
      <c r="H249" s="129">
        <f>INDEX('Used inputs'!$A$154:$O$168,$A249,COLUMN())</f>
        <v>28.507258312089771</v>
      </c>
      <c r="I249" s="129">
        <f ca="1">INDEX('Used inputs'!$A$154:$O$168,$A249,COLUMN())</f>
        <v>26.468181195592294</v>
      </c>
      <c r="J249" s="190">
        <f>INDEX('Used inputs'!$A$154:$O$168,$A249,COLUMN())</f>
        <v>26.733039464752135</v>
      </c>
      <c r="K249" s="165">
        <f ca="1">INDEX('Used inputs'!$A$154:$O$168,$A249,COLUMN())</f>
        <v>26.423385417530223</v>
      </c>
      <c r="L249" s="165">
        <f ca="1">INDEX('Used inputs'!$A$154:$O$168,$A249,COLUMN())</f>
        <v>26.344466058252397</v>
      </c>
      <c r="M249" s="165">
        <f ca="1">INDEX('Used inputs'!$A$154:$O$168,$A249,COLUMN())</f>
        <v>26.257163182696079</v>
      </c>
      <c r="N249" s="165">
        <f ca="1">INDEX('Used inputs'!$A$154:$O$168,$A249,COLUMN())</f>
        <v>26.11580659206567</v>
      </c>
      <c r="O249" s="165">
        <f ca="1">INDEX('Used inputs'!$A$154:$O$168,$A249,COLUMN())</f>
        <v>26.008070672951824</v>
      </c>
    </row>
    <row r="250" spans="1:17" s="53" customFormat="1">
      <c r="A250" s="85">
        <f>+A$10</f>
        <v>2</v>
      </c>
      <c r="B250" s="57"/>
      <c r="C250" s="56"/>
      <c r="D250" s="55" t="s">
        <v>10</v>
      </c>
      <c r="E250" s="114" t="s">
        <v>99</v>
      </c>
      <c r="F250" s="129">
        <f>INDEX('Used inputs'!$A$154:$O$168,$A250,COLUMN())</f>
        <v>0.57465680095904637</v>
      </c>
      <c r="G250" s="129">
        <f>INDEX('Used inputs'!$A$154:$O$168,$A250,COLUMN())</f>
        <v>0.64547912782002748</v>
      </c>
      <c r="H250" s="129">
        <f>INDEX('Used inputs'!$A$154:$O$168,$A250,COLUMN())</f>
        <v>0.57449335149275771</v>
      </c>
      <c r="I250" s="129">
        <f>INDEX('Used inputs'!$A$154:$O$168,$A250,COLUMN())</f>
        <v>0.86726463627235406</v>
      </c>
      <c r="J250" s="190">
        <f>INDEX('Used inputs'!$A$154:$O$168,$A250,COLUMN())</f>
        <v>1.7142140357309708</v>
      </c>
      <c r="K250" s="165">
        <f>INDEX('Used inputs'!$A$154:$O$168,$A250,COLUMN())</f>
        <v>1.7804446976147152</v>
      </c>
      <c r="L250" s="165">
        <f>INDEX('Used inputs'!$A$154:$O$168,$A250,COLUMN())</f>
        <v>1.7237798045818471</v>
      </c>
      <c r="M250" s="165">
        <f>INDEX('Used inputs'!$A$154:$O$168,$A250,COLUMN())</f>
        <v>1.6771549411297531</v>
      </c>
      <c r="N250" s="165">
        <f>INDEX('Used inputs'!$A$154:$O$168,$A250,COLUMN())</f>
        <v>1.2239580916097754</v>
      </c>
      <c r="O250" s="165">
        <f>INDEX('Used inputs'!$A$154:$O$168,$A250,COLUMN())</f>
        <v>0.17375489865274849</v>
      </c>
    </row>
    <row r="251" spans="1:17" s="53" customFormat="1">
      <c r="A251" s="85">
        <f>+A$11</f>
        <v>3</v>
      </c>
      <c r="B251" s="57"/>
      <c r="C251" s="56"/>
      <c r="D251" s="55" t="s">
        <v>10</v>
      </c>
      <c r="E251" s="114" t="s">
        <v>100</v>
      </c>
      <c r="F251" s="129">
        <f>INDEX('Used inputs'!$A$154:$O$168,$A251,COLUMN())</f>
        <v>0</v>
      </c>
      <c r="G251" s="129">
        <f>INDEX('Used inputs'!$A$154:$O$168,$A251,COLUMN())</f>
        <v>0</v>
      </c>
      <c r="H251" s="129">
        <f>INDEX('Used inputs'!$A$154:$O$168,$A251,COLUMN())</f>
        <v>0</v>
      </c>
      <c r="I251" s="129">
        <f>INDEX('Used inputs'!$A$154:$O$168,$A251,COLUMN())</f>
        <v>0</v>
      </c>
      <c r="J251" s="190">
        <f>INDEX('Used inputs'!$A$154:$O$168,$A251,COLUMN())</f>
        <v>0</v>
      </c>
      <c r="K251" s="165">
        <f>INDEX('Used inputs'!$A$154:$O$168,$A251,COLUMN())</f>
        <v>0.23457729641360991</v>
      </c>
      <c r="L251" s="165">
        <f>INDEX('Used inputs'!$A$154:$O$168,$A251,COLUMN())</f>
        <v>0.46298150607949323</v>
      </c>
      <c r="M251" s="165">
        <f>INDEX('Used inputs'!$A$154:$O$168,$A251,COLUMN())</f>
        <v>0.68521262899765001</v>
      </c>
      <c r="N251" s="165">
        <f>INDEX('Used inputs'!$A$154:$O$168,$A251,COLUMN())</f>
        <v>0.90127066516808019</v>
      </c>
      <c r="O251" s="165">
        <f>INDEX('Used inputs'!$A$154:$O$168,$A251,COLUMN())</f>
        <v>1.1121844623820714</v>
      </c>
    </row>
    <row r="252" spans="1:17" s="53" customFormat="1">
      <c r="A252" s="110"/>
      <c r="B252" s="57"/>
      <c r="C252" s="56"/>
      <c r="D252" s="55"/>
      <c r="E252" s="59"/>
      <c r="F252" s="129"/>
      <c r="G252" s="129"/>
      <c r="H252" s="129"/>
      <c r="I252" s="129"/>
      <c r="J252" s="190"/>
      <c r="K252" s="61"/>
      <c r="L252" s="61"/>
      <c r="M252" s="61"/>
      <c r="N252" s="61"/>
      <c r="O252" s="61"/>
    </row>
    <row r="253" spans="1:17" s="11" customFormat="1">
      <c r="A253" s="27"/>
      <c r="B253" s="28"/>
      <c r="C253" s="29"/>
      <c r="D253" s="30"/>
      <c r="E253" s="32" t="s">
        <v>381</v>
      </c>
      <c r="F253" s="31"/>
      <c r="G253" s="31"/>
      <c r="H253" s="31"/>
      <c r="I253" s="31"/>
      <c r="J253" s="44"/>
      <c r="K253" s="31"/>
      <c r="L253" s="31"/>
      <c r="M253" s="31"/>
      <c r="N253" s="31"/>
      <c r="O253" s="31"/>
      <c r="Q253" s="53"/>
    </row>
    <row r="254" spans="1:17" s="53" customFormat="1">
      <c r="A254" s="85">
        <f>+A$14</f>
        <v>4</v>
      </c>
      <c r="B254" s="56" t="s">
        <v>40</v>
      </c>
      <c r="C254" s="56"/>
      <c r="D254" s="55" t="s">
        <v>10</v>
      </c>
      <c r="E254" s="59" t="s">
        <v>135</v>
      </c>
      <c r="F254" s="129">
        <f>INDEX('Used inputs'!$A$154:$O$168,$A254,COLUMN())</f>
        <v>6.981888040857064</v>
      </c>
      <c r="G254" s="129">
        <f>INDEX('Used inputs'!$A$154:$O$168,$A254,COLUMN())</f>
        <v>5.2337716802500536</v>
      </c>
      <c r="H254" s="129">
        <f>INDEX('Used inputs'!$A$154:$O$168,$A254,COLUMN())</f>
        <v>5.3272922975316552</v>
      </c>
      <c r="I254" s="129">
        <f>INDEX('Used inputs'!$A$154:$O$168,$A254,COLUMN())</f>
        <v>5.3914834777169167</v>
      </c>
      <c r="J254" s="190">
        <f>INDEX('Used inputs'!$A$154:$O$168,$A254,COLUMN())</f>
        <v>5.5588006040642197</v>
      </c>
      <c r="K254" s="165">
        <f>INDEX('Used inputs'!$A$154:$O$168,$A254,COLUMN())</f>
        <v>5.6542550851291651</v>
      </c>
      <c r="L254" s="165">
        <f>INDEX('Used inputs'!$A$154:$O$168,$A254,COLUMN())</f>
        <v>5.9791637525567349</v>
      </c>
      <c r="M254" s="165">
        <f>INDEX('Used inputs'!$A$154:$O$168,$A254,COLUMN())</f>
        <v>6.3078991533489379</v>
      </c>
      <c r="N254" s="165">
        <f>INDEX('Used inputs'!$A$154:$O$168,$A254,COLUMN())</f>
        <v>6.56807851448837</v>
      </c>
      <c r="O254" s="165">
        <f>INDEX('Used inputs'!$A$154:$O$168,$A254,COLUMN())</f>
        <v>6.6921027860540114</v>
      </c>
    </row>
    <row r="255" spans="1:17" s="53" customFormat="1">
      <c r="A255" s="85">
        <f>+A$15</f>
        <v>5</v>
      </c>
      <c r="B255" s="56" t="s">
        <v>41</v>
      </c>
      <c r="C255" s="56"/>
      <c r="D255" s="55" t="s">
        <v>10</v>
      </c>
      <c r="E255" s="59" t="s">
        <v>136</v>
      </c>
      <c r="F255" s="129">
        <f>INDEX('Used inputs'!$A$154:$O$168,$A255,COLUMN())</f>
        <v>0</v>
      </c>
      <c r="G255" s="129">
        <f>INDEX('Used inputs'!$A$154:$O$168,$A255,COLUMN())</f>
        <v>0</v>
      </c>
      <c r="H255" s="129">
        <f>INDEX('Used inputs'!$A$154:$O$168,$A255,COLUMN())</f>
        <v>0</v>
      </c>
      <c r="I255" s="129">
        <f>INDEX('Used inputs'!$A$154:$O$168,$A255,COLUMN())</f>
        <v>0</v>
      </c>
      <c r="J255" s="190">
        <f>INDEX('Used inputs'!$A$154:$O$168,$A255,COLUMN())</f>
        <v>0</v>
      </c>
      <c r="K255" s="165">
        <f>INDEX('Used inputs'!$A$154:$O$168,$A255,COLUMN())</f>
        <v>0</v>
      </c>
      <c r="L255" s="165">
        <f>INDEX('Used inputs'!$A$154:$O$168,$A255,COLUMN())</f>
        <v>0</v>
      </c>
      <c r="M255" s="165">
        <f>INDEX('Used inputs'!$A$154:$O$168,$A255,COLUMN())</f>
        <v>0</v>
      </c>
      <c r="N255" s="165">
        <f>INDEX('Used inputs'!$A$154:$O$168,$A255,COLUMN())</f>
        <v>0</v>
      </c>
      <c r="O255" s="165">
        <f>INDEX('Used inputs'!$A$154:$O$168,$A255,COLUMN())</f>
        <v>0</v>
      </c>
    </row>
    <row r="256" spans="1:17" s="53" customFormat="1">
      <c r="A256" s="85">
        <f>+A$16</f>
        <v>6</v>
      </c>
      <c r="B256" s="56" t="s">
        <v>42</v>
      </c>
      <c r="C256" s="56"/>
      <c r="D256" s="55" t="s">
        <v>10</v>
      </c>
      <c r="E256" s="59" t="s">
        <v>137</v>
      </c>
      <c r="F256" s="129">
        <f>INDEX('Used inputs'!$A$154:$O$168,$A256,COLUMN())</f>
        <v>0</v>
      </c>
      <c r="G256" s="129">
        <f>INDEX('Used inputs'!$A$154:$O$168,$A256,COLUMN())</f>
        <v>0</v>
      </c>
      <c r="H256" s="129">
        <f>INDEX('Used inputs'!$A$154:$O$168,$A256,COLUMN())</f>
        <v>0</v>
      </c>
      <c r="I256" s="129">
        <f>INDEX('Used inputs'!$A$154:$O$168,$A256,COLUMN())</f>
        <v>0</v>
      </c>
      <c r="J256" s="190">
        <f>INDEX('Used inputs'!$A$154:$O$168,$A256,COLUMN())</f>
        <v>0</v>
      </c>
      <c r="K256" s="165">
        <f>INDEX('Used inputs'!$A$154:$O$168,$A256,COLUMN())</f>
        <v>0</v>
      </c>
      <c r="L256" s="165">
        <f>INDEX('Used inputs'!$A$154:$O$168,$A256,COLUMN())</f>
        <v>0</v>
      </c>
      <c r="M256" s="165">
        <f>INDEX('Used inputs'!$A$154:$O$168,$A256,COLUMN())</f>
        <v>0</v>
      </c>
      <c r="N256" s="165">
        <f>INDEX('Used inputs'!$A$154:$O$168,$A256,COLUMN())</f>
        <v>0</v>
      </c>
      <c r="O256" s="165">
        <f>INDEX('Used inputs'!$A$154:$O$168,$A256,COLUMN())</f>
        <v>0</v>
      </c>
    </row>
    <row r="257" spans="1:17" s="53" customFormat="1">
      <c r="A257" s="110"/>
      <c r="B257" s="57"/>
      <c r="C257" s="56"/>
      <c r="D257" s="55"/>
      <c r="E257" s="59"/>
      <c r="F257" s="129"/>
      <c r="G257" s="129"/>
      <c r="H257" s="129"/>
      <c r="I257" s="129"/>
      <c r="J257" s="190"/>
      <c r="K257" s="61"/>
      <c r="L257" s="61"/>
      <c r="M257" s="61"/>
      <c r="N257" s="61"/>
      <c r="O257" s="61"/>
    </row>
    <row r="258" spans="1:17" s="11" customFormat="1">
      <c r="A258" s="27"/>
      <c r="B258" s="28"/>
      <c r="C258" s="29"/>
      <c r="D258" s="30"/>
      <c r="E258" s="32" t="s">
        <v>382</v>
      </c>
      <c r="F258" s="31"/>
      <c r="G258" s="31"/>
      <c r="H258" s="31"/>
      <c r="I258" s="31"/>
      <c r="J258" s="44"/>
      <c r="K258" s="31"/>
      <c r="L258" s="31"/>
      <c r="M258" s="31"/>
      <c r="N258" s="31"/>
      <c r="O258" s="31"/>
      <c r="Q258" s="53"/>
    </row>
    <row r="259" spans="1:17" s="53" customFormat="1">
      <c r="A259" s="85">
        <f>+A$19</f>
        <v>7</v>
      </c>
      <c r="B259" s="57"/>
      <c r="C259" s="56"/>
      <c r="D259" s="55" t="s">
        <v>29</v>
      </c>
      <c r="E259" s="59" t="s">
        <v>89</v>
      </c>
      <c r="F259" s="129">
        <f>INDEX('Used inputs'!$A$154:$O$168,$A259,COLUMN())</f>
        <v>737.38699999999994</v>
      </c>
      <c r="G259" s="129">
        <f>INDEX('Used inputs'!$A$154:$O$168,$A259,COLUMN())</f>
        <v>725.32799999999997</v>
      </c>
      <c r="H259" s="129">
        <f>INDEX('Used inputs'!$A$154:$O$168,$A259,COLUMN())</f>
        <v>710.69100000000003</v>
      </c>
      <c r="I259" s="129">
        <f>INDEX('Used inputs'!$A$154:$O$168,$A259,COLUMN())</f>
        <v>714.57100000000003</v>
      </c>
      <c r="J259" s="190">
        <f>INDEX('Used inputs'!$A$154:$O$168,$A259,COLUMN())</f>
        <v>689.36099999999999</v>
      </c>
      <c r="K259" s="165">
        <f>INDEX('Used inputs'!$A$154:$O$168,$A259,COLUMN())</f>
        <v>655.52537209214199</v>
      </c>
      <c r="L259" s="165">
        <f>INDEX('Used inputs'!$A$154:$O$168,$A259,COLUMN())</f>
        <v>590.37661627642603</v>
      </c>
      <c r="M259" s="165">
        <f>INDEX('Used inputs'!$A$154:$O$168,$A259,COLUMN())</f>
        <v>517.64089305975199</v>
      </c>
      <c r="N259" s="165">
        <f>INDEX('Used inputs'!$A$154:$O$168,$A259,COLUMN())</f>
        <v>446.496677152855</v>
      </c>
      <c r="O259" s="165">
        <f>INDEX('Used inputs'!$A$154:$O$168,$A259,COLUMN())</f>
        <v>387.71878542949901</v>
      </c>
    </row>
    <row r="260" spans="1:17" s="53" customFormat="1">
      <c r="A260" s="85">
        <f>+A$20</f>
        <v>8</v>
      </c>
      <c r="B260" s="57"/>
      <c r="C260" s="56"/>
      <c r="D260" s="55" t="s">
        <v>29</v>
      </c>
      <c r="E260" s="59" t="s">
        <v>90</v>
      </c>
      <c r="F260" s="129">
        <f>INDEX('Used inputs'!$A$154:$O$168,$A260,COLUMN())</f>
        <v>574.37300000000005</v>
      </c>
      <c r="G260" s="129">
        <f>INDEX('Used inputs'!$A$154:$O$168,$A260,COLUMN())</f>
        <v>596.68600000000004</v>
      </c>
      <c r="H260" s="129">
        <f>INDEX('Used inputs'!$A$154:$O$168,$A260,COLUMN())</f>
        <v>622.51700000000005</v>
      </c>
      <c r="I260" s="129">
        <f>INDEX('Used inputs'!$A$154:$O$168,$A260,COLUMN())</f>
        <v>658.45100000000002</v>
      </c>
      <c r="J260" s="190">
        <f>INDEX('Used inputs'!$A$154:$O$168,$A260,COLUMN())</f>
        <v>662.40300000000002</v>
      </c>
      <c r="K260" s="165">
        <f>INDEX('Used inputs'!$A$154:$O$168,$A260,COLUMN())</f>
        <v>705.16162790785802</v>
      </c>
      <c r="L260" s="165">
        <f>INDEX('Used inputs'!$A$154:$O$168,$A260,COLUMN())</f>
        <v>778.87838372357396</v>
      </c>
      <c r="M260" s="165">
        <f>INDEX('Used inputs'!$A$154:$O$168,$A260,COLUMN())</f>
        <v>859.98610694024796</v>
      </c>
      <c r="N260" s="165">
        <f>INDEX('Used inputs'!$A$154:$O$168,$A260,COLUMN())</f>
        <v>939.21782284714504</v>
      </c>
      <c r="O260" s="165">
        <f>INDEX('Used inputs'!$A$154:$O$168,$A260,COLUMN())</f>
        <v>1006.1212145705</v>
      </c>
    </row>
    <row r="261" spans="1:17" s="53" customFormat="1">
      <c r="A261" s="85">
        <f>+A$21</f>
        <v>9</v>
      </c>
      <c r="B261" s="57"/>
      <c r="C261" s="56"/>
      <c r="D261" s="55" t="s">
        <v>29</v>
      </c>
      <c r="E261" s="59" t="s">
        <v>91</v>
      </c>
      <c r="F261" s="129">
        <f>INDEX('Used inputs'!$A$154:$O$168,$A261,COLUMN())</f>
        <v>0</v>
      </c>
      <c r="G261" s="129">
        <f>INDEX('Used inputs'!$A$154:$O$168,$A261,COLUMN())</f>
        <v>0</v>
      </c>
      <c r="H261" s="129">
        <f>INDEX('Used inputs'!$A$154:$O$168,$A261,COLUMN())</f>
        <v>0</v>
      </c>
      <c r="I261" s="129">
        <f>INDEX('Used inputs'!$A$154:$O$168,$A261,COLUMN())</f>
        <v>0</v>
      </c>
      <c r="J261" s="190">
        <f>INDEX('Used inputs'!$A$154:$O$168,$A261,COLUMN())</f>
        <v>0</v>
      </c>
      <c r="K261" s="165">
        <f>INDEX('Used inputs'!$A$154:$O$168,$A261,COLUMN())</f>
        <v>0</v>
      </c>
      <c r="L261" s="165">
        <f>INDEX('Used inputs'!$A$154:$O$168,$A261,COLUMN())</f>
        <v>0</v>
      </c>
      <c r="M261" s="165">
        <f>INDEX('Used inputs'!$A$154:$O$168,$A261,COLUMN())</f>
        <v>0</v>
      </c>
      <c r="N261" s="165">
        <f>INDEX('Used inputs'!$A$154:$O$168,$A261,COLUMN())</f>
        <v>0</v>
      </c>
      <c r="O261" s="165">
        <f>INDEX('Used inputs'!$A$154:$O$168,$A261,COLUMN())</f>
        <v>0</v>
      </c>
    </row>
    <row r="262" spans="1:17" s="53" customFormat="1">
      <c r="A262" s="85">
        <f>+A$22</f>
        <v>10</v>
      </c>
      <c r="B262" s="57"/>
      <c r="C262" s="56"/>
      <c r="D262" s="55" t="s">
        <v>29</v>
      </c>
      <c r="E262" s="59" t="s">
        <v>92</v>
      </c>
      <c r="F262" s="129">
        <f>INDEX('Used inputs'!$A$154:$O$168,$A262,COLUMN())</f>
        <v>0</v>
      </c>
      <c r="G262" s="129">
        <f>INDEX('Used inputs'!$A$154:$O$168,$A262,COLUMN())</f>
        <v>0</v>
      </c>
      <c r="H262" s="129">
        <f>INDEX('Used inputs'!$A$154:$O$168,$A262,COLUMN())</f>
        <v>0</v>
      </c>
      <c r="I262" s="129">
        <f>INDEX('Used inputs'!$A$154:$O$168,$A262,COLUMN())</f>
        <v>0</v>
      </c>
      <c r="J262" s="190">
        <f>INDEX('Used inputs'!$A$154:$O$168,$A262,COLUMN())</f>
        <v>0</v>
      </c>
      <c r="K262" s="165">
        <f>INDEX('Used inputs'!$A$154:$O$168,$A262,COLUMN())</f>
        <v>0</v>
      </c>
      <c r="L262" s="165">
        <f>INDEX('Used inputs'!$A$154:$O$168,$A262,COLUMN())</f>
        <v>0</v>
      </c>
      <c r="M262" s="165">
        <f>INDEX('Used inputs'!$A$154:$O$168,$A262,COLUMN())</f>
        <v>0</v>
      </c>
      <c r="N262" s="165">
        <f>INDEX('Used inputs'!$A$154:$O$168,$A262,COLUMN())</f>
        <v>0</v>
      </c>
      <c r="O262" s="165">
        <f>INDEX('Used inputs'!$A$154:$O$168,$A262,COLUMN())</f>
        <v>0</v>
      </c>
    </row>
    <row r="263" spans="1:17" s="53" customFormat="1">
      <c r="A263" s="85">
        <f>+A$23</f>
        <v>11</v>
      </c>
      <c r="B263" s="57"/>
      <c r="C263" s="56"/>
      <c r="D263" s="55" t="s">
        <v>29</v>
      </c>
      <c r="E263" s="59" t="s">
        <v>93</v>
      </c>
      <c r="F263" s="129">
        <f>INDEX('Used inputs'!$A$154:$O$168,$A263,COLUMN())</f>
        <v>0</v>
      </c>
      <c r="G263" s="129">
        <f>INDEX('Used inputs'!$A$154:$O$168,$A263,COLUMN())</f>
        <v>0</v>
      </c>
      <c r="H263" s="129">
        <f>INDEX('Used inputs'!$A$154:$O$168,$A263,COLUMN())</f>
        <v>0</v>
      </c>
      <c r="I263" s="129">
        <f>INDEX('Used inputs'!$A$154:$O$168,$A263,COLUMN())</f>
        <v>0</v>
      </c>
      <c r="J263" s="190">
        <f>INDEX('Used inputs'!$A$154:$O$168,$A263,COLUMN())</f>
        <v>0</v>
      </c>
      <c r="K263" s="165">
        <f>INDEX('Used inputs'!$A$154:$O$168,$A263,COLUMN())</f>
        <v>0</v>
      </c>
      <c r="L263" s="165">
        <f>INDEX('Used inputs'!$A$154:$O$168,$A263,COLUMN())</f>
        <v>0</v>
      </c>
      <c r="M263" s="165">
        <f>INDEX('Used inputs'!$A$154:$O$168,$A263,COLUMN())</f>
        <v>0</v>
      </c>
      <c r="N263" s="165">
        <f>INDEX('Used inputs'!$A$154:$O$168,$A263,COLUMN())</f>
        <v>0</v>
      </c>
      <c r="O263" s="165">
        <f>INDEX('Used inputs'!$A$154:$O$168,$A263,COLUMN())</f>
        <v>0</v>
      </c>
    </row>
    <row r="264" spans="1:17" s="53" customFormat="1">
      <c r="A264" s="85">
        <f>+A$24</f>
        <v>12</v>
      </c>
      <c r="B264" s="57"/>
      <c r="C264" s="56"/>
      <c r="D264" s="55" t="s">
        <v>29</v>
      </c>
      <c r="E264" s="59" t="s">
        <v>94</v>
      </c>
      <c r="F264" s="129">
        <f>INDEX('Used inputs'!$A$154:$O$168,$A264,COLUMN())</f>
        <v>0</v>
      </c>
      <c r="G264" s="129">
        <f>INDEX('Used inputs'!$A$154:$O$168,$A264,COLUMN())</f>
        <v>0</v>
      </c>
      <c r="H264" s="129">
        <f>INDEX('Used inputs'!$A$154:$O$168,$A264,COLUMN())</f>
        <v>0</v>
      </c>
      <c r="I264" s="129">
        <f>INDEX('Used inputs'!$A$154:$O$168,$A264,COLUMN())</f>
        <v>0</v>
      </c>
      <c r="J264" s="190">
        <f>INDEX('Used inputs'!$A$154:$O$168,$A264,COLUMN())</f>
        <v>0</v>
      </c>
      <c r="K264" s="165">
        <f>INDEX('Used inputs'!$A$154:$O$168,$A264,COLUMN())</f>
        <v>0</v>
      </c>
      <c r="L264" s="165">
        <f>INDEX('Used inputs'!$A$154:$O$168,$A264,COLUMN())</f>
        <v>0</v>
      </c>
      <c r="M264" s="165">
        <f>INDEX('Used inputs'!$A$154:$O$168,$A264,COLUMN())</f>
        <v>0</v>
      </c>
      <c r="N264" s="165">
        <f>INDEX('Used inputs'!$A$154:$O$168,$A264,COLUMN())</f>
        <v>0</v>
      </c>
      <c r="O264" s="165">
        <f>INDEX('Used inputs'!$A$154:$O$168,$A264,COLUMN())</f>
        <v>0</v>
      </c>
    </row>
    <row r="265" spans="1:17" s="53" customFormat="1">
      <c r="A265" s="110"/>
      <c r="B265" s="57"/>
      <c r="C265" s="56"/>
      <c r="D265" s="55"/>
      <c r="E265" s="59"/>
      <c r="F265" s="129"/>
      <c r="G265" s="129"/>
      <c r="H265" s="129"/>
      <c r="I265" s="129"/>
      <c r="J265" s="190"/>
      <c r="K265" s="61"/>
      <c r="L265" s="61"/>
      <c r="M265" s="61"/>
      <c r="N265" s="61"/>
      <c r="O265" s="61"/>
    </row>
    <row r="266" spans="1:17" s="11" customFormat="1">
      <c r="A266" s="27"/>
      <c r="B266" s="28"/>
      <c r="C266" s="29"/>
      <c r="D266" s="181"/>
      <c r="E266" s="33" t="s">
        <v>383</v>
      </c>
      <c r="F266" s="31"/>
      <c r="G266" s="31"/>
      <c r="H266" s="31"/>
      <c r="I266" s="31"/>
      <c r="J266" s="44"/>
      <c r="K266" s="31"/>
      <c r="L266" s="31"/>
      <c r="M266" s="31"/>
      <c r="N266" s="31"/>
      <c r="O266" s="31"/>
      <c r="Q266" s="53"/>
    </row>
    <row r="267" spans="1:17" s="53" customFormat="1">
      <c r="A267" s="85">
        <f>+A$27</f>
        <v>13</v>
      </c>
      <c r="B267" s="57"/>
      <c r="C267" s="56"/>
      <c r="D267" s="55" t="s">
        <v>29</v>
      </c>
      <c r="E267" s="182" t="s">
        <v>323</v>
      </c>
      <c r="F267" s="129"/>
      <c r="G267" s="129"/>
      <c r="H267" s="129"/>
      <c r="I267" s="313">
        <f>INDEX('Used inputs'!$A$154:$O$168,$A267+1,COLUMN())+INDEX('Used inputs'!$A$154:$O$168,$A267+2,COLUMN())</f>
        <v>0.1395734913660979</v>
      </c>
      <c r="J267" s="314">
        <f>INDEX('Used inputs'!$A$154:$O$168,$A267+1,COLUMN())+INDEX('Used inputs'!$A$154:$O$168,$A267+2,COLUMN())</f>
        <v>0.1395734913660979</v>
      </c>
      <c r="K267" s="313">
        <f>INDEX('Used inputs'!$A$154:$O$168,$A267+1,COLUMN())+INDEX('Used inputs'!$A$154:$O$168,$A267+2,COLUMN())</f>
        <v>0.12001563764024484</v>
      </c>
      <c r="L267" s="313">
        <f>INDEX('Used inputs'!$A$154:$O$168,$A267+1,COLUMN())+INDEX('Used inputs'!$A$154:$O$168,$A267+2,COLUMN())</f>
        <v>0.12001563764024484</v>
      </c>
      <c r="M267" s="313">
        <f>INDEX('Used inputs'!$A$154:$O$168,$A267+1,COLUMN())+INDEX('Used inputs'!$A$154:$O$168,$A267+2,COLUMN())</f>
        <v>0.12001563764024484</v>
      </c>
      <c r="N267" s="313">
        <f>INDEX('Used inputs'!$A$154:$O$168,$A267+1,COLUMN())+INDEX('Used inputs'!$A$154:$O$168,$A267+2,COLUMN())</f>
        <v>0.12001563764024484</v>
      </c>
      <c r="O267" s="313">
        <f>INDEX('Used inputs'!$A$154:$O$168,$A267+1,COLUMN())+INDEX('Used inputs'!$A$154:$O$168,$A267+2,COLUMN())</f>
        <v>0.12001563764024484</v>
      </c>
    </row>
    <row r="268" spans="1:17" s="53" customFormat="1">
      <c r="A268" s="85"/>
      <c r="B268" s="57"/>
      <c r="C268" s="56"/>
      <c r="D268" s="55"/>
      <c r="E268" s="182"/>
      <c r="F268" s="129"/>
      <c r="G268" s="129"/>
      <c r="H268" s="129"/>
      <c r="I268" s="129"/>
      <c r="J268" s="190"/>
      <c r="K268" s="165"/>
      <c r="L268" s="165"/>
      <c r="M268" s="165"/>
      <c r="N268" s="165"/>
      <c r="O268" s="165"/>
    </row>
    <row r="269" spans="1:17" s="53" customFormat="1">
      <c r="A269" s="85"/>
      <c r="B269" s="57"/>
      <c r="C269" s="56"/>
      <c r="D269" s="55"/>
      <c r="E269" s="59"/>
      <c r="F269" s="129"/>
      <c r="G269" s="129"/>
      <c r="H269" s="129"/>
      <c r="I269" s="129"/>
      <c r="J269" s="190"/>
      <c r="K269" s="61"/>
      <c r="L269" s="61"/>
      <c r="M269" s="61"/>
      <c r="N269" s="61"/>
      <c r="O269" s="61"/>
    </row>
    <row r="270" spans="1:17">
      <c r="A270" s="82"/>
      <c r="B270" s="31"/>
      <c r="C270" s="38" t="str">
        <f>INDEX('Used inputs'!$A$169:$O$180,1,1)</f>
        <v>BRL</v>
      </c>
      <c r="D270" s="39"/>
      <c r="E270" s="48"/>
      <c r="F270" s="31"/>
      <c r="G270" s="31"/>
      <c r="H270" s="31"/>
      <c r="I270" s="31"/>
      <c r="J270" s="44"/>
      <c r="K270" s="31"/>
      <c r="L270" s="31"/>
      <c r="M270" s="31"/>
      <c r="N270" s="31"/>
      <c r="O270" s="31"/>
      <c r="Q270" s="53"/>
    </row>
    <row r="271" spans="1:17">
      <c r="A271" s="83"/>
      <c r="B271" s="16"/>
      <c r="C271" s="17"/>
      <c r="D271" s="18"/>
      <c r="E271" s="19"/>
      <c r="F271" s="16"/>
      <c r="G271" s="16"/>
      <c r="H271" s="16"/>
      <c r="I271" s="16"/>
      <c r="J271" s="220"/>
      <c r="K271" s="134"/>
      <c r="L271" s="134"/>
      <c r="M271" s="134"/>
      <c r="N271" s="134"/>
      <c r="O271" s="134"/>
      <c r="Q271" s="53"/>
    </row>
    <row r="272" spans="1:17" s="11" customFormat="1">
      <c r="A272" s="84"/>
      <c r="B272" s="28"/>
      <c r="C272" s="29" t="s">
        <v>23</v>
      </c>
      <c r="D272" s="47" t="s">
        <v>24</v>
      </c>
      <c r="E272" s="33" t="s">
        <v>384</v>
      </c>
      <c r="F272" s="31"/>
      <c r="G272" s="31"/>
      <c r="H272" s="31"/>
      <c r="I272" s="31"/>
      <c r="J272" s="44"/>
      <c r="K272" s="31"/>
      <c r="L272" s="31"/>
      <c r="M272" s="31"/>
      <c r="N272" s="31"/>
      <c r="O272" s="31"/>
      <c r="Q272" s="53"/>
    </row>
    <row r="273" spans="1:17" s="53" customFormat="1">
      <c r="A273" s="85">
        <f>+A$9</f>
        <v>1</v>
      </c>
      <c r="B273" s="57"/>
      <c r="C273" s="56"/>
      <c r="D273" s="55" t="s">
        <v>10</v>
      </c>
      <c r="E273" s="59" t="s">
        <v>132</v>
      </c>
      <c r="F273" s="129">
        <f>INDEX('Used inputs'!$A$169:$O$183,$A273,COLUMN())</f>
        <v>9.0432202621959181</v>
      </c>
      <c r="G273" s="129">
        <f>INDEX('Used inputs'!$A$169:$O$183,$A273,COLUMN())</f>
        <v>6.5627422018176143</v>
      </c>
      <c r="H273" s="129">
        <f>INDEX('Used inputs'!$A$169:$O$183,$A273,COLUMN())</f>
        <v>7.5747896009570548</v>
      </c>
      <c r="I273" s="129">
        <f ca="1">INDEX('Used inputs'!$A$169:$O$183,$A273,COLUMN())</f>
        <v>8.5756592827682798</v>
      </c>
      <c r="J273" s="190">
        <f>INDEX('Used inputs'!$A$169:$O$183,$A273,COLUMN())</f>
        <v>8.7356873670377073</v>
      </c>
      <c r="K273" s="165">
        <f ca="1">INDEX('Used inputs'!$A$169:$O$183,$A273,COLUMN())</f>
        <v>8.9461905253797678</v>
      </c>
      <c r="L273" s="165">
        <f ca="1">INDEX('Used inputs'!$A$169:$O$183,$A273,COLUMN())</f>
        <v>9.1477358732706886</v>
      </c>
      <c r="M273" s="165">
        <f ca="1">INDEX('Used inputs'!$A$169:$O$183,$A273,COLUMN())</f>
        <v>9.3388226816469881</v>
      </c>
      <c r="N273" s="165">
        <f ca="1">INDEX('Used inputs'!$A$169:$O$183,$A273,COLUMN())</f>
        <v>9.5204670940674596</v>
      </c>
      <c r="O273" s="165">
        <f ca="1">INDEX('Used inputs'!$A$169:$O$183,$A273,COLUMN())</f>
        <v>9.6927089191770381</v>
      </c>
    </row>
    <row r="274" spans="1:17" s="53" customFormat="1">
      <c r="A274" s="85">
        <f>+A$10</f>
        <v>2</v>
      </c>
      <c r="B274" s="57"/>
      <c r="C274" s="56"/>
      <c r="D274" s="55" t="s">
        <v>10</v>
      </c>
      <c r="E274" s="114" t="s">
        <v>99</v>
      </c>
      <c r="F274" s="129">
        <f>INDEX('Used inputs'!$A$169:$O$183,$A274,COLUMN())</f>
        <v>0.27714699522223357</v>
      </c>
      <c r="G274" s="129">
        <f>INDEX('Used inputs'!$A$169:$O$183,$A274,COLUMN())</f>
        <v>0.29009152601614385</v>
      </c>
      <c r="H274" s="129">
        <f>INDEX('Used inputs'!$A$169:$O$183,$A274,COLUMN())</f>
        <v>0.30918614880964546</v>
      </c>
      <c r="I274" s="129">
        <f>INDEX('Used inputs'!$A$169:$O$183,$A274,COLUMN())</f>
        <v>0.56319253071176112</v>
      </c>
      <c r="J274" s="190">
        <f>INDEX('Used inputs'!$A$169:$O$183,$A274,COLUMN())</f>
        <v>0.22325997070944451</v>
      </c>
      <c r="K274" s="165">
        <f>INDEX('Used inputs'!$A$169:$O$183,$A274,COLUMN())</f>
        <v>0.659537858084703</v>
      </c>
      <c r="L274" s="165">
        <f>INDEX('Used inputs'!$A$169:$O$183,$A274,COLUMN())</f>
        <v>0.6065671688484674</v>
      </c>
      <c r="M274" s="165">
        <f>INDEX('Used inputs'!$A$169:$O$183,$A274,COLUMN())</f>
        <v>0.47398843884714276</v>
      </c>
      <c r="N274" s="165">
        <f>INDEX('Used inputs'!$A$169:$O$183,$A274,COLUMN())</f>
        <v>0.30731386621208256</v>
      </c>
      <c r="O274" s="165">
        <f>INDEX('Used inputs'!$A$169:$O$183,$A274,COLUMN())</f>
        <v>0.14623245533252541</v>
      </c>
    </row>
    <row r="275" spans="1:17" s="53" customFormat="1">
      <c r="A275" s="85">
        <f>+A$11</f>
        <v>3</v>
      </c>
      <c r="B275" s="57"/>
      <c r="C275" s="56"/>
      <c r="D275" s="55" t="s">
        <v>10</v>
      </c>
      <c r="E275" s="114" t="s">
        <v>100</v>
      </c>
      <c r="F275" s="129">
        <f>INDEX('Used inputs'!$A$169:$O$183,$A275,COLUMN())</f>
        <v>0</v>
      </c>
      <c r="G275" s="129">
        <f>INDEX('Used inputs'!$A$169:$O$183,$A275,COLUMN())</f>
        <v>0</v>
      </c>
      <c r="H275" s="129">
        <f>INDEX('Used inputs'!$A$169:$O$183,$A275,COLUMN())</f>
        <v>0</v>
      </c>
      <c r="I275" s="129">
        <f>INDEX('Used inputs'!$A$169:$O$183,$A275,COLUMN())</f>
        <v>0</v>
      </c>
      <c r="J275" s="190">
        <f>INDEX('Used inputs'!$A$169:$O$183,$A275,COLUMN())</f>
        <v>0</v>
      </c>
      <c r="K275" s="165">
        <f>INDEX('Used inputs'!$A$169:$O$183,$A275,COLUMN())</f>
        <v>9.8358512895049863E-2</v>
      </c>
      <c r="L275" s="165">
        <f>INDEX('Used inputs'!$A$169:$O$183,$A275,COLUMN())</f>
        <v>0.30075095885082864</v>
      </c>
      <c r="M275" s="165">
        <f>INDEX('Used inputs'!$A$169:$O$183,$A275,COLUMN())</f>
        <v>0.51072764734467502</v>
      </c>
      <c r="N275" s="165">
        <f>INDEX('Used inputs'!$A$169:$O$183,$A275,COLUMN())</f>
        <v>0.72796873320547639</v>
      </c>
      <c r="O275" s="165">
        <f>INDEX('Used inputs'!$A$169:$O$183,$A275,COLUMN())</f>
        <v>0.95281331531904878</v>
      </c>
    </row>
    <row r="276" spans="1:17" s="53" customFormat="1">
      <c r="A276" s="110"/>
      <c r="B276" s="57"/>
      <c r="C276" s="56"/>
      <c r="D276" s="55"/>
      <c r="E276" s="59"/>
      <c r="F276" s="129"/>
      <c r="G276" s="129"/>
      <c r="H276" s="129"/>
      <c r="I276" s="129"/>
      <c r="J276" s="190"/>
      <c r="K276" s="61"/>
      <c r="L276" s="61"/>
      <c r="M276" s="61"/>
      <c r="N276" s="61"/>
      <c r="O276" s="61"/>
    </row>
    <row r="277" spans="1:17" s="11" customFormat="1">
      <c r="A277" s="27"/>
      <c r="B277" s="28"/>
      <c r="C277" s="29"/>
      <c r="D277" s="30"/>
      <c r="E277" s="32" t="s">
        <v>385</v>
      </c>
      <c r="F277" s="31"/>
      <c r="G277" s="31"/>
      <c r="H277" s="31"/>
      <c r="I277" s="31"/>
      <c r="J277" s="44"/>
      <c r="K277" s="31"/>
      <c r="L277" s="31"/>
      <c r="M277" s="31"/>
      <c r="N277" s="31"/>
      <c r="O277" s="31"/>
      <c r="Q277" s="53"/>
    </row>
    <row r="278" spans="1:17" s="53" customFormat="1">
      <c r="A278" s="85">
        <f>+A$14</f>
        <v>4</v>
      </c>
      <c r="B278" s="56" t="s">
        <v>40</v>
      </c>
      <c r="C278" s="56"/>
      <c r="D278" s="55" t="s">
        <v>10</v>
      </c>
      <c r="E278" s="59" t="s">
        <v>135</v>
      </c>
      <c r="F278" s="129">
        <f>INDEX('Used inputs'!$A$169:$O$183,$A278,COLUMN())</f>
        <v>1.3197650037737669</v>
      </c>
      <c r="G278" s="129">
        <f>INDEX('Used inputs'!$A$169:$O$183,$A278,COLUMN())</f>
        <v>1.2749355343824682</v>
      </c>
      <c r="H278" s="129">
        <f>INDEX('Used inputs'!$A$169:$O$183,$A278,COLUMN())</f>
        <v>1.4104136803056286</v>
      </c>
      <c r="I278" s="129">
        <f>INDEX('Used inputs'!$A$169:$O$183,$A278,COLUMN())</f>
        <v>1.5117737311384358</v>
      </c>
      <c r="J278" s="190">
        <f>INDEX('Used inputs'!$A$169:$O$183,$A278,COLUMN())</f>
        <v>1.6271943295632385</v>
      </c>
      <c r="K278" s="165">
        <f>INDEX('Used inputs'!$A$169:$O$183,$A278,COLUMN())</f>
        <v>1.7935295481166895</v>
      </c>
      <c r="L278" s="165">
        <f>INDEX('Used inputs'!$A$169:$O$183,$A278,COLUMN())</f>
        <v>1.9811674800563006</v>
      </c>
      <c r="M278" s="165">
        <f>INDEX('Used inputs'!$A$169:$O$183,$A278,COLUMN())</f>
        <v>2.1588162177970776</v>
      </c>
      <c r="N278" s="165">
        <f>INDEX('Used inputs'!$A$169:$O$183,$A278,COLUMN())</f>
        <v>2.3265514370526441</v>
      </c>
      <c r="O278" s="165">
        <f>INDEX('Used inputs'!$A$169:$O$183,$A278,COLUMN())</f>
        <v>2.4849407056751955</v>
      </c>
    </row>
    <row r="279" spans="1:17" s="53" customFormat="1">
      <c r="A279" s="85">
        <f>+A$15</f>
        <v>5</v>
      </c>
      <c r="B279" s="56" t="s">
        <v>41</v>
      </c>
      <c r="C279" s="56"/>
      <c r="D279" s="55" t="s">
        <v>10</v>
      </c>
      <c r="E279" s="59" t="s">
        <v>136</v>
      </c>
      <c r="F279" s="129">
        <f>INDEX('Used inputs'!$A$169:$O$183,$A279,COLUMN())</f>
        <v>0</v>
      </c>
      <c r="G279" s="129">
        <f>INDEX('Used inputs'!$A$169:$O$183,$A279,COLUMN())</f>
        <v>0</v>
      </c>
      <c r="H279" s="129">
        <f>INDEX('Used inputs'!$A$169:$O$183,$A279,COLUMN())</f>
        <v>0</v>
      </c>
      <c r="I279" s="129">
        <f>INDEX('Used inputs'!$A$169:$O$183,$A279,COLUMN())</f>
        <v>0</v>
      </c>
      <c r="J279" s="190">
        <f>INDEX('Used inputs'!$A$169:$O$183,$A279,COLUMN())</f>
        <v>0</v>
      </c>
      <c r="K279" s="165">
        <f>INDEX('Used inputs'!$A$169:$O$183,$A279,COLUMN())</f>
        <v>0</v>
      </c>
      <c r="L279" s="165">
        <f>INDEX('Used inputs'!$A$169:$O$183,$A279,COLUMN())</f>
        <v>0</v>
      </c>
      <c r="M279" s="165">
        <f>INDEX('Used inputs'!$A$169:$O$183,$A279,COLUMN())</f>
        <v>0</v>
      </c>
      <c r="N279" s="165">
        <f>INDEX('Used inputs'!$A$169:$O$183,$A279,COLUMN())</f>
        <v>0</v>
      </c>
      <c r="O279" s="165">
        <f>INDEX('Used inputs'!$A$169:$O$183,$A279,COLUMN())</f>
        <v>0</v>
      </c>
    </row>
    <row r="280" spans="1:17" s="53" customFormat="1">
      <c r="A280" s="85">
        <f>+A$16</f>
        <v>6</v>
      </c>
      <c r="B280" s="56" t="s">
        <v>42</v>
      </c>
      <c r="C280" s="56"/>
      <c r="D280" s="55" t="s">
        <v>10</v>
      </c>
      <c r="E280" s="59" t="s">
        <v>137</v>
      </c>
      <c r="F280" s="129">
        <f>INDEX('Used inputs'!$A$169:$O$183,$A280,COLUMN())</f>
        <v>0</v>
      </c>
      <c r="G280" s="129">
        <f>INDEX('Used inputs'!$A$169:$O$183,$A280,COLUMN())</f>
        <v>0</v>
      </c>
      <c r="H280" s="129">
        <f>INDEX('Used inputs'!$A$169:$O$183,$A280,COLUMN())</f>
        <v>0</v>
      </c>
      <c r="I280" s="129">
        <f>INDEX('Used inputs'!$A$169:$O$183,$A280,COLUMN())</f>
        <v>0</v>
      </c>
      <c r="J280" s="190">
        <f>INDEX('Used inputs'!$A$169:$O$183,$A280,COLUMN())</f>
        <v>0</v>
      </c>
      <c r="K280" s="165">
        <f>INDEX('Used inputs'!$A$169:$O$183,$A280,COLUMN())</f>
        <v>0</v>
      </c>
      <c r="L280" s="165">
        <f>INDEX('Used inputs'!$A$169:$O$183,$A280,COLUMN())</f>
        <v>0</v>
      </c>
      <c r="M280" s="165">
        <f>INDEX('Used inputs'!$A$169:$O$183,$A280,COLUMN())</f>
        <v>0</v>
      </c>
      <c r="N280" s="165">
        <f>INDEX('Used inputs'!$A$169:$O$183,$A280,COLUMN())</f>
        <v>0</v>
      </c>
      <c r="O280" s="165">
        <f>INDEX('Used inputs'!$A$169:$O$183,$A280,COLUMN())</f>
        <v>0</v>
      </c>
    </row>
    <row r="281" spans="1:17" s="53" customFormat="1">
      <c r="A281" s="110"/>
      <c r="B281" s="57"/>
      <c r="C281" s="56"/>
      <c r="D281" s="55"/>
      <c r="E281" s="59"/>
      <c r="F281" s="129"/>
      <c r="G281" s="129"/>
      <c r="H281" s="129"/>
      <c r="I281" s="129"/>
      <c r="J281" s="190"/>
      <c r="K281" s="61"/>
      <c r="L281" s="61"/>
      <c r="M281" s="61"/>
      <c r="N281" s="61"/>
      <c r="O281" s="61"/>
    </row>
    <row r="282" spans="1:17" s="11" customFormat="1">
      <c r="A282" s="27"/>
      <c r="B282" s="28"/>
      <c r="C282" s="29"/>
      <c r="D282" s="30"/>
      <c r="E282" s="32" t="s">
        <v>386</v>
      </c>
      <c r="F282" s="31"/>
      <c r="G282" s="31"/>
      <c r="H282" s="31"/>
      <c r="I282" s="31"/>
      <c r="J282" s="44"/>
      <c r="K282" s="31"/>
      <c r="L282" s="31"/>
      <c r="M282" s="31"/>
      <c r="N282" s="31"/>
      <c r="O282" s="31"/>
      <c r="Q282" s="53"/>
    </row>
    <row r="283" spans="1:17" s="53" customFormat="1">
      <c r="A283" s="85">
        <f>+A$19</f>
        <v>7</v>
      </c>
      <c r="B283" s="57"/>
      <c r="C283" s="56"/>
      <c r="D283" s="55" t="s">
        <v>29</v>
      </c>
      <c r="E283" s="59" t="s">
        <v>89</v>
      </c>
      <c r="F283" s="129">
        <f>INDEX('Used inputs'!$A$169:$O$183,$A283,COLUMN())</f>
        <v>299.36099999999999</v>
      </c>
      <c r="G283" s="129">
        <f>INDEX('Used inputs'!$A$169:$O$183,$A283,COLUMN())</f>
        <v>292.21600000000001</v>
      </c>
      <c r="H283" s="129">
        <f>INDEX('Used inputs'!$A$169:$O$183,$A283,COLUMN())</f>
        <v>282.80099999999999</v>
      </c>
      <c r="I283" s="129">
        <f>INDEX('Used inputs'!$A$169:$O$183,$A283,COLUMN())</f>
        <v>273.38</v>
      </c>
      <c r="J283" s="190">
        <f>INDEX('Used inputs'!$A$169:$O$183,$A283,COLUMN())</f>
        <v>262.25700000000001</v>
      </c>
      <c r="K283" s="165">
        <f>INDEX('Used inputs'!$A$169:$O$183,$A283,COLUMN())</f>
        <v>245.697</v>
      </c>
      <c r="L283" s="165">
        <f>INDEX('Used inputs'!$A$169:$O$183,$A283,COLUMN())</f>
        <v>226.34200000000001</v>
      </c>
      <c r="M283" s="165">
        <f>INDEX('Used inputs'!$A$169:$O$183,$A283,COLUMN())</f>
        <v>208.30199999999999</v>
      </c>
      <c r="N283" s="165">
        <f>INDEX('Used inputs'!$A$169:$O$183,$A283,COLUMN())</f>
        <v>191.49700000000001</v>
      </c>
      <c r="O283" s="165">
        <f>INDEX('Used inputs'!$A$169:$O$183,$A283,COLUMN())</f>
        <v>175.84700000000001</v>
      </c>
    </row>
    <row r="284" spans="1:17" s="53" customFormat="1">
      <c r="A284" s="85">
        <f>+A$20</f>
        <v>8</v>
      </c>
      <c r="B284" s="57"/>
      <c r="C284" s="56"/>
      <c r="D284" s="55" t="s">
        <v>29</v>
      </c>
      <c r="E284" s="59" t="s">
        <v>90</v>
      </c>
      <c r="F284" s="129">
        <f>INDEX('Used inputs'!$A$169:$O$183,$A284,COLUMN())</f>
        <v>164.21600000000001</v>
      </c>
      <c r="G284" s="129">
        <f>INDEX('Used inputs'!$A$169:$O$183,$A284,COLUMN())</f>
        <v>173.679</v>
      </c>
      <c r="H284" s="129">
        <f>INDEX('Used inputs'!$A$169:$O$183,$A284,COLUMN())</f>
        <v>186.376</v>
      </c>
      <c r="I284" s="129">
        <f>INDEX('Used inputs'!$A$169:$O$183,$A284,COLUMN())</f>
        <v>199.77</v>
      </c>
      <c r="J284" s="190">
        <f>INDEX('Used inputs'!$A$169:$O$183,$A284,COLUMN())</f>
        <v>215.02199999999999</v>
      </c>
      <c r="K284" s="165">
        <f>INDEX('Used inputs'!$A$169:$O$183,$A284,COLUMN())</f>
        <v>237.00200000000001</v>
      </c>
      <c r="L284" s="165">
        <f>INDEX('Used inputs'!$A$169:$O$183,$A284,COLUMN())</f>
        <v>261.79700000000003</v>
      </c>
      <c r="M284" s="165">
        <f>INDEX('Used inputs'!$A$169:$O$183,$A284,COLUMN())</f>
        <v>285.27199999999999</v>
      </c>
      <c r="N284" s="165">
        <f>INDEX('Used inputs'!$A$169:$O$183,$A284,COLUMN())</f>
        <v>307.43700000000001</v>
      </c>
      <c r="O284" s="165">
        <f>INDEX('Used inputs'!$A$169:$O$183,$A284,COLUMN())</f>
        <v>328.36700000000002</v>
      </c>
    </row>
    <row r="285" spans="1:17" s="53" customFormat="1">
      <c r="A285" s="85">
        <f>+A$21</f>
        <v>9</v>
      </c>
      <c r="B285" s="57"/>
      <c r="C285" s="56"/>
      <c r="D285" s="55" t="s">
        <v>29</v>
      </c>
      <c r="E285" s="59" t="s">
        <v>91</v>
      </c>
      <c r="F285" s="129">
        <f>INDEX('Used inputs'!$A$169:$O$183,$A285,COLUMN())</f>
        <v>0</v>
      </c>
      <c r="G285" s="129">
        <f>INDEX('Used inputs'!$A$169:$O$183,$A285,COLUMN())</f>
        <v>0</v>
      </c>
      <c r="H285" s="129">
        <f>INDEX('Used inputs'!$A$169:$O$183,$A285,COLUMN())</f>
        <v>0</v>
      </c>
      <c r="I285" s="129">
        <f>INDEX('Used inputs'!$A$169:$O$183,$A285,COLUMN())</f>
        <v>0</v>
      </c>
      <c r="J285" s="190">
        <f>INDEX('Used inputs'!$A$169:$O$183,$A285,COLUMN())</f>
        <v>0</v>
      </c>
      <c r="K285" s="165">
        <f>INDEX('Used inputs'!$A$169:$O$183,$A285,COLUMN())</f>
        <v>0</v>
      </c>
      <c r="L285" s="165">
        <f>INDEX('Used inputs'!$A$169:$O$183,$A285,COLUMN())</f>
        <v>0</v>
      </c>
      <c r="M285" s="165">
        <f>INDEX('Used inputs'!$A$169:$O$183,$A285,COLUMN())</f>
        <v>0</v>
      </c>
      <c r="N285" s="165">
        <f>INDEX('Used inputs'!$A$169:$O$183,$A285,COLUMN())</f>
        <v>0</v>
      </c>
      <c r="O285" s="165">
        <f>INDEX('Used inputs'!$A$169:$O$183,$A285,COLUMN())</f>
        <v>0</v>
      </c>
    </row>
    <row r="286" spans="1:17" s="53" customFormat="1">
      <c r="A286" s="85">
        <f>+A$22</f>
        <v>10</v>
      </c>
      <c r="B286" s="57"/>
      <c r="C286" s="56"/>
      <c r="D286" s="55" t="s">
        <v>29</v>
      </c>
      <c r="E286" s="59" t="s">
        <v>92</v>
      </c>
      <c r="F286" s="129">
        <f>INDEX('Used inputs'!$A$169:$O$183,$A286,COLUMN())</f>
        <v>0</v>
      </c>
      <c r="G286" s="129">
        <f>INDEX('Used inputs'!$A$169:$O$183,$A286,COLUMN())</f>
        <v>0</v>
      </c>
      <c r="H286" s="129">
        <f>INDEX('Used inputs'!$A$169:$O$183,$A286,COLUMN())</f>
        <v>0</v>
      </c>
      <c r="I286" s="129">
        <f>INDEX('Used inputs'!$A$169:$O$183,$A286,COLUMN())</f>
        <v>0</v>
      </c>
      <c r="J286" s="190">
        <f>INDEX('Used inputs'!$A$169:$O$183,$A286,COLUMN())</f>
        <v>0</v>
      </c>
      <c r="K286" s="165">
        <f>INDEX('Used inputs'!$A$169:$O$183,$A286,COLUMN())</f>
        <v>0</v>
      </c>
      <c r="L286" s="165">
        <f>INDEX('Used inputs'!$A$169:$O$183,$A286,COLUMN())</f>
        <v>0</v>
      </c>
      <c r="M286" s="165">
        <f>INDEX('Used inputs'!$A$169:$O$183,$A286,COLUMN())</f>
        <v>0</v>
      </c>
      <c r="N286" s="165">
        <f>INDEX('Used inputs'!$A$169:$O$183,$A286,COLUMN())</f>
        <v>0</v>
      </c>
      <c r="O286" s="165">
        <f>INDEX('Used inputs'!$A$169:$O$183,$A286,COLUMN())</f>
        <v>0</v>
      </c>
    </row>
    <row r="287" spans="1:17" s="53" customFormat="1">
      <c r="A287" s="85">
        <f>+A$23</f>
        <v>11</v>
      </c>
      <c r="B287" s="57"/>
      <c r="C287" s="56"/>
      <c r="D287" s="55" t="s">
        <v>29</v>
      </c>
      <c r="E287" s="59" t="s">
        <v>93</v>
      </c>
      <c r="F287" s="129">
        <f>INDEX('Used inputs'!$A$169:$O$183,$A287,COLUMN())</f>
        <v>0</v>
      </c>
      <c r="G287" s="129">
        <f>INDEX('Used inputs'!$A$169:$O$183,$A287,COLUMN())</f>
        <v>0</v>
      </c>
      <c r="H287" s="129">
        <f>INDEX('Used inputs'!$A$169:$O$183,$A287,COLUMN())</f>
        <v>0</v>
      </c>
      <c r="I287" s="129">
        <f>INDEX('Used inputs'!$A$169:$O$183,$A287,COLUMN())</f>
        <v>0</v>
      </c>
      <c r="J287" s="190">
        <f>INDEX('Used inputs'!$A$169:$O$183,$A287,COLUMN())</f>
        <v>0</v>
      </c>
      <c r="K287" s="165">
        <f>INDEX('Used inputs'!$A$169:$O$183,$A287,COLUMN())</f>
        <v>0</v>
      </c>
      <c r="L287" s="165">
        <f>INDEX('Used inputs'!$A$169:$O$183,$A287,COLUMN())</f>
        <v>0</v>
      </c>
      <c r="M287" s="165">
        <f>INDEX('Used inputs'!$A$169:$O$183,$A287,COLUMN())</f>
        <v>0</v>
      </c>
      <c r="N287" s="165">
        <f>INDEX('Used inputs'!$A$169:$O$183,$A287,COLUMN())</f>
        <v>0</v>
      </c>
      <c r="O287" s="165">
        <f>INDEX('Used inputs'!$A$169:$O$183,$A287,COLUMN())</f>
        <v>0</v>
      </c>
    </row>
    <row r="288" spans="1:17" s="53" customFormat="1">
      <c r="A288" s="85">
        <f>+A$24</f>
        <v>12</v>
      </c>
      <c r="B288" s="57"/>
      <c r="C288" s="56"/>
      <c r="D288" s="55" t="s">
        <v>29</v>
      </c>
      <c r="E288" s="59" t="s">
        <v>94</v>
      </c>
      <c r="F288" s="129">
        <f>INDEX('Used inputs'!$A$169:$O$183,$A288,COLUMN())</f>
        <v>0</v>
      </c>
      <c r="G288" s="129">
        <f>INDEX('Used inputs'!$A$169:$O$183,$A288,COLUMN())</f>
        <v>0</v>
      </c>
      <c r="H288" s="129">
        <f>INDEX('Used inputs'!$A$169:$O$183,$A288,COLUMN())</f>
        <v>0</v>
      </c>
      <c r="I288" s="129">
        <f>INDEX('Used inputs'!$A$169:$O$183,$A288,COLUMN())</f>
        <v>0</v>
      </c>
      <c r="J288" s="190">
        <f>INDEX('Used inputs'!$A$169:$O$183,$A288,COLUMN())</f>
        <v>0</v>
      </c>
      <c r="K288" s="165">
        <f>INDEX('Used inputs'!$A$169:$O$183,$A288,COLUMN())</f>
        <v>0</v>
      </c>
      <c r="L288" s="165">
        <f>INDEX('Used inputs'!$A$169:$O$183,$A288,COLUMN())</f>
        <v>0</v>
      </c>
      <c r="M288" s="165">
        <f>INDEX('Used inputs'!$A$169:$O$183,$A288,COLUMN())</f>
        <v>0</v>
      </c>
      <c r="N288" s="165">
        <f>INDEX('Used inputs'!$A$169:$O$183,$A288,COLUMN())</f>
        <v>0</v>
      </c>
      <c r="O288" s="165">
        <f>INDEX('Used inputs'!$A$169:$O$183,$A288,COLUMN())</f>
        <v>0</v>
      </c>
    </row>
    <row r="289" spans="1:17" s="53" customFormat="1">
      <c r="A289" s="110"/>
      <c r="B289" s="57"/>
      <c r="C289" s="56"/>
      <c r="D289" s="55"/>
      <c r="E289" s="59"/>
      <c r="F289" s="129"/>
      <c r="G289" s="129"/>
      <c r="H289" s="129"/>
      <c r="I289" s="129"/>
      <c r="J289" s="190"/>
      <c r="K289" s="61"/>
      <c r="L289" s="61"/>
      <c r="M289" s="61"/>
      <c r="N289" s="61"/>
      <c r="O289" s="61"/>
    </row>
    <row r="290" spans="1:17" s="11" customFormat="1">
      <c r="A290" s="27"/>
      <c r="B290" s="28"/>
      <c r="C290" s="29"/>
      <c r="D290" s="181"/>
      <c r="E290" s="33" t="s">
        <v>387</v>
      </c>
      <c r="F290" s="31"/>
      <c r="G290" s="31"/>
      <c r="H290" s="31"/>
      <c r="I290" s="31"/>
      <c r="J290" s="44"/>
      <c r="K290" s="31"/>
      <c r="L290" s="31"/>
      <c r="M290" s="31"/>
      <c r="N290" s="31"/>
      <c r="O290" s="31"/>
      <c r="Q290" s="53"/>
    </row>
    <row r="291" spans="1:17" s="53" customFormat="1">
      <c r="A291" s="85">
        <f>+A$27</f>
        <v>13</v>
      </c>
      <c r="B291" s="57"/>
      <c r="C291" s="56"/>
      <c r="D291" s="55" t="s">
        <v>29</v>
      </c>
      <c r="E291" s="182" t="s">
        <v>323</v>
      </c>
      <c r="F291" s="129"/>
      <c r="G291" s="129"/>
      <c r="H291" s="129"/>
      <c r="I291" s="165">
        <f>INDEX('Used inputs'!$A$169:$O$183,$A291+1,COLUMN())+INDEX('Used inputs'!$A$169:$O$183,$A291+2,COLUMN())</f>
        <v>0.97843424951466229</v>
      </c>
      <c r="J291" s="243">
        <f>INDEX('Used inputs'!$A$169:$O$183,$A291+1,COLUMN())+INDEX('Used inputs'!$A$169:$O$183,$A291+2,COLUMN())</f>
        <v>0.48180368510640226</v>
      </c>
      <c r="K291" s="165">
        <f>INDEX('Used inputs'!$A$169:$O$183,$A291+1,COLUMN())+INDEX('Used inputs'!$A$169:$O$183,$A291+2,COLUMN())</f>
        <v>0.6463998207151761</v>
      </c>
      <c r="L291" s="165">
        <f>INDEX('Used inputs'!$A$169:$O$183,$A291+1,COLUMN())+INDEX('Used inputs'!$A$169:$O$183,$A291+2,COLUMN())</f>
        <v>0.83853379717082932</v>
      </c>
      <c r="M291" s="165">
        <f>INDEX('Used inputs'!$A$169:$O$183,$A291+1,COLUMN())+INDEX('Used inputs'!$A$169:$O$183,$A291+2,COLUMN())</f>
        <v>1.0451276737228996</v>
      </c>
      <c r="N291" s="165">
        <f>INDEX('Used inputs'!$A$169:$O$183,$A291+1,COLUMN())+INDEX('Used inputs'!$A$169:$O$183,$A291+2,COLUMN())</f>
        <v>1.2660575941593641</v>
      </c>
      <c r="O291" s="165">
        <f>INDEX('Used inputs'!$A$169:$O$183,$A291+1,COLUMN())+INDEX('Used inputs'!$A$169:$O$183,$A291+2,COLUMN())</f>
        <v>1.5010982331417249</v>
      </c>
    </row>
    <row r="292" spans="1:17" s="53" customFormat="1">
      <c r="A292" s="85"/>
      <c r="B292" s="57"/>
      <c r="C292" s="56"/>
      <c r="D292" s="55"/>
      <c r="E292" s="182"/>
      <c r="F292" s="129"/>
      <c r="G292" s="129"/>
      <c r="H292" s="129"/>
      <c r="I292" s="129"/>
      <c r="J292" s="190"/>
      <c r="K292" s="165"/>
      <c r="L292" s="165"/>
      <c r="M292" s="165"/>
      <c r="N292" s="165"/>
      <c r="O292" s="165"/>
    </row>
    <row r="293" spans="1:17" s="53" customFormat="1">
      <c r="A293" s="85"/>
      <c r="B293" s="57"/>
      <c r="C293" s="56"/>
      <c r="D293" s="55"/>
      <c r="E293" s="59"/>
      <c r="F293" s="129"/>
      <c r="G293" s="129"/>
      <c r="H293" s="129"/>
      <c r="I293" s="129"/>
      <c r="J293" s="190"/>
      <c r="K293" s="61"/>
      <c r="L293" s="61"/>
      <c r="M293" s="61"/>
      <c r="N293" s="61"/>
      <c r="O293" s="61"/>
    </row>
    <row r="294" spans="1:17">
      <c r="A294" s="82"/>
      <c r="B294" s="31"/>
      <c r="C294" s="38" t="str">
        <f>INDEX('Used inputs'!$A$184:$O$195,1,1)</f>
        <v>SSC</v>
      </c>
      <c r="D294" s="39"/>
      <c r="E294" s="48"/>
      <c r="F294" s="31"/>
      <c r="G294" s="31"/>
      <c r="H294" s="31"/>
      <c r="I294" s="31"/>
      <c r="J294" s="44"/>
      <c r="K294" s="31"/>
      <c r="L294" s="31"/>
      <c r="M294" s="31"/>
      <c r="N294" s="31"/>
      <c r="O294" s="31"/>
      <c r="Q294" s="53"/>
    </row>
    <row r="295" spans="1:17">
      <c r="A295" s="83"/>
      <c r="B295" s="16"/>
      <c r="C295" s="17"/>
      <c r="D295" s="18"/>
      <c r="E295" s="19"/>
      <c r="F295" s="16"/>
      <c r="G295" s="16"/>
      <c r="H295" s="16"/>
      <c r="I295" s="16"/>
      <c r="J295" s="220"/>
      <c r="K295" s="134"/>
      <c r="L295" s="134"/>
      <c r="M295" s="134"/>
      <c r="N295" s="134"/>
      <c r="O295" s="134"/>
      <c r="Q295" s="53"/>
    </row>
    <row r="296" spans="1:17" s="11" customFormat="1">
      <c r="A296" s="84"/>
      <c r="B296" s="28"/>
      <c r="C296" s="29" t="s">
        <v>23</v>
      </c>
      <c r="D296" s="47" t="s">
        <v>24</v>
      </c>
      <c r="E296" s="33" t="s">
        <v>388</v>
      </c>
      <c r="F296" s="31"/>
      <c r="G296" s="31"/>
      <c r="H296" s="31"/>
      <c r="I296" s="31"/>
      <c r="J296" s="44"/>
      <c r="K296" s="31"/>
      <c r="L296" s="31"/>
      <c r="M296" s="31"/>
      <c r="N296" s="31"/>
      <c r="O296" s="31"/>
      <c r="Q296" s="53"/>
    </row>
    <row r="297" spans="1:17" s="53" customFormat="1">
      <c r="A297" s="85">
        <f>+A$9</f>
        <v>1</v>
      </c>
      <c r="B297" s="57"/>
      <c r="C297" s="56"/>
      <c r="D297" s="55" t="s">
        <v>10</v>
      </c>
      <c r="E297" s="59" t="s">
        <v>132</v>
      </c>
      <c r="F297" s="129">
        <f>INDEX('Used inputs'!$A$184:$O$198,$A297,COLUMN())</f>
        <v>13.146911396696831</v>
      </c>
      <c r="G297" s="129">
        <f>INDEX('Used inputs'!$A$184:$O$198,$A297,COLUMN())</f>
        <v>12.389752520530354</v>
      </c>
      <c r="H297" s="129">
        <f>INDEX('Used inputs'!$A$184:$O$198,$A297,COLUMN())</f>
        <v>13.729337908065293</v>
      </c>
      <c r="I297" s="129">
        <f ca="1">INDEX('Used inputs'!$A$184:$O$198,$A297,COLUMN())</f>
        <v>13.722970409762651</v>
      </c>
      <c r="J297" s="190">
        <f>INDEX('Used inputs'!$A$184:$O$198,$A297,COLUMN())</f>
        <v>12.964774199921823</v>
      </c>
      <c r="K297" s="165">
        <f ca="1">INDEX('Used inputs'!$A$184:$O$198,$A297,COLUMN())</f>
        <v>13.993608596781998</v>
      </c>
      <c r="L297" s="165">
        <f ca="1">INDEX('Used inputs'!$A$184:$O$198,$A297,COLUMN())</f>
        <v>14.131472684983999</v>
      </c>
      <c r="M297" s="165">
        <f ca="1">INDEX('Used inputs'!$A$184:$O$198,$A297,COLUMN())</f>
        <v>14.271751031220774</v>
      </c>
      <c r="N297" s="165">
        <f ca="1">INDEX('Used inputs'!$A$184:$O$198,$A297,COLUMN())</f>
        <v>14.413518209729252</v>
      </c>
      <c r="O297" s="165">
        <f ca="1">INDEX('Used inputs'!$A$184:$O$198,$A297,COLUMN())</f>
        <v>14.556273384917079</v>
      </c>
    </row>
    <row r="298" spans="1:17" s="53" customFormat="1">
      <c r="A298" s="85">
        <f>+A$10</f>
        <v>2</v>
      </c>
      <c r="B298" s="57"/>
      <c r="C298" s="56"/>
      <c r="D298" s="55" t="s">
        <v>10</v>
      </c>
      <c r="E298" s="114" t="s">
        <v>99</v>
      </c>
      <c r="F298" s="129">
        <f>INDEX('Used inputs'!$A$184:$O$198,$A298,COLUMN())</f>
        <v>0.1547796902877169</v>
      </c>
      <c r="G298" s="129">
        <f>INDEX('Used inputs'!$A$184:$O$198,$A298,COLUMN())</f>
        <v>0.2296735404061758</v>
      </c>
      <c r="H298" s="129">
        <f>INDEX('Used inputs'!$A$184:$O$198,$A298,COLUMN())</f>
        <v>0.39600067124297617</v>
      </c>
      <c r="I298" s="129">
        <f>INDEX('Used inputs'!$A$184:$O$198,$A298,COLUMN())</f>
        <v>1.749173653716998</v>
      </c>
      <c r="J298" s="190">
        <f>INDEX('Used inputs'!$A$184:$O$198,$A298,COLUMN())</f>
        <v>0.97686208885044745</v>
      </c>
      <c r="K298" s="165">
        <f>INDEX('Used inputs'!$A$184:$O$198,$A298,COLUMN())</f>
        <v>2.4451275815412465</v>
      </c>
      <c r="L298" s="165">
        <f>INDEX('Used inputs'!$A$184:$O$198,$A298,COLUMN())</f>
        <v>2.167317702642396</v>
      </c>
      <c r="M298" s="165">
        <f>INDEX('Used inputs'!$A$184:$O$198,$A298,COLUMN())</f>
        <v>1.649270623723351</v>
      </c>
      <c r="N298" s="165">
        <f>INDEX('Used inputs'!$A$184:$O$198,$A298,COLUMN())</f>
        <v>0.81212510552192918</v>
      </c>
      <c r="O298" s="165">
        <f>INDEX('Used inputs'!$A$184:$O$198,$A298,COLUMN())</f>
        <v>0.27091826606750635</v>
      </c>
    </row>
    <row r="299" spans="1:17" s="53" customFormat="1">
      <c r="A299" s="85">
        <f>+A$11</f>
        <v>3</v>
      </c>
      <c r="B299" s="57"/>
      <c r="C299" s="56"/>
      <c r="D299" s="55" t="s">
        <v>10</v>
      </c>
      <c r="E299" s="114" t="s">
        <v>100</v>
      </c>
      <c r="F299" s="129">
        <f>INDEX('Used inputs'!$A$184:$O$198,$A299,COLUMN())</f>
        <v>0</v>
      </c>
      <c r="G299" s="129">
        <f>INDEX('Used inputs'!$A$184:$O$198,$A299,COLUMN())</f>
        <v>0</v>
      </c>
      <c r="H299" s="129">
        <f>INDEX('Used inputs'!$A$184:$O$198,$A299,COLUMN())</f>
        <v>0</v>
      </c>
      <c r="I299" s="129">
        <f>INDEX('Used inputs'!$A$184:$O$198,$A299,COLUMN())</f>
        <v>0</v>
      </c>
      <c r="J299" s="190">
        <f>INDEX('Used inputs'!$A$184:$O$198,$A299,COLUMN())</f>
        <v>0</v>
      </c>
      <c r="K299" s="165">
        <f>INDEX('Used inputs'!$A$184:$O$198,$A299,COLUMN())</f>
        <v>0.21528551325353446</v>
      </c>
      <c r="L299" s="165">
        <f>INDEX('Used inputs'!$A$184:$O$198,$A299,COLUMN())</f>
        <v>0.42442597208805521</v>
      </c>
      <c r="M299" s="165">
        <f>INDEX('Used inputs'!$A$184:$O$198,$A299,COLUMN())</f>
        <v>0.64401307139020736</v>
      </c>
      <c r="N299" s="165">
        <f>INDEX('Used inputs'!$A$184:$O$198,$A299,COLUMN())</f>
        <v>0.84332546650856943</v>
      </c>
      <c r="O299" s="165">
        <f>INDEX('Used inputs'!$A$184:$O$198,$A299,COLUMN())</f>
        <v>0.9821440632926044</v>
      </c>
    </row>
    <row r="300" spans="1:17" s="53" customFormat="1">
      <c r="A300" s="110"/>
      <c r="B300" s="57"/>
      <c r="C300" s="56"/>
      <c r="D300" s="55"/>
      <c r="E300" s="59"/>
      <c r="F300" s="129"/>
      <c r="G300" s="129"/>
      <c r="H300" s="129"/>
      <c r="I300" s="129"/>
      <c r="J300" s="190"/>
      <c r="K300" s="61"/>
      <c r="L300" s="61"/>
      <c r="M300" s="61"/>
      <c r="N300" s="61"/>
      <c r="O300" s="61"/>
    </row>
    <row r="301" spans="1:17" s="11" customFormat="1">
      <c r="A301" s="27"/>
      <c r="B301" s="28"/>
      <c r="C301" s="29"/>
      <c r="D301" s="30"/>
      <c r="E301" s="32" t="s">
        <v>389</v>
      </c>
      <c r="F301" s="31"/>
      <c r="G301" s="31"/>
      <c r="H301" s="31"/>
      <c r="I301" s="31"/>
      <c r="J301" s="44"/>
      <c r="K301" s="31"/>
      <c r="L301" s="31"/>
      <c r="M301" s="31"/>
      <c r="N301" s="31"/>
      <c r="O301" s="31"/>
      <c r="Q301" s="53"/>
    </row>
    <row r="302" spans="1:17" s="53" customFormat="1">
      <c r="A302" s="85">
        <f>+A$14</f>
        <v>4</v>
      </c>
      <c r="B302" s="56" t="s">
        <v>40</v>
      </c>
      <c r="C302" s="56"/>
      <c r="D302" s="55" t="s">
        <v>10</v>
      </c>
      <c r="E302" s="59" t="s">
        <v>135</v>
      </c>
      <c r="F302" s="129">
        <f>INDEX('Used inputs'!$A$184:$O$198,$A302,COLUMN())</f>
        <v>1.1090952958991671</v>
      </c>
      <c r="G302" s="129">
        <f>INDEX('Used inputs'!$A$184:$O$198,$A302,COLUMN())</f>
        <v>1.2085157575792584</v>
      </c>
      <c r="H302" s="129">
        <f>INDEX('Used inputs'!$A$184:$O$198,$A302,COLUMN())</f>
        <v>1.2033728461113993</v>
      </c>
      <c r="I302" s="129">
        <f>INDEX('Used inputs'!$A$184:$O$198,$A302,COLUMN())</f>
        <v>1.2570188508196909</v>
      </c>
      <c r="J302" s="190">
        <f>INDEX('Used inputs'!$A$184:$O$198,$A302,COLUMN())</f>
        <v>1.3204371257228968</v>
      </c>
      <c r="K302" s="165">
        <f>INDEX('Used inputs'!$A$184:$O$198,$A302,COLUMN())</f>
        <v>1.5223834079666438</v>
      </c>
      <c r="L302" s="165">
        <f>INDEX('Used inputs'!$A$184:$O$198,$A302,COLUMN())</f>
        <v>1.5908419653262422</v>
      </c>
      <c r="M302" s="165">
        <f>INDEX('Used inputs'!$A$184:$O$198,$A302,COLUMN())</f>
        <v>1.6601712038053156</v>
      </c>
      <c r="N302" s="165">
        <f>INDEX('Used inputs'!$A$184:$O$198,$A302,COLUMN())</f>
        <v>1.7302685881353899</v>
      </c>
      <c r="O302" s="165">
        <f>INDEX('Used inputs'!$A$184:$O$198,$A302,COLUMN())</f>
        <v>1.8008331378208624</v>
      </c>
    </row>
    <row r="303" spans="1:17" s="53" customFormat="1">
      <c r="A303" s="85">
        <f>+A$15</f>
        <v>5</v>
      </c>
      <c r="B303" s="56" t="s">
        <v>41</v>
      </c>
      <c r="C303" s="56"/>
      <c r="D303" s="55" t="s">
        <v>10</v>
      </c>
      <c r="E303" s="59" t="s">
        <v>136</v>
      </c>
      <c r="F303" s="129">
        <f>INDEX('Used inputs'!$A$184:$O$198,$A303,COLUMN())</f>
        <v>0</v>
      </c>
      <c r="G303" s="129">
        <f>INDEX('Used inputs'!$A$184:$O$198,$A303,COLUMN())</f>
        <v>0</v>
      </c>
      <c r="H303" s="129">
        <f>INDEX('Used inputs'!$A$184:$O$198,$A303,COLUMN())</f>
        <v>0</v>
      </c>
      <c r="I303" s="129">
        <f>INDEX('Used inputs'!$A$184:$O$198,$A303,COLUMN())</f>
        <v>0</v>
      </c>
      <c r="J303" s="190">
        <f>INDEX('Used inputs'!$A$184:$O$198,$A303,COLUMN())</f>
        <v>0</v>
      </c>
      <c r="K303" s="165">
        <f>INDEX('Used inputs'!$A$184:$O$198,$A303,COLUMN())</f>
        <v>0</v>
      </c>
      <c r="L303" s="165">
        <f>INDEX('Used inputs'!$A$184:$O$198,$A303,COLUMN())</f>
        <v>0</v>
      </c>
      <c r="M303" s="165">
        <f>INDEX('Used inputs'!$A$184:$O$198,$A303,COLUMN())</f>
        <v>0</v>
      </c>
      <c r="N303" s="165">
        <f>INDEX('Used inputs'!$A$184:$O$198,$A303,COLUMN())</f>
        <v>0</v>
      </c>
      <c r="O303" s="165">
        <f>INDEX('Used inputs'!$A$184:$O$198,$A303,COLUMN())</f>
        <v>0</v>
      </c>
    </row>
    <row r="304" spans="1:17" s="53" customFormat="1">
      <c r="A304" s="85">
        <f>+A$16</f>
        <v>6</v>
      </c>
      <c r="B304" s="56" t="s">
        <v>42</v>
      </c>
      <c r="C304" s="56"/>
      <c r="D304" s="55" t="s">
        <v>10</v>
      </c>
      <c r="E304" s="59" t="s">
        <v>137</v>
      </c>
      <c r="F304" s="129">
        <f>INDEX('Used inputs'!$A$184:$O$198,$A304,COLUMN())</f>
        <v>0</v>
      </c>
      <c r="G304" s="129">
        <f>INDEX('Used inputs'!$A$184:$O$198,$A304,COLUMN())</f>
        <v>0</v>
      </c>
      <c r="H304" s="129">
        <f>INDEX('Used inputs'!$A$184:$O$198,$A304,COLUMN())</f>
        <v>0</v>
      </c>
      <c r="I304" s="129">
        <f>INDEX('Used inputs'!$A$184:$O$198,$A304,COLUMN())</f>
        <v>0</v>
      </c>
      <c r="J304" s="190">
        <f>INDEX('Used inputs'!$A$184:$O$198,$A304,COLUMN())</f>
        <v>0</v>
      </c>
      <c r="K304" s="165">
        <f>INDEX('Used inputs'!$A$184:$O$198,$A304,COLUMN())</f>
        <v>0</v>
      </c>
      <c r="L304" s="165">
        <f>INDEX('Used inputs'!$A$184:$O$198,$A304,COLUMN())</f>
        <v>0</v>
      </c>
      <c r="M304" s="165">
        <f>INDEX('Used inputs'!$A$184:$O$198,$A304,COLUMN())</f>
        <v>0</v>
      </c>
      <c r="N304" s="165">
        <f>INDEX('Used inputs'!$A$184:$O$198,$A304,COLUMN())</f>
        <v>0</v>
      </c>
      <c r="O304" s="165">
        <f>INDEX('Used inputs'!$A$184:$O$198,$A304,COLUMN())</f>
        <v>0</v>
      </c>
    </row>
    <row r="305" spans="1:17" s="53" customFormat="1">
      <c r="A305" s="110"/>
      <c r="B305" s="57"/>
      <c r="C305" s="56"/>
      <c r="D305" s="55"/>
      <c r="E305" s="59"/>
      <c r="F305" s="129"/>
      <c r="G305" s="129"/>
      <c r="H305" s="129"/>
      <c r="I305" s="129"/>
      <c r="J305" s="190"/>
      <c r="K305" s="61"/>
      <c r="L305" s="61"/>
      <c r="M305" s="61"/>
      <c r="N305" s="61"/>
      <c r="O305" s="61"/>
    </row>
    <row r="306" spans="1:17" s="11" customFormat="1">
      <c r="A306" s="27"/>
      <c r="B306" s="28"/>
      <c r="C306" s="29"/>
      <c r="D306" s="30"/>
      <c r="E306" s="32" t="s">
        <v>390</v>
      </c>
      <c r="F306" s="31"/>
      <c r="G306" s="31"/>
      <c r="H306" s="31"/>
      <c r="I306" s="31"/>
      <c r="J306" s="44"/>
      <c r="K306" s="31"/>
      <c r="L306" s="31"/>
      <c r="M306" s="31"/>
      <c r="N306" s="31"/>
      <c r="O306" s="31"/>
      <c r="Q306" s="53"/>
    </row>
    <row r="307" spans="1:17" s="53" customFormat="1">
      <c r="A307" s="85">
        <f>+A$19</f>
        <v>7</v>
      </c>
      <c r="B307" s="57"/>
      <c r="C307" s="56"/>
      <c r="D307" s="55" t="s">
        <v>29</v>
      </c>
      <c r="E307" s="59" t="s">
        <v>89</v>
      </c>
      <c r="F307" s="129">
        <f>INDEX('Used inputs'!$A$184:$O$198,$A307,COLUMN())</f>
        <v>425.62299999999999</v>
      </c>
      <c r="G307" s="129">
        <f>INDEX('Used inputs'!$A$184:$O$198,$A307,COLUMN())</f>
        <v>418.05099999999999</v>
      </c>
      <c r="H307" s="129">
        <f>INDEX('Used inputs'!$A$184:$O$198,$A307,COLUMN())</f>
        <v>409.68950000000001</v>
      </c>
      <c r="I307" s="129">
        <f>INDEX('Used inputs'!$A$184:$O$198,$A307,COLUMN())</f>
        <v>399.58100000000002</v>
      </c>
      <c r="J307" s="190">
        <f>INDEX('Used inputs'!$A$184:$O$198,$A307,COLUMN())</f>
        <v>390.82236157773701</v>
      </c>
      <c r="K307" s="165">
        <f>INDEX('Used inputs'!$A$184:$O$198,$A307,COLUMN())</f>
        <v>382.21011365547298</v>
      </c>
      <c r="L307" s="165">
        <f>INDEX('Used inputs'!$A$184:$O$198,$A307,COLUMN())</f>
        <v>373.758191524258</v>
      </c>
      <c r="M307" s="165">
        <f>INDEX('Used inputs'!$A$184:$O$198,$A307,COLUMN())</f>
        <v>365.31908753388802</v>
      </c>
      <c r="N307" s="165">
        <f>INDEX('Used inputs'!$A$184:$O$198,$A307,COLUMN())</f>
        <v>356.88434314554598</v>
      </c>
      <c r="O307" s="165">
        <f>INDEX('Used inputs'!$A$184:$O$198,$A307,COLUMN())</f>
        <v>348.45607453592498</v>
      </c>
    </row>
    <row r="308" spans="1:17" s="53" customFormat="1">
      <c r="A308" s="85">
        <f>+A$20</f>
        <v>8</v>
      </c>
      <c r="B308" s="57"/>
      <c r="C308" s="56"/>
      <c r="D308" s="55" t="s">
        <v>29</v>
      </c>
      <c r="E308" s="59" t="s">
        <v>90</v>
      </c>
      <c r="F308" s="129">
        <f>INDEX('Used inputs'!$A$184:$O$198,$A308,COLUMN())</f>
        <v>206.48699999999999</v>
      </c>
      <c r="G308" s="129">
        <f>INDEX('Used inputs'!$A$184:$O$198,$A308,COLUMN())</f>
        <v>221.50200000000001</v>
      </c>
      <c r="H308" s="129">
        <f>INDEX('Used inputs'!$A$184:$O$198,$A308,COLUMN())</f>
        <v>233.29300000000001</v>
      </c>
      <c r="I308" s="129">
        <f>INDEX('Used inputs'!$A$184:$O$198,$A308,COLUMN())</f>
        <v>248.7355</v>
      </c>
      <c r="J308" s="190">
        <f>INDEX('Used inputs'!$A$184:$O$198,$A308,COLUMN())</f>
        <v>260.50471342226302</v>
      </c>
      <c r="K308" s="165">
        <f>INDEX('Used inputs'!$A$184:$O$198,$A308,COLUMN())</f>
        <v>272.14275809452602</v>
      </c>
      <c r="L308" s="165">
        <f>INDEX('Used inputs'!$A$184:$O$198,$A308,COLUMN())</f>
        <v>284.30728168407501</v>
      </c>
      <c r="M308" s="165">
        <f>INDEX('Used inputs'!$A$184:$O$198,$A308,COLUMN())</f>
        <v>296.63267057027798</v>
      </c>
      <c r="N308" s="165">
        <f>INDEX('Used inputs'!$A$184:$O$198,$A308,COLUMN())</f>
        <v>309.10801907320399</v>
      </c>
      <c r="O308" s="165">
        <f>INDEX('Used inputs'!$A$184:$O$198,$A308,COLUMN())</f>
        <v>321.67376140678402</v>
      </c>
    </row>
    <row r="309" spans="1:17" s="53" customFormat="1">
      <c r="A309" s="85">
        <f>+A$21</f>
        <v>9</v>
      </c>
      <c r="B309" s="57"/>
      <c r="C309" s="56"/>
      <c r="D309" s="55" t="s">
        <v>29</v>
      </c>
      <c r="E309" s="59" t="s">
        <v>91</v>
      </c>
      <c r="F309" s="129">
        <f>INDEX('Used inputs'!$A$184:$O$198,$A309,COLUMN())</f>
        <v>0</v>
      </c>
      <c r="G309" s="129">
        <f>INDEX('Used inputs'!$A$184:$O$198,$A309,COLUMN())</f>
        <v>0</v>
      </c>
      <c r="H309" s="129">
        <f>INDEX('Used inputs'!$A$184:$O$198,$A309,COLUMN())</f>
        <v>0</v>
      </c>
      <c r="I309" s="129">
        <f>INDEX('Used inputs'!$A$184:$O$198,$A309,COLUMN())</f>
        <v>0</v>
      </c>
      <c r="J309" s="190">
        <f>INDEX('Used inputs'!$A$184:$O$198,$A309,COLUMN())</f>
        <v>0</v>
      </c>
      <c r="K309" s="165">
        <f>INDEX('Used inputs'!$A$184:$O$198,$A309,COLUMN())</f>
        <v>0</v>
      </c>
      <c r="L309" s="165">
        <f>INDEX('Used inputs'!$A$184:$O$198,$A309,COLUMN())</f>
        <v>0</v>
      </c>
      <c r="M309" s="165">
        <f>INDEX('Used inputs'!$A$184:$O$198,$A309,COLUMN())</f>
        <v>0</v>
      </c>
      <c r="N309" s="165">
        <f>INDEX('Used inputs'!$A$184:$O$198,$A309,COLUMN())</f>
        <v>0</v>
      </c>
      <c r="O309" s="165">
        <f>INDEX('Used inputs'!$A$184:$O$198,$A309,COLUMN())</f>
        <v>0</v>
      </c>
    </row>
    <row r="310" spans="1:17" s="53" customFormat="1">
      <c r="A310" s="85">
        <f>+A$22</f>
        <v>10</v>
      </c>
      <c r="B310" s="57"/>
      <c r="C310" s="56"/>
      <c r="D310" s="55" t="s">
        <v>29</v>
      </c>
      <c r="E310" s="59" t="s">
        <v>92</v>
      </c>
      <c r="F310" s="129">
        <f>INDEX('Used inputs'!$A$184:$O$198,$A310,COLUMN())</f>
        <v>0</v>
      </c>
      <c r="G310" s="129">
        <f>INDEX('Used inputs'!$A$184:$O$198,$A310,COLUMN())</f>
        <v>0</v>
      </c>
      <c r="H310" s="129">
        <f>INDEX('Used inputs'!$A$184:$O$198,$A310,COLUMN())</f>
        <v>0</v>
      </c>
      <c r="I310" s="129">
        <f>INDEX('Used inputs'!$A$184:$O$198,$A310,COLUMN())</f>
        <v>0</v>
      </c>
      <c r="J310" s="190">
        <f>INDEX('Used inputs'!$A$184:$O$198,$A310,COLUMN())</f>
        <v>0</v>
      </c>
      <c r="K310" s="165">
        <f>INDEX('Used inputs'!$A$184:$O$198,$A310,COLUMN())</f>
        <v>0</v>
      </c>
      <c r="L310" s="165">
        <f>INDEX('Used inputs'!$A$184:$O$198,$A310,COLUMN())</f>
        <v>0</v>
      </c>
      <c r="M310" s="165">
        <f>INDEX('Used inputs'!$A$184:$O$198,$A310,COLUMN())</f>
        <v>0</v>
      </c>
      <c r="N310" s="165">
        <f>INDEX('Used inputs'!$A$184:$O$198,$A310,COLUMN())</f>
        <v>0</v>
      </c>
      <c r="O310" s="165">
        <f>INDEX('Used inputs'!$A$184:$O$198,$A310,COLUMN())</f>
        <v>0</v>
      </c>
    </row>
    <row r="311" spans="1:17" s="53" customFormat="1">
      <c r="A311" s="85">
        <f>+A$23</f>
        <v>11</v>
      </c>
      <c r="B311" s="57"/>
      <c r="C311" s="56"/>
      <c r="D311" s="55" t="s">
        <v>29</v>
      </c>
      <c r="E311" s="59" t="s">
        <v>93</v>
      </c>
      <c r="F311" s="129">
        <f>INDEX('Used inputs'!$A$184:$O$198,$A311,COLUMN())</f>
        <v>0</v>
      </c>
      <c r="G311" s="129">
        <f>INDEX('Used inputs'!$A$184:$O$198,$A311,COLUMN())</f>
        <v>0</v>
      </c>
      <c r="H311" s="129">
        <f>INDEX('Used inputs'!$A$184:$O$198,$A311,COLUMN())</f>
        <v>0</v>
      </c>
      <c r="I311" s="129">
        <f>INDEX('Used inputs'!$A$184:$O$198,$A311,COLUMN())</f>
        <v>0</v>
      </c>
      <c r="J311" s="190">
        <f>INDEX('Used inputs'!$A$184:$O$198,$A311,COLUMN())</f>
        <v>0</v>
      </c>
      <c r="K311" s="165">
        <f>INDEX('Used inputs'!$A$184:$O$198,$A311,COLUMN())</f>
        <v>0</v>
      </c>
      <c r="L311" s="165">
        <f>INDEX('Used inputs'!$A$184:$O$198,$A311,COLUMN())</f>
        <v>0</v>
      </c>
      <c r="M311" s="165">
        <f>INDEX('Used inputs'!$A$184:$O$198,$A311,COLUMN())</f>
        <v>0</v>
      </c>
      <c r="N311" s="165">
        <f>INDEX('Used inputs'!$A$184:$O$198,$A311,COLUMN())</f>
        <v>0</v>
      </c>
      <c r="O311" s="165">
        <f>INDEX('Used inputs'!$A$184:$O$198,$A311,COLUMN())</f>
        <v>0</v>
      </c>
    </row>
    <row r="312" spans="1:17" s="53" customFormat="1">
      <c r="A312" s="85">
        <f>+A$24</f>
        <v>12</v>
      </c>
      <c r="B312" s="57"/>
      <c r="C312" s="56"/>
      <c r="D312" s="55" t="s">
        <v>29</v>
      </c>
      <c r="E312" s="59" t="s">
        <v>94</v>
      </c>
      <c r="F312" s="129">
        <f>INDEX('Used inputs'!$A$184:$O$198,$A312,COLUMN())</f>
        <v>0</v>
      </c>
      <c r="G312" s="129">
        <f>INDEX('Used inputs'!$A$184:$O$198,$A312,COLUMN())</f>
        <v>0</v>
      </c>
      <c r="H312" s="129">
        <f>INDEX('Used inputs'!$A$184:$O$198,$A312,COLUMN())</f>
        <v>0</v>
      </c>
      <c r="I312" s="129">
        <f>INDEX('Used inputs'!$A$184:$O$198,$A312,COLUMN())</f>
        <v>0</v>
      </c>
      <c r="J312" s="190">
        <f>INDEX('Used inputs'!$A$184:$O$198,$A312,COLUMN())</f>
        <v>0</v>
      </c>
      <c r="K312" s="165">
        <f>INDEX('Used inputs'!$A$184:$O$198,$A312,COLUMN())</f>
        <v>0</v>
      </c>
      <c r="L312" s="165">
        <f>INDEX('Used inputs'!$A$184:$O$198,$A312,COLUMN())</f>
        <v>0</v>
      </c>
      <c r="M312" s="165">
        <f>INDEX('Used inputs'!$A$184:$O$198,$A312,COLUMN())</f>
        <v>0</v>
      </c>
      <c r="N312" s="165">
        <f>INDEX('Used inputs'!$A$184:$O$198,$A312,COLUMN())</f>
        <v>0</v>
      </c>
      <c r="O312" s="165">
        <f>INDEX('Used inputs'!$A$184:$O$198,$A312,COLUMN())</f>
        <v>0</v>
      </c>
    </row>
    <row r="313" spans="1:17" s="53" customFormat="1">
      <c r="A313" s="110"/>
      <c r="B313" s="57"/>
      <c r="C313" s="56"/>
      <c r="D313" s="55"/>
      <c r="E313" s="59"/>
      <c r="F313" s="129"/>
      <c r="G313" s="129"/>
      <c r="H313" s="129"/>
      <c r="I313" s="129"/>
      <c r="J313" s="190"/>
      <c r="K313" s="61"/>
      <c r="L313" s="61"/>
      <c r="M313" s="61"/>
      <c r="N313" s="61"/>
      <c r="O313" s="61"/>
    </row>
    <row r="314" spans="1:17" s="11" customFormat="1">
      <c r="A314" s="27"/>
      <c r="B314" s="28"/>
      <c r="C314" s="29"/>
      <c r="D314" s="181"/>
      <c r="E314" s="33" t="s">
        <v>391</v>
      </c>
      <c r="F314" s="31"/>
      <c r="G314" s="31"/>
      <c r="H314" s="31"/>
      <c r="I314" s="31"/>
      <c r="J314" s="44"/>
      <c r="K314" s="31"/>
      <c r="L314" s="31"/>
      <c r="M314" s="31"/>
      <c r="N314" s="31"/>
      <c r="O314" s="31"/>
      <c r="Q314" s="53"/>
    </row>
    <row r="315" spans="1:17" s="53" customFormat="1">
      <c r="A315" s="85">
        <f>+A$27</f>
        <v>13</v>
      </c>
      <c r="B315" s="57"/>
      <c r="C315" s="56"/>
      <c r="D315" s="55" t="s">
        <v>29</v>
      </c>
      <c r="E315" s="182" t="s">
        <v>323</v>
      </c>
      <c r="F315" s="129"/>
      <c r="G315" s="129"/>
      <c r="H315" s="129"/>
      <c r="I315" s="165">
        <f>INDEX('Used inputs'!$A$184:$O$198,$A315+1,COLUMN())+INDEX('Used inputs'!$A$184:$O$198,$A315+2,COLUMN())</f>
        <v>0.40257510854015643</v>
      </c>
      <c r="J315" s="243">
        <f>INDEX('Used inputs'!$A$184:$O$198,$A315+1,COLUMN())+INDEX('Used inputs'!$A$184:$O$198,$A315+2,COLUMN())</f>
        <v>1.2174413167768778</v>
      </c>
      <c r="K315" s="165">
        <f>INDEX('Used inputs'!$A$184:$O$198,$A315+1,COLUMN())+INDEX('Used inputs'!$A$184:$O$198,$A315+2,COLUMN())</f>
        <v>0.29611921518637185</v>
      </c>
      <c r="L315" s="165">
        <f>INDEX('Used inputs'!$A$184:$O$198,$A315+1,COLUMN())+INDEX('Used inputs'!$A$184:$O$198,$A315+2,COLUMN())</f>
        <v>0.29611921518637185</v>
      </c>
      <c r="M315" s="165">
        <f>INDEX('Used inputs'!$A$184:$O$198,$A315+1,COLUMN())+INDEX('Used inputs'!$A$184:$O$198,$A315+2,COLUMN())</f>
        <v>0.29611921518637185</v>
      </c>
      <c r="N315" s="165">
        <f>INDEX('Used inputs'!$A$184:$O$198,$A315+1,COLUMN())+INDEX('Used inputs'!$A$184:$O$198,$A315+2,COLUMN())</f>
        <v>0.29611921518637185</v>
      </c>
      <c r="O315" s="165">
        <f>INDEX('Used inputs'!$A$184:$O$198,$A315+1,COLUMN())+INDEX('Used inputs'!$A$184:$O$198,$A315+2,COLUMN())</f>
        <v>0.29611921518637185</v>
      </c>
    </row>
    <row r="316" spans="1:17" s="53" customFormat="1">
      <c r="A316" s="85"/>
      <c r="B316" s="57"/>
      <c r="C316" s="56"/>
      <c r="D316" s="55"/>
      <c r="E316" s="182"/>
      <c r="F316" s="129"/>
      <c r="G316" s="129"/>
      <c r="H316" s="129"/>
      <c r="I316" s="129"/>
      <c r="J316" s="190"/>
      <c r="K316" s="165"/>
      <c r="L316" s="165"/>
      <c r="M316" s="165"/>
      <c r="N316" s="165"/>
      <c r="O316" s="165"/>
    </row>
    <row r="317" spans="1:17" s="53" customFormat="1">
      <c r="A317" s="85"/>
      <c r="B317" s="57"/>
      <c r="C317" s="56"/>
      <c r="D317" s="55"/>
      <c r="E317" s="59"/>
      <c r="F317" s="129"/>
      <c r="G317" s="129"/>
      <c r="H317" s="129"/>
      <c r="I317" s="129"/>
      <c r="J317" s="190"/>
      <c r="K317" s="61"/>
      <c r="L317" s="61"/>
      <c r="M317" s="61"/>
      <c r="N317" s="61"/>
      <c r="O317" s="61"/>
    </row>
    <row r="318" spans="1:17">
      <c r="A318" s="82"/>
      <c r="B318" s="31"/>
      <c r="C318" s="38" t="str">
        <f>INDEX('Used inputs'!$A$199:$O$210,1,1)</f>
        <v>DVW</v>
      </c>
      <c r="D318" s="39"/>
      <c r="E318" s="48"/>
      <c r="F318" s="31"/>
      <c r="G318" s="31"/>
      <c r="H318" s="31"/>
      <c r="I318" s="31"/>
      <c r="J318" s="44"/>
      <c r="K318" s="31"/>
      <c r="L318" s="31"/>
      <c r="M318" s="31"/>
      <c r="N318" s="31"/>
      <c r="O318" s="31"/>
      <c r="Q318" s="53"/>
    </row>
    <row r="319" spans="1:17">
      <c r="A319" s="83"/>
      <c r="B319" s="16"/>
      <c r="C319" s="17"/>
      <c r="D319" s="18"/>
      <c r="E319" s="19"/>
      <c r="F319" s="16"/>
      <c r="G319" s="16"/>
      <c r="H319" s="16"/>
      <c r="I319" s="16"/>
      <c r="J319" s="220"/>
      <c r="K319" s="134"/>
      <c r="L319" s="134"/>
      <c r="M319" s="134"/>
      <c r="N319" s="134"/>
      <c r="O319" s="134"/>
      <c r="Q319" s="53"/>
    </row>
    <row r="320" spans="1:17" s="11" customFormat="1">
      <c r="A320" s="84"/>
      <c r="B320" s="28"/>
      <c r="C320" s="29" t="s">
        <v>23</v>
      </c>
      <c r="D320" s="47" t="s">
        <v>24</v>
      </c>
      <c r="E320" s="33" t="s">
        <v>392</v>
      </c>
      <c r="F320" s="31"/>
      <c r="G320" s="31"/>
      <c r="H320" s="31"/>
      <c r="I320" s="31"/>
      <c r="J320" s="44"/>
      <c r="K320" s="31"/>
      <c r="L320" s="31"/>
      <c r="M320" s="31"/>
      <c r="N320" s="31"/>
      <c r="O320" s="31"/>
      <c r="Q320" s="53"/>
    </row>
    <row r="321" spans="1:17" s="53" customFormat="1">
      <c r="A321" s="85">
        <f>+A$9</f>
        <v>1</v>
      </c>
      <c r="B321" s="57"/>
      <c r="C321" s="56"/>
      <c r="D321" s="55" t="s">
        <v>10</v>
      </c>
      <c r="E321" s="59" t="s">
        <v>132</v>
      </c>
      <c r="F321" s="129">
        <f>INDEX('Used inputs'!$A$199:$O$213,$A321,COLUMN())</f>
        <v>2.3149075303974662</v>
      </c>
      <c r="G321" s="129">
        <f>INDEX('Used inputs'!$A$199:$O$213,$A321,COLUMN())</f>
        <v>2.4249942440652568</v>
      </c>
      <c r="H321" s="129">
        <f>INDEX('Used inputs'!$A$199:$O$213,$A321,COLUMN())</f>
        <v>2.748052450529614</v>
      </c>
      <c r="I321" s="129">
        <f ca="1">INDEX('Used inputs'!$A$199:$O$213,$A321,COLUMN())</f>
        <v>2.5782925649671333</v>
      </c>
      <c r="J321" s="190">
        <f>INDEX('Used inputs'!$A$199:$O$213,$A321,COLUMN())</f>
        <v>2.5422828922720617</v>
      </c>
      <c r="K321" s="165">
        <f ca="1">INDEX('Used inputs'!$A$199:$O$213,$A321,COLUMN())</f>
        <v>2.6482542147747017</v>
      </c>
      <c r="L321" s="165">
        <f ca="1">INDEX('Used inputs'!$A$199:$O$213,$A321,COLUMN())</f>
        <v>2.647225366983414</v>
      </c>
      <c r="M321" s="165">
        <f ca="1">INDEX('Used inputs'!$A$199:$O$213,$A321,COLUMN())</f>
        <v>2.6791196485133342</v>
      </c>
      <c r="N321" s="165">
        <f ca="1">INDEX('Used inputs'!$A$199:$O$213,$A321,COLUMN())</f>
        <v>2.6832350396784852</v>
      </c>
      <c r="O321" s="165">
        <f ca="1">INDEX('Used inputs'!$A$199:$O$213,$A321,COLUMN())</f>
        <v>2.689408126426212</v>
      </c>
    </row>
    <row r="322" spans="1:17" s="53" customFormat="1">
      <c r="A322" s="85">
        <f>+A$10</f>
        <v>2</v>
      </c>
      <c r="B322" s="57"/>
      <c r="C322" s="56"/>
      <c r="D322" s="55" t="s">
        <v>10</v>
      </c>
      <c r="E322" s="114" t="s">
        <v>99</v>
      </c>
      <c r="F322" s="129">
        <f>INDEX('Used inputs'!$A$199:$O$213,$A322,COLUMN())</f>
        <v>0</v>
      </c>
      <c r="G322" s="129">
        <f>INDEX('Used inputs'!$A$199:$O$213,$A322,COLUMN())</f>
        <v>0</v>
      </c>
      <c r="H322" s="129">
        <f>INDEX('Used inputs'!$A$199:$O$213,$A322,COLUMN())</f>
        <v>4.0125063860222743E-2</v>
      </c>
      <c r="I322" s="129">
        <f>INDEX('Used inputs'!$A$199:$O$213,$A322,COLUMN())</f>
        <v>4.9384693981812611E-2</v>
      </c>
      <c r="J322" s="190">
        <f>INDEX('Used inputs'!$A$199:$O$213,$A322,COLUMN())</f>
        <v>4.0125063860222743E-2</v>
      </c>
      <c r="K322" s="165">
        <f>INDEX('Used inputs'!$A$199:$O$213,$A322,COLUMN())</f>
        <v>4.9384693981812611E-2</v>
      </c>
      <c r="L322" s="165">
        <f>INDEX('Used inputs'!$A$199:$O$213,$A322,COLUMN())</f>
        <v>4.9384693981812611E-2</v>
      </c>
      <c r="M322" s="165">
        <f>INDEX('Used inputs'!$A$199:$O$213,$A322,COLUMN())</f>
        <v>4.9384693981812611E-2</v>
      </c>
      <c r="N322" s="165">
        <f>INDEX('Used inputs'!$A$199:$O$213,$A322,COLUMN())</f>
        <v>4.9384693981812611E-2</v>
      </c>
      <c r="O322" s="165">
        <f>INDEX('Used inputs'!$A$199:$O$213,$A322,COLUMN())</f>
        <v>4.9384693981812611E-2</v>
      </c>
    </row>
    <row r="323" spans="1:17" s="53" customFormat="1">
      <c r="A323" s="85">
        <f>+A$11</f>
        <v>3</v>
      </c>
      <c r="B323" s="57"/>
      <c r="C323" s="56"/>
      <c r="D323" s="55" t="s">
        <v>10</v>
      </c>
      <c r="E323" s="114" t="s">
        <v>100</v>
      </c>
      <c r="F323" s="129">
        <f>INDEX('Used inputs'!$A$199:$O$213,$A323,COLUMN())</f>
        <v>0</v>
      </c>
      <c r="G323" s="129">
        <f>INDEX('Used inputs'!$A$199:$O$213,$A323,COLUMN())</f>
        <v>0</v>
      </c>
      <c r="H323" s="129">
        <f>INDEX('Used inputs'!$A$199:$O$213,$A323,COLUMN())</f>
        <v>0</v>
      </c>
      <c r="I323" s="129">
        <f>INDEX('Used inputs'!$A$199:$O$213,$A323,COLUMN())</f>
        <v>0</v>
      </c>
      <c r="J323" s="190">
        <f>INDEX('Used inputs'!$A$199:$O$213,$A323,COLUMN())</f>
        <v>0</v>
      </c>
      <c r="K323" s="165">
        <f>INDEX('Used inputs'!$A$199:$O$213,$A323,COLUMN())</f>
        <v>3.4980824903783937E-2</v>
      </c>
      <c r="L323" s="165">
        <f>INDEX('Used inputs'!$A$199:$O$213,$A323,COLUMN())</f>
        <v>6.5846258642416819E-2</v>
      </c>
      <c r="M323" s="165">
        <f>INDEX('Used inputs'!$A$199:$O$213,$A323,COLUMN())</f>
        <v>8.5394366676884312E-2</v>
      </c>
      <c r="N323" s="165">
        <f>INDEX('Used inputs'!$A$199:$O$213,$A323,COLUMN())</f>
        <v>9.8769387963625221E-2</v>
      </c>
      <c r="O323" s="165">
        <f>INDEX('Used inputs'!$A$199:$O$213,$A323,COLUMN())</f>
        <v>0.1131732570416539</v>
      </c>
    </row>
    <row r="324" spans="1:17" s="53" customFormat="1">
      <c r="A324" s="110"/>
      <c r="B324" s="57"/>
      <c r="C324" s="56"/>
      <c r="D324" s="55"/>
      <c r="E324" s="59"/>
      <c r="F324" s="129"/>
      <c r="G324" s="129"/>
      <c r="H324" s="129"/>
      <c r="I324" s="129"/>
      <c r="J324" s="190"/>
      <c r="K324" s="61"/>
      <c r="L324" s="61"/>
      <c r="M324" s="61"/>
      <c r="N324" s="61"/>
      <c r="O324" s="61"/>
    </row>
    <row r="325" spans="1:17" s="11" customFormat="1">
      <c r="A325" s="27"/>
      <c r="B325" s="28"/>
      <c r="C325" s="29"/>
      <c r="D325" s="30"/>
      <c r="E325" s="32" t="s">
        <v>393</v>
      </c>
      <c r="F325" s="31"/>
      <c r="G325" s="31"/>
      <c r="H325" s="31"/>
      <c r="I325" s="31"/>
      <c r="J325" s="44"/>
      <c r="K325" s="31"/>
      <c r="L325" s="31"/>
      <c r="M325" s="31"/>
      <c r="N325" s="31"/>
      <c r="O325" s="31"/>
      <c r="Q325" s="53"/>
    </row>
    <row r="326" spans="1:17" s="53" customFormat="1">
      <c r="A326" s="85">
        <f>+A$14</f>
        <v>4</v>
      </c>
      <c r="B326" s="56" t="s">
        <v>40</v>
      </c>
      <c r="C326" s="56"/>
      <c r="D326" s="55" t="s">
        <v>10</v>
      </c>
      <c r="E326" s="59" t="s">
        <v>135</v>
      </c>
      <c r="F326" s="129">
        <f>INDEX('Used inputs'!$A$199:$O$213,$A326,COLUMN())</f>
        <v>0</v>
      </c>
      <c r="G326" s="129">
        <f>INDEX('Used inputs'!$A$199:$O$213,$A326,COLUMN())</f>
        <v>0</v>
      </c>
      <c r="H326" s="129">
        <f>INDEX('Used inputs'!$A$199:$O$213,$A326,COLUMN())</f>
        <v>0.18004836347535846</v>
      </c>
      <c r="I326" s="129">
        <f>INDEX('Used inputs'!$A$199:$O$213,$A326,COLUMN())</f>
        <v>0.19147474704540035</v>
      </c>
      <c r="J326" s="190">
        <f>INDEX('Used inputs'!$A$199:$O$213,$A326,COLUMN())</f>
        <v>0.18004836347535846</v>
      </c>
      <c r="K326" s="165">
        <f>INDEX('Used inputs'!$A$199:$O$213,$A326,COLUMN())</f>
        <v>0.20858551466230715</v>
      </c>
      <c r="L326" s="165">
        <f>INDEX('Used inputs'!$A$199:$O$213,$A326,COLUMN())</f>
        <v>0.21694284527093763</v>
      </c>
      <c r="M326" s="165">
        <f>INDEX('Used inputs'!$A$199:$O$213,$A326,COLUMN())</f>
        <v>0.22516745451449202</v>
      </c>
      <c r="N326" s="165">
        <f>INDEX('Used inputs'!$A$199:$O$213,$A326,COLUMN())</f>
        <v>0.23339309260583768</v>
      </c>
      <c r="O326" s="165">
        <f>INDEX('Used inputs'!$A$199:$O$213,$A326,COLUMN())</f>
        <v>0.24161770184939205</v>
      </c>
    </row>
    <row r="327" spans="1:17" s="53" customFormat="1">
      <c r="A327" s="85">
        <f>+A$15</f>
        <v>5</v>
      </c>
      <c r="B327" s="56" t="s">
        <v>41</v>
      </c>
      <c r="C327" s="56"/>
      <c r="D327" s="55" t="s">
        <v>10</v>
      </c>
      <c r="E327" s="59" t="s">
        <v>136</v>
      </c>
      <c r="F327" s="129">
        <f>INDEX('Used inputs'!$A$199:$O$213,$A327,COLUMN())</f>
        <v>0</v>
      </c>
      <c r="G327" s="129">
        <f>INDEX('Used inputs'!$A$199:$O$213,$A327,COLUMN())</f>
        <v>0</v>
      </c>
      <c r="H327" s="129">
        <f>INDEX('Used inputs'!$A$199:$O$213,$A327,COLUMN())</f>
        <v>0</v>
      </c>
      <c r="I327" s="129">
        <f>INDEX('Used inputs'!$A$199:$O$213,$A327,COLUMN())</f>
        <v>0</v>
      </c>
      <c r="J327" s="190">
        <f>INDEX('Used inputs'!$A$199:$O$213,$A327,COLUMN())</f>
        <v>0</v>
      </c>
      <c r="K327" s="165">
        <f>INDEX('Used inputs'!$A$199:$O$213,$A327,COLUMN())</f>
        <v>0</v>
      </c>
      <c r="L327" s="165">
        <f>INDEX('Used inputs'!$A$199:$O$213,$A327,COLUMN())</f>
        <v>0</v>
      </c>
      <c r="M327" s="165">
        <f>INDEX('Used inputs'!$A$199:$O$213,$A327,COLUMN())</f>
        <v>0</v>
      </c>
      <c r="N327" s="165">
        <f>INDEX('Used inputs'!$A$199:$O$213,$A327,COLUMN())</f>
        <v>0</v>
      </c>
      <c r="O327" s="165">
        <f>INDEX('Used inputs'!$A$199:$O$213,$A327,COLUMN())</f>
        <v>0</v>
      </c>
    </row>
    <row r="328" spans="1:17" s="53" customFormat="1">
      <c r="A328" s="85">
        <f>+A$16</f>
        <v>6</v>
      </c>
      <c r="B328" s="56" t="s">
        <v>42</v>
      </c>
      <c r="C328" s="56"/>
      <c r="D328" s="55" t="s">
        <v>10</v>
      </c>
      <c r="E328" s="59" t="s">
        <v>137</v>
      </c>
      <c r="F328" s="129">
        <f>INDEX('Used inputs'!$A$199:$O$213,$A328,COLUMN())</f>
        <v>0</v>
      </c>
      <c r="G328" s="129">
        <f>INDEX('Used inputs'!$A$199:$O$213,$A328,COLUMN())</f>
        <v>0</v>
      </c>
      <c r="H328" s="129">
        <f>INDEX('Used inputs'!$A$199:$O$213,$A328,COLUMN())</f>
        <v>0</v>
      </c>
      <c r="I328" s="129">
        <f>INDEX('Used inputs'!$A$199:$O$213,$A328,COLUMN())</f>
        <v>0</v>
      </c>
      <c r="J328" s="190">
        <f>INDEX('Used inputs'!$A$199:$O$213,$A328,COLUMN())</f>
        <v>0</v>
      </c>
      <c r="K328" s="165">
        <f>INDEX('Used inputs'!$A$199:$O$213,$A328,COLUMN())</f>
        <v>0</v>
      </c>
      <c r="L328" s="165">
        <f>INDEX('Used inputs'!$A$199:$O$213,$A328,COLUMN())</f>
        <v>0</v>
      </c>
      <c r="M328" s="165">
        <f>INDEX('Used inputs'!$A$199:$O$213,$A328,COLUMN())</f>
        <v>0</v>
      </c>
      <c r="N328" s="165">
        <f>INDEX('Used inputs'!$A$199:$O$213,$A328,COLUMN())</f>
        <v>0</v>
      </c>
      <c r="O328" s="165">
        <f>INDEX('Used inputs'!$A$199:$O$213,$A328,COLUMN())</f>
        <v>0</v>
      </c>
    </row>
    <row r="329" spans="1:17" s="53" customFormat="1">
      <c r="A329" s="110"/>
      <c r="B329" s="57"/>
      <c r="C329" s="56"/>
      <c r="D329" s="55"/>
      <c r="E329" s="59"/>
      <c r="F329" s="129"/>
      <c r="G329" s="129"/>
      <c r="H329" s="129"/>
      <c r="I329" s="129"/>
      <c r="J329" s="190"/>
      <c r="K329" s="61"/>
      <c r="L329" s="61"/>
      <c r="M329" s="61"/>
      <c r="N329" s="61"/>
      <c r="O329" s="61"/>
    </row>
    <row r="330" spans="1:17" s="11" customFormat="1">
      <c r="A330" s="27"/>
      <c r="B330" s="28"/>
      <c r="C330" s="29"/>
      <c r="D330" s="30"/>
      <c r="E330" s="32" t="s">
        <v>394</v>
      </c>
      <c r="F330" s="31"/>
      <c r="G330" s="31"/>
      <c r="H330" s="31"/>
      <c r="I330" s="31"/>
      <c r="J330" s="44"/>
      <c r="K330" s="31"/>
      <c r="L330" s="31"/>
      <c r="M330" s="31"/>
      <c r="N330" s="31"/>
      <c r="O330" s="31"/>
      <c r="Q330" s="53"/>
    </row>
    <row r="331" spans="1:17" s="53" customFormat="1">
      <c r="A331" s="85">
        <f>+A$19</f>
        <v>7</v>
      </c>
      <c r="B331" s="57"/>
      <c r="C331" s="56"/>
      <c r="D331" s="55" t="s">
        <v>29</v>
      </c>
      <c r="E331" s="59" t="s">
        <v>89</v>
      </c>
      <c r="F331" s="129">
        <f>INDEX('Used inputs'!$A$199:$O$213,$A331,COLUMN())</f>
        <v>54.542000000000002</v>
      </c>
      <c r="G331" s="129">
        <f>INDEX('Used inputs'!$A$199:$O$213,$A331,COLUMN())</f>
        <v>53.274999999999999</v>
      </c>
      <c r="H331" s="129">
        <f>INDEX('Used inputs'!$A$199:$O$213,$A331,COLUMN())</f>
        <v>51.676000000000002</v>
      </c>
      <c r="I331" s="129">
        <f>INDEX('Used inputs'!$A$199:$O$213,$A331,COLUMN())</f>
        <v>49.905999999999999</v>
      </c>
      <c r="J331" s="190">
        <f>INDEX('Used inputs'!$A$199:$O$213,$A331,COLUMN())</f>
        <v>49.435000000000002</v>
      </c>
      <c r="K331" s="165">
        <f>INDEX('Used inputs'!$A$199:$O$213,$A331,COLUMN())</f>
        <v>47.847999999999999</v>
      </c>
      <c r="L331" s="165">
        <f>INDEX('Used inputs'!$A$199:$O$213,$A331,COLUMN())</f>
        <v>46.311999999999998</v>
      </c>
      <c r="M331" s="165">
        <f>INDEX('Used inputs'!$A$199:$O$213,$A331,COLUMN())</f>
        <v>44.825000000000003</v>
      </c>
      <c r="N331" s="165">
        <f>INDEX('Used inputs'!$A$199:$O$213,$A331,COLUMN())</f>
        <v>43.386000000000003</v>
      </c>
      <c r="O331" s="165">
        <f>INDEX('Used inputs'!$A$199:$O$213,$A331,COLUMN())</f>
        <v>41.993000000000002</v>
      </c>
    </row>
    <row r="332" spans="1:17" s="53" customFormat="1">
      <c r="A332" s="85">
        <f>+A$20</f>
        <v>8</v>
      </c>
      <c r="B332" s="57"/>
      <c r="C332" s="56"/>
      <c r="D332" s="55" t="s">
        <v>29</v>
      </c>
      <c r="E332" s="59" t="s">
        <v>90</v>
      </c>
      <c r="F332" s="129">
        <f>INDEX('Used inputs'!$A$199:$O$213,$A332,COLUMN())</f>
        <v>55.360999999999997</v>
      </c>
      <c r="G332" s="129">
        <f>INDEX('Used inputs'!$A$199:$O$213,$A332,COLUMN())</f>
        <v>58.847625000000001</v>
      </c>
      <c r="H332" s="129">
        <f>INDEX('Used inputs'!$A$199:$O$213,$A332,COLUMN())</f>
        <v>61.582787156450003</v>
      </c>
      <c r="I332" s="129">
        <f>INDEX('Used inputs'!$A$199:$O$213,$A332,COLUMN())</f>
        <v>63.613</v>
      </c>
      <c r="J332" s="190">
        <f>INDEX('Used inputs'!$A$199:$O$213,$A332,COLUMN())</f>
        <v>66.88</v>
      </c>
      <c r="K332" s="165">
        <f>INDEX('Used inputs'!$A$199:$O$213,$A332,COLUMN())</f>
        <v>69.438999999999993</v>
      </c>
      <c r="L332" s="165">
        <f>INDEX('Used inputs'!$A$199:$O$213,$A332,COLUMN())</f>
        <v>71.917000000000002</v>
      </c>
      <c r="M332" s="165">
        <f>INDEX('Used inputs'!$A$199:$O$213,$A332,COLUMN())</f>
        <v>74.346000000000004</v>
      </c>
      <c r="N332" s="165">
        <f>INDEX('Used inputs'!$A$199:$O$213,$A332,COLUMN())</f>
        <v>76.727000000000004</v>
      </c>
      <c r="O332" s="165">
        <f>INDEX('Used inputs'!$A$199:$O$213,$A332,COLUMN())</f>
        <v>79.063000000000002</v>
      </c>
    </row>
    <row r="333" spans="1:17" s="53" customFormat="1">
      <c r="A333" s="85">
        <f>+A$21</f>
        <v>9</v>
      </c>
      <c r="B333" s="57"/>
      <c r="C333" s="56"/>
      <c r="D333" s="55" t="s">
        <v>29</v>
      </c>
      <c r="E333" s="59" t="s">
        <v>91</v>
      </c>
      <c r="F333" s="129">
        <f>INDEX('Used inputs'!$A$199:$O$213,$A333,COLUMN())</f>
        <v>0</v>
      </c>
      <c r="G333" s="129">
        <f>INDEX('Used inputs'!$A$199:$O$213,$A333,COLUMN())</f>
        <v>0</v>
      </c>
      <c r="H333" s="129">
        <f>INDEX('Used inputs'!$A$199:$O$213,$A333,COLUMN())</f>
        <v>0</v>
      </c>
      <c r="I333" s="129">
        <f>INDEX('Used inputs'!$A$199:$O$213,$A333,COLUMN())</f>
        <v>0</v>
      </c>
      <c r="J333" s="190">
        <f>INDEX('Used inputs'!$A$199:$O$213,$A333,COLUMN())</f>
        <v>0</v>
      </c>
      <c r="K333" s="165">
        <f>INDEX('Used inputs'!$A$199:$O$213,$A333,COLUMN())</f>
        <v>0</v>
      </c>
      <c r="L333" s="165">
        <f>INDEX('Used inputs'!$A$199:$O$213,$A333,COLUMN())</f>
        <v>0</v>
      </c>
      <c r="M333" s="165">
        <f>INDEX('Used inputs'!$A$199:$O$213,$A333,COLUMN())</f>
        <v>0</v>
      </c>
      <c r="N333" s="165">
        <f>INDEX('Used inputs'!$A$199:$O$213,$A333,COLUMN())</f>
        <v>0</v>
      </c>
      <c r="O333" s="165">
        <f>INDEX('Used inputs'!$A$199:$O$213,$A333,COLUMN())</f>
        <v>0</v>
      </c>
    </row>
    <row r="334" spans="1:17" s="53" customFormat="1">
      <c r="A334" s="85">
        <f>+A$22</f>
        <v>10</v>
      </c>
      <c r="B334" s="57"/>
      <c r="C334" s="56"/>
      <c r="D334" s="55" t="s">
        <v>29</v>
      </c>
      <c r="E334" s="59" t="s">
        <v>92</v>
      </c>
      <c r="F334" s="129">
        <f>INDEX('Used inputs'!$A$199:$O$213,$A334,COLUMN())</f>
        <v>0</v>
      </c>
      <c r="G334" s="129">
        <f>INDEX('Used inputs'!$A$199:$O$213,$A334,COLUMN())</f>
        <v>0</v>
      </c>
      <c r="H334" s="129">
        <f>INDEX('Used inputs'!$A$199:$O$213,$A334,COLUMN())</f>
        <v>0</v>
      </c>
      <c r="I334" s="129">
        <f>INDEX('Used inputs'!$A$199:$O$213,$A334,COLUMN())</f>
        <v>0</v>
      </c>
      <c r="J334" s="190">
        <f>INDEX('Used inputs'!$A$199:$O$213,$A334,COLUMN())</f>
        <v>0</v>
      </c>
      <c r="K334" s="165">
        <f>INDEX('Used inputs'!$A$199:$O$213,$A334,COLUMN())</f>
        <v>0</v>
      </c>
      <c r="L334" s="165">
        <f>INDEX('Used inputs'!$A$199:$O$213,$A334,COLUMN())</f>
        <v>0</v>
      </c>
      <c r="M334" s="165">
        <f>INDEX('Used inputs'!$A$199:$O$213,$A334,COLUMN())</f>
        <v>0</v>
      </c>
      <c r="N334" s="165">
        <f>INDEX('Used inputs'!$A$199:$O$213,$A334,COLUMN())</f>
        <v>0</v>
      </c>
      <c r="O334" s="165">
        <f>INDEX('Used inputs'!$A$199:$O$213,$A334,COLUMN())</f>
        <v>0</v>
      </c>
    </row>
    <row r="335" spans="1:17" s="53" customFormat="1">
      <c r="A335" s="85">
        <f>+A$23</f>
        <v>11</v>
      </c>
      <c r="B335" s="57"/>
      <c r="C335" s="56"/>
      <c r="D335" s="55" t="s">
        <v>29</v>
      </c>
      <c r="E335" s="59" t="s">
        <v>93</v>
      </c>
      <c r="F335" s="129">
        <f>INDEX('Used inputs'!$A$199:$O$213,$A335,COLUMN())</f>
        <v>0</v>
      </c>
      <c r="G335" s="129">
        <f>INDEX('Used inputs'!$A$199:$O$213,$A335,COLUMN())</f>
        <v>0</v>
      </c>
      <c r="H335" s="129">
        <f>INDEX('Used inputs'!$A$199:$O$213,$A335,COLUMN())</f>
        <v>0</v>
      </c>
      <c r="I335" s="129">
        <f>INDEX('Used inputs'!$A$199:$O$213,$A335,COLUMN())</f>
        <v>0</v>
      </c>
      <c r="J335" s="190">
        <f>INDEX('Used inputs'!$A$199:$O$213,$A335,COLUMN())</f>
        <v>0</v>
      </c>
      <c r="K335" s="165">
        <f>INDEX('Used inputs'!$A$199:$O$213,$A335,COLUMN())</f>
        <v>0</v>
      </c>
      <c r="L335" s="165">
        <f>INDEX('Used inputs'!$A$199:$O$213,$A335,COLUMN())</f>
        <v>0</v>
      </c>
      <c r="M335" s="165">
        <f>INDEX('Used inputs'!$A$199:$O$213,$A335,COLUMN())</f>
        <v>0</v>
      </c>
      <c r="N335" s="165">
        <f>INDEX('Used inputs'!$A$199:$O$213,$A335,COLUMN())</f>
        <v>0</v>
      </c>
      <c r="O335" s="165">
        <f>INDEX('Used inputs'!$A$199:$O$213,$A335,COLUMN())</f>
        <v>0</v>
      </c>
    </row>
    <row r="336" spans="1:17" s="53" customFormat="1">
      <c r="A336" s="85">
        <f>+A$24</f>
        <v>12</v>
      </c>
      <c r="B336" s="57"/>
      <c r="C336" s="56"/>
      <c r="D336" s="55" t="s">
        <v>29</v>
      </c>
      <c r="E336" s="59" t="s">
        <v>94</v>
      </c>
      <c r="F336" s="129">
        <f>INDEX('Used inputs'!$A$199:$O$213,$A336,COLUMN())</f>
        <v>0</v>
      </c>
      <c r="G336" s="129">
        <f>INDEX('Used inputs'!$A$199:$O$213,$A336,COLUMN())</f>
        <v>0</v>
      </c>
      <c r="H336" s="129">
        <f>INDEX('Used inputs'!$A$199:$O$213,$A336,COLUMN())</f>
        <v>0</v>
      </c>
      <c r="I336" s="129">
        <f>INDEX('Used inputs'!$A$199:$O$213,$A336,COLUMN())</f>
        <v>0</v>
      </c>
      <c r="J336" s="190">
        <f>INDEX('Used inputs'!$A$199:$O$213,$A336,COLUMN())</f>
        <v>0</v>
      </c>
      <c r="K336" s="165">
        <f>INDEX('Used inputs'!$A$199:$O$213,$A336,COLUMN())</f>
        <v>0</v>
      </c>
      <c r="L336" s="165">
        <f>INDEX('Used inputs'!$A$199:$O$213,$A336,COLUMN())</f>
        <v>0</v>
      </c>
      <c r="M336" s="165">
        <f>INDEX('Used inputs'!$A$199:$O$213,$A336,COLUMN())</f>
        <v>0</v>
      </c>
      <c r="N336" s="165">
        <f>INDEX('Used inputs'!$A$199:$O$213,$A336,COLUMN())</f>
        <v>0</v>
      </c>
      <c r="O336" s="165">
        <f>INDEX('Used inputs'!$A$199:$O$213,$A336,COLUMN())</f>
        <v>0</v>
      </c>
    </row>
    <row r="337" spans="1:17" s="53" customFormat="1">
      <c r="A337" s="110"/>
      <c r="B337" s="57"/>
      <c r="C337" s="56"/>
      <c r="D337" s="55"/>
      <c r="E337" s="59"/>
      <c r="F337" s="129"/>
      <c r="G337" s="129"/>
      <c r="H337" s="129"/>
      <c r="I337" s="129"/>
      <c r="J337" s="190"/>
      <c r="K337" s="61"/>
      <c r="L337" s="61"/>
      <c r="M337" s="61"/>
      <c r="N337" s="61"/>
      <c r="O337" s="61"/>
    </row>
    <row r="338" spans="1:17" s="11" customFormat="1">
      <c r="A338" s="27"/>
      <c r="B338" s="28"/>
      <c r="C338" s="29"/>
      <c r="D338" s="181"/>
      <c r="E338" s="33" t="s">
        <v>395</v>
      </c>
      <c r="F338" s="31"/>
      <c r="G338" s="31"/>
      <c r="H338" s="31"/>
      <c r="I338" s="31"/>
      <c r="J338" s="44"/>
      <c r="K338" s="31"/>
      <c r="L338" s="31"/>
      <c r="M338" s="31"/>
      <c r="N338" s="31"/>
      <c r="O338" s="31"/>
      <c r="Q338" s="53"/>
    </row>
    <row r="339" spans="1:17" s="53" customFormat="1">
      <c r="A339" s="85">
        <f>+A$27</f>
        <v>13</v>
      </c>
      <c r="B339" s="57"/>
      <c r="C339" s="56"/>
      <c r="D339" s="55" t="s">
        <v>29</v>
      </c>
      <c r="E339" s="182" t="s">
        <v>323</v>
      </c>
      <c r="F339" s="129"/>
      <c r="G339" s="129"/>
      <c r="H339" s="129"/>
      <c r="I339" s="165">
        <f>INDEX('Used inputs'!$A$199:$O$213,$A339+1,COLUMN())+INDEX('Used inputs'!$A$199:$O$213,$A339+2,COLUMN())</f>
        <v>4.1153911651510507E-2</v>
      </c>
      <c r="J339" s="243">
        <f>INDEX('Used inputs'!$A$199:$O$213,$A339+1,COLUMN())+INDEX('Used inputs'!$A$199:$O$213,$A339+2,COLUMN())</f>
        <v>0.13580790844998469</v>
      </c>
      <c r="K339" s="165">
        <f>INDEX('Used inputs'!$A$199:$O$213,$A339+1,COLUMN())+INDEX('Used inputs'!$A$199:$O$213,$A339+2,COLUMN())</f>
        <v>3.84340481388038E-2</v>
      </c>
      <c r="L339" s="165">
        <f>INDEX('Used inputs'!$A$199:$O$213,$A339+1,COLUMN())+INDEX('Used inputs'!$A$199:$O$213,$A339+2,COLUMN())</f>
        <v>3.84340481388038E-2</v>
      </c>
      <c r="M339" s="165">
        <f>INDEX('Used inputs'!$A$199:$O$213,$A339+1,COLUMN())+INDEX('Used inputs'!$A$199:$O$213,$A339+2,COLUMN())</f>
        <v>3.84340481388038E-2</v>
      </c>
      <c r="N339" s="165">
        <f>INDEX('Used inputs'!$A$199:$O$213,$A339+1,COLUMN())+INDEX('Used inputs'!$A$199:$O$213,$A339+2,COLUMN())</f>
        <v>3.84340481388038E-2</v>
      </c>
      <c r="O339" s="165">
        <f>INDEX('Used inputs'!$A$199:$O$213,$A339+1,COLUMN())+INDEX('Used inputs'!$A$199:$O$213,$A339+2,COLUMN())</f>
        <v>3.84340481388038E-2</v>
      </c>
    </row>
    <row r="340" spans="1:17" s="53" customFormat="1">
      <c r="A340" s="85"/>
      <c r="B340" s="57"/>
      <c r="C340" s="56"/>
      <c r="D340" s="55"/>
      <c r="E340" s="182"/>
      <c r="F340" s="129"/>
      <c r="G340" s="129"/>
      <c r="H340" s="129"/>
      <c r="I340" s="129"/>
      <c r="J340" s="190"/>
      <c r="K340" s="165"/>
      <c r="L340" s="165"/>
      <c r="M340" s="165"/>
      <c r="N340" s="165"/>
      <c r="O340" s="165"/>
    </row>
    <row r="341" spans="1:17" s="53" customFormat="1">
      <c r="A341" s="85"/>
      <c r="B341" s="57"/>
      <c r="C341" s="56"/>
      <c r="D341" s="55"/>
      <c r="E341" s="59"/>
      <c r="F341" s="129"/>
      <c r="G341" s="129"/>
      <c r="H341" s="129"/>
      <c r="I341" s="129"/>
      <c r="J341" s="190"/>
      <c r="K341" s="61"/>
      <c r="L341" s="61"/>
      <c r="M341" s="61"/>
      <c r="N341" s="61"/>
      <c r="O341" s="61"/>
    </row>
    <row r="342" spans="1:17">
      <c r="A342" s="82"/>
      <c r="B342" s="31"/>
      <c r="C342" s="38" t="str">
        <f>INDEX('Used inputs'!$A$214:$O$225,1,1)</f>
        <v>PRT</v>
      </c>
      <c r="D342" s="39"/>
      <c r="E342" s="48"/>
      <c r="F342" s="31"/>
      <c r="G342" s="31"/>
      <c r="H342" s="31"/>
      <c r="I342" s="31"/>
      <c r="J342" s="44"/>
      <c r="K342" s="31"/>
      <c r="L342" s="31"/>
      <c r="M342" s="31"/>
      <c r="N342" s="31"/>
      <c r="O342" s="31"/>
      <c r="Q342" s="53"/>
    </row>
    <row r="343" spans="1:17">
      <c r="A343" s="83"/>
      <c r="B343" s="16"/>
      <c r="C343" s="17"/>
      <c r="D343" s="18"/>
      <c r="E343" s="19"/>
      <c r="F343" s="16"/>
      <c r="G343" s="16"/>
      <c r="H343" s="16"/>
      <c r="I343" s="16"/>
      <c r="J343" s="220"/>
      <c r="K343" s="134"/>
      <c r="L343" s="134"/>
      <c r="M343" s="134"/>
      <c r="N343" s="134"/>
      <c r="O343" s="134"/>
      <c r="Q343" s="53"/>
    </row>
    <row r="344" spans="1:17" s="11" customFormat="1">
      <c r="A344" s="84"/>
      <c r="B344" s="28"/>
      <c r="C344" s="29" t="s">
        <v>23</v>
      </c>
      <c r="D344" s="47" t="s">
        <v>24</v>
      </c>
      <c r="E344" s="33" t="s">
        <v>396</v>
      </c>
      <c r="F344" s="31"/>
      <c r="G344" s="31"/>
      <c r="H344" s="31"/>
      <c r="I344" s="31"/>
      <c r="J344" s="44"/>
      <c r="K344" s="31"/>
      <c r="L344" s="31"/>
      <c r="M344" s="31"/>
      <c r="N344" s="31"/>
      <c r="O344" s="31"/>
      <c r="Q344" s="53"/>
    </row>
    <row r="345" spans="1:17" s="53" customFormat="1">
      <c r="A345" s="85">
        <f>+A$9</f>
        <v>1</v>
      </c>
      <c r="B345" s="57"/>
      <c r="C345" s="56"/>
      <c r="D345" s="55" t="s">
        <v>10</v>
      </c>
      <c r="E345" s="59" t="s">
        <v>132</v>
      </c>
      <c r="F345" s="129">
        <f>INDEX('Used inputs'!$A$214:$O$228,$A345,COLUMN())</f>
        <v>3.2912840843295528</v>
      </c>
      <c r="G345" s="129">
        <f>INDEX('Used inputs'!$A$214:$O$228,$A345,COLUMN())</f>
        <v>3.5577556622730837</v>
      </c>
      <c r="H345" s="129">
        <f>INDEX('Used inputs'!$A$214:$O$228,$A345,COLUMN())</f>
        <v>3.9703236265794764</v>
      </c>
      <c r="I345" s="129">
        <f ca="1">INDEX('Used inputs'!$A$214:$O$228,$A345,COLUMN())</f>
        <v>4.0526314498824973</v>
      </c>
      <c r="J345" s="190">
        <f>INDEX('Used inputs'!$A$214:$O$228,$A345,COLUMN())</f>
        <v>4.0793814924559788</v>
      </c>
      <c r="K345" s="165">
        <f ca="1">INDEX('Used inputs'!$A$214:$O$228,$A345,COLUMN())</f>
        <v>4.1637470113415755</v>
      </c>
      <c r="L345" s="165">
        <f ca="1">INDEX('Used inputs'!$A$214:$O$228,$A345,COLUMN())</f>
        <v>4.195641292871497</v>
      </c>
      <c r="M345" s="165">
        <f ca="1">INDEX('Used inputs'!$A$214:$O$228,$A345,COLUMN())</f>
        <v>4.2275355744014167</v>
      </c>
      <c r="N345" s="165">
        <f ca="1">INDEX('Used inputs'!$A$214:$O$228,$A345,COLUMN())</f>
        <v>4.2625163993052011</v>
      </c>
      <c r="O345" s="165">
        <f ca="1">INDEX('Used inputs'!$A$214:$O$228,$A345,COLUMN())</f>
        <v>4.296468376417697</v>
      </c>
    </row>
    <row r="346" spans="1:17" s="53" customFormat="1">
      <c r="A346" s="85">
        <f>+A$10</f>
        <v>2</v>
      </c>
      <c r="B346" s="57"/>
      <c r="C346" s="56"/>
      <c r="D346" s="55" t="s">
        <v>10</v>
      </c>
      <c r="E346" s="114" t="s">
        <v>99</v>
      </c>
      <c r="F346" s="129">
        <f>INDEX('Used inputs'!$A$214:$O$228,$A346,COLUMN())</f>
        <v>4.218275944279827E-2</v>
      </c>
      <c r="G346" s="129">
        <f>INDEX('Used inputs'!$A$214:$O$228,$A346,COLUMN())</f>
        <v>4.218275944279827E-2</v>
      </c>
      <c r="H346" s="129">
        <f>INDEX('Used inputs'!$A$214:$O$228,$A346,COLUMN())</f>
        <v>8.3336671094308784E-2</v>
      </c>
      <c r="I346" s="129">
        <f>INDEX('Used inputs'!$A$214:$O$228,$A346,COLUMN())</f>
        <v>0.2016541670924015</v>
      </c>
      <c r="J346" s="190">
        <f>INDEX('Used inputs'!$A$214:$O$228,$A346,COLUMN())</f>
        <v>0.12346173495453153</v>
      </c>
      <c r="K346" s="165">
        <f>INDEX('Used inputs'!$A$214:$O$228,$A346,COLUMN())</f>
        <v>0.18416375464050952</v>
      </c>
      <c r="L346" s="165">
        <f>INDEX('Used inputs'!$A$214:$O$228,$A346,COLUMN())</f>
        <v>0.17593297231020741</v>
      </c>
      <c r="M346" s="165">
        <f>INDEX('Used inputs'!$A$214:$O$228,$A346,COLUMN())</f>
        <v>0.13477906065869691</v>
      </c>
      <c r="N346" s="165">
        <f>INDEX('Used inputs'!$A$214:$O$228,$A346,COLUMN())</f>
        <v>0.1100867136677906</v>
      </c>
      <c r="O346" s="165">
        <f>INDEX('Used inputs'!$A$214:$O$228,$A346,COLUMN())</f>
        <v>9.4653996798474166E-2</v>
      </c>
    </row>
    <row r="347" spans="1:17" s="53" customFormat="1">
      <c r="A347" s="85">
        <f>+A$11</f>
        <v>3</v>
      </c>
      <c r="B347" s="57"/>
      <c r="C347" s="56"/>
      <c r="D347" s="55" t="s">
        <v>10</v>
      </c>
      <c r="E347" s="114" t="s">
        <v>100</v>
      </c>
      <c r="F347" s="129">
        <f>INDEX('Used inputs'!$A$214:$O$228,$A347,COLUMN())</f>
        <v>0</v>
      </c>
      <c r="G347" s="129">
        <f>INDEX('Used inputs'!$A$214:$O$228,$A347,COLUMN())</f>
        <v>0</v>
      </c>
      <c r="H347" s="129">
        <f>INDEX('Used inputs'!$A$214:$O$228,$A347,COLUMN())</f>
        <v>0</v>
      </c>
      <c r="I347" s="129">
        <f>INDEX('Used inputs'!$A$214:$O$228,$A347,COLUMN())</f>
        <v>0</v>
      </c>
      <c r="J347" s="190">
        <f>INDEX('Used inputs'!$A$214:$O$228,$A347,COLUMN())</f>
        <v>0</v>
      </c>
      <c r="K347" s="165">
        <f>INDEX('Used inputs'!$A$214:$O$228,$A347,COLUMN())</f>
        <v>1.2346173495453153E-2</v>
      </c>
      <c r="L347" s="165">
        <f>INDEX('Used inputs'!$A$214:$O$228,$A347,COLUMN())</f>
        <v>2.4692346990906305E-2</v>
      </c>
      <c r="M347" s="165">
        <f>INDEX('Used inputs'!$A$214:$O$228,$A347,COLUMN())</f>
        <v>3.7038520486359465E-2</v>
      </c>
      <c r="N347" s="165">
        <f>INDEX('Used inputs'!$A$214:$O$228,$A347,COLUMN())</f>
        <v>5.0413541773100375E-2</v>
      </c>
      <c r="O347" s="165">
        <f>INDEX('Used inputs'!$A$214:$O$228,$A347,COLUMN())</f>
        <v>6.275971526855352E-2</v>
      </c>
    </row>
    <row r="348" spans="1:17" s="53" customFormat="1">
      <c r="A348" s="110"/>
      <c r="B348" s="57"/>
      <c r="C348" s="56"/>
      <c r="D348" s="55"/>
      <c r="E348" s="59"/>
      <c r="F348" s="129"/>
      <c r="G348" s="129"/>
      <c r="H348" s="129"/>
      <c r="I348" s="129"/>
      <c r="J348" s="190"/>
      <c r="K348" s="61"/>
      <c r="L348" s="61"/>
      <c r="M348" s="61"/>
      <c r="N348" s="61"/>
      <c r="O348" s="61"/>
    </row>
    <row r="349" spans="1:17" s="11" customFormat="1">
      <c r="A349" s="27"/>
      <c r="B349" s="28"/>
      <c r="C349" s="29"/>
      <c r="D349" s="30"/>
      <c r="E349" s="32" t="s">
        <v>397</v>
      </c>
      <c r="F349" s="31"/>
      <c r="G349" s="31"/>
      <c r="H349" s="31"/>
      <c r="I349" s="31"/>
      <c r="J349" s="44"/>
      <c r="K349" s="31"/>
      <c r="L349" s="31"/>
      <c r="M349" s="31"/>
      <c r="N349" s="31"/>
      <c r="O349" s="31"/>
      <c r="Q349" s="53"/>
    </row>
    <row r="350" spans="1:17" s="53" customFormat="1">
      <c r="A350" s="85">
        <f>+A$14</f>
        <v>4</v>
      </c>
      <c r="B350" s="56" t="s">
        <v>40</v>
      </c>
      <c r="C350" s="56"/>
      <c r="D350" s="55" t="s">
        <v>10</v>
      </c>
      <c r="E350" s="59" t="s">
        <v>135</v>
      </c>
      <c r="F350" s="129">
        <f>INDEX('Used inputs'!$A$214:$O$228,$A350,COLUMN())</f>
        <v>0.20576955825755255</v>
      </c>
      <c r="G350" s="129">
        <f>INDEX('Used inputs'!$A$214:$O$228,$A350,COLUMN())</f>
        <v>0.23149075303974662</v>
      </c>
      <c r="H350" s="129">
        <f>INDEX('Used inputs'!$A$214:$O$228,$A350,COLUMN())</f>
        <v>0.26235618677837952</v>
      </c>
      <c r="I350" s="129">
        <f>INDEX('Used inputs'!$A$214:$O$228,$A350,COLUMN())</f>
        <v>0.2870485337692858</v>
      </c>
      <c r="J350" s="190">
        <f>INDEX('Used inputs'!$A$214:$O$228,$A350,COLUMN())</f>
        <v>0.3148274241340554</v>
      </c>
      <c r="K350" s="165">
        <f>INDEX('Used inputs'!$A$214:$O$228,$A350,COLUMN())</f>
        <v>0.34672170566397603</v>
      </c>
      <c r="L350" s="165">
        <f>INDEX('Used inputs'!$A$214:$O$228,$A350,COLUMN())</f>
        <v>0.37861598719389666</v>
      </c>
      <c r="M350" s="165">
        <f>INDEX('Used inputs'!$A$214:$O$228,$A350,COLUMN())</f>
        <v>0.41051026872381735</v>
      </c>
      <c r="N350" s="165">
        <f>INDEX('Used inputs'!$A$214:$O$228,$A350,COLUMN())</f>
        <v>0.44549109362760125</v>
      </c>
      <c r="O350" s="165">
        <f>INDEX('Used inputs'!$A$214:$O$228,$A350,COLUMN())</f>
        <v>0.47944307074009745</v>
      </c>
    </row>
    <row r="351" spans="1:17" s="53" customFormat="1">
      <c r="A351" s="85">
        <f>+A$15</f>
        <v>5</v>
      </c>
      <c r="B351" s="56" t="s">
        <v>41</v>
      </c>
      <c r="C351" s="56"/>
      <c r="D351" s="55" t="s">
        <v>10</v>
      </c>
      <c r="E351" s="59" t="s">
        <v>136</v>
      </c>
      <c r="F351" s="129">
        <f>INDEX('Used inputs'!$A$214:$O$228,$A351,COLUMN())</f>
        <v>0</v>
      </c>
      <c r="G351" s="129">
        <f>INDEX('Used inputs'!$A$214:$O$228,$A351,COLUMN())</f>
        <v>0</v>
      </c>
      <c r="H351" s="129">
        <f>INDEX('Used inputs'!$A$214:$O$228,$A351,COLUMN())</f>
        <v>0</v>
      </c>
      <c r="I351" s="129">
        <f>INDEX('Used inputs'!$A$214:$O$228,$A351,COLUMN())</f>
        <v>0</v>
      </c>
      <c r="J351" s="190">
        <f>INDEX('Used inputs'!$A$214:$O$228,$A351,COLUMN())</f>
        <v>0</v>
      </c>
      <c r="K351" s="165">
        <f>INDEX('Used inputs'!$A$214:$O$228,$A351,COLUMN())</f>
        <v>0</v>
      </c>
      <c r="L351" s="165">
        <f>INDEX('Used inputs'!$A$214:$O$228,$A351,COLUMN())</f>
        <v>0</v>
      </c>
      <c r="M351" s="165">
        <f>INDEX('Used inputs'!$A$214:$O$228,$A351,COLUMN())</f>
        <v>0</v>
      </c>
      <c r="N351" s="165">
        <f>INDEX('Used inputs'!$A$214:$O$228,$A351,COLUMN())</f>
        <v>0</v>
      </c>
      <c r="O351" s="165">
        <f>INDEX('Used inputs'!$A$214:$O$228,$A351,COLUMN())</f>
        <v>0</v>
      </c>
    </row>
    <row r="352" spans="1:17" s="53" customFormat="1">
      <c r="A352" s="85">
        <f>+A$16</f>
        <v>6</v>
      </c>
      <c r="B352" s="56" t="s">
        <v>42</v>
      </c>
      <c r="C352" s="56"/>
      <c r="D352" s="55" t="s">
        <v>10</v>
      </c>
      <c r="E352" s="59" t="s">
        <v>137</v>
      </c>
      <c r="F352" s="129">
        <f>INDEX('Used inputs'!$A$214:$O$228,$A352,COLUMN())</f>
        <v>0</v>
      </c>
      <c r="G352" s="129">
        <f>INDEX('Used inputs'!$A$214:$O$228,$A352,COLUMN())</f>
        <v>0</v>
      </c>
      <c r="H352" s="129">
        <f>INDEX('Used inputs'!$A$214:$O$228,$A352,COLUMN())</f>
        <v>0</v>
      </c>
      <c r="I352" s="129">
        <f>INDEX('Used inputs'!$A$214:$O$228,$A352,COLUMN())</f>
        <v>0</v>
      </c>
      <c r="J352" s="190">
        <f>INDEX('Used inputs'!$A$214:$O$228,$A352,COLUMN())</f>
        <v>0</v>
      </c>
      <c r="K352" s="165">
        <f>INDEX('Used inputs'!$A$214:$O$228,$A352,COLUMN())</f>
        <v>0</v>
      </c>
      <c r="L352" s="165">
        <f>INDEX('Used inputs'!$A$214:$O$228,$A352,COLUMN())</f>
        <v>0</v>
      </c>
      <c r="M352" s="165">
        <f>INDEX('Used inputs'!$A$214:$O$228,$A352,COLUMN())</f>
        <v>0</v>
      </c>
      <c r="N352" s="165">
        <f>INDEX('Used inputs'!$A$214:$O$228,$A352,COLUMN())</f>
        <v>0</v>
      </c>
      <c r="O352" s="165">
        <f>INDEX('Used inputs'!$A$214:$O$228,$A352,COLUMN())</f>
        <v>0</v>
      </c>
    </row>
    <row r="353" spans="1:17" s="53" customFormat="1">
      <c r="A353" s="110"/>
      <c r="B353" s="57"/>
      <c r="C353" s="56"/>
      <c r="D353" s="55"/>
      <c r="E353" s="59"/>
      <c r="F353" s="129"/>
      <c r="G353" s="129"/>
      <c r="H353" s="129"/>
      <c r="I353" s="129"/>
      <c r="J353" s="190"/>
      <c r="K353" s="61"/>
      <c r="L353" s="61"/>
      <c r="M353" s="61"/>
      <c r="N353" s="61"/>
      <c r="O353" s="61"/>
    </row>
    <row r="354" spans="1:17" s="11" customFormat="1">
      <c r="A354" s="27"/>
      <c r="B354" s="28"/>
      <c r="C354" s="29"/>
      <c r="D354" s="30"/>
      <c r="E354" s="32" t="s">
        <v>398</v>
      </c>
      <c r="F354" s="31"/>
      <c r="G354" s="31"/>
      <c r="H354" s="31"/>
      <c r="I354" s="31"/>
      <c r="J354" s="44"/>
      <c r="K354" s="31"/>
      <c r="L354" s="31"/>
      <c r="M354" s="31"/>
      <c r="N354" s="31"/>
      <c r="O354" s="31"/>
      <c r="Q354" s="53"/>
    </row>
    <row r="355" spans="1:17" s="53" customFormat="1">
      <c r="A355" s="85">
        <f>+A$19</f>
        <v>7</v>
      </c>
      <c r="B355" s="57"/>
      <c r="C355" s="56"/>
      <c r="D355" s="55" t="s">
        <v>29</v>
      </c>
      <c r="E355" s="59" t="s">
        <v>89</v>
      </c>
      <c r="F355" s="129">
        <f>INDEX('Used inputs'!$A$214:$O$228,$A355,COLUMN())</f>
        <v>231.68700000000001</v>
      </c>
      <c r="G355" s="129">
        <f>INDEX('Used inputs'!$A$214:$O$228,$A355,COLUMN())</f>
        <v>226.49799999999999</v>
      </c>
      <c r="H355" s="129">
        <f>INDEX('Used inputs'!$A$214:$O$228,$A355,COLUMN())</f>
        <v>221.93899999999999</v>
      </c>
      <c r="I355" s="129">
        <f>INDEX('Used inputs'!$A$214:$O$228,$A355,COLUMN())</f>
        <v>217.672</v>
      </c>
      <c r="J355" s="190">
        <f>INDEX('Used inputs'!$A$214:$O$228,$A355,COLUMN())</f>
        <v>212.672</v>
      </c>
      <c r="K355" s="165">
        <f>INDEX('Used inputs'!$A$214:$O$228,$A355,COLUMN())</f>
        <v>207.72300000000001</v>
      </c>
      <c r="L355" s="165">
        <f>INDEX('Used inputs'!$A$214:$O$228,$A355,COLUMN())</f>
        <v>202.72300000000001</v>
      </c>
      <c r="M355" s="165">
        <f>INDEX('Used inputs'!$A$214:$O$228,$A355,COLUMN())</f>
        <v>197.72300000000001</v>
      </c>
      <c r="N355" s="165">
        <f>INDEX('Used inputs'!$A$214:$O$228,$A355,COLUMN())</f>
        <v>192.72300000000001</v>
      </c>
      <c r="O355" s="165">
        <f>INDEX('Used inputs'!$A$214:$O$228,$A355,COLUMN())</f>
        <v>187.72300000000001</v>
      </c>
    </row>
    <row r="356" spans="1:17" s="53" customFormat="1">
      <c r="A356" s="85">
        <f>+A$20</f>
        <v>8</v>
      </c>
      <c r="B356" s="57"/>
      <c r="C356" s="56"/>
      <c r="D356" s="55" t="s">
        <v>29</v>
      </c>
      <c r="E356" s="59" t="s">
        <v>90</v>
      </c>
      <c r="F356" s="129">
        <f>INDEX('Used inputs'!$A$214:$O$228,$A356,COLUMN())</f>
        <v>47.287999999999997</v>
      </c>
      <c r="G356" s="129">
        <f>INDEX('Used inputs'!$A$214:$O$228,$A356,COLUMN())</f>
        <v>53.173999999999999</v>
      </c>
      <c r="H356" s="129">
        <f>INDEX('Used inputs'!$A$214:$O$228,$A356,COLUMN())</f>
        <v>60.283999999999999</v>
      </c>
      <c r="I356" s="129">
        <f>INDEX('Used inputs'!$A$214:$O$228,$A356,COLUMN())</f>
        <v>66.489000000000004</v>
      </c>
      <c r="J356" s="190">
        <f>INDEX('Used inputs'!$A$214:$O$228,$A356,COLUMN())</f>
        <v>72.989000000000004</v>
      </c>
      <c r="K356" s="165">
        <f>INDEX('Used inputs'!$A$214:$O$228,$A356,COLUMN())</f>
        <v>80.427000000000007</v>
      </c>
      <c r="L356" s="165">
        <f>INDEX('Used inputs'!$A$214:$O$228,$A356,COLUMN())</f>
        <v>87.587000000000003</v>
      </c>
      <c r="M356" s="165">
        <f>INDEX('Used inputs'!$A$214:$O$228,$A356,COLUMN())</f>
        <v>95.1</v>
      </c>
      <c r="N356" s="165">
        <f>INDEX('Used inputs'!$A$214:$O$228,$A356,COLUMN())</f>
        <v>103.10299999999999</v>
      </c>
      <c r="O356" s="165">
        <f>INDEX('Used inputs'!$A$214:$O$228,$A356,COLUMN())</f>
        <v>111.041</v>
      </c>
    </row>
    <row r="357" spans="1:17" s="53" customFormat="1">
      <c r="A357" s="85">
        <f>+A$21</f>
        <v>9</v>
      </c>
      <c r="B357" s="57"/>
      <c r="C357" s="56"/>
      <c r="D357" s="55" t="s">
        <v>29</v>
      </c>
      <c r="E357" s="59" t="s">
        <v>91</v>
      </c>
      <c r="F357" s="129">
        <f>INDEX('Used inputs'!$A$214:$O$228,$A357,COLUMN())</f>
        <v>0</v>
      </c>
      <c r="G357" s="129">
        <f>INDEX('Used inputs'!$A$214:$O$228,$A357,COLUMN())</f>
        <v>0</v>
      </c>
      <c r="H357" s="129">
        <f>INDEX('Used inputs'!$A$214:$O$228,$A357,COLUMN())</f>
        <v>0</v>
      </c>
      <c r="I357" s="129">
        <f>INDEX('Used inputs'!$A$214:$O$228,$A357,COLUMN())</f>
        <v>0</v>
      </c>
      <c r="J357" s="190">
        <f>INDEX('Used inputs'!$A$214:$O$228,$A357,COLUMN())</f>
        <v>0</v>
      </c>
      <c r="K357" s="165">
        <f>INDEX('Used inputs'!$A$214:$O$228,$A357,COLUMN())</f>
        <v>0</v>
      </c>
      <c r="L357" s="165">
        <f>INDEX('Used inputs'!$A$214:$O$228,$A357,COLUMN())</f>
        <v>0</v>
      </c>
      <c r="M357" s="165">
        <f>INDEX('Used inputs'!$A$214:$O$228,$A357,COLUMN())</f>
        <v>0</v>
      </c>
      <c r="N357" s="165">
        <f>INDEX('Used inputs'!$A$214:$O$228,$A357,COLUMN())</f>
        <v>0</v>
      </c>
      <c r="O357" s="165">
        <f>INDEX('Used inputs'!$A$214:$O$228,$A357,COLUMN())</f>
        <v>0</v>
      </c>
    </row>
    <row r="358" spans="1:17" s="53" customFormat="1">
      <c r="A358" s="85">
        <f>+A$22</f>
        <v>10</v>
      </c>
      <c r="B358" s="57"/>
      <c r="C358" s="56"/>
      <c r="D358" s="55" t="s">
        <v>29</v>
      </c>
      <c r="E358" s="59" t="s">
        <v>92</v>
      </c>
      <c r="F358" s="129">
        <f>INDEX('Used inputs'!$A$214:$O$228,$A358,COLUMN())</f>
        <v>0</v>
      </c>
      <c r="G358" s="129">
        <f>INDEX('Used inputs'!$A$214:$O$228,$A358,COLUMN())</f>
        <v>0</v>
      </c>
      <c r="H358" s="129">
        <f>INDEX('Used inputs'!$A$214:$O$228,$A358,COLUMN())</f>
        <v>0</v>
      </c>
      <c r="I358" s="129">
        <f>INDEX('Used inputs'!$A$214:$O$228,$A358,COLUMN())</f>
        <v>0</v>
      </c>
      <c r="J358" s="190">
        <f>INDEX('Used inputs'!$A$214:$O$228,$A358,COLUMN())</f>
        <v>0</v>
      </c>
      <c r="K358" s="165">
        <f>INDEX('Used inputs'!$A$214:$O$228,$A358,COLUMN())</f>
        <v>0</v>
      </c>
      <c r="L358" s="165">
        <f>INDEX('Used inputs'!$A$214:$O$228,$A358,COLUMN())</f>
        <v>0</v>
      </c>
      <c r="M358" s="165">
        <f>INDEX('Used inputs'!$A$214:$O$228,$A358,COLUMN())</f>
        <v>0</v>
      </c>
      <c r="N358" s="165">
        <f>INDEX('Used inputs'!$A$214:$O$228,$A358,COLUMN())</f>
        <v>0</v>
      </c>
      <c r="O358" s="165">
        <f>INDEX('Used inputs'!$A$214:$O$228,$A358,COLUMN())</f>
        <v>0</v>
      </c>
    </row>
    <row r="359" spans="1:17" s="53" customFormat="1">
      <c r="A359" s="85">
        <f>+A$23</f>
        <v>11</v>
      </c>
      <c r="B359" s="57"/>
      <c r="C359" s="56"/>
      <c r="D359" s="55" t="s">
        <v>29</v>
      </c>
      <c r="E359" s="59" t="s">
        <v>93</v>
      </c>
      <c r="F359" s="129">
        <f>INDEX('Used inputs'!$A$214:$O$228,$A359,COLUMN())</f>
        <v>0</v>
      </c>
      <c r="G359" s="129">
        <f>INDEX('Used inputs'!$A$214:$O$228,$A359,COLUMN())</f>
        <v>0</v>
      </c>
      <c r="H359" s="129">
        <f>INDEX('Used inputs'!$A$214:$O$228,$A359,COLUMN())</f>
        <v>0</v>
      </c>
      <c r="I359" s="129">
        <f>INDEX('Used inputs'!$A$214:$O$228,$A359,COLUMN())</f>
        <v>0</v>
      </c>
      <c r="J359" s="190">
        <f>INDEX('Used inputs'!$A$214:$O$228,$A359,COLUMN())</f>
        <v>0</v>
      </c>
      <c r="K359" s="165">
        <f>INDEX('Used inputs'!$A$214:$O$228,$A359,COLUMN())</f>
        <v>0</v>
      </c>
      <c r="L359" s="165">
        <f>INDEX('Used inputs'!$A$214:$O$228,$A359,COLUMN())</f>
        <v>0</v>
      </c>
      <c r="M359" s="165">
        <f>INDEX('Used inputs'!$A$214:$O$228,$A359,COLUMN())</f>
        <v>0</v>
      </c>
      <c r="N359" s="165">
        <f>INDEX('Used inputs'!$A$214:$O$228,$A359,COLUMN())</f>
        <v>0</v>
      </c>
      <c r="O359" s="165">
        <f>INDEX('Used inputs'!$A$214:$O$228,$A359,COLUMN())</f>
        <v>0</v>
      </c>
    </row>
    <row r="360" spans="1:17" s="53" customFormat="1">
      <c r="A360" s="85">
        <f>+A$24</f>
        <v>12</v>
      </c>
      <c r="B360" s="57"/>
      <c r="C360" s="56"/>
      <c r="D360" s="55" t="s">
        <v>29</v>
      </c>
      <c r="E360" s="59" t="s">
        <v>94</v>
      </c>
      <c r="F360" s="129">
        <f>INDEX('Used inputs'!$A$214:$O$228,$A360,COLUMN())</f>
        <v>0</v>
      </c>
      <c r="G360" s="129">
        <f>INDEX('Used inputs'!$A$214:$O$228,$A360,COLUMN())</f>
        <v>0</v>
      </c>
      <c r="H360" s="129">
        <f>INDEX('Used inputs'!$A$214:$O$228,$A360,COLUMN())</f>
        <v>0</v>
      </c>
      <c r="I360" s="129">
        <f>INDEX('Used inputs'!$A$214:$O$228,$A360,COLUMN())</f>
        <v>0</v>
      </c>
      <c r="J360" s="190">
        <f>INDEX('Used inputs'!$A$214:$O$228,$A360,COLUMN())</f>
        <v>0</v>
      </c>
      <c r="K360" s="165">
        <f>INDEX('Used inputs'!$A$214:$O$228,$A360,COLUMN())</f>
        <v>0</v>
      </c>
      <c r="L360" s="165">
        <f>INDEX('Used inputs'!$A$214:$O$228,$A360,COLUMN())</f>
        <v>0</v>
      </c>
      <c r="M360" s="165">
        <f>INDEX('Used inputs'!$A$214:$O$228,$A360,COLUMN())</f>
        <v>0</v>
      </c>
      <c r="N360" s="165">
        <f>INDEX('Used inputs'!$A$214:$O$228,$A360,COLUMN())</f>
        <v>0</v>
      </c>
      <c r="O360" s="165">
        <f>INDEX('Used inputs'!$A$214:$O$228,$A360,COLUMN())</f>
        <v>0</v>
      </c>
    </row>
    <row r="361" spans="1:17" s="53" customFormat="1">
      <c r="A361" s="110"/>
      <c r="B361" s="57"/>
      <c r="C361" s="56"/>
      <c r="D361" s="55"/>
      <c r="E361" s="59"/>
      <c r="F361" s="129"/>
      <c r="G361" s="129"/>
      <c r="H361" s="129"/>
      <c r="I361" s="129"/>
      <c r="J361" s="190"/>
      <c r="K361" s="61"/>
      <c r="L361" s="61"/>
      <c r="M361" s="61"/>
      <c r="N361" s="61"/>
      <c r="O361" s="61"/>
    </row>
    <row r="362" spans="1:17" s="11" customFormat="1">
      <c r="A362" s="27"/>
      <c r="B362" s="28"/>
      <c r="C362" s="29"/>
      <c r="D362" s="181"/>
      <c r="E362" s="33" t="s">
        <v>399</v>
      </c>
      <c r="F362" s="31"/>
      <c r="G362" s="31"/>
      <c r="H362" s="31"/>
      <c r="I362" s="31"/>
      <c r="J362" s="44"/>
      <c r="K362" s="31"/>
      <c r="L362" s="31"/>
      <c r="M362" s="31"/>
      <c r="N362" s="31"/>
      <c r="O362" s="31"/>
      <c r="Q362" s="53"/>
    </row>
    <row r="363" spans="1:17" s="53" customFormat="1">
      <c r="A363" s="85">
        <f>+A$27</f>
        <v>13</v>
      </c>
      <c r="B363" s="57"/>
      <c r="C363" s="56"/>
      <c r="D363" s="55" t="s">
        <v>29</v>
      </c>
      <c r="E363" s="182" t="s">
        <v>323</v>
      </c>
      <c r="F363" s="129"/>
      <c r="G363" s="129"/>
      <c r="H363" s="129"/>
      <c r="I363" s="165">
        <f>INDEX('Used inputs'!$A$214:$O$228,$A363+1,COLUMN())+INDEX('Used inputs'!$A$214:$O$228,$A363+2,COLUMN())</f>
        <v>0</v>
      </c>
      <c r="J363" s="243">
        <f>INDEX('Used inputs'!$A$214:$O$228,$A363+1,COLUMN())+INDEX('Used inputs'!$A$214:$O$228,$A363+2,COLUMN())</f>
        <v>3.0865433738632882E-2</v>
      </c>
      <c r="K363" s="165">
        <f>INDEX('Used inputs'!$A$214:$O$228,$A363+1,COLUMN())+INDEX('Used inputs'!$A$214:$O$228,$A363+2,COLUMN())</f>
        <v>6.0999999999999999E-2</v>
      </c>
      <c r="L363" s="165">
        <f>INDEX('Used inputs'!$A$214:$O$228,$A363+1,COLUMN())+INDEX('Used inputs'!$A$214:$O$228,$A363+2,COLUMN())</f>
        <v>9.1999999999999998E-2</v>
      </c>
      <c r="M363" s="165">
        <f>INDEX('Used inputs'!$A$214:$O$228,$A363+1,COLUMN())+INDEX('Used inputs'!$A$214:$O$228,$A363+2,COLUMN())</f>
        <v>0.123</v>
      </c>
      <c r="N363" s="165">
        <f>INDEX('Used inputs'!$A$214:$O$228,$A363+1,COLUMN())+INDEX('Used inputs'!$A$214:$O$228,$A363+2,COLUMN())</f>
        <v>0.155</v>
      </c>
      <c r="O363" s="165">
        <f>INDEX('Used inputs'!$A$214:$O$228,$A363+1,COLUMN())+INDEX('Used inputs'!$A$214:$O$228,$A363+2,COLUMN())</f>
        <v>0.187</v>
      </c>
    </row>
    <row r="364" spans="1:17" s="53" customFormat="1">
      <c r="A364" s="85"/>
      <c r="B364" s="57"/>
      <c r="C364" s="56"/>
      <c r="D364" s="55"/>
      <c r="E364" s="182"/>
      <c r="F364" s="129"/>
      <c r="G364" s="129"/>
      <c r="H364" s="129"/>
      <c r="I364" s="129"/>
      <c r="J364" s="190"/>
      <c r="K364" s="165"/>
      <c r="L364" s="165"/>
      <c r="M364" s="165"/>
      <c r="N364" s="165"/>
      <c r="O364" s="165"/>
    </row>
    <row r="365" spans="1:17" s="53" customFormat="1">
      <c r="A365" s="85"/>
      <c r="B365" s="57"/>
      <c r="C365" s="56"/>
      <c r="D365" s="55"/>
      <c r="E365" s="59"/>
      <c r="F365" s="129"/>
      <c r="G365" s="129"/>
      <c r="H365" s="129"/>
      <c r="I365" s="129"/>
      <c r="J365" s="190"/>
      <c r="K365" s="61"/>
      <c r="L365" s="61"/>
      <c r="M365" s="61"/>
      <c r="N365" s="61"/>
      <c r="O365" s="61"/>
    </row>
    <row r="366" spans="1:17">
      <c r="A366" s="82"/>
      <c r="B366" s="31"/>
      <c r="C366" s="38" t="str">
        <f>INDEX('Used inputs'!$A$229:$O$240,1,1)</f>
        <v>SBW</v>
      </c>
      <c r="D366" s="39"/>
      <c r="E366" s="48"/>
      <c r="F366" s="31"/>
      <c r="G366" s="31"/>
      <c r="H366" s="31"/>
      <c r="I366" s="31"/>
      <c r="J366" s="44"/>
      <c r="K366" s="31"/>
      <c r="L366" s="31"/>
      <c r="M366" s="31"/>
      <c r="N366" s="31"/>
      <c r="O366" s="31"/>
      <c r="Q366" s="53"/>
    </row>
    <row r="367" spans="1:17">
      <c r="A367" s="83"/>
      <c r="B367" s="16"/>
      <c r="C367" s="17"/>
      <c r="D367" s="18"/>
      <c r="E367" s="19"/>
      <c r="F367" s="16"/>
      <c r="G367" s="16"/>
      <c r="H367" s="16"/>
      <c r="I367" s="16"/>
      <c r="J367" s="220"/>
      <c r="K367" s="134"/>
      <c r="L367" s="134"/>
      <c r="M367" s="134"/>
      <c r="N367" s="134"/>
      <c r="O367" s="134"/>
      <c r="Q367" s="53"/>
    </row>
    <row r="368" spans="1:17" s="11" customFormat="1">
      <c r="A368" s="84"/>
      <c r="B368" s="28"/>
      <c r="C368" s="29" t="s">
        <v>23</v>
      </c>
      <c r="D368" s="47" t="s">
        <v>24</v>
      </c>
      <c r="E368" s="33" t="s">
        <v>400</v>
      </c>
      <c r="F368" s="31"/>
      <c r="G368" s="31"/>
      <c r="H368" s="31"/>
      <c r="I368" s="31"/>
      <c r="J368" s="44"/>
      <c r="K368" s="31"/>
      <c r="L368" s="31"/>
      <c r="M368" s="31"/>
      <c r="N368" s="31"/>
      <c r="O368" s="31"/>
      <c r="Q368" s="53"/>
    </row>
    <row r="369" spans="1:17" s="53" customFormat="1">
      <c r="A369" s="85">
        <f>+A$9</f>
        <v>1</v>
      </c>
      <c r="B369" s="57"/>
      <c r="C369" s="56"/>
      <c r="D369" s="55" t="s">
        <v>10</v>
      </c>
      <c r="E369" s="59" t="s">
        <v>132</v>
      </c>
      <c r="F369" s="129">
        <f>INDEX('Used inputs'!$A$229:$O$243,$A369,COLUMN())</f>
        <v>3.3766784510064372</v>
      </c>
      <c r="G369" s="129">
        <f>INDEX('Used inputs'!$A$229:$O$243,$A369,COLUMN())</f>
        <v>3.763525220530636</v>
      </c>
      <c r="H369" s="129">
        <f>INDEX('Used inputs'!$A$229:$O$243,$A369,COLUMN())</f>
        <v>3.9075639113109228</v>
      </c>
      <c r="I369" s="129">
        <f ca="1">INDEX('Used inputs'!$A$229:$O$243,$A369,COLUMN())</f>
        <v>4.167862402506727</v>
      </c>
      <c r="J369" s="190">
        <f>INDEX('Used inputs'!$A$229:$O$243,$A369,COLUMN())</f>
        <v>4.1987278362453599</v>
      </c>
      <c r="K369" s="165">
        <f ca="1">INDEX('Used inputs'!$A$229:$O$243,$A369,COLUMN())</f>
        <v>4.3149876366608764</v>
      </c>
      <c r="L369" s="165">
        <f ca="1">INDEX('Used inputs'!$A$229:$O$243,$A369,COLUMN())</f>
        <v>4.3849492864684452</v>
      </c>
      <c r="M369" s="165">
        <f ca="1">INDEX('Used inputs'!$A$229:$O$243,$A369,COLUMN())</f>
        <v>4.4549109362760122</v>
      </c>
      <c r="N369" s="165">
        <f ca="1">INDEX('Used inputs'!$A$229:$O$243,$A369,COLUMN())</f>
        <v>4.519728347127141</v>
      </c>
      <c r="O369" s="165">
        <f ca="1">INDEX('Used inputs'!$A$229:$O$243,$A369,COLUMN())</f>
        <v>4.5814592146044077</v>
      </c>
    </row>
    <row r="370" spans="1:17" s="53" customFormat="1">
      <c r="A370" s="85">
        <f>+A$10</f>
        <v>2</v>
      </c>
      <c r="B370" s="57"/>
      <c r="C370" s="56"/>
      <c r="D370" s="55" t="s">
        <v>10</v>
      </c>
      <c r="E370" s="114" t="s">
        <v>99</v>
      </c>
      <c r="F370" s="129">
        <f>INDEX('Used inputs'!$A$229:$O$243,$A370,COLUMN())</f>
        <v>0.1440386907802868</v>
      </c>
      <c r="G370" s="129">
        <f>INDEX('Used inputs'!$A$229:$O$243,$A370,COLUMN())</f>
        <v>0.14918292973672559</v>
      </c>
      <c r="H370" s="129">
        <f>INDEX('Used inputs'!$A$229:$O$243,$A370,COLUMN())</f>
        <v>0.16667334218861757</v>
      </c>
      <c r="I370" s="129">
        <f>INDEX('Used inputs'!$A$229:$O$243,$A370,COLUMN())</f>
        <v>0.33026014100337187</v>
      </c>
      <c r="J370" s="190">
        <f>INDEX('Used inputs'!$A$229:$O$243,$A370,COLUMN())</f>
        <v>0.11625980041551719</v>
      </c>
      <c r="K370" s="165">
        <f>INDEX('Used inputs'!$A$229:$O$243,$A370,COLUMN())</f>
        <v>0.50104887435714041</v>
      </c>
      <c r="L370" s="165">
        <f>INDEX('Used inputs'!$A$229:$O$243,$A370,COLUMN())</f>
        <v>0.48870270086168727</v>
      </c>
      <c r="M370" s="165">
        <f>INDEX('Used inputs'!$A$229:$O$243,$A370,COLUMN())</f>
        <v>0.41565450768025614</v>
      </c>
      <c r="N370" s="165">
        <f>INDEX('Used inputs'!$A$229:$O$243,$A370,COLUMN())</f>
        <v>0.3148274241340554</v>
      </c>
      <c r="O370" s="165">
        <f>INDEX('Used inputs'!$A$229:$O$243,$A370,COLUMN())</f>
        <v>0.21914457954429345</v>
      </c>
    </row>
    <row r="371" spans="1:17" s="53" customFormat="1">
      <c r="A371" s="85">
        <f>+A$11</f>
        <v>3</v>
      </c>
      <c r="B371" s="57"/>
      <c r="C371" s="56"/>
      <c r="D371" s="55" t="s">
        <v>10</v>
      </c>
      <c r="E371" s="114" t="s">
        <v>100</v>
      </c>
      <c r="F371" s="129">
        <f>INDEX('Used inputs'!$A$229:$O$243,$A371,COLUMN())</f>
        <v>0</v>
      </c>
      <c r="G371" s="129">
        <f>INDEX('Used inputs'!$A$229:$O$243,$A371,COLUMN())</f>
        <v>0</v>
      </c>
      <c r="H371" s="129">
        <f>INDEX('Used inputs'!$A$229:$O$243,$A371,COLUMN())</f>
        <v>0</v>
      </c>
      <c r="I371" s="129">
        <f>INDEX('Used inputs'!$A$229:$O$243,$A371,COLUMN())</f>
        <v>0</v>
      </c>
      <c r="J371" s="190">
        <f>INDEX('Used inputs'!$A$229:$O$243,$A371,COLUMN())</f>
        <v>0</v>
      </c>
      <c r="K371" s="165">
        <f>INDEX('Used inputs'!$A$229:$O$243,$A371,COLUMN())</f>
        <v>5.6586628520826951E-2</v>
      </c>
      <c r="L371" s="165">
        <f>INDEX('Used inputs'!$A$229:$O$243,$A371,COLUMN())</f>
        <v>0.11523095262422943</v>
      </c>
      <c r="M371" s="165">
        <f>INDEX('Used inputs'!$A$229:$O$243,$A371,COLUMN())</f>
        <v>0.18004836347535846</v>
      </c>
      <c r="N371" s="165">
        <f>INDEX('Used inputs'!$A$229:$O$243,$A371,COLUMN())</f>
        <v>0.24486577432648751</v>
      </c>
      <c r="O371" s="165">
        <f>INDEX('Used inputs'!$A$229:$O$243,$A371,COLUMN())</f>
        <v>0.24177923095262424</v>
      </c>
    </row>
    <row r="372" spans="1:17" s="53" customFormat="1">
      <c r="A372" s="110"/>
      <c r="B372" s="57"/>
      <c r="C372" s="56"/>
      <c r="D372" s="55"/>
      <c r="E372" s="59"/>
      <c r="F372" s="129"/>
      <c r="G372" s="129"/>
      <c r="H372" s="129"/>
      <c r="I372" s="129"/>
      <c r="J372" s="190"/>
      <c r="K372" s="61"/>
      <c r="L372" s="61"/>
      <c r="M372" s="61"/>
      <c r="N372" s="61"/>
      <c r="O372" s="61"/>
    </row>
    <row r="373" spans="1:17" s="11" customFormat="1">
      <c r="A373" s="27"/>
      <c r="B373" s="28"/>
      <c r="C373" s="29"/>
      <c r="D373" s="30"/>
      <c r="E373" s="32" t="s">
        <v>401</v>
      </c>
      <c r="F373" s="31"/>
      <c r="G373" s="31"/>
      <c r="H373" s="31"/>
      <c r="I373" s="31"/>
      <c r="J373" s="44"/>
      <c r="K373" s="31"/>
      <c r="L373" s="31"/>
      <c r="M373" s="31"/>
      <c r="N373" s="31"/>
      <c r="O373" s="31"/>
      <c r="Q373" s="53"/>
    </row>
    <row r="374" spans="1:17" s="53" customFormat="1">
      <c r="A374" s="85">
        <f>+A$14</f>
        <v>4</v>
      </c>
      <c r="B374" s="56" t="s">
        <v>40</v>
      </c>
      <c r="C374" s="56"/>
      <c r="D374" s="55" t="s">
        <v>10</v>
      </c>
      <c r="E374" s="59" t="s">
        <v>135</v>
      </c>
      <c r="F374" s="129">
        <f>INDEX('Used inputs'!$A$229:$O$243,$A374,COLUMN())</f>
        <v>0.53602969926092436</v>
      </c>
      <c r="G374" s="129">
        <f>INDEX('Used inputs'!$A$229:$O$243,$A374,COLUMN())</f>
        <v>0.57615476312114722</v>
      </c>
      <c r="H374" s="129">
        <f>INDEX('Used inputs'!$A$229:$O$243,$A374,COLUMN())</f>
        <v>0.61216443581621882</v>
      </c>
      <c r="I374" s="129">
        <f>INDEX('Used inputs'!$A$229:$O$243,$A374,COLUMN())</f>
        <v>0.64302986955485175</v>
      </c>
      <c r="J374" s="190">
        <f>INDEX('Used inputs'!$A$229:$O$243,$A374,COLUMN())</f>
        <v>0.67389530329348457</v>
      </c>
      <c r="K374" s="165">
        <f>INDEX('Used inputs'!$A$229:$O$243,$A374,COLUMN())</f>
        <v>0.77575123463097306</v>
      </c>
      <c r="L374" s="165">
        <f>INDEX('Used inputs'!$A$229:$O$243,$A374,COLUMN())</f>
        <v>0.83645325431695106</v>
      </c>
      <c r="M374" s="165">
        <f>INDEX('Used inputs'!$A$229:$O$243,$A374,COLUMN())</f>
        <v>0.90229951295936794</v>
      </c>
      <c r="N374" s="165">
        <f>INDEX('Used inputs'!$A$229:$O$243,$A374,COLUMN())</f>
        <v>0.97020346718436024</v>
      </c>
      <c r="O374" s="165">
        <f>INDEX('Used inputs'!$A$229:$O$243,$A374,COLUMN())</f>
        <v>1.0381074214093524</v>
      </c>
    </row>
    <row r="375" spans="1:17" s="53" customFormat="1">
      <c r="A375" s="85">
        <f>+A$15</f>
        <v>5</v>
      </c>
      <c r="B375" s="56" t="s">
        <v>41</v>
      </c>
      <c r="C375" s="56"/>
      <c r="D375" s="55" t="s">
        <v>10</v>
      </c>
      <c r="E375" s="59" t="s">
        <v>136</v>
      </c>
      <c r="F375" s="129">
        <f>INDEX('Used inputs'!$A$229:$O$243,$A375,COLUMN())</f>
        <v>0</v>
      </c>
      <c r="G375" s="129">
        <f>INDEX('Used inputs'!$A$229:$O$243,$A375,COLUMN())</f>
        <v>0</v>
      </c>
      <c r="H375" s="129">
        <f>INDEX('Used inputs'!$A$229:$O$243,$A375,COLUMN())</f>
        <v>0</v>
      </c>
      <c r="I375" s="129">
        <f>INDEX('Used inputs'!$A$229:$O$243,$A375,COLUMN())</f>
        <v>0</v>
      </c>
      <c r="J375" s="190">
        <f>INDEX('Used inputs'!$A$229:$O$243,$A375,COLUMN())</f>
        <v>0</v>
      </c>
      <c r="K375" s="165">
        <f>INDEX('Used inputs'!$A$229:$O$243,$A375,COLUMN())</f>
        <v>0</v>
      </c>
      <c r="L375" s="165">
        <f>INDEX('Used inputs'!$A$229:$O$243,$A375,COLUMN())</f>
        <v>0</v>
      </c>
      <c r="M375" s="165">
        <f>INDEX('Used inputs'!$A$229:$O$243,$A375,COLUMN())</f>
        <v>0</v>
      </c>
      <c r="N375" s="165">
        <f>INDEX('Used inputs'!$A$229:$O$243,$A375,COLUMN())</f>
        <v>0</v>
      </c>
      <c r="O375" s="165">
        <f>INDEX('Used inputs'!$A$229:$O$243,$A375,COLUMN())</f>
        <v>0</v>
      </c>
    </row>
    <row r="376" spans="1:17" s="53" customFormat="1">
      <c r="A376" s="85">
        <f>+A$16</f>
        <v>6</v>
      </c>
      <c r="B376" s="56" t="s">
        <v>42</v>
      </c>
      <c r="C376" s="56"/>
      <c r="D376" s="55" t="s">
        <v>10</v>
      </c>
      <c r="E376" s="59" t="s">
        <v>137</v>
      </c>
      <c r="F376" s="129">
        <f>INDEX('Used inputs'!$A$229:$O$243,$A376,COLUMN())</f>
        <v>0</v>
      </c>
      <c r="G376" s="129">
        <f>INDEX('Used inputs'!$A$229:$O$243,$A376,COLUMN())</f>
        <v>0</v>
      </c>
      <c r="H376" s="129">
        <f>INDEX('Used inputs'!$A$229:$O$243,$A376,COLUMN())</f>
        <v>0</v>
      </c>
      <c r="I376" s="129">
        <f>INDEX('Used inputs'!$A$229:$O$243,$A376,COLUMN())</f>
        <v>0</v>
      </c>
      <c r="J376" s="190">
        <f>INDEX('Used inputs'!$A$229:$O$243,$A376,COLUMN())</f>
        <v>0</v>
      </c>
      <c r="K376" s="165">
        <f>INDEX('Used inputs'!$A$229:$O$243,$A376,COLUMN())</f>
        <v>0</v>
      </c>
      <c r="L376" s="165">
        <f>INDEX('Used inputs'!$A$229:$O$243,$A376,COLUMN())</f>
        <v>0</v>
      </c>
      <c r="M376" s="165">
        <f>INDEX('Used inputs'!$A$229:$O$243,$A376,COLUMN())</f>
        <v>0</v>
      </c>
      <c r="N376" s="165">
        <f>INDEX('Used inputs'!$A$229:$O$243,$A376,COLUMN())</f>
        <v>0</v>
      </c>
      <c r="O376" s="165">
        <f>INDEX('Used inputs'!$A$229:$O$243,$A376,COLUMN())</f>
        <v>0</v>
      </c>
    </row>
    <row r="377" spans="1:17" s="53" customFormat="1">
      <c r="A377" s="110"/>
      <c r="B377" s="57"/>
      <c r="C377" s="56"/>
      <c r="D377" s="55"/>
      <c r="E377" s="59"/>
      <c r="F377" s="129"/>
      <c r="G377" s="129"/>
      <c r="H377" s="129"/>
      <c r="I377" s="129"/>
      <c r="J377" s="190"/>
      <c r="K377" s="61"/>
      <c r="L377" s="61"/>
      <c r="M377" s="61"/>
      <c r="N377" s="61"/>
      <c r="O377" s="61"/>
    </row>
    <row r="378" spans="1:17" s="11" customFormat="1">
      <c r="A378" s="27"/>
      <c r="B378" s="28"/>
      <c r="C378" s="29"/>
      <c r="D378" s="30"/>
      <c r="E378" s="32" t="s">
        <v>402</v>
      </c>
      <c r="F378" s="31"/>
      <c r="G378" s="31"/>
      <c r="H378" s="31"/>
      <c r="I378" s="31"/>
      <c r="J378" s="44"/>
      <c r="K378" s="31"/>
      <c r="L378" s="31"/>
      <c r="M378" s="31"/>
      <c r="N378" s="31"/>
      <c r="O378" s="31"/>
      <c r="Q378" s="53"/>
    </row>
    <row r="379" spans="1:17" s="53" customFormat="1">
      <c r="A379" s="85">
        <f>+A$19</f>
        <v>7</v>
      </c>
      <c r="B379" s="57"/>
      <c r="C379" s="56"/>
      <c r="D379" s="55" t="s">
        <v>29</v>
      </c>
      <c r="E379" s="59" t="s">
        <v>89</v>
      </c>
      <c r="F379" s="129">
        <f>INDEX('Used inputs'!$A$229:$O$243,$A379,COLUMN())</f>
        <v>76.569999999999993</v>
      </c>
      <c r="G379" s="129">
        <f>INDEX('Used inputs'!$A$229:$O$243,$A379,COLUMN())</f>
        <v>73.33</v>
      </c>
      <c r="H379" s="129">
        <f>INDEX('Used inputs'!$A$229:$O$243,$A379,COLUMN())</f>
        <v>69.78</v>
      </c>
      <c r="I379" s="129">
        <f>INDEX('Used inputs'!$A$229:$O$243,$A379,COLUMN())</f>
        <v>66.679000000000002</v>
      </c>
      <c r="J379" s="190">
        <f>INDEX('Used inputs'!$A$229:$O$243,$A379,COLUMN())</f>
        <v>63.353999999999999</v>
      </c>
      <c r="K379" s="165">
        <f>INDEX('Used inputs'!$A$229:$O$243,$A379,COLUMN())</f>
        <v>59.764000000000003</v>
      </c>
      <c r="L379" s="165">
        <f>INDEX('Used inputs'!$A$229:$O$243,$A379,COLUMN())</f>
        <v>56.173999999999999</v>
      </c>
      <c r="M379" s="165">
        <f>INDEX('Used inputs'!$A$229:$O$243,$A379,COLUMN())</f>
        <v>52.584000000000003</v>
      </c>
      <c r="N379" s="165">
        <f>INDEX('Used inputs'!$A$229:$O$243,$A379,COLUMN())</f>
        <v>48.994</v>
      </c>
      <c r="O379" s="165">
        <f>INDEX('Used inputs'!$A$229:$O$243,$A379,COLUMN())</f>
        <v>45.404000000000003</v>
      </c>
    </row>
    <row r="380" spans="1:17" s="53" customFormat="1">
      <c r="A380" s="85">
        <f>+A$20</f>
        <v>8</v>
      </c>
      <c r="B380" s="57"/>
      <c r="C380" s="56"/>
      <c r="D380" s="55" t="s">
        <v>29</v>
      </c>
      <c r="E380" s="59" t="s">
        <v>90</v>
      </c>
      <c r="F380" s="129">
        <f>INDEX('Used inputs'!$A$229:$O$243,$A380,COLUMN())</f>
        <v>105.9</v>
      </c>
      <c r="G380" s="129">
        <f>INDEX('Used inputs'!$A$229:$O$243,$A380,COLUMN())</f>
        <v>110.59</v>
      </c>
      <c r="H380" s="129">
        <f>INDEX('Used inputs'!$A$229:$O$243,$A380,COLUMN())</f>
        <v>115.17</v>
      </c>
      <c r="I380" s="129">
        <f>INDEX('Used inputs'!$A$229:$O$243,$A380,COLUMN())</f>
        <v>119.232</v>
      </c>
      <c r="J380" s="190">
        <f>INDEX('Used inputs'!$A$229:$O$243,$A380,COLUMN())</f>
        <v>123.50700000000001</v>
      </c>
      <c r="K380" s="165">
        <f>INDEX('Used inputs'!$A$229:$O$243,$A380,COLUMN())</f>
        <v>127.999</v>
      </c>
      <c r="L380" s="165">
        <f>INDEX('Used inputs'!$A$229:$O$243,$A380,COLUMN())</f>
        <v>132.67400000000001</v>
      </c>
      <c r="M380" s="165">
        <f>INDEX('Used inputs'!$A$229:$O$243,$A380,COLUMN())</f>
        <v>137.482</v>
      </c>
      <c r="N380" s="165">
        <f>INDEX('Used inputs'!$A$229:$O$243,$A380,COLUMN())</f>
        <v>142.19200000000001</v>
      </c>
      <c r="O380" s="165">
        <f>INDEX('Used inputs'!$A$229:$O$243,$A380,COLUMN())</f>
        <v>146.845</v>
      </c>
    </row>
    <row r="381" spans="1:17" s="53" customFormat="1">
      <c r="A381" s="85">
        <f>+A$21</f>
        <v>9</v>
      </c>
      <c r="B381" s="57"/>
      <c r="C381" s="56"/>
      <c r="D381" s="55" t="s">
        <v>29</v>
      </c>
      <c r="E381" s="59" t="s">
        <v>91</v>
      </c>
      <c r="F381" s="129">
        <f>INDEX('Used inputs'!$A$229:$O$243,$A381,COLUMN())</f>
        <v>0</v>
      </c>
      <c r="G381" s="129">
        <f>INDEX('Used inputs'!$A$229:$O$243,$A381,COLUMN())</f>
        <v>0</v>
      </c>
      <c r="H381" s="129">
        <f>INDEX('Used inputs'!$A$229:$O$243,$A381,COLUMN())</f>
        <v>0</v>
      </c>
      <c r="I381" s="129">
        <f>INDEX('Used inputs'!$A$229:$O$243,$A381,COLUMN())</f>
        <v>0</v>
      </c>
      <c r="J381" s="190">
        <f>INDEX('Used inputs'!$A$229:$O$243,$A381,COLUMN())</f>
        <v>0</v>
      </c>
      <c r="K381" s="165">
        <f>INDEX('Used inputs'!$A$229:$O$243,$A381,COLUMN())</f>
        <v>0</v>
      </c>
      <c r="L381" s="165">
        <f>INDEX('Used inputs'!$A$229:$O$243,$A381,COLUMN())</f>
        <v>0</v>
      </c>
      <c r="M381" s="165">
        <f>INDEX('Used inputs'!$A$229:$O$243,$A381,COLUMN())</f>
        <v>0</v>
      </c>
      <c r="N381" s="165">
        <f>INDEX('Used inputs'!$A$229:$O$243,$A381,COLUMN())</f>
        <v>0</v>
      </c>
      <c r="O381" s="165">
        <f>INDEX('Used inputs'!$A$229:$O$243,$A381,COLUMN())</f>
        <v>0</v>
      </c>
    </row>
    <row r="382" spans="1:17" s="53" customFormat="1">
      <c r="A382" s="85">
        <f>+A$22</f>
        <v>10</v>
      </c>
      <c r="B382" s="57"/>
      <c r="C382" s="56"/>
      <c r="D382" s="55" t="s">
        <v>29</v>
      </c>
      <c r="E382" s="59" t="s">
        <v>92</v>
      </c>
      <c r="F382" s="129">
        <f>INDEX('Used inputs'!$A$229:$O$243,$A382,COLUMN())</f>
        <v>0</v>
      </c>
      <c r="G382" s="129">
        <f>INDEX('Used inputs'!$A$229:$O$243,$A382,COLUMN())</f>
        <v>0</v>
      </c>
      <c r="H382" s="129">
        <f>INDEX('Used inputs'!$A$229:$O$243,$A382,COLUMN())</f>
        <v>0</v>
      </c>
      <c r="I382" s="129">
        <f>INDEX('Used inputs'!$A$229:$O$243,$A382,COLUMN())</f>
        <v>0</v>
      </c>
      <c r="J382" s="190">
        <f>INDEX('Used inputs'!$A$229:$O$243,$A382,COLUMN())</f>
        <v>0</v>
      </c>
      <c r="K382" s="165">
        <f>INDEX('Used inputs'!$A$229:$O$243,$A382,COLUMN())</f>
        <v>0</v>
      </c>
      <c r="L382" s="165">
        <f>INDEX('Used inputs'!$A$229:$O$243,$A382,COLUMN())</f>
        <v>0</v>
      </c>
      <c r="M382" s="165">
        <f>INDEX('Used inputs'!$A$229:$O$243,$A382,COLUMN())</f>
        <v>0</v>
      </c>
      <c r="N382" s="165">
        <f>INDEX('Used inputs'!$A$229:$O$243,$A382,COLUMN())</f>
        <v>0</v>
      </c>
      <c r="O382" s="165">
        <f>INDEX('Used inputs'!$A$229:$O$243,$A382,COLUMN())</f>
        <v>0</v>
      </c>
    </row>
    <row r="383" spans="1:17" s="53" customFormat="1">
      <c r="A383" s="85">
        <f>+A$23</f>
        <v>11</v>
      </c>
      <c r="B383" s="57"/>
      <c r="C383" s="56"/>
      <c r="D383" s="55" t="s">
        <v>29</v>
      </c>
      <c r="E383" s="59" t="s">
        <v>93</v>
      </c>
      <c r="F383" s="129">
        <f>INDEX('Used inputs'!$A$229:$O$243,$A383,COLUMN())</f>
        <v>0</v>
      </c>
      <c r="G383" s="129">
        <f>INDEX('Used inputs'!$A$229:$O$243,$A383,COLUMN())</f>
        <v>0</v>
      </c>
      <c r="H383" s="129">
        <f>INDEX('Used inputs'!$A$229:$O$243,$A383,COLUMN())</f>
        <v>0</v>
      </c>
      <c r="I383" s="129">
        <f>INDEX('Used inputs'!$A$229:$O$243,$A383,COLUMN())</f>
        <v>0</v>
      </c>
      <c r="J383" s="190">
        <f>INDEX('Used inputs'!$A$229:$O$243,$A383,COLUMN())</f>
        <v>0</v>
      </c>
      <c r="K383" s="165">
        <f>INDEX('Used inputs'!$A$229:$O$243,$A383,COLUMN())</f>
        <v>0</v>
      </c>
      <c r="L383" s="165">
        <f>INDEX('Used inputs'!$A$229:$O$243,$A383,COLUMN())</f>
        <v>0</v>
      </c>
      <c r="M383" s="165">
        <f>INDEX('Used inputs'!$A$229:$O$243,$A383,COLUMN())</f>
        <v>0</v>
      </c>
      <c r="N383" s="165">
        <f>INDEX('Used inputs'!$A$229:$O$243,$A383,COLUMN())</f>
        <v>0</v>
      </c>
      <c r="O383" s="165">
        <f>INDEX('Used inputs'!$A$229:$O$243,$A383,COLUMN())</f>
        <v>0</v>
      </c>
    </row>
    <row r="384" spans="1:17" s="53" customFormat="1">
      <c r="A384" s="85">
        <f>+A$24</f>
        <v>12</v>
      </c>
      <c r="B384" s="57"/>
      <c r="C384" s="56"/>
      <c r="D384" s="55" t="s">
        <v>29</v>
      </c>
      <c r="E384" s="59" t="s">
        <v>94</v>
      </c>
      <c r="F384" s="129">
        <f>INDEX('Used inputs'!$A$229:$O$243,$A384,COLUMN())</f>
        <v>0</v>
      </c>
      <c r="G384" s="129">
        <f>INDEX('Used inputs'!$A$229:$O$243,$A384,COLUMN())</f>
        <v>0</v>
      </c>
      <c r="H384" s="129">
        <f>INDEX('Used inputs'!$A$229:$O$243,$A384,COLUMN())</f>
        <v>0</v>
      </c>
      <c r="I384" s="129">
        <f>INDEX('Used inputs'!$A$229:$O$243,$A384,COLUMN())</f>
        <v>0</v>
      </c>
      <c r="J384" s="190">
        <f>INDEX('Used inputs'!$A$229:$O$243,$A384,COLUMN())</f>
        <v>0</v>
      </c>
      <c r="K384" s="165">
        <f>INDEX('Used inputs'!$A$229:$O$243,$A384,COLUMN())</f>
        <v>0</v>
      </c>
      <c r="L384" s="165">
        <f>INDEX('Used inputs'!$A$229:$O$243,$A384,COLUMN())</f>
        <v>0</v>
      </c>
      <c r="M384" s="165">
        <f>INDEX('Used inputs'!$A$229:$O$243,$A384,COLUMN())</f>
        <v>0</v>
      </c>
      <c r="N384" s="165">
        <f>INDEX('Used inputs'!$A$229:$O$243,$A384,COLUMN())</f>
        <v>0</v>
      </c>
      <c r="O384" s="165">
        <f>INDEX('Used inputs'!$A$229:$O$243,$A384,COLUMN())</f>
        <v>0</v>
      </c>
    </row>
    <row r="385" spans="1:17" s="53" customFormat="1">
      <c r="A385" s="110"/>
      <c r="B385" s="57"/>
      <c r="C385" s="56"/>
      <c r="D385" s="55"/>
      <c r="E385" s="59"/>
      <c r="F385" s="129"/>
      <c r="G385" s="129"/>
      <c r="H385" s="129"/>
      <c r="I385" s="129"/>
      <c r="J385" s="190"/>
      <c r="K385" s="61"/>
      <c r="L385" s="61"/>
      <c r="M385" s="61"/>
      <c r="N385" s="61"/>
      <c r="O385" s="61"/>
    </row>
    <row r="386" spans="1:17" s="11" customFormat="1">
      <c r="A386" s="27"/>
      <c r="B386" s="28"/>
      <c r="C386" s="29"/>
      <c r="D386" s="181"/>
      <c r="E386" s="33" t="s">
        <v>403</v>
      </c>
      <c r="F386" s="31"/>
      <c r="G386" s="31"/>
      <c r="H386" s="31"/>
      <c r="I386" s="31"/>
      <c r="J386" s="44"/>
      <c r="K386" s="31"/>
      <c r="L386" s="31"/>
      <c r="M386" s="31"/>
      <c r="N386" s="31"/>
      <c r="O386" s="31"/>
      <c r="Q386" s="53"/>
    </row>
    <row r="387" spans="1:17" s="53" customFormat="1">
      <c r="A387" s="85">
        <f>+A$27</f>
        <v>13</v>
      </c>
      <c r="B387" s="57"/>
      <c r="C387" s="56"/>
      <c r="D387" s="55" t="s">
        <v>29</v>
      </c>
      <c r="E387" s="182" t="s">
        <v>323</v>
      </c>
      <c r="F387" s="129"/>
      <c r="G387" s="129"/>
      <c r="H387" s="129"/>
      <c r="I387" s="165">
        <f>INDEX('Used inputs'!$A$229:$O$243,$A387+1,COLUMN())+INDEX('Used inputs'!$A$229:$O$243,$A387+2,COLUMN())</f>
        <v>0.14506753857157453</v>
      </c>
      <c r="J387" s="243">
        <f>INDEX('Used inputs'!$A$229:$O$243,$A387+1,COLUMN())+INDEX('Used inputs'!$A$229:$O$243,$A387+2,COLUMN())</f>
        <v>0.45989496270562996</v>
      </c>
      <c r="K387" s="165">
        <f>INDEX('Used inputs'!$A$229:$O$243,$A387+1,COLUMN())+INDEX('Used inputs'!$A$229:$O$243,$A387+2,COLUMN())</f>
        <v>8.2203646489818066E-2</v>
      </c>
      <c r="L387" s="165">
        <f>INDEX('Used inputs'!$A$229:$O$243,$A387+1,COLUMN())+INDEX('Used inputs'!$A$229:$O$243,$A387+2,COLUMN())</f>
        <v>8.2203646489818066E-2</v>
      </c>
      <c r="M387" s="165">
        <f>INDEX('Used inputs'!$A$229:$O$243,$A387+1,COLUMN())+INDEX('Used inputs'!$A$229:$O$243,$A387+2,COLUMN())</f>
        <v>8.2203646489818066E-2</v>
      </c>
      <c r="N387" s="165">
        <f>INDEX('Used inputs'!$A$229:$O$243,$A387+1,COLUMN())+INDEX('Used inputs'!$A$229:$O$243,$A387+2,COLUMN())</f>
        <v>8.2203646489818066E-2</v>
      </c>
      <c r="O387" s="165">
        <f>INDEX('Used inputs'!$A$229:$O$243,$A387+1,COLUMN())+INDEX('Used inputs'!$A$229:$O$243,$A387+2,COLUMN())</f>
        <v>8.2203646489818066E-2</v>
      </c>
    </row>
    <row r="388" spans="1:17" s="53" customFormat="1">
      <c r="A388" s="85"/>
      <c r="B388" s="57"/>
      <c r="C388" s="56"/>
      <c r="D388" s="55"/>
      <c r="E388" s="182"/>
      <c r="F388" s="129"/>
      <c r="G388" s="129"/>
      <c r="H388" s="129"/>
      <c r="I388" s="129"/>
      <c r="J388" s="190"/>
      <c r="K388" s="165"/>
      <c r="L388" s="165"/>
      <c r="M388" s="165"/>
      <c r="N388" s="165"/>
      <c r="O388" s="165"/>
    </row>
    <row r="389" spans="1:17" s="53" customFormat="1">
      <c r="A389" s="85"/>
      <c r="B389" s="57"/>
      <c r="C389" s="56"/>
      <c r="D389" s="55"/>
      <c r="E389" s="59"/>
      <c r="F389" s="129"/>
      <c r="G389" s="129"/>
      <c r="H389" s="129"/>
      <c r="I389" s="129"/>
      <c r="J389" s="190"/>
      <c r="K389" s="61"/>
      <c r="L389" s="61"/>
      <c r="M389" s="61"/>
      <c r="N389" s="61"/>
      <c r="O389" s="61"/>
    </row>
    <row r="390" spans="1:17">
      <c r="A390" s="82"/>
      <c r="B390" s="31"/>
      <c r="C390" s="38" t="str">
        <f>INDEX('Used inputs'!$A$244:$O$255,1,1)</f>
        <v>SEW</v>
      </c>
      <c r="D390" s="39"/>
      <c r="E390" s="48"/>
      <c r="F390" s="31"/>
      <c r="G390" s="31"/>
      <c r="H390" s="31"/>
      <c r="I390" s="31"/>
      <c r="J390" s="44"/>
      <c r="K390" s="31"/>
      <c r="L390" s="31"/>
      <c r="M390" s="31"/>
      <c r="N390" s="31"/>
      <c r="O390" s="31"/>
      <c r="Q390" s="53"/>
    </row>
    <row r="391" spans="1:17">
      <c r="A391" s="83"/>
      <c r="B391" s="16"/>
      <c r="C391" s="17"/>
      <c r="D391" s="18"/>
      <c r="E391" s="19"/>
      <c r="F391" s="16"/>
      <c r="G391" s="16"/>
      <c r="H391" s="16"/>
      <c r="I391" s="16"/>
      <c r="J391" s="220"/>
      <c r="K391" s="134"/>
      <c r="L391" s="134"/>
      <c r="M391" s="134"/>
      <c r="N391" s="134"/>
      <c r="O391" s="134"/>
      <c r="Q391" s="53"/>
    </row>
    <row r="392" spans="1:17" s="11" customFormat="1">
      <c r="A392" s="84"/>
      <c r="B392" s="28"/>
      <c r="C392" s="29" t="s">
        <v>23</v>
      </c>
      <c r="D392" s="47" t="s">
        <v>24</v>
      </c>
      <c r="E392" s="33" t="s">
        <v>404</v>
      </c>
      <c r="F392" s="31"/>
      <c r="G392" s="31"/>
      <c r="H392" s="31"/>
      <c r="I392" s="31"/>
      <c r="J392" s="44"/>
      <c r="K392" s="31"/>
      <c r="L392" s="31"/>
      <c r="M392" s="31"/>
      <c r="N392" s="31"/>
      <c r="O392" s="31"/>
      <c r="Q392" s="53"/>
    </row>
    <row r="393" spans="1:17" s="53" customFormat="1">
      <c r="A393" s="85">
        <f>+A$9</f>
        <v>1</v>
      </c>
      <c r="B393" s="57"/>
      <c r="C393" s="56"/>
      <c r="D393" s="55" t="s">
        <v>10</v>
      </c>
      <c r="E393" s="59" t="s">
        <v>132</v>
      </c>
      <c r="F393" s="129">
        <f>INDEX('Used inputs'!$A$244:$O$258,$A393,COLUMN())</f>
        <v>19.162869118876408</v>
      </c>
      <c r="G393" s="129">
        <f>INDEX('Used inputs'!$A$244:$O$258,$A393,COLUMN())</f>
        <v>18.841351087283694</v>
      </c>
      <c r="H393" s="129">
        <f>INDEX('Used inputs'!$A$244:$O$258,$A393,COLUMN())</f>
        <v>18.598355905951387</v>
      </c>
      <c r="I393" s="129">
        <f ca="1">INDEX('Used inputs'!$A$244:$O$258,$A393,COLUMN())</f>
        <v>18.679836401278951</v>
      </c>
      <c r="J393" s="190">
        <f>INDEX('Used inputs'!$A$244:$O$258,$A393,COLUMN())</f>
        <v>19.497645539284147</v>
      </c>
      <c r="K393" s="165">
        <f ca="1">INDEX('Used inputs'!$A$244:$O$258,$A393,COLUMN())</f>
        <v>18.163730243838572</v>
      </c>
      <c r="L393" s="165">
        <f ca="1">INDEX('Used inputs'!$A$244:$O$258,$A393,COLUMN())</f>
        <v>18.640890270985789</v>
      </c>
      <c r="M393" s="165">
        <f ca="1">INDEX('Used inputs'!$A$244:$O$258,$A393,COLUMN())</f>
        <v>19.118950042975023</v>
      </c>
      <c r="N393" s="165">
        <f ca="1">INDEX('Used inputs'!$A$244:$O$258,$A393,COLUMN())</f>
        <v>19.578353230048798</v>
      </c>
      <c r="O393" s="165">
        <f ca="1">INDEX('Used inputs'!$A$244:$O$258,$A393,COLUMN())</f>
        <v>20.033135626986198</v>
      </c>
    </row>
    <row r="394" spans="1:17" s="53" customFormat="1">
      <c r="A394" s="85">
        <f>+A$10</f>
        <v>2</v>
      </c>
      <c r="B394" s="57"/>
      <c r="C394" s="56"/>
      <c r="D394" s="55" t="s">
        <v>10</v>
      </c>
      <c r="E394" s="114" t="s">
        <v>99</v>
      </c>
      <c r="F394" s="129">
        <f>INDEX('Used inputs'!$A$244:$O$258,$A394,COLUMN())</f>
        <v>1.2226809434448203</v>
      </c>
      <c r="G394" s="129">
        <f>INDEX('Used inputs'!$A$244:$O$258,$A394,COLUMN())</f>
        <v>1.2017016256451702</v>
      </c>
      <c r="H394" s="129">
        <f>INDEX('Used inputs'!$A$244:$O$258,$A394,COLUMN())</f>
        <v>0.99078042301011549</v>
      </c>
      <c r="I394" s="129">
        <f>INDEX('Used inputs'!$A$244:$O$258,$A394,COLUMN())</f>
        <v>1.4719999999999998</v>
      </c>
      <c r="J394" s="190">
        <f>INDEX('Used inputs'!$A$244:$O$258,$A394,COLUMN())</f>
        <v>0.83027739611646334</v>
      </c>
      <c r="K394" s="165">
        <f>INDEX('Used inputs'!$A$244:$O$258,$A394,COLUMN())</f>
        <v>1.5214187796038001</v>
      </c>
      <c r="L394" s="165">
        <f>INDEX('Used inputs'!$A$244:$O$258,$A394,COLUMN())</f>
        <v>1.3384513637677733</v>
      </c>
      <c r="M394" s="165">
        <f>INDEX('Used inputs'!$A$244:$O$258,$A394,COLUMN())</f>
        <v>0.74608361570206461</v>
      </c>
      <c r="N394" s="165">
        <f>INDEX('Used inputs'!$A$244:$O$258,$A394,COLUMN())</f>
        <v>0.40844904089635437</v>
      </c>
      <c r="O394" s="165">
        <f>INDEX('Used inputs'!$A$244:$O$258,$A394,COLUMN())</f>
        <v>0.25851676541075891</v>
      </c>
    </row>
    <row r="395" spans="1:17" s="53" customFormat="1">
      <c r="A395" s="85">
        <f>+A$11</f>
        <v>3</v>
      </c>
      <c r="B395" s="57"/>
      <c r="C395" s="56"/>
      <c r="D395" s="55" t="s">
        <v>10</v>
      </c>
      <c r="E395" s="114" t="s">
        <v>100</v>
      </c>
      <c r="F395" s="129">
        <f>INDEX('Used inputs'!$A$244:$O$258,$A395,COLUMN())</f>
        <v>0</v>
      </c>
      <c r="G395" s="129">
        <f>INDEX('Used inputs'!$A$244:$O$258,$A395,COLUMN())</f>
        <v>0</v>
      </c>
      <c r="H395" s="129">
        <f>INDEX('Used inputs'!$A$244:$O$258,$A395,COLUMN())</f>
        <v>0</v>
      </c>
      <c r="I395" s="129">
        <f>INDEX('Used inputs'!$A$244:$O$258,$A395,COLUMN())</f>
        <v>0</v>
      </c>
      <c r="J395" s="190">
        <f>INDEX('Used inputs'!$A$244:$O$258,$A395,COLUMN())</f>
        <v>0</v>
      </c>
      <c r="K395" s="165">
        <f>INDEX('Used inputs'!$A$244:$O$258,$A395,COLUMN())</f>
        <v>0.10292478754693636</v>
      </c>
      <c r="L395" s="165">
        <f>INDEX('Used inputs'!$A$244:$O$258,$A395,COLUMN())</f>
        <v>0.37525651961549078</v>
      </c>
      <c r="M395" s="165">
        <f>INDEX('Used inputs'!$A$244:$O$258,$A395,COLUMN())</f>
        <v>0.655669238635884</v>
      </c>
      <c r="N395" s="165">
        <f>INDEX('Used inputs'!$A$244:$O$258,$A395,COLUMN())</f>
        <v>0.86335278878759569</v>
      </c>
      <c r="O395" s="165">
        <f>INDEX('Used inputs'!$A$244:$O$258,$A395,COLUMN())</f>
        <v>1.0845976510465949</v>
      </c>
    </row>
    <row r="396" spans="1:17" s="53" customFormat="1">
      <c r="A396" s="110"/>
      <c r="B396" s="57"/>
      <c r="C396" s="56"/>
      <c r="D396" s="55"/>
      <c r="E396" s="59"/>
      <c r="F396" s="129"/>
      <c r="G396" s="129"/>
      <c r="H396" s="129"/>
      <c r="I396" s="129"/>
      <c r="J396" s="190"/>
      <c r="K396" s="61"/>
      <c r="L396" s="61"/>
      <c r="M396" s="61"/>
      <c r="N396" s="61"/>
      <c r="O396" s="61"/>
    </row>
    <row r="397" spans="1:17" s="11" customFormat="1">
      <c r="A397" s="27"/>
      <c r="B397" s="28"/>
      <c r="C397" s="29"/>
      <c r="D397" s="30"/>
      <c r="E397" s="32" t="s">
        <v>405</v>
      </c>
      <c r="F397" s="31"/>
      <c r="G397" s="31"/>
      <c r="H397" s="31"/>
      <c r="I397" s="31"/>
      <c r="J397" s="44"/>
      <c r="K397" s="31"/>
      <c r="L397" s="31"/>
      <c r="M397" s="31"/>
      <c r="N397" s="31"/>
      <c r="O397" s="31"/>
      <c r="Q397" s="53"/>
    </row>
    <row r="398" spans="1:17" s="53" customFormat="1">
      <c r="A398" s="85">
        <f>+A$14</f>
        <v>4</v>
      </c>
      <c r="B398" s="56" t="s">
        <v>40</v>
      </c>
      <c r="C398" s="56"/>
      <c r="D398" s="55" t="s">
        <v>10</v>
      </c>
      <c r="E398" s="59" t="s">
        <v>135</v>
      </c>
      <c r="F398" s="129">
        <f>INDEX('Used inputs'!$A$244:$O$258,$A398,COLUMN())</f>
        <v>2.4638786653535036</v>
      </c>
      <c r="G398" s="129">
        <f>INDEX('Used inputs'!$A$244:$O$258,$A398,COLUMN())</f>
        <v>2.5881843616631248</v>
      </c>
      <c r="H398" s="129">
        <f>INDEX('Used inputs'!$A$244:$O$258,$A398,COLUMN())</f>
        <v>2.9648885037476056</v>
      </c>
      <c r="I398" s="129">
        <f>INDEX('Used inputs'!$A$244:$O$258,$A398,COLUMN())</f>
        <v>3.4937241828488443</v>
      </c>
      <c r="J398" s="190">
        <f>INDEX('Used inputs'!$A$244:$O$258,$A398,COLUMN())</f>
        <v>3.8900968559117799</v>
      </c>
      <c r="K398" s="165">
        <f>INDEX('Used inputs'!$A$244:$O$258,$A398,COLUMN())</f>
        <v>4.2221752717606185</v>
      </c>
      <c r="L398" s="165">
        <f>INDEX('Used inputs'!$A$244:$O$258,$A398,COLUMN())</f>
        <v>4.5497685230815206</v>
      </c>
      <c r="M398" s="165">
        <f>INDEX('Used inputs'!$A$244:$O$258,$A398,COLUMN())</f>
        <v>4.8726148378291976</v>
      </c>
      <c r="N398" s="165">
        <f>INDEX('Used inputs'!$A$244:$O$258,$A398,COLUMN())</f>
        <v>5.1878149453960392</v>
      </c>
      <c r="O398" s="165">
        <f>INDEX('Used inputs'!$A$244:$O$258,$A398,COLUMN())</f>
        <v>5.4992422525439704</v>
      </c>
    </row>
    <row r="399" spans="1:17" s="53" customFormat="1">
      <c r="A399" s="85">
        <f>+A$15</f>
        <v>5</v>
      </c>
      <c r="B399" s="56" t="s">
        <v>41</v>
      </c>
      <c r="C399" s="56"/>
      <c r="D399" s="55" t="s">
        <v>10</v>
      </c>
      <c r="E399" s="59" t="s">
        <v>136</v>
      </c>
      <c r="F399" s="129">
        <f>INDEX('Used inputs'!$A$244:$O$258,$A399,COLUMN())</f>
        <v>0</v>
      </c>
      <c r="G399" s="129">
        <f>INDEX('Used inputs'!$A$244:$O$258,$A399,COLUMN())</f>
        <v>0</v>
      </c>
      <c r="H399" s="129">
        <f>INDEX('Used inputs'!$A$244:$O$258,$A399,COLUMN())</f>
        <v>0</v>
      </c>
      <c r="I399" s="129">
        <f>INDEX('Used inputs'!$A$244:$O$258,$A399,COLUMN())</f>
        <v>0</v>
      </c>
      <c r="J399" s="190">
        <f>INDEX('Used inputs'!$A$244:$O$258,$A399,COLUMN())</f>
        <v>0</v>
      </c>
      <c r="K399" s="165">
        <f>INDEX('Used inputs'!$A$244:$O$258,$A399,COLUMN())</f>
        <v>0</v>
      </c>
      <c r="L399" s="165">
        <f>INDEX('Used inputs'!$A$244:$O$258,$A399,COLUMN())</f>
        <v>0</v>
      </c>
      <c r="M399" s="165">
        <f>INDEX('Used inputs'!$A$244:$O$258,$A399,COLUMN())</f>
        <v>0</v>
      </c>
      <c r="N399" s="165">
        <f>INDEX('Used inputs'!$A$244:$O$258,$A399,COLUMN())</f>
        <v>0</v>
      </c>
      <c r="O399" s="165">
        <f>INDEX('Used inputs'!$A$244:$O$258,$A399,COLUMN())</f>
        <v>0</v>
      </c>
    </row>
    <row r="400" spans="1:17" s="53" customFormat="1">
      <c r="A400" s="85">
        <f>+A$16</f>
        <v>6</v>
      </c>
      <c r="B400" s="56" t="s">
        <v>42</v>
      </c>
      <c r="C400" s="56"/>
      <c r="D400" s="55" t="s">
        <v>10</v>
      </c>
      <c r="E400" s="59" t="s">
        <v>137</v>
      </c>
      <c r="F400" s="129">
        <f>INDEX('Used inputs'!$A$244:$O$258,$A400,COLUMN())</f>
        <v>0</v>
      </c>
      <c r="G400" s="129">
        <f>INDEX('Used inputs'!$A$244:$O$258,$A400,COLUMN())</f>
        <v>0</v>
      </c>
      <c r="H400" s="129">
        <f>INDEX('Used inputs'!$A$244:$O$258,$A400,COLUMN())</f>
        <v>0</v>
      </c>
      <c r="I400" s="129">
        <f>INDEX('Used inputs'!$A$244:$O$258,$A400,COLUMN())</f>
        <v>0</v>
      </c>
      <c r="J400" s="190">
        <f>INDEX('Used inputs'!$A$244:$O$258,$A400,COLUMN())</f>
        <v>0</v>
      </c>
      <c r="K400" s="165">
        <f>INDEX('Used inputs'!$A$244:$O$258,$A400,COLUMN())</f>
        <v>0</v>
      </c>
      <c r="L400" s="165">
        <f>INDEX('Used inputs'!$A$244:$O$258,$A400,COLUMN())</f>
        <v>0</v>
      </c>
      <c r="M400" s="165">
        <f>INDEX('Used inputs'!$A$244:$O$258,$A400,COLUMN())</f>
        <v>0</v>
      </c>
      <c r="N400" s="165">
        <f>INDEX('Used inputs'!$A$244:$O$258,$A400,COLUMN())</f>
        <v>0</v>
      </c>
      <c r="O400" s="165">
        <f>INDEX('Used inputs'!$A$244:$O$258,$A400,COLUMN())</f>
        <v>0</v>
      </c>
    </row>
    <row r="401" spans="1:17" s="53" customFormat="1">
      <c r="A401" s="110"/>
      <c r="B401" s="57"/>
      <c r="C401" s="56"/>
      <c r="D401" s="55"/>
      <c r="E401" s="59"/>
      <c r="F401" s="129"/>
      <c r="G401" s="129"/>
      <c r="H401" s="129"/>
      <c r="I401" s="129"/>
      <c r="J401" s="190"/>
      <c r="K401" s="61"/>
      <c r="L401" s="61"/>
      <c r="M401" s="61"/>
      <c r="N401" s="61"/>
      <c r="O401" s="61"/>
    </row>
    <row r="402" spans="1:17" s="11" customFormat="1">
      <c r="A402" s="27"/>
      <c r="B402" s="28"/>
      <c r="C402" s="29"/>
      <c r="D402" s="30"/>
      <c r="E402" s="32" t="s">
        <v>406</v>
      </c>
      <c r="F402" s="31"/>
      <c r="G402" s="31"/>
      <c r="H402" s="31"/>
      <c r="I402" s="31"/>
      <c r="J402" s="44"/>
      <c r="K402" s="31"/>
      <c r="L402" s="31"/>
      <c r="M402" s="31"/>
      <c r="N402" s="31"/>
      <c r="O402" s="31"/>
      <c r="Q402" s="53"/>
    </row>
    <row r="403" spans="1:17" s="53" customFormat="1">
      <c r="A403" s="85">
        <f>+A$19</f>
        <v>7</v>
      </c>
      <c r="B403" s="57"/>
      <c r="C403" s="56"/>
      <c r="D403" s="55" t="s">
        <v>29</v>
      </c>
      <c r="E403" s="59" t="s">
        <v>89</v>
      </c>
      <c r="F403" s="129">
        <f>INDEX('Used inputs'!$A$244:$O$258,$A403,COLUMN())</f>
        <v>448.61500000000001</v>
      </c>
      <c r="G403" s="129">
        <f>INDEX('Used inputs'!$A$244:$O$258,$A403,COLUMN())</f>
        <v>437.72</v>
      </c>
      <c r="H403" s="129">
        <f>INDEX('Used inputs'!$A$244:$O$258,$A403,COLUMN())</f>
        <v>392.49005128205101</v>
      </c>
      <c r="I403" s="129">
        <f>INDEX('Used inputs'!$A$244:$O$258,$A403,COLUMN())</f>
        <v>325.05200000000002</v>
      </c>
      <c r="J403" s="190">
        <f>INDEX('Used inputs'!$A$244:$O$258,$A403,COLUMN())</f>
        <v>276.96467006462598</v>
      </c>
      <c r="K403" s="165">
        <f>INDEX('Used inputs'!$A$244:$O$258,$A403,COLUMN())</f>
        <v>237.65425522721301</v>
      </c>
      <c r="L403" s="165">
        <f>INDEX('Used inputs'!$A$244:$O$258,$A403,COLUMN())</f>
        <v>199.321225144583</v>
      </c>
      <c r="M403" s="165">
        <f>INDEX('Used inputs'!$A$244:$O$258,$A403,COLUMN())</f>
        <v>161.965579816738</v>
      </c>
      <c r="N403" s="165">
        <f>INDEX('Used inputs'!$A$244:$O$258,$A403,COLUMN())</f>
        <v>125.098626866285</v>
      </c>
      <c r="O403" s="165">
        <f>INDEX('Used inputs'!$A$244:$O$258,$A403,COLUMN())</f>
        <v>88.720366293223194</v>
      </c>
    </row>
    <row r="404" spans="1:17" s="53" customFormat="1">
      <c r="A404" s="85">
        <f>+A$20</f>
        <v>8</v>
      </c>
      <c r="B404" s="57"/>
      <c r="C404" s="56"/>
      <c r="D404" s="55" t="s">
        <v>29</v>
      </c>
      <c r="E404" s="59" t="s">
        <v>90</v>
      </c>
      <c r="F404" s="129">
        <f>INDEX('Used inputs'!$A$244:$O$258,$A404,COLUMN())</f>
        <v>349.05</v>
      </c>
      <c r="G404" s="129">
        <f>INDEX('Used inputs'!$A$244:$O$258,$A404,COLUMN())</f>
        <v>366.66</v>
      </c>
      <c r="H404" s="129">
        <f>INDEX('Used inputs'!$A$244:$O$258,$A404,COLUMN())</f>
        <v>420.0265</v>
      </c>
      <c r="I404" s="129">
        <f>INDEX('Used inputs'!$A$244:$O$258,$A404,COLUMN())</f>
        <v>494.94499999999999</v>
      </c>
      <c r="J404" s="190">
        <f>INDEX('Used inputs'!$A$244:$O$258,$A404,COLUMN())</f>
        <v>551.09787939220405</v>
      </c>
      <c r="K404" s="165">
        <f>INDEX('Used inputs'!$A$244:$O$258,$A404,COLUMN())</f>
        <v>598.14239204697196</v>
      </c>
      <c r="L404" s="165">
        <f>INDEX('Used inputs'!$A$244:$O$258,$A404,COLUMN())</f>
        <v>644.551505442642</v>
      </c>
      <c r="M404" s="165">
        <f>INDEX('Used inputs'!$A$244:$O$258,$A404,COLUMN())</f>
        <v>690.28813515062598</v>
      </c>
      <c r="N404" s="165">
        <f>INDEX('Used inputs'!$A$244:$O$258,$A404,COLUMN())</f>
        <v>734.94155055345902</v>
      </c>
      <c r="O404" s="165">
        <f>INDEX('Used inputs'!$A$244:$O$258,$A404,COLUMN())</f>
        <v>779.06048509700997</v>
      </c>
    </row>
    <row r="405" spans="1:17" s="53" customFormat="1">
      <c r="A405" s="85">
        <f>+A$21</f>
        <v>9</v>
      </c>
      <c r="B405" s="57"/>
      <c r="C405" s="56"/>
      <c r="D405" s="55" t="s">
        <v>29</v>
      </c>
      <c r="E405" s="59" t="s">
        <v>91</v>
      </c>
      <c r="F405" s="129">
        <f>INDEX('Used inputs'!$A$244:$O$258,$A405,COLUMN())</f>
        <v>0</v>
      </c>
      <c r="G405" s="129">
        <f>INDEX('Used inputs'!$A$244:$O$258,$A405,COLUMN())</f>
        <v>0</v>
      </c>
      <c r="H405" s="129">
        <f>INDEX('Used inputs'!$A$244:$O$258,$A405,COLUMN())</f>
        <v>0</v>
      </c>
      <c r="I405" s="129">
        <f>INDEX('Used inputs'!$A$244:$O$258,$A405,COLUMN())</f>
        <v>0</v>
      </c>
      <c r="J405" s="190">
        <f>INDEX('Used inputs'!$A$244:$O$258,$A405,COLUMN())</f>
        <v>0</v>
      </c>
      <c r="K405" s="165">
        <f>INDEX('Used inputs'!$A$244:$O$258,$A405,COLUMN())</f>
        <v>0</v>
      </c>
      <c r="L405" s="165">
        <f>INDEX('Used inputs'!$A$244:$O$258,$A405,COLUMN())</f>
        <v>0</v>
      </c>
      <c r="M405" s="165">
        <f>INDEX('Used inputs'!$A$244:$O$258,$A405,COLUMN())</f>
        <v>0</v>
      </c>
      <c r="N405" s="165">
        <f>INDEX('Used inputs'!$A$244:$O$258,$A405,COLUMN())</f>
        <v>0</v>
      </c>
      <c r="O405" s="165">
        <f>INDEX('Used inputs'!$A$244:$O$258,$A405,COLUMN())</f>
        <v>0</v>
      </c>
    </row>
    <row r="406" spans="1:17" s="53" customFormat="1">
      <c r="A406" s="85">
        <f>+A$22</f>
        <v>10</v>
      </c>
      <c r="B406" s="57"/>
      <c r="C406" s="56"/>
      <c r="D406" s="55" t="s">
        <v>29</v>
      </c>
      <c r="E406" s="59" t="s">
        <v>92</v>
      </c>
      <c r="F406" s="129">
        <f>INDEX('Used inputs'!$A$244:$O$258,$A406,COLUMN())</f>
        <v>0</v>
      </c>
      <c r="G406" s="129">
        <f>INDEX('Used inputs'!$A$244:$O$258,$A406,COLUMN())</f>
        <v>0</v>
      </c>
      <c r="H406" s="129">
        <f>INDEX('Used inputs'!$A$244:$O$258,$A406,COLUMN())</f>
        <v>0</v>
      </c>
      <c r="I406" s="129">
        <f>INDEX('Used inputs'!$A$244:$O$258,$A406,COLUMN())</f>
        <v>0</v>
      </c>
      <c r="J406" s="190">
        <f>INDEX('Used inputs'!$A$244:$O$258,$A406,COLUMN())</f>
        <v>0</v>
      </c>
      <c r="K406" s="165">
        <f>INDEX('Used inputs'!$A$244:$O$258,$A406,COLUMN())</f>
        <v>0</v>
      </c>
      <c r="L406" s="165">
        <f>INDEX('Used inputs'!$A$244:$O$258,$A406,COLUMN())</f>
        <v>0</v>
      </c>
      <c r="M406" s="165">
        <f>INDEX('Used inputs'!$A$244:$O$258,$A406,COLUMN())</f>
        <v>0</v>
      </c>
      <c r="N406" s="165">
        <f>INDEX('Used inputs'!$A$244:$O$258,$A406,COLUMN())</f>
        <v>0</v>
      </c>
      <c r="O406" s="165">
        <f>INDEX('Used inputs'!$A$244:$O$258,$A406,COLUMN())</f>
        <v>0</v>
      </c>
    </row>
    <row r="407" spans="1:17" s="53" customFormat="1">
      <c r="A407" s="85">
        <f>+A$23</f>
        <v>11</v>
      </c>
      <c r="B407" s="57"/>
      <c r="C407" s="56"/>
      <c r="D407" s="55" t="s">
        <v>29</v>
      </c>
      <c r="E407" s="59" t="s">
        <v>93</v>
      </c>
      <c r="F407" s="129">
        <f>INDEX('Used inputs'!$A$244:$O$258,$A407,COLUMN())</f>
        <v>0</v>
      </c>
      <c r="G407" s="129">
        <f>INDEX('Used inputs'!$A$244:$O$258,$A407,COLUMN())</f>
        <v>0</v>
      </c>
      <c r="H407" s="129">
        <f>INDEX('Used inputs'!$A$244:$O$258,$A407,COLUMN())</f>
        <v>0</v>
      </c>
      <c r="I407" s="129">
        <f>INDEX('Used inputs'!$A$244:$O$258,$A407,COLUMN())</f>
        <v>0</v>
      </c>
      <c r="J407" s="190">
        <f>INDEX('Used inputs'!$A$244:$O$258,$A407,COLUMN())</f>
        <v>0</v>
      </c>
      <c r="K407" s="165">
        <f>INDEX('Used inputs'!$A$244:$O$258,$A407,COLUMN())</f>
        <v>0</v>
      </c>
      <c r="L407" s="165">
        <f>INDEX('Used inputs'!$A$244:$O$258,$A407,COLUMN())</f>
        <v>0</v>
      </c>
      <c r="M407" s="165">
        <f>INDEX('Used inputs'!$A$244:$O$258,$A407,COLUMN())</f>
        <v>0</v>
      </c>
      <c r="N407" s="165">
        <f>INDEX('Used inputs'!$A$244:$O$258,$A407,COLUMN())</f>
        <v>0</v>
      </c>
      <c r="O407" s="165">
        <f>INDEX('Used inputs'!$A$244:$O$258,$A407,COLUMN())</f>
        <v>0</v>
      </c>
    </row>
    <row r="408" spans="1:17" s="53" customFormat="1">
      <c r="A408" s="85">
        <f>+A$24</f>
        <v>12</v>
      </c>
      <c r="B408" s="57"/>
      <c r="C408" s="56"/>
      <c r="D408" s="55" t="s">
        <v>29</v>
      </c>
      <c r="E408" s="59" t="s">
        <v>94</v>
      </c>
      <c r="F408" s="129">
        <f>INDEX('Used inputs'!$A$244:$O$258,$A408,COLUMN())</f>
        <v>0</v>
      </c>
      <c r="G408" s="129">
        <f>INDEX('Used inputs'!$A$244:$O$258,$A408,COLUMN())</f>
        <v>0</v>
      </c>
      <c r="H408" s="129">
        <f>INDEX('Used inputs'!$A$244:$O$258,$A408,COLUMN())</f>
        <v>0</v>
      </c>
      <c r="I408" s="129">
        <f>INDEX('Used inputs'!$A$244:$O$258,$A408,COLUMN())</f>
        <v>0</v>
      </c>
      <c r="J408" s="190">
        <f>INDEX('Used inputs'!$A$244:$O$258,$A408,COLUMN())</f>
        <v>0</v>
      </c>
      <c r="K408" s="165">
        <f>INDEX('Used inputs'!$A$244:$O$258,$A408,COLUMN())</f>
        <v>0</v>
      </c>
      <c r="L408" s="165">
        <f>INDEX('Used inputs'!$A$244:$O$258,$A408,COLUMN())</f>
        <v>0</v>
      </c>
      <c r="M408" s="165">
        <f>INDEX('Used inputs'!$A$244:$O$258,$A408,COLUMN())</f>
        <v>0</v>
      </c>
      <c r="N408" s="165">
        <f>INDEX('Used inputs'!$A$244:$O$258,$A408,COLUMN())</f>
        <v>0</v>
      </c>
      <c r="O408" s="165">
        <f>INDEX('Used inputs'!$A$244:$O$258,$A408,COLUMN())</f>
        <v>0</v>
      </c>
    </row>
    <row r="409" spans="1:17" s="53" customFormat="1">
      <c r="A409" s="110"/>
      <c r="B409" s="57"/>
      <c r="C409" s="56"/>
      <c r="D409" s="55"/>
      <c r="E409" s="59"/>
      <c r="F409" s="129"/>
      <c r="G409" s="129"/>
      <c r="H409" s="129"/>
      <c r="I409" s="129"/>
      <c r="J409" s="190"/>
      <c r="K409" s="61"/>
      <c r="L409" s="61"/>
      <c r="M409" s="61"/>
      <c r="N409" s="61"/>
      <c r="O409" s="61"/>
    </row>
    <row r="410" spans="1:17" s="11" customFormat="1">
      <c r="A410" s="27"/>
      <c r="B410" s="28"/>
      <c r="C410" s="29"/>
      <c r="D410" s="181"/>
      <c r="E410" s="33" t="s">
        <v>407</v>
      </c>
      <c r="F410" s="31"/>
      <c r="G410" s="31"/>
      <c r="H410" s="31"/>
      <c r="I410" s="31"/>
      <c r="J410" s="44"/>
      <c r="K410" s="31"/>
      <c r="L410" s="31"/>
      <c r="M410" s="31"/>
      <c r="N410" s="31"/>
      <c r="O410" s="31"/>
      <c r="Q410" s="53"/>
    </row>
    <row r="411" spans="1:17" s="53" customFormat="1">
      <c r="A411" s="85">
        <f>+A$27</f>
        <v>13</v>
      </c>
      <c r="B411" s="57"/>
      <c r="C411" s="56"/>
      <c r="D411" s="55" t="s">
        <v>29</v>
      </c>
      <c r="E411" s="182" t="s">
        <v>323</v>
      </c>
      <c r="F411" s="129"/>
      <c r="G411" s="129"/>
      <c r="H411" s="129"/>
      <c r="I411" s="165">
        <f>INDEX('Used inputs'!$A$244:$O$258,$A411+1,COLUMN())+INDEX('Used inputs'!$A$244:$O$258,$A411+2,COLUMN())</f>
        <v>0.66463567317189476</v>
      </c>
      <c r="J411" s="243">
        <f>INDEX('Used inputs'!$A$244:$O$258,$A411+1,COLUMN())+INDEX('Used inputs'!$A$244:$O$258,$A411+2,COLUMN())</f>
        <v>1.0800148354688801</v>
      </c>
      <c r="K411" s="165">
        <f>INDEX('Used inputs'!$A$244:$O$258,$A411+1,COLUMN())+INDEX('Used inputs'!$A$244:$O$258,$A411+2,COLUMN())</f>
        <v>0.61540495289025654</v>
      </c>
      <c r="L411" s="165">
        <f>INDEX('Used inputs'!$A$244:$O$258,$A411+1,COLUMN())+INDEX('Used inputs'!$A$244:$O$258,$A411+2,COLUMN())</f>
        <v>0.61540495289025654</v>
      </c>
      <c r="M411" s="165">
        <f>INDEX('Used inputs'!$A$244:$O$258,$A411+1,COLUMN())+INDEX('Used inputs'!$A$244:$O$258,$A411+2,COLUMN())</f>
        <v>0.61540495289025654</v>
      </c>
      <c r="N411" s="165">
        <f>INDEX('Used inputs'!$A$244:$O$258,$A411+1,COLUMN())+INDEX('Used inputs'!$A$244:$O$258,$A411+2,COLUMN())</f>
        <v>0.61540495289025654</v>
      </c>
      <c r="O411" s="165">
        <f>INDEX('Used inputs'!$A$244:$O$258,$A411+1,COLUMN())+INDEX('Used inputs'!$A$244:$O$258,$A411+2,COLUMN())</f>
        <v>0.61540495289025654</v>
      </c>
    </row>
    <row r="412" spans="1:17" s="53" customFormat="1">
      <c r="A412" s="85"/>
      <c r="B412" s="57"/>
      <c r="C412" s="56"/>
      <c r="D412" s="55"/>
      <c r="E412" s="182"/>
      <c r="F412" s="129"/>
      <c r="G412" s="129"/>
      <c r="H412" s="129"/>
      <c r="I412" s="129"/>
      <c r="J412" s="190"/>
      <c r="K412" s="165"/>
      <c r="L412" s="165"/>
      <c r="M412" s="165"/>
      <c r="N412" s="165"/>
      <c r="O412" s="165"/>
    </row>
    <row r="413" spans="1:17" s="53" customFormat="1">
      <c r="A413" s="85"/>
      <c r="B413" s="57"/>
      <c r="C413" s="56"/>
      <c r="D413" s="55"/>
      <c r="E413" s="59"/>
      <c r="F413" s="129"/>
      <c r="G413" s="129"/>
      <c r="H413" s="129"/>
      <c r="I413" s="129"/>
      <c r="J413" s="190"/>
      <c r="K413" s="61"/>
      <c r="L413" s="61"/>
      <c r="M413" s="61"/>
      <c r="N413" s="61"/>
      <c r="O413" s="61"/>
    </row>
    <row r="414" spans="1:17">
      <c r="A414" s="82"/>
      <c r="B414" s="31"/>
      <c r="C414" s="38" t="str">
        <f>INDEX('Used inputs'!$A$259:$O$270,1,1)</f>
        <v>SES</v>
      </c>
      <c r="D414" s="39"/>
      <c r="E414" s="48"/>
      <c r="F414" s="31"/>
      <c r="G414" s="31"/>
      <c r="H414" s="31"/>
      <c r="I414" s="31"/>
      <c r="J414" s="44"/>
      <c r="K414" s="31"/>
      <c r="L414" s="31"/>
      <c r="M414" s="31"/>
      <c r="N414" s="31"/>
      <c r="O414" s="31"/>
      <c r="Q414" s="53"/>
    </row>
    <row r="415" spans="1:17">
      <c r="A415" s="83"/>
      <c r="B415" s="16"/>
      <c r="C415" s="17"/>
      <c r="D415" s="18"/>
      <c r="E415" s="19"/>
      <c r="F415" s="16"/>
      <c r="G415" s="16"/>
      <c r="H415" s="16"/>
      <c r="I415" s="16"/>
      <c r="J415" s="220"/>
      <c r="K415" s="134"/>
      <c r="L415" s="134"/>
      <c r="M415" s="134"/>
      <c r="N415" s="134"/>
      <c r="O415" s="134"/>
      <c r="Q415" s="53"/>
    </row>
    <row r="416" spans="1:17" s="11" customFormat="1">
      <c r="A416" s="84"/>
      <c r="B416" s="28"/>
      <c r="C416" s="29" t="s">
        <v>23</v>
      </c>
      <c r="D416" s="47" t="s">
        <v>24</v>
      </c>
      <c r="E416" s="33" t="s">
        <v>408</v>
      </c>
      <c r="F416" s="31"/>
      <c r="G416" s="31"/>
      <c r="H416" s="31"/>
      <c r="I416" s="31"/>
      <c r="J416" s="44"/>
      <c r="K416" s="31"/>
      <c r="L416" s="31"/>
      <c r="M416" s="31"/>
      <c r="N416" s="31"/>
      <c r="O416" s="31"/>
      <c r="Q416" s="53"/>
    </row>
    <row r="417" spans="1:17" s="53" customFormat="1">
      <c r="A417" s="85">
        <f>+A$9</f>
        <v>1</v>
      </c>
      <c r="B417" s="57"/>
      <c r="C417" s="56"/>
      <c r="D417" s="55" t="s">
        <v>10</v>
      </c>
      <c r="E417" s="59" t="s">
        <v>132</v>
      </c>
      <c r="F417" s="129">
        <f>INDEX('Used inputs'!$A$259:$O$273,$A417,COLUMN())</f>
        <v>4.0696872938254396</v>
      </c>
      <c r="G417" s="129">
        <f>INDEX('Used inputs'!$A$259:$O$273,$A417,COLUMN())</f>
        <v>5.0489515695081879</v>
      </c>
      <c r="H417" s="129">
        <f>INDEX('Used inputs'!$A$259:$O$273,$A417,COLUMN())</f>
        <v>5.3144275285810005</v>
      </c>
      <c r="I417" s="129">
        <f ca="1">INDEX('Used inputs'!$A$259:$O$273,$A417,COLUMN())</f>
        <v>5.8034658510639314</v>
      </c>
      <c r="J417" s="190">
        <f>INDEX('Used inputs'!$A$259:$O$273,$A417,COLUMN())</f>
        <v>5.0400492850444847</v>
      </c>
      <c r="K417" s="165">
        <f ca="1">INDEX('Used inputs'!$A$259:$O$273,$A417,COLUMN())</f>
        <v>5.3196216657696533</v>
      </c>
      <c r="L417" s="165">
        <f ca="1">INDEX('Used inputs'!$A$259:$O$273,$A417,COLUMN())</f>
        <v>5.3112171001397552</v>
      </c>
      <c r="M417" s="165">
        <f ca="1">INDEX('Used inputs'!$A$259:$O$273,$A417,COLUMN())</f>
        <v>5.5365515696470426</v>
      </c>
      <c r="N417" s="165">
        <f ca="1">INDEX('Used inputs'!$A$259:$O$273,$A417,COLUMN())</f>
        <v>5.5260711389349373</v>
      </c>
      <c r="O417" s="165">
        <f ca="1">INDEX('Used inputs'!$A$259:$O$273,$A417,COLUMN())</f>
        <v>5.4856157798309786</v>
      </c>
    </row>
    <row r="418" spans="1:17" s="53" customFormat="1">
      <c r="A418" s="85">
        <f>+A$10</f>
        <v>2</v>
      </c>
      <c r="B418" s="57"/>
      <c r="C418" s="56"/>
      <c r="D418" s="55" t="s">
        <v>10</v>
      </c>
      <c r="E418" s="114" t="s">
        <v>99</v>
      </c>
      <c r="F418" s="129">
        <f>INDEX('Used inputs'!$A$259:$O$273,$A418,COLUMN())</f>
        <v>9.0912077381560569E-2</v>
      </c>
      <c r="G418" s="129">
        <f>INDEX('Used inputs'!$A$259:$O$273,$A418,COLUMN())</f>
        <v>6.6982106603998504E-2</v>
      </c>
      <c r="H418" s="129">
        <f>INDEX('Used inputs'!$A$259:$O$273,$A418,COLUMN())</f>
        <v>5.5736800245223254E-2</v>
      </c>
      <c r="I418" s="129">
        <f>INDEX('Used inputs'!$A$259:$O$273,$A418,COLUMN())</f>
        <v>0.21665847174142569</v>
      </c>
      <c r="J418" s="190">
        <f>INDEX('Used inputs'!$A$259:$O$273,$A418,COLUMN())</f>
        <v>6.0583551447400463E-2</v>
      </c>
      <c r="K418" s="165">
        <f>INDEX('Used inputs'!$A$259:$O$273,$A418,COLUMN())</f>
        <v>0.2004818343590932</v>
      </c>
      <c r="L418" s="165">
        <f>INDEX('Used inputs'!$A$259:$O$273,$A418,COLUMN())</f>
        <v>0.16620333345703131</v>
      </c>
      <c r="M418" s="165">
        <f>INDEX('Used inputs'!$A$259:$O$273,$A418,COLUMN())</f>
        <v>0.14489565461562026</v>
      </c>
      <c r="N418" s="165">
        <f>INDEX('Used inputs'!$A$259:$O$273,$A418,COLUMN())</f>
        <v>0.11244374041515967</v>
      </c>
      <c r="O418" s="165">
        <f>INDEX('Used inputs'!$A$259:$O$273,$A418,COLUMN())</f>
        <v>8.5632077093468748E-2</v>
      </c>
    </row>
    <row r="419" spans="1:17" s="53" customFormat="1">
      <c r="A419" s="85">
        <f>+A$11</f>
        <v>3</v>
      </c>
      <c r="B419" s="57"/>
      <c r="C419" s="56"/>
      <c r="D419" s="55" t="s">
        <v>10</v>
      </c>
      <c r="E419" s="114" t="s">
        <v>100</v>
      </c>
      <c r="F419" s="129">
        <f>INDEX('Used inputs'!$A$259:$O$273,$A419,COLUMN())</f>
        <v>0</v>
      </c>
      <c r="G419" s="129">
        <f>INDEX('Used inputs'!$A$259:$O$273,$A419,COLUMN())</f>
        <v>0</v>
      </c>
      <c r="H419" s="129">
        <f>INDEX('Used inputs'!$A$259:$O$273,$A419,COLUMN())</f>
        <v>0</v>
      </c>
      <c r="I419" s="129">
        <f>INDEX('Used inputs'!$A$259:$O$273,$A419,COLUMN())</f>
        <v>0</v>
      </c>
      <c r="J419" s="190">
        <f>INDEX('Used inputs'!$A$259:$O$273,$A419,COLUMN())</f>
        <v>0</v>
      </c>
      <c r="K419" s="165">
        <f>INDEX('Used inputs'!$A$259:$O$273,$A419,COLUMN())</f>
        <v>3.5604448244935694E-2</v>
      </c>
      <c r="L419" s="165">
        <f>INDEX('Used inputs'!$A$259:$O$273,$A419,COLUMN())</f>
        <v>0.10136076095502138</v>
      </c>
      <c r="M419" s="165">
        <f>INDEX('Used inputs'!$A$259:$O$273,$A419,COLUMN())</f>
        <v>0.15642944982879567</v>
      </c>
      <c r="N419" s="165">
        <f>INDEX('Used inputs'!$A$259:$O$273,$A419,COLUMN())</f>
        <v>0.20085375120844759</v>
      </c>
      <c r="O419" s="165">
        <f>INDEX('Used inputs'!$A$259:$O$273,$A419,COLUMN())</f>
        <v>0.23598861041953256</v>
      </c>
    </row>
    <row r="420" spans="1:17" s="53" customFormat="1">
      <c r="A420" s="110"/>
      <c r="B420" s="57"/>
      <c r="C420" s="56"/>
      <c r="D420" s="55"/>
      <c r="E420" s="59"/>
      <c r="F420" s="129"/>
      <c r="G420" s="129"/>
      <c r="H420" s="129"/>
      <c r="I420" s="129"/>
      <c r="J420" s="190"/>
      <c r="K420" s="61"/>
      <c r="L420" s="61"/>
      <c r="M420" s="61"/>
      <c r="N420" s="61"/>
      <c r="O420" s="61"/>
    </row>
    <row r="421" spans="1:17" s="11" customFormat="1">
      <c r="A421" s="27"/>
      <c r="B421" s="28"/>
      <c r="C421" s="29"/>
      <c r="D421" s="30"/>
      <c r="E421" s="32" t="s">
        <v>409</v>
      </c>
      <c r="F421" s="31"/>
      <c r="G421" s="31"/>
      <c r="H421" s="31"/>
      <c r="I421" s="31"/>
      <c r="J421" s="44"/>
      <c r="K421" s="31"/>
      <c r="L421" s="31"/>
      <c r="M421" s="31"/>
      <c r="N421" s="31"/>
      <c r="O421" s="31"/>
      <c r="Q421" s="53"/>
    </row>
    <row r="422" spans="1:17" s="53" customFormat="1">
      <c r="A422" s="85">
        <f>+A$14</f>
        <v>4</v>
      </c>
      <c r="B422" s="56" t="s">
        <v>40</v>
      </c>
      <c r="C422" s="56"/>
      <c r="D422" s="55" t="s">
        <v>10</v>
      </c>
      <c r="E422" s="59" t="s">
        <v>135</v>
      </c>
      <c r="F422" s="129">
        <f>INDEX('Used inputs'!$A$259:$O$273,$A422,COLUMN())</f>
        <v>0.66507152507903433</v>
      </c>
      <c r="G422" s="129">
        <f>INDEX('Used inputs'!$A$259:$O$273,$A422,COLUMN())</f>
        <v>0.69087591075193977</v>
      </c>
      <c r="H422" s="129">
        <f>INDEX('Used inputs'!$A$259:$O$273,$A422,COLUMN())</f>
        <v>0.74735343411150612</v>
      </c>
      <c r="I422" s="129">
        <f>INDEX('Used inputs'!$A$259:$O$273,$A422,COLUMN())</f>
        <v>0.88775057634276766</v>
      </c>
      <c r="J422" s="190">
        <f>INDEX('Used inputs'!$A$259:$O$273,$A422,COLUMN())</f>
        <v>0.89120600998732591</v>
      </c>
      <c r="K422" s="165">
        <f>INDEX('Used inputs'!$A$259:$O$273,$A422,COLUMN())</f>
        <v>0.92207144372595884</v>
      </c>
      <c r="L422" s="165">
        <f>INDEX('Used inputs'!$A$259:$O$273,$A422,COLUMN())</f>
        <v>0.95293687746459155</v>
      </c>
      <c r="M422" s="165">
        <f>INDEX('Used inputs'!$A$259:$O$273,$A422,COLUMN())</f>
        <v>1.0129014067437085</v>
      </c>
      <c r="N422" s="165">
        <f>INDEX('Used inputs'!$A$259:$O$273,$A422,COLUMN())</f>
        <v>1.0437668404823404</v>
      </c>
      <c r="O422" s="165">
        <f>INDEX('Used inputs'!$A$259:$O$273,$A422,COLUMN())</f>
        <v>1.1017985807129218</v>
      </c>
    </row>
    <row r="423" spans="1:17" s="53" customFormat="1">
      <c r="A423" s="85">
        <f>+A$15</f>
        <v>5</v>
      </c>
      <c r="B423" s="56" t="s">
        <v>41</v>
      </c>
      <c r="C423" s="56"/>
      <c r="D423" s="55" t="s">
        <v>10</v>
      </c>
      <c r="E423" s="59" t="s">
        <v>136</v>
      </c>
      <c r="F423" s="129">
        <f>INDEX('Used inputs'!$A$259:$O$273,$A423,COLUMN())</f>
        <v>0</v>
      </c>
      <c r="G423" s="129">
        <f>INDEX('Used inputs'!$A$259:$O$273,$A423,COLUMN())</f>
        <v>0</v>
      </c>
      <c r="H423" s="129">
        <f>INDEX('Used inputs'!$A$259:$O$273,$A423,COLUMN())</f>
        <v>0</v>
      </c>
      <c r="I423" s="129">
        <f>INDEX('Used inputs'!$A$259:$O$273,$A423,COLUMN())</f>
        <v>0</v>
      </c>
      <c r="J423" s="190">
        <f>INDEX('Used inputs'!$A$259:$O$273,$A423,COLUMN())</f>
        <v>0</v>
      </c>
      <c r="K423" s="165">
        <f>INDEX('Used inputs'!$A$259:$O$273,$A423,COLUMN())</f>
        <v>0</v>
      </c>
      <c r="L423" s="165">
        <f>INDEX('Used inputs'!$A$259:$O$273,$A423,COLUMN())</f>
        <v>0</v>
      </c>
      <c r="M423" s="165">
        <f>INDEX('Used inputs'!$A$259:$O$273,$A423,COLUMN())</f>
        <v>0</v>
      </c>
      <c r="N423" s="165">
        <f>INDEX('Used inputs'!$A$259:$O$273,$A423,COLUMN())</f>
        <v>0</v>
      </c>
      <c r="O423" s="165">
        <f>INDEX('Used inputs'!$A$259:$O$273,$A423,COLUMN())</f>
        <v>0</v>
      </c>
    </row>
    <row r="424" spans="1:17" s="53" customFormat="1">
      <c r="A424" s="85">
        <f>+A$16</f>
        <v>6</v>
      </c>
      <c r="B424" s="56" t="s">
        <v>42</v>
      </c>
      <c r="C424" s="56"/>
      <c r="D424" s="55" t="s">
        <v>10</v>
      </c>
      <c r="E424" s="59" t="s">
        <v>137</v>
      </c>
      <c r="F424" s="129">
        <f>INDEX('Used inputs'!$A$259:$O$273,$A424,COLUMN())</f>
        <v>0</v>
      </c>
      <c r="G424" s="129">
        <f>INDEX('Used inputs'!$A$259:$O$273,$A424,COLUMN())</f>
        <v>0</v>
      </c>
      <c r="H424" s="129">
        <f>INDEX('Used inputs'!$A$259:$O$273,$A424,COLUMN())</f>
        <v>0</v>
      </c>
      <c r="I424" s="129">
        <f>INDEX('Used inputs'!$A$259:$O$273,$A424,COLUMN())</f>
        <v>0</v>
      </c>
      <c r="J424" s="190">
        <f>INDEX('Used inputs'!$A$259:$O$273,$A424,COLUMN())</f>
        <v>0</v>
      </c>
      <c r="K424" s="165">
        <f>INDEX('Used inputs'!$A$259:$O$273,$A424,COLUMN())</f>
        <v>0</v>
      </c>
      <c r="L424" s="165">
        <f>INDEX('Used inputs'!$A$259:$O$273,$A424,COLUMN())</f>
        <v>0</v>
      </c>
      <c r="M424" s="165">
        <f>INDEX('Used inputs'!$A$259:$O$273,$A424,COLUMN())</f>
        <v>0</v>
      </c>
      <c r="N424" s="165">
        <f>INDEX('Used inputs'!$A$259:$O$273,$A424,COLUMN())</f>
        <v>0</v>
      </c>
      <c r="O424" s="165">
        <f>INDEX('Used inputs'!$A$259:$O$273,$A424,COLUMN())</f>
        <v>0</v>
      </c>
    </row>
    <row r="425" spans="1:17" s="53" customFormat="1">
      <c r="A425" s="110"/>
      <c r="B425" s="57"/>
      <c r="C425" s="56"/>
      <c r="D425" s="55"/>
      <c r="E425" s="59"/>
      <c r="F425" s="129"/>
      <c r="G425" s="129"/>
      <c r="H425" s="129"/>
      <c r="I425" s="129"/>
      <c r="J425" s="190"/>
      <c r="K425" s="61"/>
      <c r="L425" s="61"/>
      <c r="M425" s="61"/>
      <c r="N425" s="61"/>
      <c r="O425" s="61"/>
    </row>
    <row r="426" spans="1:17" s="11" customFormat="1">
      <c r="A426" s="27"/>
      <c r="B426" s="28"/>
      <c r="C426" s="29"/>
      <c r="D426" s="30"/>
      <c r="E426" s="32" t="s">
        <v>410</v>
      </c>
      <c r="F426" s="31"/>
      <c r="G426" s="31"/>
      <c r="H426" s="31"/>
      <c r="I426" s="31"/>
      <c r="J426" s="44"/>
      <c r="K426" s="31"/>
      <c r="L426" s="31"/>
      <c r="M426" s="31"/>
      <c r="N426" s="31"/>
      <c r="O426" s="31"/>
      <c r="Q426" s="53"/>
    </row>
    <row r="427" spans="1:17" s="53" customFormat="1">
      <c r="A427" s="85">
        <f>+A$19</f>
        <v>7</v>
      </c>
      <c r="B427" s="57"/>
      <c r="C427" s="56"/>
      <c r="D427" s="55" t="s">
        <v>29</v>
      </c>
      <c r="E427" s="59" t="s">
        <v>89</v>
      </c>
      <c r="F427" s="129">
        <f>INDEX('Used inputs'!$A$259:$O$273,$A427,COLUMN())</f>
        <v>165.173</v>
      </c>
      <c r="G427" s="129">
        <f>INDEX('Used inputs'!$A$259:$O$273,$A427,COLUMN())</f>
        <v>162.05099999999999</v>
      </c>
      <c r="H427" s="129">
        <f>INDEX('Used inputs'!$A$259:$O$273,$A427,COLUMN())</f>
        <v>155.47399999999999</v>
      </c>
      <c r="I427" s="129">
        <f>INDEX('Used inputs'!$A$259:$O$273,$A427,COLUMN())</f>
        <v>149.05099999999999</v>
      </c>
      <c r="J427" s="190">
        <f>INDEX('Used inputs'!$A$259:$O$273,$A427,COLUMN())</f>
        <v>141.98699999999999</v>
      </c>
      <c r="K427" s="165">
        <f>INDEX('Used inputs'!$A$259:$O$273,$A427,COLUMN())</f>
        <v>135.46893750000001</v>
      </c>
      <c r="L427" s="165">
        <f>INDEX('Used inputs'!$A$259:$O$273,$A427,COLUMN())</f>
        <v>129.01424812499999</v>
      </c>
      <c r="M427" s="165">
        <f>INDEX('Used inputs'!$A$259:$O$273,$A427,COLUMN())</f>
        <v>122.62410564375</v>
      </c>
      <c r="N427" s="165">
        <f>INDEX('Used inputs'!$A$259:$O$273,$A427,COLUMN())</f>
        <v>116.29786458731201</v>
      </c>
      <c r="O427" s="165">
        <f>INDEX('Used inputs'!$A$259:$O$273,$A427,COLUMN())</f>
        <v>110.034885941439</v>
      </c>
    </row>
    <row r="428" spans="1:17" s="53" customFormat="1">
      <c r="A428" s="85">
        <f>+A$20</f>
        <v>8</v>
      </c>
      <c r="B428" s="57"/>
      <c r="C428" s="56"/>
      <c r="D428" s="55" t="s">
        <v>29</v>
      </c>
      <c r="E428" s="59" t="s">
        <v>90</v>
      </c>
      <c r="F428" s="129">
        <f>INDEX('Used inputs'!$A$259:$O$273,$A428,COLUMN())</f>
        <v>92.26</v>
      </c>
      <c r="G428" s="129">
        <f>INDEX('Used inputs'!$A$259:$O$273,$A428,COLUMN())</f>
        <v>95.834999999999994</v>
      </c>
      <c r="H428" s="129">
        <f>INDEX('Used inputs'!$A$259:$O$273,$A428,COLUMN())</f>
        <v>103.655</v>
      </c>
      <c r="I428" s="129">
        <f>INDEX('Used inputs'!$A$259:$O$273,$A428,COLUMN())</f>
        <v>111.88800000000001</v>
      </c>
      <c r="J428" s="190">
        <f>INDEX('Used inputs'!$A$259:$O$273,$A428,COLUMN())</f>
        <v>121.601468253306</v>
      </c>
      <c r="K428" s="165">
        <f>INDEX('Used inputs'!$A$259:$O$273,$A428,COLUMN())</f>
        <v>130.51314222472899</v>
      </c>
      <c r="L428" s="165">
        <f>INDEX('Used inputs'!$A$259:$O$273,$A428,COLUMN())</f>
        <v>139.37195098761401</v>
      </c>
      <c r="M428" s="165">
        <f>INDEX('Used inputs'!$A$259:$O$273,$A428,COLUMN())</f>
        <v>148.142073787269</v>
      </c>
      <c r="N428" s="165">
        <f>INDEX('Used inputs'!$A$259:$O$273,$A428,COLUMN())</f>
        <v>156.92568147398501</v>
      </c>
      <c r="O428" s="165">
        <f>INDEX('Used inputs'!$A$259:$O$273,$A428,COLUMN())</f>
        <v>165.650494362845</v>
      </c>
    </row>
    <row r="429" spans="1:17" s="53" customFormat="1">
      <c r="A429" s="85">
        <f>+A$21</f>
        <v>9</v>
      </c>
      <c r="B429" s="57"/>
      <c r="C429" s="56"/>
      <c r="D429" s="55" t="s">
        <v>29</v>
      </c>
      <c r="E429" s="59" t="s">
        <v>91</v>
      </c>
      <c r="F429" s="129">
        <f>INDEX('Used inputs'!$A$259:$O$273,$A429,COLUMN())</f>
        <v>0</v>
      </c>
      <c r="G429" s="129">
        <f>INDEX('Used inputs'!$A$259:$O$273,$A429,COLUMN())</f>
        <v>0</v>
      </c>
      <c r="H429" s="129">
        <f>INDEX('Used inputs'!$A$259:$O$273,$A429,COLUMN())</f>
        <v>0</v>
      </c>
      <c r="I429" s="129">
        <f>INDEX('Used inputs'!$A$259:$O$273,$A429,COLUMN())</f>
        <v>0</v>
      </c>
      <c r="J429" s="190">
        <f>INDEX('Used inputs'!$A$259:$O$273,$A429,COLUMN())</f>
        <v>0</v>
      </c>
      <c r="K429" s="165">
        <f>INDEX('Used inputs'!$A$259:$O$273,$A429,COLUMN())</f>
        <v>0</v>
      </c>
      <c r="L429" s="165">
        <f>INDEX('Used inputs'!$A$259:$O$273,$A429,COLUMN())</f>
        <v>0</v>
      </c>
      <c r="M429" s="165">
        <f>INDEX('Used inputs'!$A$259:$O$273,$A429,COLUMN())</f>
        <v>0</v>
      </c>
      <c r="N429" s="165">
        <f>INDEX('Used inputs'!$A$259:$O$273,$A429,COLUMN())</f>
        <v>0</v>
      </c>
      <c r="O429" s="165">
        <f>INDEX('Used inputs'!$A$259:$O$273,$A429,COLUMN())</f>
        <v>0</v>
      </c>
    </row>
    <row r="430" spans="1:17" s="53" customFormat="1">
      <c r="A430" s="85">
        <f>+A$22</f>
        <v>10</v>
      </c>
      <c r="B430" s="57"/>
      <c r="C430" s="56"/>
      <c r="D430" s="55" t="s">
        <v>29</v>
      </c>
      <c r="E430" s="59" t="s">
        <v>92</v>
      </c>
      <c r="F430" s="129">
        <f>INDEX('Used inputs'!$A$259:$O$273,$A430,COLUMN())</f>
        <v>0</v>
      </c>
      <c r="G430" s="129">
        <f>INDEX('Used inputs'!$A$259:$O$273,$A430,COLUMN())</f>
        <v>0</v>
      </c>
      <c r="H430" s="129">
        <f>INDEX('Used inputs'!$A$259:$O$273,$A430,COLUMN())</f>
        <v>0</v>
      </c>
      <c r="I430" s="129">
        <f>INDEX('Used inputs'!$A$259:$O$273,$A430,COLUMN())</f>
        <v>0</v>
      </c>
      <c r="J430" s="190">
        <f>INDEX('Used inputs'!$A$259:$O$273,$A430,COLUMN())</f>
        <v>0</v>
      </c>
      <c r="K430" s="165">
        <f>INDEX('Used inputs'!$A$259:$O$273,$A430,COLUMN())</f>
        <v>0</v>
      </c>
      <c r="L430" s="165">
        <f>INDEX('Used inputs'!$A$259:$O$273,$A430,COLUMN())</f>
        <v>0</v>
      </c>
      <c r="M430" s="165">
        <f>INDEX('Used inputs'!$A$259:$O$273,$A430,COLUMN())</f>
        <v>0</v>
      </c>
      <c r="N430" s="165">
        <f>INDEX('Used inputs'!$A$259:$O$273,$A430,COLUMN())</f>
        <v>0</v>
      </c>
      <c r="O430" s="165">
        <f>INDEX('Used inputs'!$A$259:$O$273,$A430,COLUMN())</f>
        <v>0</v>
      </c>
    </row>
    <row r="431" spans="1:17" s="53" customFormat="1">
      <c r="A431" s="85">
        <f>+A$23</f>
        <v>11</v>
      </c>
      <c r="B431" s="57"/>
      <c r="C431" s="56"/>
      <c r="D431" s="55" t="s">
        <v>29</v>
      </c>
      <c r="E431" s="59" t="s">
        <v>93</v>
      </c>
      <c r="F431" s="129">
        <f>INDEX('Used inputs'!$A$259:$O$273,$A431,COLUMN())</f>
        <v>0</v>
      </c>
      <c r="G431" s="129">
        <f>INDEX('Used inputs'!$A$259:$O$273,$A431,COLUMN())</f>
        <v>0</v>
      </c>
      <c r="H431" s="129">
        <f>INDEX('Used inputs'!$A$259:$O$273,$A431,COLUMN())</f>
        <v>0</v>
      </c>
      <c r="I431" s="129">
        <f>INDEX('Used inputs'!$A$259:$O$273,$A431,COLUMN())</f>
        <v>0</v>
      </c>
      <c r="J431" s="190">
        <f>INDEX('Used inputs'!$A$259:$O$273,$A431,COLUMN())</f>
        <v>0</v>
      </c>
      <c r="K431" s="165">
        <f>INDEX('Used inputs'!$A$259:$O$273,$A431,COLUMN())</f>
        <v>0</v>
      </c>
      <c r="L431" s="165">
        <f>INDEX('Used inputs'!$A$259:$O$273,$A431,COLUMN())</f>
        <v>0</v>
      </c>
      <c r="M431" s="165">
        <f>INDEX('Used inputs'!$A$259:$O$273,$A431,COLUMN())</f>
        <v>0</v>
      </c>
      <c r="N431" s="165">
        <f>INDEX('Used inputs'!$A$259:$O$273,$A431,COLUMN())</f>
        <v>0</v>
      </c>
      <c r="O431" s="165">
        <f>INDEX('Used inputs'!$A$259:$O$273,$A431,COLUMN())</f>
        <v>0</v>
      </c>
    </row>
    <row r="432" spans="1:17" s="53" customFormat="1">
      <c r="A432" s="85">
        <f>+A$24</f>
        <v>12</v>
      </c>
      <c r="B432" s="57"/>
      <c r="C432" s="56"/>
      <c r="D432" s="55" t="s">
        <v>29</v>
      </c>
      <c r="E432" s="59" t="s">
        <v>94</v>
      </c>
      <c r="F432" s="129">
        <f>INDEX('Used inputs'!$A$259:$O$273,$A432,COLUMN())</f>
        <v>0</v>
      </c>
      <c r="G432" s="129">
        <f>INDEX('Used inputs'!$A$259:$O$273,$A432,COLUMN())</f>
        <v>0</v>
      </c>
      <c r="H432" s="129">
        <f>INDEX('Used inputs'!$A$259:$O$273,$A432,COLUMN())</f>
        <v>0</v>
      </c>
      <c r="I432" s="129">
        <f>INDEX('Used inputs'!$A$259:$O$273,$A432,COLUMN())</f>
        <v>0</v>
      </c>
      <c r="J432" s="190">
        <f>INDEX('Used inputs'!$A$259:$O$273,$A432,COLUMN())</f>
        <v>0</v>
      </c>
      <c r="K432" s="165">
        <f>INDEX('Used inputs'!$A$259:$O$273,$A432,COLUMN())</f>
        <v>0</v>
      </c>
      <c r="L432" s="165">
        <f>INDEX('Used inputs'!$A$259:$O$273,$A432,COLUMN())</f>
        <v>0</v>
      </c>
      <c r="M432" s="165">
        <f>INDEX('Used inputs'!$A$259:$O$273,$A432,COLUMN())</f>
        <v>0</v>
      </c>
      <c r="N432" s="165">
        <f>INDEX('Used inputs'!$A$259:$O$273,$A432,COLUMN())</f>
        <v>0</v>
      </c>
      <c r="O432" s="165">
        <f>INDEX('Used inputs'!$A$259:$O$273,$A432,COLUMN())</f>
        <v>0</v>
      </c>
    </row>
    <row r="433" spans="1:17" s="53" customFormat="1">
      <c r="A433" s="110"/>
      <c r="B433" s="57"/>
      <c r="C433" s="56"/>
      <c r="D433" s="55"/>
      <c r="E433" s="59"/>
      <c r="F433" s="129"/>
      <c r="G433" s="129"/>
      <c r="H433" s="129"/>
      <c r="I433" s="129"/>
      <c r="J433" s="190"/>
      <c r="K433" s="61"/>
      <c r="L433" s="61"/>
      <c r="M433" s="61"/>
      <c r="N433" s="61"/>
      <c r="O433" s="61"/>
    </row>
    <row r="434" spans="1:17" s="11" customFormat="1">
      <c r="A434" s="27"/>
      <c r="B434" s="28"/>
      <c r="C434" s="29"/>
      <c r="D434" s="181"/>
      <c r="E434" s="33" t="s">
        <v>411</v>
      </c>
      <c r="F434" s="31"/>
      <c r="G434" s="31"/>
      <c r="H434" s="31"/>
      <c r="I434" s="31"/>
      <c r="J434" s="44"/>
      <c r="K434" s="31"/>
      <c r="L434" s="31"/>
      <c r="M434" s="31"/>
      <c r="N434" s="31"/>
      <c r="O434" s="31"/>
      <c r="Q434" s="53"/>
    </row>
    <row r="435" spans="1:17" s="53" customFormat="1">
      <c r="A435" s="85">
        <f>+A$27</f>
        <v>13</v>
      </c>
      <c r="B435" s="57"/>
      <c r="C435" s="56"/>
      <c r="D435" s="55" t="s">
        <v>29</v>
      </c>
      <c r="E435" s="182" t="s">
        <v>323</v>
      </c>
      <c r="F435" s="129"/>
      <c r="G435" s="129"/>
      <c r="H435" s="129"/>
      <c r="I435" s="165">
        <f>INDEX('Used inputs'!$A$259:$O$273,$A435+1,COLUMN())+INDEX('Used inputs'!$A$259:$O$273,$A435+2,COLUMN())</f>
        <v>2.2189349585648478E-2</v>
      </c>
      <c r="J435" s="243">
        <f>INDEX('Used inputs'!$A$259:$O$273,$A435+1,COLUMN())+INDEX('Used inputs'!$A$259:$O$273,$A435+2,COLUMN())</f>
        <v>0</v>
      </c>
      <c r="K435" s="165">
        <f>INDEX('Used inputs'!$A$259:$O$273,$A435+1,COLUMN())+INDEX('Used inputs'!$A$259:$O$273,$A435+2,COLUMN())</f>
        <v>8.1563929694952846E-3</v>
      </c>
      <c r="L435" s="165">
        <f>INDEX('Used inputs'!$A$259:$O$273,$A435+1,COLUMN())+INDEX('Used inputs'!$A$259:$O$273,$A435+2,COLUMN())</f>
        <v>8.1563929694952846E-3</v>
      </c>
      <c r="M435" s="165">
        <f>INDEX('Used inputs'!$A$259:$O$273,$A435+1,COLUMN())+INDEX('Used inputs'!$A$259:$O$273,$A435+2,COLUMN())</f>
        <v>8.1563929694952846E-3</v>
      </c>
      <c r="N435" s="165">
        <f>INDEX('Used inputs'!$A$259:$O$273,$A435+1,COLUMN())+INDEX('Used inputs'!$A$259:$O$273,$A435+2,COLUMN())</f>
        <v>8.1563929694952846E-3</v>
      </c>
      <c r="O435" s="165">
        <f>INDEX('Used inputs'!$A$259:$O$273,$A435+1,COLUMN())+INDEX('Used inputs'!$A$259:$O$273,$A435+2,COLUMN())</f>
        <v>8.1563929694952846E-3</v>
      </c>
    </row>
    <row r="436" spans="1:17" s="53" customFormat="1">
      <c r="A436" s="85"/>
      <c r="B436" s="57"/>
      <c r="C436" s="56"/>
      <c r="D436" s="55"/>
      <c r="E436" s="182"/>
      <c r="F436" s="129"/>
      <c r="G436" s="129"/>
      <c r="H436" s="129"/>
      <c r="I436" s="129"/>
      <c r="J436" s="190"/>
      <c r="K436" s="165"/>
      <c r="L436" s="165"/>
      <c r="M436" s="165"/>
      <c r="N436" s="165"/>
      <c r="O436" s="165"/>
    </row>
    <row r="437" spans="1:17">
      <c r="A437" s="85"/>
      <c r="B437" s="144"/>
      <c r="C437" s="145"/>
      <c r="D437" s="144"/>
      <c r="E437" s="146"/>
      <c r="F437" s="144"/>
      <c r="G437" s="144"/>
      <c r="H437" s="144"/>
      <c r="I437" s="253"/>
      <c r="J437" s="254"/>
      <c r="K437" s="149"/>
      <c r="L437" s="149"/>
      <c r="M437" s="149"/>
      <c r="N437" s="150"/>
      <c r="O437" s="150"/>
      <c r="Q437" s="53"/>
    </row>
    <row r="438" spans="1:17" s="53" customFormat="1">
      <c r="A438" s="85"/>
      <c r="B438" s="94"/>
      <c r="C438" s="38" t="s">
        <v>65</v>
      </c>
      <c r="D438" s="95"/>
      <c r="E438" s="96" t="s">
        <v>412</v>
      </c>
      <c r="F438" s="31"/>
      <c r="G438" s="31"/>
      <c r="H438" s="31"/>
      <c r="I438" s="31"/>
      <c r="J438" s="44"/>
      <c r="K438" s="31"/>
      <c r="L438" s="31"/>
      <c r="M438" s="31"/>
      <c r="N438" s="31"/>
      <c r="O438" s="31"/>
    </row>
    <row r="439" spans="1:17" s="53" customFormat="1">
      <c r="A439" s="110"/>
      <c r="B439" s="116"/>
      <c r="C439" s="101"/>
      <c r="D439" s="116"/>
      <c r="E439" s="99"/>
      <c r="F439" s="151"/>
      <c r="G439" s="151"/>
      <c r="H439" s="151"/>
      <c r="I439" s="151"/>
      <c r="J439" s="221"/>
      <c r="K439" s="100"/>
      <c r="L439" s="100"/>
      <c r="M439" s="100"/>
      <c r="N439" s="100"/>
      <c r="O439" s="100"/>
    </row>
    <row r="440" spans="1:17" s="53" customFormat="1">
      <c r="A440" s="62"/>
      <c r="B440" s="105"/>
      <c r="C440" s="118"/>
      <c r="D440" s="105"/>
      <c r="E440" s="107" t="s">
        <v>26</v>
      </c>
      <c r="F440" s="168"/>
      <c r="G440" s="168"/>
      <c r="H440" s="168"/>
      <c r="I440" s="168"/>
      <c r="J440" s="219"/>
      <c r="K440" s="135"/>
      <c r="L440" s="135"/>
      <c r="M440" s="135"/>
      <c r="N440" s="135"/>
      <c r="O440" s="135"/>
    </row>
    <row r="441" spans="1:17" s="53" customFormat="1">
      <c r="A441" s="85"/>
      <c r="B441" s="105"/>
      <c r="C441" s="118"/>
      <c r="D441" s="56" t="s">
        <v>0</v>
      </c>
      <c r="E441" s="59" t="s">
        <v>172</v>
      </c>
      <c r="F441" s="168"/>
      <c r="G441" s="168"/>
      <c r="H441" s="329">
        <f>'New cost and adjustments inputs'!E154</f>
        <v>1.3</v>
      </c>
      <c r="I441" s="168"/>
      <c r="J441" s="219"/>
      <c r="K441" s="135"/>
      <c r="L441" s="135"/>
      <c r="M441" s="135"/>
      <c r="N441" s="135"/>
      <c r="O441" s="135"/>
      <c r="Q441" s="102"/>
    </row>
    <row r="442" spans="1:17" s="53" customFormat="1">
      <c r="A442" s="85"/>
      <c r="B442" s="105"/>
      <c r="C442" s="118"/>
      <c r="D442" s="56" t="s">
        <v>39</v>
      </c>
      <c r="E442" s="118" t="s">
        <v>173</v>
      </c>
      <c r="F442" s="142"/>
      <c r="G442" s="142"/>
      <c r="H442" s="142"/>
      <c r="I442" s="142"/>
      <c r="J442" s="222"/>
      <c r="K442" s="229">
        <v>0.25</v>
      </c>
      <c r="L442" s="229">
        <v>0.5</v>
      </c>
      <c r="M442" s="229">
        <v>0.75</v>
      </c>
      <c r="N442" s="229">
        <v>1</v>
      </c>
      <c r="O442" s="229">
        <v>1</v>
      </c>
      <c r="Q442" s="102"/>
    </row>
    <row r="443" spans="1:17">
      <c r="A443" s="144"/>
      <c r="B443" s="144"/>
      <c r="C443" s="145"/>
      <c r="D443" s="144"/>
      <c r="E443" s="146"/>
      <c r="F443" s="144"/>
      <c r="G443" s="144"/>
      <c r="H443" s="144"/>
      <c r="I443" s="144"/>
      <c r="J443" s="147"/>
      <c r="K443" s="149"/>
      <c r="L443" s="149"/>
      <c r="M443" s="149"/>
      <c r="N443" s="149"/>
      <c r="O443" s="149"/>
    </row>
  </sheetData>
  <customSheetViews>
    <customSheetView guid="{3FDF7207-004C-4A93-86DD-71ED7363ED58}" scale="90" hiddenColumns="1" showRuler="0">
      <pane xSplit="5" ySplit="2" topLeftCell="X3" activePane="bottomRight" state="frozen"/>
      <selection pane="bottomRight" activeCell="AB14" sqref="AB14"/>
      <pageMargins left="0.75" right="0.75" top="1" bottom="1" header="0.5" footer="0.5"/>
      <pageSetup paperSize="9" orientation="portrait" verticalDpi="0" r:id="rId1"/>
      <headerFooter alignWithMargins="0"/>
    </customSheetView>
  </customSheetViews>
  <phoneticPr fontId="21" type="noConversion"/>
  <pageMargins left="0.70866141732283472" right="0.70866141732283472" top="0.74803149606299213" bottom="0.74803149606299213" header="0.31496062992125984" footer="0.31496062992125984"/>
  <pageSetup paperSize="9" scale="10" orientation="portrait" r:id="rId2"/>
  <headerFooter>
    <oddFooter>&amp;L&amp;Z
&amp;F&amp;R&amp;D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T_x0020_Strategy_x0020_Type xmlns="cdb31d0d-f56d-4e15-bc3c-3bcd0808a44a" xsi:nil="true"/>
    <Published_x0020_Date xmlns="046d1631-faaa-43be-ab8b-9da2114b8fdb">2013-01-09T00:00:00+00:00</Published_x0020_Date>
    <Document_x0020_Group xmlns="046d1631-faaa-43be-ab8b-9da2114b8fdb">Templates</Document_x0020_Group>
    <Work_x0020_Strand xmlns="9c547e61-31e0-4a3b-84ed-18809d88ab84">Model design</Work_x0020_Strand>
    <IconOverlay xmlns="http://schemas.microsoft.com/sharepoint/v4" xsi:nil="true"/>
    <Summary xmlns="046d1631-faaa-43be-ab8b-9da2114b8fdb" xsi:nil="true"/>
    <Alternative_x0020_Search_x0020_Terms xmlns="046d1631-faaa-43be-ab8b-9da2114b8fdb"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E8D9B71E0CF6D48B61CE7812B3BA800" ma:contentTypeVersion="2" ma:contentTypeDescription="Create a new document." ma:contentTypeScope="" ma:versionID="4cf858955debea59b25ebe4f8c5c6780">
  <xsd:schema xmlns:xsd="http://www.w3.org/2001/XMLSchema" xmlns:xs="http://www.w3.org/2001/XMLSchema" xmlns:p="http://schemas.microsoft.com/office/2006/metadata/properties" xmlns:ns2="046d1631-faaa-43be-ab8b-9da2114b8fdb" xmlns:ns3="cdb31d0d-f56d-4e15-bc3c-3bcd0808a44a" xmlns:ns4="http://schemas.microsoft.com/sharepoint/v4" xmlns:ns5="9c547e61-31e0-4a3b-84ed-18809d88ab84" targetNamespace="http://schemas.microsoft.com/office/2006/metadata/properties" ma:root="true" ma:fieldsID="94814c85d2359dc371b92d2ff5861630" ns2:_="" ns3:_="" ns4:_="" ns5:_="">
    <xsd:import namespace="046d1631-faaa-43be-ab8b-9da2114b8fdb"/>
    <xsd:import namespace="cdb31d0d-f56d-4e15-bc3c-3bcd0808a44a"/>
    <xsd:import namespace="http://schemas.microsoft.com/sharepoint/v4"/>
    <xsd:import namespace="9c547e61-31e0-4a3b-84ed-18809d88ab84"/>
    <xsd:element name="properties">
      <xsd:complexType>
        <xsd:sequence>
          <xsd:element name="documentManagement">
            <xsd:complexType>
              <xsd:all>
                <xsd:element ref="ns2:Summary" minOccurs="0"/>
                <xsd:element ref="ns2:Published_x0020_Date"/>
                <xsd:element ref="ns2:Alternative_x0020_Search_x0020_Terms" minOccurs="0"/>
                <xsd:element ref="ns2:Document_x0020_Group" minOccurs="0"/>
                <xsd:element ref="ns3:ICT_x0020_Strategy_x0020_Type" minOccurs="0"/>
                <xsd:element ref="ns4:IconOverlay" minOccurs="0"/>
                <xsd:element ref="ns5:Work_x0020_Stra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6d1631-faaa-43be-ab8b-9da2114b8fdb" elementFormDefault="qualified">
    <xsd:import namespace="http://schemas.microsoft.com/office/2006/documentManagement/types"/>
    <xsd:import namespace="http://schemas.microsoft.com/office/infopath/2007/PartnerControls"/>
    <xsd:element name="Summary" ma:index="8" nillable="true" ma:displayName="Summary" ma:internalName="Summary">
      <xsd:simpleType>
        <xsd:restriction base="dms:Note">
          <xsd:maxLength value="255"/>
        </xsd:restriction>
      </xsd:simpleType>
    </xsd:element>
    <xsd:element name="Published_x0020_Date" ma:index="9" ma:displayName="Published Date" ma:default="[today]" ma:format="DateOnly" ma:internalName="Published_x0020_Date">
      <xsd:simpleType>
        <xsd:restriction base="dms:DateTime"/>
      </xsd:simpleType>
    </xsd:element>
    <xsd:element name="Alternative_x0020_Search_x0020_Terms" ma:index="10" nillable="true" ma:displayName="Alternative Search Terms" ma:internalName="Alternative_x0020_Search_x0020_Terms">
      <xsd:simpleType>
        <xsd:restriction base="dms:Text">
          <xsd:maxLength value="255"/>
        </xsd:restriction>
      </xsd:simpleType>
    </xsd:element>
    <xsd:element name="Document_x0020_Group" ma:index="11" nillable="true" ma:displayName="Ofwat Document Group" ma:format="Dropdown" ma:internalName="Document_x0020_Group">
      <xsd:simpleType>
        <xsd:restriction base="dms:Choice">
          <xsd:enumeration value="Events"/>
          <xsd:enumeration value="External Publications"/>
          <xsd:enumeration value="Forms"/>
          <xsd:enumeration value="Guidance"/>
          <xsd:enumeration value="Internal Communications"/>
          <xsd:enumeration value="Meetings"/>
          <xsd:enumeration value="Newsletter"/>
          <xsd:enumeration value="Non-Ofwat"/>
          <xsd:enumeration value="PID"/>
          <xsd:enumeration value="Policy &amp; Strategy"/>
          <xsd:enumeration value="Report"/>
          <xsd:enumeration value="Templates"/>
        </xsd:restriction>
      </xsd:simpleType>
    </xsd:element>
  </xsd:schema>
  <xsd:schema xmlns:xsd="http://www.w3.org/2001/XMLSchema" xmlns:xs="http://www.w3.org/2001/XMLSchema" xmlns:dms="http://schemas.microsoft.com/office/2006/documentManagement/types" xmlns:pc="http://schemas.microsoft.com/office/infopath/2007/PartnerControls" targetNamespace="cdb31d0d-f56d-4e15-bc3c-3bcd0808a44a" elementFormDefault="qualified">
    <xsd:import namespace="http://schemas.microsoft.com/office/2006/documentManagement/types"/>
    <xsd:import namespace="http://schemas.microsoft.com/office/infopath/2007/PartnerControls"/>
    <xsd:element name="ICT_x0020_Strategy_x0020_Type" ma:index="12" nillable="true" ma:displayName="Project Work" ma:format="Dropdown" ma:internalName="ICT_x0020_Strategy_x0020_Type">
      <xsd:simpleType>
        <xsd:restriction base="dms:Choice">
          <xsd:enumeration value="Framework"/>
          <xsd:enumeration value="Project Management"/>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547e61-31e0-4a3b-84ed-18809d88ab84" elementFormDefault="qualified">
    <xsd:import namespace="http://schemas.microsoft.com/office/2006/documentManagement/types"/>
    <xsd:import namespace="http://schemas.microsoft.com/office/infopath/2007/PartnerControls"/>
    <xsd:element name="Work_x0020_Strand" ma:index="14" nillable="true" ma:displayName="Work Strand" ma:format="Dropdown" ma:internalName="Work_x0020_Strand">
      <xsd:simpleType>
        <xsd:restriction base="dms:Choice">
          <xsd:enumeration value="Comms Strategy"/>
          <xsd:enumeration value="Customer Engagement"/>
          <xsd:enumeration value="Environment"/>
          <xsd:enumeration value="Future Price Limits"/>
          <xsd:enumeration value="Information Requirements"/>
          <xsd:enumeration value="Methodology"/>
          <xsd:enumeration value="Regulatory Compliance"/>
          <xsd:enumeration value="Model desig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D1871E-7CD5-4CC9-AC1E-F1C26D25EA24}">
  <ds:schemaRefs>
    <ds:schemaRef ds:uri="http://schemas.microsoft.com/office/2006/metadata/customXsn"/>
  </ds:schemaRefs>
</ds:datastoreItem>
</file>

<file path=customXml/itemProps2.xml><?xml version="1.0" encoding="utf-8"?>
<ds:datastoreItem xmlns:ds="http://schemas.openxmlformats.org/officeDocument/2006/customXml" ds:itemID="{E38881E4-1F90-494B-9474-3301CB433D8B}">
  <ds:schemaRefs>
    <ds:schemaRef ds:uri="http://schemas.microsoft.com/sharepoint/v3/contenttype/forms"/>
  </ds:schemaRefs>
</ds:datastoreItem>
</file>

<file path=customXml/itemProps3.xml><?xml version="1.0" encoding="utf-8"?>
<ds:datastoreItem xmlns:ds="http://schemas.openxmlformats.org/officeDocument/2006/customXml" ds:itemID="{669D11DD-B0F2-469D-B517-D3101FDC58DA}">
  <ds:schemaRefs>
    <ds:schemaRef ds:uri="http://www.w3.org/XML/1998/namespace"/>
    <ds:schemaRef ds:uri="http://purl.org/dc/terms/"/>
    <ds:schemaRef ds:uri="http://schemas.openxmlformats.org/package/2006/metadata/core-properties"/>
    <ds:schemaRef ds:uri="9c547e61-31e0-4a3b-84ed-18809d88ab84"/>
    <ds:schemaRef ds:uri="http://purl.org/dc/elements/1.1/"/>
    <ds:schemaRef ds:uri="046d1631-faaa-43be-ab8b-9da2114b8fdb"/>
    <ds:schemaRef ds:uri="http://schemas.microsoft.com/office/2006/documentManagement/types"/>
    <ds:schemaRef ds:uri="http://purl.org/dc/dcmitype/"/>
    <ds:schemaRef ds:uri="http://schemas.microsoft.com/office/infopath/2007/PartnerControls"/>
    <ds:schemaRef ds:uri="http://schemas.microsoft.com/sharepoint/v4"/>
    <ds:schemaRef ds:uri="cdb31d0d-f56d-4e15-bc3c-3bcd0808a44a"/>
    <ds:schemaRef ds:uri="http://schemas.microsoft.com/office/2006/metadata/properties"/>
  </ds:schemaRefs>
</ds:datastoreItem>
</file>

<file path=customXml/itemProps4.xml><?xml version="1.0" encoding="utf-8"?>
<ds:datastoreItem xmlns:ds="http://schemas.openxmlformats.org/officeDocument/2006/customXml" ds:itemID="{F8B9EDD3-7B2B-4245-BEEF-DB83FFAE44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6d1631-faaa-43be-ab8b-9da2114b8fdb"/>
    <ds:schemaRef ds:uri="cdb31d0d-f56d-4e15-bc3c-3bcd0808a44a"/>
    <ds:schemaRef ds:uri="http://schemas.microsoft.com/sharepoint/v4"/>
    <ds:schemaRef ds:uri="9c547e61-31e0-4a3b-84ed-18809d88ab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Cover</vt:lpstr>
      <vt:lpstr>CLEAR_SHEET</vt:lpstr>
      <vt:lpstr>Flow chart</vt:lpstr>
      <vt:lpstr>F_Inputs</vt:lpstr>
      <vt:lpstr>New cost and adjustments inputs</vt:lpstr>
      <vt:lpstr>New costs and adjustments</vt:lpstr>
      <vt:lpstr>Input overrides</vt:lpstr>
      <vt:lpstr>Used inputs</vt:lpstr>
      <vt:lpstr>Input</vt:lpstr>
      <vt:lpstr>Price setting</vt:lpstr>
      <vt:lpstr>F_Outputs</vt:lpstr>
      <vt:lpstr>F_Outputs complete</vt:lpstr>
      <vt:lpstr>Affinity</vt:lpstr>
      <vt:lpstr>AFW</vt:lpstr>
      <vt:lpstr>Anglian</vt:lpstr>
      <vt:lpstr>ANH</vt:lpstr>
      <vt:lpstr>Bournemouth</vt:lpstr>
      <vt:lpstr>Bristol</vt:lpstr>
      <vt:lpstr>BRL</vt:lpstr>
      <vt:lpstr>DeeValley</vt:lpstr>
      <vt:lpstr>DVW</vt:lpstr>
      <vt:lpstr>IND</vt:lpstr>
      <vt:lpstr>NES</vt:lpstr>
      <vt:lpstr>Northumbrian</vt:lpstr>
      <vt:lpstr>NWT</vt:lpstr>
      <vt:lpstr>Portsmouth</vt:lpstr>
      <vt:lpstr>'Price setting'!Print_Area</vt:lpstr>
      <vt:lpstr>PRT</vt:lpstr>
      <vt:lpstr>Rebasing</vt:lpstr>
      <vt:lpstr>SBW</vt:lpstr>
      <vt:lpstr>SES</vt:lpstr>
      <vt:lpstr>SevernTrent</vt:lpstr>
      <vt:lpstr>SEW</vt:lpstr>
      <vt:lpstr>SouthEast</vt:lpstr>
      <vt:lpstr>Southern</vt:lpstr>
      <vt:lpstr>Southwest</vt:lpstr>
      <vt:lpstr>SRN</vt:lpstr>
      <vt:lpstr>SSC</vt:lpstr>
      <vt:lpstr>Staffs</vt:lpstr>
      <vt:lpstr>SuttonEastSurrey</vt:lpstr>
      <vt:lpstr>SVT</vt:lpstr>
      <vt:lpstr>SWT</vt:lpstr>
      <vt:lpstr>Thames</vt:lpstr>
      <vt:lpstr>TMS</vt:lpstr>
      <vt:lpstr>UnitedUtilities</vt:lpstr>
      <vt:lpstr>Welsh</vt:lpstr>
      <vt:lpstr>Wessex</vt:lpstr>
      <vt:lpstr>WSH</vt:lpstr>
      <vt:lpstr>WSX</vt:lpstr>
      <vt:lpstr>YKY</vt:lpstr>
      <vt:lpstr>Yorkshire</vt:lpstr>
    </vt:vector>
  </TitlesOfParts>
  <Company>Water Services Regulation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Models</dc:title>
  <dc:creator>Mandip.Bhangal@ofwat.gsi.gov.uk</dc:creator>
  <cp:lastModifiedBy>Arun Quayum</cp:lastModifiedBy>
  <cp:lastPrinted>2014-10-30T16:03:00Z</cp:lastPrinted>
  <dcterms:created xsi:type="dcterms:W3CDTF">2010-12-06T15:44:21Z</dcterms:created>
  <dcterms:modified xsi:type="dcterms:W3CDTF">2014-12-17T12:10:41Z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0x0101008E8D9B71E0CF6D48B61CE7812B3BA800</vt:lpwstr>
  </property>
  <property fmtid="{D5CDD505-2E9C-101B-9397-08002B2CF9AE}" pid="3" name="hsa">
    <vt:lpwstr>0</vt:lpwstr>
  </property>
  <property fmtid="{D5CDD505-2E9C-101B-9397-08002B2CF9AE}" pid="4" name="K">
    <vt:lpwstr>0</vt:lpwstr>
  </property>
  <property fmtid="{D5CDD505-2E9C-101B-9397-08002B2CF9AE}" pid="5" name="FOUNTAIN_REPORT">
    <vt:lpwstr>110</vt:lpwstr>
  </property>
</Properties>
</file>